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nevavp\Desktop\"/>
    </mc:Choice>
  </mc:AlternateContent>
  <bookViews>
    <workbookView xWindow="0" yWindow="60" windowWidth="7500" windowHeight="4245"/>
  </bookViews>
  <sheets>
    <sheet name="Мои данные" sheetId="1" r:id="rId1"/>
  </sheets>
  <definedNames>
    <definedName name="_xlnm.Print_Titles" localSheetId="0">'Мои данные'!$22:$22</definedName>
    <definedName name="_xlnm.Print_Area" localSheetId="0">'Мои данные'!$A$1:$Q$51</definedName>
  </definedNames>
  <calcPr calcId="162913" fullCalcOnLoad="1"/>
</workbook>
</file>

<file path=xl/calcChain.xml><?xml version="1.0" encoding="utf-8"?>
<calcChain xmlns="http://schemas.openxmlformats.org/spreadsheetml/2006/main">
  <c r="L24" i="1" l="1"/>
  <c r="O24" i="1"/>
  <c r="Q24" i="1"/>
  <c r="L25" i="1"/>
  <c r="O25" i="1"/>
  <c r="Q25" i="1"/>
  <c r="L26" i="1"/>
  <c r="O26" i="1"/>
  <c r="Q26" i="1"/>
  <c r="L27" i="1"/>
  <c r="O27" i="1"/>
  <c r="Q27" i="1"/>
  <c r="L28" i="1"/>
  <c r="O28" i="1"/>
  <c r="Q28" i="1"/>
  <c r="L29" i="1"/>
  <c r="O29" i="1"/>
  <c r="Q29" i="1"/>
  <c r="L30" i="1"/>
  <c r="O30" i="1"/>
  <c r="Q30" i="1"/>
  <c r="L31" i="1"/>
  <c r="O31" i="1"/>
  <c r="Q31" i="1"/>
  <c r="L32" i="1"/>
  <c r="O32" i="1"/>
  <c r="Q32" i="1"/>
  <c r="L33" i="1"/>
  <c r="O33" i="1"/>
  <c r="Q33" i="1"/>
  <c r="L34" i="1"/>
  <c r="O34" i="1"/>
  <c r="Q34" i="1"/>
  <c r="L36" i="1"/>
  <c r="O36" i="1"/>
  <c r="Q36" i="1"/>
  <c r="L37" i="1"/>
  <c r="O37" i="1"/>
  <c r="Q37" i="1"/>
  <c r="L38" i="1"/>
  <c r="O38" i="1"/>
  <c r="Q38" i="1"/>
  <c r="L39" i="1"/>
  <c r="O39" i="1"/>
  <c r="Q39" i="1"/>
  <c r="L40" i="1"/>
  <c r="O40" i="1"/>
  <c r="Q40" i="1"/>
  <c r="L41" i="1"/>
  <c r="O41" i="1"/>
  <c r="Q41" i="1"/>
  <c r="L42" i="1"/>
  <c r="O42" i="1"/>
  <c r="Q42" i="1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G_Alex</author>
    <author>Andrey</author>
    <author>Волченков Сергей</author>
    <author>user02</author>
    <author>&lt;&gt;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N2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7" authorId="2" shapeId="0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12" authorId="2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сметы&gt;,&lt;Наименование объекта&gt;</t>
        </r>
      </text>
    </comment>
    <comment ref="D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D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A22" authorId="2" shapeId="0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2" authorId="2" shapeId="0">
      <text>
        <r>
          <rPr>
            <sz val="10"/>
            <color indexed="81"/>
            <rFont val="Tahoma"/>
            <family val="2"/>
          </rPr>
          <t xml:space="preserve"> &lt;Обоснование (код) позиции</t>
        </r>
        <r>
          <rPr>
            <b/>
            <sz val="10"/>
            <color indexed="81"/>
            <rFont val="Tahoma"/>
            <family val="2"/>
            <charset val="204"/>
          </rPr>
          <t xml:space="preserve">&gt;
</t>
        </r>
        <r>
          <rPr>
            <b/>
            <sz val="10"/>
            <color indexed="81"/>
            <rFont val="Tahoma"/>
            <family val="2"/>
            <charset val="204"/>
          </rPr>
          <t>&lt;Примечание&gt;</t>
        </r>
      </text>
    </comment>
    <comment ref="C22" authorId="2" shapeId="0">
      <text>
        <r>
          <rPr>
            <sz val="10"/>
            <color indexed="81"/>
            <rFont val="Tahoma"/>
            <family val="2"/>
          </rPr>
          <t xml:space="preserve"> &lt;Наименование (текстовая часть) расценки&gt;
______________
&lt;Обоснование коэффициентов&gt;
______________
&lt;Формула расчета стоимости единицы&gt;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</t>
        </r>
      </text>
    </comment>
    <comment ref="D22" authorId="2" shapeId="0">
      <text>
        <r>
          <rPr>
            <sz val="10"/>
            <color indexed="81"/>
            <rFont val="Tahoma"/>
            <family val="2"/>
          </rPr>
          <t xml:space="preserve"> &lt;Ед. измерения по расценке&gt;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E22" authorId="2" shapeId="0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22" authorId="2" shapeId="0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_____
&lt;ОЗП по позиции на единицу в базисных ценах с учетом всех к-тов&gt;</t>
        </r>
      </text>
    </comment>
    <comment ref="G22" authorId="2" shapeId="0">
      <text>
        <r>
          <rPr>
            <sz val="10"/>
            <color indexed="81"/>
            <rFont val="Tahoma"/>
            <family val="2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 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H22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</text>
    </comment>
    <comment ref="I22" authorId="2" shapeId="0">
      <text>
        <r>
          <rPr>
            <sz val="10"/>
            <color indexed="81"/>
            <rFont val="Tahoma"/>
            <family val="2"/>
          </rPr>
          <t xml:space="preserve"> &lt;ИТОГО ПЗ по позиции для БИМ&gt;
_____
&lt;ИТОГО ОЗП по позиции для БИМ&gt;</t>
        </r>
      </text>
    </comment>
    <comment ref="J22" authorId="2" shapeId="0">
      <text>
        <r>
          <rPr>
            <sz val="10"/>
            <color indexed="81"/>
            <rFont val="Tahoma"/>
            <family val="2"/>
          </rPr>
          <t xml:space="preserve"> &lt;ИТОГО ЭММ по позиции для БИМ&gt;
_____
&lt;ИТОГО ЗПМ по позиции для БИМ&gt;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22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</t>
        </r>
      </text>
    </comment>
    <comment ref="L22" authorId="2" shapeId="0">
      <text>
        <r>
          <rPr>
            <sz val="10"/>
            <color indexed="81"/>
            <rFont val="Tahoma"/>
            <family val="2"/>
          </rPr>
          <t xml:space="preserve"> =&lt;ИТОГО ОЗП по позиции для БИМ&gt;+&lt;ИТОГО ЗПМ по позиции для БИМ&gt;</t>
        </r>
      </text>
    </comment>
    <comment ref="M22" authorId="2" shapeId="0">
      <text>
        <r>
          <rPr>
            <sz val="8"/>
            <color indexed="81"/>
            <rFont val="Tahoma"/>
            <family val="2"/>
          </rPr>
          <t xml:space="preserve"> &lt;Строка задания НР для БИМ&gt;
____
&lt;Строка задания СП для БИМ&gt;</t>
        </r>
      </text>
    </comment>
    <comment ref="N22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&lt;Сумма НР по позиции для БИМ&gt;
_____
&lt;Сумма СП по позиции для БИМ&gt;</t>
        </r>
      </text>
    </comment>
    <comment ref="O22" authorId="2" shapeId="0">
      <text>
        <r>
          <rPr>
            <b/>
            <sz val="8"/>
            <color indexed="81"/>
            <rFont val="Tahoma"/>
            <family val="2"/>
          </rPr>
          <t xml:space="preserve"> =&lt;ИТОГО ПЗ по позиции для БИМ&gt;+&lt;Сумма НР по позиции для БИМ&gt;+&lt;Сумма СП по позиции для БИМ&gt;</t>
        </r>
      </text>
    </comment>
    <comment ref="P22" authorId="2" shapeId="0">
      <text>
        <r>
          <rPr>
            <sz val="10"/>
            <color indexed="81"/>
            <rFont val="Tahoma"/>
            <family val="2"/>
          </rPr>
          <t xml:space="preserve"> &lt;Индекс к позиции&gt;</t>
        </r>
      </text>
    </comment>
    <comment ref="Q22" authorId="2" shapeId="0">
      <text>
        <r>
          <rPr>
            <sz val="8"/>
            <color indexed="81"/>
            <rFont val="Tahoma"/>
            <family val="2"/>
          </rPr>
          <t xml:space="preserve"> =(&lt;ИТОГО ПЗ по позиции для БИМ&gt;+&lt;Сумма НР по позиции для БИМ&gt;+&lt;Сумма СП по позиции для БИМ&gt;)*&lt;Индекс к СМР&gt;</t>
        </r>
      </text>
    </comment>
    <comment ref="A4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Q4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A48" authorId="6" shapeId="0">
      <text>
        <r>
          <rPr>
            <b/>
            <sz val="8"/>
            <color indexed="81"/>
            <rFont val="Tahoma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5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<sst xmlns="http://schemas.openxmlformats.org/spreadsheetml/2006/main" count="167" uniqueCount="136">
  <si>
    <t>ЛОКАЛЬНЫЙ  СМЕТНЫЙ  РАСЧЕТ</t>
  </si>
  <si>
    <t>(наименование работ и затрат, наименование объекта)</t>
  </si>
  <si>
    <t>№ пп</t>
  </si>
  <si>
    <t>Обоснование</t>
  </si>
  <si>
    <t>Наименование</t>
  </si>
  <si>
    <t>ФОТ</t>
  </si>
  <si>
    <t>Всего</t>
  </si>
  <si>
    <t xml:space="preserve">Основание:  </t>
  </si>
  <si>
    <t>(наименование стройки)</t>
  </si>
  <si>
    <t>в т.ч. оплата труда</t>
  </si>
  <si>
    <t>оплата труда</t>
  </si>
  <si>
    <t>Экспл. маш.</t>
  </si>
  <si>
    <t>Стоимость единицы в базисных ценах</t>
  </si>
  <si>
    <t>Общая стоимость в базисных ценах</t>
  </si>
  <si>
    <t>Стоимость СМР в текущих ценах</t>
  </si>
  <si>
    <t>Сметная стоимость</t>
  </si>
  <si>
    <t>Материалы</t>
  </si>
  <si>
    <t xml:space="preserve">УТВЕРЖДАЮ </t>
  </si>
  <si>
    <t>СОГЛАСОВАНО</t>
  </si>
  <si>
    <t>Нормативные показатели (2001 г.)
в % от ФОТ Ннр/Нсп</t>
  </si>
  <si>
    <t>Сумма накладных расходов и сметной прибыли</t>
  </si>
  <si>
    <t>Стоимость СМР в ценах 2001г. с накладными и сметной прибылью</t>
  </si>
  <si>
    <t>Индекс к стоимости СМР, обоснование индекса</t>
  </si>
  <si>
    <t>Количество</t>
  </si>
  <si>
    <t>Единица измерения</t>
  </si>
  <si>
    <t>"___" __________ 2016 г.</t>
  </si>
  <si>
    <t>Составлен в базисных и текущих ценах по состоянию на                          2016 г.</t>
  </si>
  <si>
    <t xml:space="preserve">  </t>
  </si>
  <si>
    <t>_________________ //</t>
  </si>
  <si>
    <t>на 01-02-01 Демонтажные работы,</t>
  </si>
  <si>
    <t>ведомость объемов работ</t>
  </si>
  <si>
    <t>446602 руб.</t>
  </si>
  <si>
    <t>Составил:  _________________ /Гранкина Т.В./</t>
  </si>
  <si>
    <t>Проверил:  _________________ /Шевченко С.В./</t>
  </si>
  <si>
    <t>Раздел 1. Демонтажные работы</t>
  </si>
  <si>
    <t>ФЕР33-01-025-03</t>
  </si>
  <si>
    <t>Демонтаж проводов ВЛ 220 кВ (6 провода) сечением: свыше 240 мм2 без пересечений с препятствиями при длине анкерного пролета до 1 км
______________
(Прил.33.3 п.3.5 Подвеска одновременно двух цепей на двухцепных опорах, напряжение ВЛ: 220 кВ (6 проводов) (материалы - кроме защиты) ОЗП=1,9; ЭМ=1,8 к расх.; ЗПМ=1,8; МАТ=0 к расх.; ТЗ=1,9; ТЗМ=1,8;
Т.Ч. п.1.33.20. Демонтаж 6 проводов ОЗП=0,7; ЭМ=0,7 к расх.; ЗПМ=0,7; МАТ=0 к расх.; ТЗ=0,7; ТЗМ=0,7;
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</si>
  <si>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1 км линии</t>
  </si>
  <si>
    <t>18681,58
_____
2301,96</t>
  </si>
  <si>
    <t>16379,62
_____
538,84</t>
  </si>
  <si>
    <t>112089
_____
13812</t>
  </si>
  <si>
    <t>98277
_____
3233</t>
  </si>
  <si>
    <t>НР 105% от ФОТ
____
СП 60% от ФОТ</t>
  </si>
  <si>
    <t>17897
_____
10227</t>
  </si>
  <si>
    <t>ФЕР33-01-026-01</t>
  </si>
  <si>
    <t>Демонтаж одного грозозащитного троса ВЛ 35-500 кВ без пересечений с препятствиями при длине анкерного пролета: до 1 км
______________
(Т.Ч. п.1.33.20. Демонтаж грозотроса ОЗП=0,65; ЭМ=0,65 к расх.; ЗПМ=0,65; МАТ=0 к расх.; ТЗ=0,65; ТЗМ=0,65;
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</si>
  <si>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1229,48
_____
222,25</t>
  </si>
  <si>
    <t>1007,23
_____
18,82</t>
  </si>
  <si>
    <t>7377
_____
1334</t>
  </si>
  <si>
    <t>6043
_____
113</t>
  </si>
  <si>
    <t>1519
_____
868</t>
  </si>
  <si>
    <t>ФЕР33-01-016-04</t>
  </si>
  <si>
    <t>Демонтаж стальных опор промежуточных: свободностоящих, одностоечных массой до 7 т
______________
(МДС36 п.3.3.1.Демонтаж (разборка) металлических конструкций ОЗП=0,7; ЭМ=0,7 к расх.; ЗПМ=0,7; МАТ=0 к расх.; ТЗ=0,7; ТЗМ=0,7;
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</si>
  <si>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1 т опор</t>
  </si>
  <si>
    <t>1555,82
_____
272,9</t>
  </si>
  <si>
    <t>1282,92
_____
93,53</t>
  </si>
  <si>
    <t>90315
_____
15842</t>
  </si>
  <si>
    <t>74473
_____
5429</t>
  </si>
  <si>
    <t>22335
_____
12763</t>
  </si>
  <si>
    <t>ФЕР01-01-003-14</t>
  </si>
  <si>
    <t>Разработка грунта в отвал экскаваторами «драглайн» или «обратная лопата» с ковшом вместимостью: 0,5 (0,5-0,63) м3, группа грунтов 2
______________
(Т.Ч. Сб. 33 п. 1.33.5. Линейные условия ОЗП=1,2; ЭМ=1,2 к расх.; ЗПМ=1,2; ТЗ=1,2; ТЗМ=1,2;
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</si>
  <si>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1000 м3 грунта</t>
  </si>
  <si>
    <t>4400,42
_____
152,42</t>
  </si>
  <si>
    <t>4248
_____
573,48</t>
  </si>
  <si>
    <t>9711
_____
336</t>
  </si>
  <si>
    <t>9375
_____
1266</t>
  </si>
  <si>
    <t>НР 95% от ФОТ
____
СП 50% от ФОТ</t>
  </si>
  <si>
    <t>1522
_____
801</t>
  </si>
  <si>
    <t>ФЕР01-01-030-02</t>
  </si>
  <si>
    <t>Разработка грунта с перемещением до 10 м бульдозерами мощностью: 59 кВт (80 л.с.), группа грунтов 2
______________
(Т.Ч. Сб. 33 п. 1.33.5. Линейные условия ОЗП=1,2; ЭМ=1,2 к расх.; ЗПМ=1,2; ТЗ=1,2; ТЗМ=1,2;
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</si>
  <si>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1083,31
_____
211,31</t>
  </si>
  <si>
    <t>2391
_____
466</t>
  </si>
  <si>
    <t>443
_____
233</t>
  </si>
  <si>
    <t>ФЕР01-02-057-02</t>
  </si>
  <si>
    <t>Разработка грунта вручную в траншеях глубиной до 2 м без креплений с откосами, группа грунтов: 2
______________
(Прил.1.12 п.3.187 Доработка вручную, зачистка дна и стенок с выкидкой грунта в котлованах и траншеях, разработанных механизированным способом ОЗП=1,2; ТЗ=1,2;
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</si>
  <si>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100 м3 грунта</t>
  </si>
  <si>
    <t>1729,73
_____
1729,73</t>
  </si>
  <si>
    <t>2864
_____
2864</t>
  </si>
  <si>
    <t>НР 80% от ФОТ
____
СП 45% от ФОТ</t>
  </si>
  <si>
    <t>2291
_____
1289</t>
  </si>
  <si>
    <t>ФЕР33-03-004-01</t>
  </si>
  <si>
    <t>Демонтаж вертикальных заземлителей механизированная на глубину до 5 м
______________
(МДС37 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</si>
  <si>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1 заземлитель</t>
  </si>
  <si>
    <t>72,02
_____
4,12</t>
  </si>
  <si>
    <t>67,9
_____
3,68</t>
  </si>
  <si>
    <t>1296
_____
74</t>
  </si>
  <si>
    <t>1222
_____
66</t>
  </si>
  <si>
    <t>147
_____
84</t>
  </si>
  <si>
    <t>ФЕР46-04-001-03</t>
  </si>
  <si>
    <t>Разборка: железобетонных фундаментов
______________
(МДС35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</si>
  <si>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1 м3</t>
  </si>
  <si>
    <t>822,84
_____
168,16</t>
  </si>
  <si>
    <t>632,23
_____
67,97</t>
  </si>
  <si>
    <t>74056
_____
15134</t>
  </si>
  <si>
    <t>56901
_____
6117</t>
  </si>
  <si>
    <t>НР 110% от ФОТ
____
СП 70% от ФОТ</t>
  </si>
  <si>
    <t>23376
_____
14876</t>
  </si>
  <si>
    <t>ФЕР01-01-033-01</t>
  </si>
  <si>
    <t>Засыпка траншей и котлованов с перемещением грунта до 5 м бульдозерами мощностью: 59 кВт (80 л.с.), группа грунтов 1
______________
(Т.Ч. Сб. 33 п. 1.33.5. Линейные условия ОЗП=1,2; ЭМ=1,2 к расх.; ЗПМ=1,2; ТЗ=1,2; ТЗМ=1,2;
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</si>
  <si>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650,83
_____
126,95</t>
  </si>
  <si>
    <t>1603
_____
313</t>
  </si>
  <si>
    <t>297
_____
157</t>
  </si>
  <si>
    <t>ФЕР01-01-033-07</t>
  </si>
  <si>
    <t>При перемещении грунта на каждые последующие 5 м добавлять: к расценке 01-01-033-01
______________
(Т.Ч. Сб. 33 п. 1.33.5. Линейные условия ОЗП=1,2; ЭМ=1,2 к расх.; ЗПМ=1,2; ТЗ=1,2; ТЗМ=1,2;
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</si>
  <si>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364,81
_____
71,16</t>
  </si>
  <si>
    <t>898
_____
175</t>
  </si>
  <si>
    <t>166
_____
88</t>
  </si>
  <si>
    <t>ФЕР01-02-005-01</t>
  </si>
  <si>
    <t>Уплотнение грунта пневматическими трамбовками, группа грунтов: 1-2
______________
(МДС35 пр.1 т.1 п.5.Производство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</t>
  </si>
  <si>
    <t>100 м3 уплотненного грунта</t>
  </si>
  <si>
    <t>464,62
_____
128,26</t>
  </si>
  <si>
    <t>336,36
_____
36,7</t>
  </si>
  <si>
    <t>11441
_____
3158</t>
  </si>
  <si>
    <t>8283
_____
904</t>
  </si>
  <si>
    <t>3859
_____
2031</t>
  </si>
  <si>
    <t>Транспортные затраты</t>
  </si>
  <si>
    <t>ФССЦпг01-01-01-045</t>
  </si>
  <si>
    <t>Погрузочные работы при автомобильных перевозках: прочих материалов, деталей (с использованием погрузчика) (линейная арматура, провод, грозотрос)</t>
  </si>
  <si>
    <t>1 т груза</t>
  </si>
  <si>
    <t>НР 0% от ФОТ
____
СП 0% от ФОТ</t>
  </si>
  <si>
    <t>ФССЦпг01-01-01-017</t>
  </si>
  <si>
    <t>Погрузочные работы при автомобильных перевозках: металлических конструкций массой от 3 до 6 т (опоры)</t>
  </si>
  <si>
    <t>ФССЦпг01-01-01-004</t>
  </si>
  <si>
    <t>Погрузочные работы при автомобильных перевозках: изделий из сборного железобетона, бетона, керамзитобетона массой от 3 до 6 т (фундаменты)</t>
  </si>
  <si>
    <t>ФССЦпг01-01-02-045</t>
  </si>
  <si>
    <t>Разгрузочные работы при автомобильных перевозках: прочих материалов, деталей (с использованием погрузчика)(линейная арматура, провод, грозотрос)</t>
  </si>
  <si>
    <t>ФССЦпг01-01-02-017</t>
  </si>
  <si>
    <t>Разгрузочные работы при автомобильных перевозках: металлических конструкций массой от 3 до 6 т (опоры)</t>
  </si>
  <si>
    <t>ФССЦпг01-01-02-004</t>
  </si>
  <si>
    <t>Разгрузочные работы при автомобильных перевозках: изделий из сборного железобетона, бетона, керамзитобетона массой от 3 до 6 т (фундаменты)</t>
  </si>
  <si>
    <t>ФССЦпг03-21-01-030</t>
  </si>
  <si>
    <t>Перевозка грузов автомобилями-самосвалами грузоподъемностью 10 т, работающих вне карьера, на расстояние: до 30 км I класс груза</t>
  </si>
  <si>
    <t>Итого прямые затраты по смете в ценах 2001г.</t>
  </si>
  <si>
    <t>Накладные расходы</t>
  </si>
  <si>
    <t>Сметная прибыль</t>
  </si>
  <si>
    <t>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</si>
</sst>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10"/>
      <color indexed="81"/>
      <name val="Tahoma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8"/>
      <color indexed="81"/>
      <name val="Tahoma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2" fillId="0" borderId="0"/>
    <xf numFmtId="0" fontId="2" fillId="0" borderId="0"/>
    <xf numFmtId="2" fontId="12" fillId="0" borderId="0">
      <alignment horizontal="right" vertical="top"/>
    </xf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/>
  </cellStyleXfs>
  <cellXfs count="76">
    <xf numFmtId="0" fontId="0" fillId="0" borderId="0" xfId="0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2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0" fontId="9" fillId="0" borderId="3" xfId="13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right" vertical="top"/>
    </xf>
    <xf numFmtId="49" fontId="9" fillId="0" borderId="0" xfId="0" applyNumberFormat="1" applyFont="1" applyAlignment="1">
      <alignment horizontal="left" vertical="top" wrapText="1"/>
    </xf>
    <xf numFmtId="0" fontId="9" fillId="0" borderId="0" xfId="11" applyFont="1" applyBorder="1">
      <alignment horizontal="center"/>
    </xf>
    <xf numFmtId="0" fontId="9" fillId="0" borderId="0" xfId="5" applyFont="1">
      <alignment horizontal="right" vertical="top" wrapText="1"/>
    </xf>
    <xf numFmtId="0" fontId="9" fillId="0" borderId="0" xfId="19" applyFo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/>
    <xf numFmtId="49" fontId="12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0" fontId="12" fillId="0" borderId="0" xfId="0" applyFont="1" applyBorder="1"/>
    <xf numFmtId="0" fontId="11" fillId="0" borderId="0" xfId="0" applyFont="1" applyAlignment="1">
      <alignment horizontal="left"/>
    </xf>
    <xf numFmtId="0" fontId="12" fillId="0" borderId="0" xfId="18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left" vertical="top" wrapText="1"/>
    </xf>
    <xf numFmtId="0" fontId="12" fillId="0" borderId="0" xfId="5" applyFont="1" applyAlignment="1">
      <alignment horizontal="right" vertical="top"/>
    </xf>
    <xf numFmtId="0" fontId="12" fillId="0" borderId="0" xfId="18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0" xfId="18" applyBorder="1" applyAlignment="1">
      <alignment horizontal="left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12" fillId="0" borderId="4" xfId="18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3" xfId="0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13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13" applyFont="1" applyBorder="1" applyAlignment="1">
      <alignment horizontal="center" vertical="center" wrapText="1"/>
    </xf>
    <xf numFmtId="0" fontId="9" fillId="0" borderId="5" xfId="13" applyFont="1" applyBorder="1" applyAlignment="1">
      <alignment horizontal="center" vertical="center" wrapText="1"/>
    </xf>
    <xf numFmtId="0" fontId="9" fillId="0" borderId="6" xfId="13" applyFont="1" applyBorder="1" applyAlignment="1">
      <alignment horizontal="center" vertical="center" wrapText="1"/>
    </xf>
    <xf numFmtId="2" fontId="12" fillId="0" borderId="0" xfId="9" applyFont="1">
      <alignment horizontal="right" vertical="top"/>
    </xf>
    <xf numFmtId="0" fontId="12" fillId="0" borderId="0" xfId="0" applyFont="1" applyAlignment="1">
      <alignment horizontal="left"/>
    </xf>
    <xf numFmtId="0" fontId="9" fillId="0" borderId="5" xfId="11" applyNumberFormat="1" applyFont="1" applyBorder="1" applyAlignment="1">
      <alignment horizontal="center" wrapText="1"/>
    </xf>
    <xf numFmtId="0" fontId="9" fillId="0" borderId="5" xfId="11" applyNumberFormat="1" applyFont="1" applyBorder="1" applyAlignment="1">
      <alignment horizontal="center" vertical="center" wrapText="1"/>
    </xf>
    <xf numFmtId="0" fontId="9" fillId="0" borderId="5" xfId="11" applyFont="1" applyBorder="1">
      <alignment horizontal="center"/>
    </xf>
    <xf numFmtId="0" fontId="11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right" vertical="top" wrapText="1"/>
    </xf>
    <xf numFmtId="0" fontId="9" fillId="0" borderId="1" xfId="0" applyNumberFormat="1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21" fillId="0" borderId="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9" fillId="0" borderId="5" xfId="0" applyNumberFormat="1" applyFont="1" applyBorder="1" applyAlignment="1">
      <alignment horizontal="right" vertical="top" wrapText="1"/>
    </xf>
    <xf numFmtId="0" fontId="9" fillId="0" borderId="5" xfId="0" applyNumberFormat="1" applyFont="1" applyBorder="1" applyAlignment="1">
      <alignment horizontal="left" vertical="top" wrapText="1"/>
    </xf>
    <xf numFmtId="0" fontId="9" fillId="0" borderId="5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0" fontId="9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9" fillId="0" borderId="1" xfId="5" applyFont="1" applyBorder="1">
      <alignment horizontal="right" vertical="top" wrapText="1"/>
    </xf>
    <xf numFmtId="0" fontId="19" fillId="0" borderId="1" xfId="5" applyFont="1" applyBorder="1" applyAlignment="1">
      <alignment horizontal="left" vertical="top" wrapText="1"/>
    </xf>
    <xf numFmtId="0" fontId="19" fillId="0" borderId="1" xfId="5" applyFont="1" applyBorder="1">
      <alignment horizontal="right" vertical="top" wrapText="1"/>
    </xf>
  </cellXfs>
  <cellStyles count="21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ТекЦ" xfId="7"/>
    <cellStyle name="ИтогоБазЦ" xfId="8"/>
    <cellStyle name="ИтогоБИМ" xfId="9"/>
    <cellStyle name="ИтогоТекЦ" xfId="10"/>
    <cellStyle name="ЛокСмета" xfId="11"/>
    <cellStyle name="ЛокСмМТСН" xfId="12"/>
    <cellStyle name="Обычный" xfId="0" builtinId="0"/>
    <cellStyle name="Обычный_Мои данные" xfId="13"/>
    <cellStyle name="Параметр" xfId="14"/>
    <cellStyle name="ПеременныеСметы" xfId="15"/>
    <cellStyle name="РесСмета" xfId="16"/>
    <cellStyle name="СводкаСтоимРаб" xfId="17"/>
    <cellStyle name="Титул" xfId="18"/>
    <cellStyle name="Хвост" xfId="19"/>
    <cellStyle name="Экспертиза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V51"/>
  <sheetViews>
    <sheetView showGridLines="0" tabSelected="1" topLeftCell="A16" zoomScale="115" zoomScaleNormal="115" zoomScaleSheetLayoutView="100" workbookViewId="0">
      <selection activeCell="C17" sqref="C17:J17"/>
    </sheetView>
  </sheetViews>
  <sheetFormatPr defaultRowHeight="12" x14ac:dyDescent="0.2"/>
  <cols>
    <col min="1" max="1" width="3.85546875" style="6" customWidth="1"/>
    <col min="2" max="2" width="17" style="8" customWidth="1"/>
    <col min="3" max="3" width="31.140625" style="9" customWidth="1"/>
    <col min="4" max="4" width="10" style="6" customWidth="1"/>
    <col min="5" max="11" width="11" style="6" customWidth="1"/>
    <col min="12" max="12" width="10.140625" style="6" customWidth="1"/>
    <col min="13" max="13" width="10.85546875" style="6" customWidth="1"/>
    <col min="14" max="14" width="11.140625" style="6" customWidth="1"/>
    <col min="15" max="15" width="11.85546875" style="7" customWidth="1"/>
    <col min="16" max="16" width="11.140625" style="7" customWidth="1"/>
    <col min="17" max="17" width="10.5703125" style="7" customWidth="1"/>
    <col min="18" max="16384" width="9.140625" style="7"/>
  </cols>
  <sheetData>
    <row r="1" spans="1:18" s="20" customFormat="1" ht="12.75" x14ac:dyDescent="0.2">
      <c r="A1" s="16" t="s">
        <v>17</v>
      </c>
      <c r="B1" s="17"/>
      <c r="C1" s="18"/>
      <c r="D1" s="19"/>
      <c r="E1" s="19"/>
      <c r="F1" s="19"/>
      <c r="G1" s="19"/>
      <c r="H1" s="19"/>
      <c r="I1" s="19"/>
      <c r="J1" s="19"/>
      <c r="K1" s="19"/>
      <c r="N1" s="21" t="s">
        <v>18</v>
      </c>
    </row>
    <row r="2" spans="1:18" s="20" customFormat="1" ht="12.75" x14ac:dyDescent="0.2">
      <c r="A2" s="34" t="s">
        <v>27</v>
      </c>
      <c r="B2" s="17"/>
      <c r="C2" s="18"/>
      <c r="D2" s="19"/>
      <c r="E2" s="19"/>
      <c r="F2" s="19"/>
      <c r="G2" s="19"/>
      <c r="H2" s="19"/>
      <c r="I2" s="19"/>
      <c r="J2" s="19"/>
      <c r="K2" s="19"/>
      <c r="N2" s="34" t="s">
        <v>27</v>
      </c>
    </row>
    <row r="3" spans="1:18" s="20" customFormat="1" ht="12.75" x14ac:dyDescent="0.2">
      <c r="A3" s="34" t="s">
        <v>28</v>
      </c>
      <c r="B3" s="17"/>
      <c r="C3" s="18"/>
      <c r="D3" s="19"/>
      <c r="E3" s="19"/>
      <c r="F3" s="19"/>
      <c r="G3" s="19"/>
      <c r="H3" s="19"/>
      <c r="I3" s="19"/>
      <c r="J3" s="19"/>
      <c r="K3" s="19"/>
      <c r="N3" s="34" t="s">
        <v>28</v>
      </c>
    </row>
    <row r="4" spans="1:18" s="20" customFormat="1" ht="12.75" x14ac:dyDescent="0.2">
      <c r="A4" s="19" t="s">
        <v>25</v>
      </c>
      <c r="B4" s="17"/>
      <c r="C4" s="18"/>
      <c r="D4" s="19"/>
      <c r="E4" s="19"/>
      <c r="F4" s="19"/>
      <c r="G4" s="19"/>
      <c r="H4" s="19"/>
      <c r="I4" s="19"/>
      <c r="J4" s="19"/>
      <c r="K4" s="19"/>
      <c r="N4" s="23" t="s">
        <v>25</v>
      </c>
    </row>
    <row r="5" spans="1:18" s="20" customFormat="1" ht="12.75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19"/>
      <c r="O5" s="19"/>
    </row>
    <row r="6" spans="1:18" s="20" customFormat="1" ht="12.75" x14ac:dyDescent="0.2">
      <c r="A6" s="19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8" s="20" customFormat="1" ht="12.75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2"/>
    </row>
    <row r="8" spans="1:18" s="20" customFormat="1" ht="12.75" customHeight="1" x14ac:dyDescent="0.2">
      <c r="A8" s="35" t="s">
        <v>8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24"/>
    </row>
    <row r="9" spans="1:18" s="20" customFormat="1" ht="12.75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18" s="20" customFormat="1" ht="15.75" customHeight="1" x14ac:dyDescent="0.2">
      <c r="A10" s="37" t="s">
        <v>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3"/>
    </row>
    <row r="11" spans="1:18" s="20" customFormat="1" ht="12.75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20" customFormat="1" ht="12.75" x14ac:dyDescent="0.2">
      <c r="A12" s="39" t="s">
        <v>29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2"/>
    </row>
    <row r="13" spans="1:18" s="20" customFormat="1" ht="12.75" x14ac:dyDescent="0.2">
      <c r="A13" s="40" t="s">
        <v>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28"/>
    </row>
    <row r="14" spans="1:18" s="20" customFormat="1" ht="12.75" x14ac:dyDescent="0.2">
      <c r="A14" s="29"/>
      <c r="B14" s="17"/>
      <c r="C14" s="30"/>
      <c r="D14" s="26"/>
      <c r="E14" s="19"/>
      <c r="F14" s="27"/>
      <c r="G14" s="27"/>
      <c r="H14" s="27"/>
      <c r="I14" s="27"/>
      <c r="J14" s="27"/>
      <c r="K14" s="27"/>
      <c r="L14" s="27"/>
      <c r="M14" s="27"/>
      <c r="N14" s="27"/>
    </row>
    <row r="15" spans="1:18" s="20" customFormat="1" ht="12.75" x14ac:dyDescent="0.2">
      <c r="A15" s="25"/>
      <c r="B15" s="17"/>
      <c r="C15" s="18" t="s">
        <v>7</v>
      </c>
      <c r="D15" s="22" t="s">
        <v>30</v>
      </c>
      <c r="E15" s="25"/>
      <c r="F15" s="27"/>
      <c r="G15" s="27"/>
      <c r="H15" s="27"/>
      <c r="I15" s="23"/>
      <c r="J15" s="23"/>
      <c r="K15" s="27"/>
      <c r="L15" s="27"/>
      <c r="M15" s="27"/>
      <c r="N15" s="27"/>
    </row>
    <row r="16" spans="1:18" s="20" customFormat="1" ht="12.75" x14ac:dyDescent="0.2">
      <c r="A16" s="25"/>
      <c r="B16" s="17"/>
      <c r="C16" s="18" t="s">
        <v>15</v>
      </c>
      <c r="D16" s="54" t="s">
        <v>31</v>
      </c>
      <c r="E16" s="54"/>
      <c r="F16" s="31"/>
      <c r="G16" s="31"/>
      <c r="H16" s="31"/>
      <c r="I16" s="31"/>
      <c r="J16" s="23"/>
      <c r="K16" s="27"/>
      <c r="L16" s="27"/>
      <c r="M16" s="27"/>
      <c r="N16" s="27"/>
    </row>
    <row r="17" spans="1:22" s="20" customFormat="1" ht="12.75" x14ac:dyDescent="0.2">
      <c r="A17" s="25"/>
      <c r="B17" s="17"/>
      <c r="C17" s="55" t="s">
        <v>26</v>
      </c>
      <c r="D17" s="55"/>
      <c r="E17" s="55"/>
      <c r="F17" s="55"/>
      <c r="G17" s="55"/>
      <c r="H17" s="55"/>
      <c r="I17" s="55"/>
      <c r="J17" s="55"/>
      <c r="K17" s="27"/>
      <c r="L17" s="27"/>
      <c r="M17" s="27"/>
      <c r="N17" s="27"/>
    </row>
    <row r="18" spans="1:22" x14ac:dyDescent="0.2">
      <c r="A18" s="1"/>
      <c r="C18" s="11"/>
      <c r="D18" s="2"/>
      <c r="E18" s="1"/>
      <c r="F18" s="10"/>
      <c r="G18" s="10"/>
      <c r="H18" s="10"/>
      <c r="I18" s="10"/>
      <c r="J18" s="10"/>
      <c r="K18" s="10"/>
      <c r="L18" s="10"/>
      <c r="M18" s="10"/>
      <c r="N18" s="10"/>
    </row>
    <row r="19" spans="1:22" ht="26.25" customHeight="1" x14ac:dyDescent="0.2">
      <c r="A19" s="41" t="s">
        <v>2</v>
      </c>
      <c r="B19" s="41" t="s">
        <v>3</v>
      </c>
      <c r="C19" s="41" t="s">
        <v>4</v>
      </c>
      <c r="D19" s="41" t="s">
        <v>24</v>
      </c>
      <c r="E19" s="41" t="s">
        <v>23</v>
      </c>
      <c r="F19" s="48" t="s">
        <v>12</v>
      </c>
      <c r="G19" s="51"/>
      <c r="H19" s="50"/>
      <c r="I19" s="48" t="s">
        <v>13</v>
      </c>
      <c r="J19" s="49"/>
      <c r="K19" s="50"/>
      <c r="L19" s="41" t="s">
        <v>5</v>
      </c>
      <c r="M19" s="41" t="s">
        <v>19</v>
      </c>
      <c r="N19" s="41" t="s">
        <v>20</v>
      </c>
      <c r="O19" s="41" t="s">
        <v>21</v>
      </c>
      <c r="P19" s="41" t="s">
        <v>22</v>
      </c>
      <c r="Q19" s="41" t="s">
        <v>14</v>
      </c>
    </row>
    <row r="20" spans="1:22" ht="23.25" customHeight="1" x14ac:dyDescent="0.2">
      <c r="A20" s="46"/>
      <c r="B20" s="46"/>
      <c r="C20" s="44"/>
      <c r="D20" s="44"/>
      <c r="E20" s="46"/>
      <c r="F20" s="4" t="s">
        <v>6</v>
      </c>
      <c r="G20" s="4" t="s">
        <v>11</v>
      </c>
      <c r="H20" s="52" t="s">
        <v>16</v>
      </c>
      <c r="I20" s="5" t="s">
        <v>6</v>
      </c>
      <c r="J20" s="5" t="s">
        <v>11</v>
      </c>
      <c r="K20" s="53" t="s">
        <v>16</v>
      </c>
      <c r="L20" s="44"/>
      <c r="M20" s="44"/>
      <c r="N20" s="42"/>
      <c r="O20" s="44"/>
      <c r="P20" s="44"/>
      <c r="Q20" s="44"/>
    </row>
    <row r="21" spans="1:22" ht="38.25" customHeight="1" x14ac:dyDescent="0.2">
      <c r="A21" s="47"/>
      <c r="B21" s="47"/>
      <c r="C21" s="45"/>
      <c r="D21" s="45"/>
      <c r="E21" s="47"/>
      <c r="F21" s="4" t="s">
        <v>10</v>
      </c>
      <c r="G21" s="3" t="s">
        <v>9</v>
      </c>
      <c r="H21" s="45"/>
      <c r="I21" s="4" t="s">
        <v>10</v>
      </c>
      <c r="J21" s="3" t="s">
        <v>9</v>
      </c>
      <c r="K21" s="45"/>
      <c r="L21" s="45"/>
      <c r="M21" s="45"/>
      <c r="N21" s="43"/>
      <c r="O21" s="45"/>
      <c r="P21" s="45"/>
      <c r="Q21" s="45"/>
    </row>
    <row r="22" spans="1:22" s="12" customFormat="1" x14ac:dyDescent="0.2">
      <c r="A22" s="56">
        <v>1</v>
      </c>
      <c r="B22" s="56">
        <v>2</v>
      </c>
      <c r="C22" s="56">
        <v>3</v>
      </c>
      <c r="D22" s="56">
        <v>4</v>
      </c>
      <c r="E22" s="57">
        <v>5</v>
      </c>
      <c r="F22" s="58">
        <v>6</v>
      </c>
      <c r="G22" s="58">
        <v>7</v>
      </c>
      <c r="H22" s="58">
        <v>8</v>
      </c>
      <c r="I22" s="57">
        <v>9</v>
      </c>
      <c r="J22" s="57">
        <v>10</v>
      </c>
      <c r="K22" s="57">
        <v>11</v>
      </c>
      <c r="L22" s="56">
        <v>12</v>
      </c>
      <c r="M22" s="56">
        <v>13</v>
      </c>
      <c r="N22" s="58">
        <v>14</v>
      </c>
      <c r="O22" s="56">
        <v>15</v>
      </c>
      <c r="P22" s="57">
        <v>16</v>
      </c>
      <c r="Q22" s="57">
        <v>17</v>
      </c>
    </row>
    <row r="23" spans="1:22" s="15" customFormat="1" ht="17.850000000000001" customHeight="1" x14ac:dyDescent="0.2">
      <c r="A23" s="59" t="s">
        <v>34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spans="1:22" ht="288" x14ac:dyDescent="0.2">
      <c r="A24" s="61">
        <v>1</v>
      </c>
      <c r="B24" s="62" t="s">
        <v>35</v>
      </c>
      <c r="C24" s="62" t="s">
        <v>36</v>
      </c>
      <c r="D24" s="63" t="s">
        <v>37</v>
      </c>
      <c r="E24" s="61">
        <v>6</v>
      </c>
      <c r="F24" s="61" t="s">
        <v>38</v>
      </c>
      <c r="G24" s="61" t="s">
        <v>39</v>
      </c>
      <c r="H24" s="61"/>
      <c r="I24" s="61" t="s">
        <v>40</v>
      </c>
      <c r="J24" s="61" t="s">
        <v>41</v>
      </c>
      <c r="K24" s="61"/>
      <c r="L24" s="61">
        <f>13812+3233</f>
        <v>17045</v>
      </c>
      <c r="M24" s="64" t="s">
        <v>42</v>
      </c>
      <c r="N24" s="61" t="s">
        <v>43</v>
      </c>
      <c r="O24" s="61">
        <f>112089+17897+10227</f>
        <v>140213</v>
      </c>
      <c r="P24" s="63"/>
      <c r="Q24" s="63">
        <f>(112089+17897+10227)*1</f>
        <v>140213</v>
      </c>
      <c r="R24" s="15"/>
      <c r="S24" s="15"/>
      <c r="T24" s="15"/>
      <c r="U24" s="15"/>
      <c r="V24" s="15"/>
    </row>
    <row r="25" spans="1:22" s="13" customFormat="1" ht="204" x14ac:dyDescent="0.2">
      <c r="A25" s="61">
        <v>3</v>
      </c>
      <c r="B25" s="62" t="s">
        <v>44</v>
      </c>
      <c r="C25" s="62" t="s">
        <v>45</v>
      </c>
      <c r="D25" s="63" t="s">
        <v>37</v>
      </c>
      <c r="E25" s="61">
        <v>6</v>
      </c>
      <c r="F25" s="61" t="s">
        <v>46</v>
      </c>
      <c r="G25" s="61" t="s">
        <v>47</v>
      </c>
      <c r="H25" s="61"/>
      <c r="I25" s="61" t="s">
        <v>48</v>
      </c>
      <c r="J25" s="61" t="s">
        <v>49</v>
      </c>
      <c r="K25" s="61"/>
      <c r="L25" s="61">
        <f>1334+113</f>
        <v>1447</v>
      </c>
      <c r="M25" s="64" t="s">
        <v>42</v>
      </c>
      <c r="N25" s="61" t="s">
        <v>50</v>
      </c>
      <c r="O25" s="61">
        <f>7377+1519+868</f>
        <v>9764</v>
      </c>
      <c r="P25" s="63"/>
      <c r="Q25" s="63">
        <f>(7377+1519+868)*1</f>
        <v>9764</v>
      </c>
      <c r="R25" s="15"/>
      <c r="S25" s="15"/>
      <c r="T25" s="15"/>
      <c r="U25" s="15"/>
      <c r="V25" s="15"/>
    </row>
    <row r="26" spans="1:22" ht="204" x14ac:dyDescent="0.2">
      <c r="A26" s="61">
        <v>4</v>
      </c>
      <c r="B26" s="62" t="s">
        <v>51</v>
      </c>
      <c r="C26" s="62" t="s">
        <v>52</v>
      </c>
      <c r="D26" s="63" t="s">
        <v>53</v>
      </c>
      <c r="E26" s="61">
        <v>58.05</v>
      </c>
      <c r="F26" s="61" t="s">
        <v>54</v>
      </c>
      <c r="G26" s="61" t="s">
        <v>55</v>
      </c>
      <c r="H26" s="61"/>
      <c r="I26" s="61" t="s">
        <v>56</v>
      </c>
      <c r="J26" s="61" t="s">
        <v>57</v>
      </c>
      <c r="K26" s="61"/>
      <c r="L26" s="61">
        <f>15842+5429</f>
        <v>21271</v>
      </c>
      <c r="M26" s="64" t="s">
        <v>42</v>
      </c>
      <c r="N26" s="61" t="s">
        <v>58</v>
      </c>
      <c r="O26" s="61">
        <f>90315+22335+12763</f>
        <v>125413</v>
      </c>
      <c r="P26" s="63"/>
      <c r="Q26" s="63">
        <f>(90315+22335+12763)*1</f>
        <v>125413</v>
      </c>
      <c r="R26" s="15"/>
      <c r="S26" s="15"/>
      <c r="T26" s="15"/>
      <c r="U26" s="15"/>
      <c r="V26" s="15"/>
    </row>
    <row r="27" spans="1:22" ht="204" x14ac:dyDescent="0.2">
      <c r="A27" s="61">
        <v>5</v>
      </c>
      <c r="B27" s="62" t="s">
        <v>59</v>
      </c>
      <c r="C27" s="62" t="s">
        <v>60</v>
      </c>
      <c r="D27" s="63" t="s">
        <v>61</v>
      </c>
      <c r="E27" s="61">
        <v>2.2067999999999999</v>
      </c>
      <c r="F27" s="61" t="s">
        <v>62</v>
      </c>
      <c r="G27" s="61" t="s">
        <v>63</v>
      </c>
      <c r="H27" s="61"/>
      <c r="I27" s="61" t="s">
        <v>64</v>
      </c>
      <c r="J27" s="61" t="s">
        <v>65</v>
      </c>
      <c r="K27" s="61"/>
      <c r="L27" s="61">
        <f>336+1266</f>
        <v>1602</v>
      </c>
      <c r="M27" s="64" t="s">
        <v>66</v>
      </c>
      <c r="N27" s="61" t="s">
        <v>67</v>
      </c>
      <c r="O27" s="61">
        <f>9711+1522+801</f>
        <v>12034</v>
      </c>
      <c r="P27" s="63"/>
      <c r="Q27" s="63">
        <f>(9711+1522+801)*1</f>
        <v>12034</v>
      </c>
      <c r="R27" s="15"/>
      <c r="S27" s="15"/>
      <c r="T27" s="15"/>
      <c r="U27" s="15"/>
      <c r="V27" s="15"/>
    </row>
    <row r="28" spans="1:22" ht="180" x14ac:dyDescent="0.2">
      <c r="A28" s="61">
        <v>6</v>
      </c>
      <c r="B28" s="62" t="s">
        <v>68</v>
      </c>
      <c r="C28" s="62" t="s">
        <v>69</v>
      </c>
      <c r="D28" s="63" t="s">
        <v>61</v>
      </c>
      <c r="E28" s="61">
        <v>2.2067999999999999</v>
      </c>
      <c r="F28" s="61">
        <v>1083.31</v>
      </c>
      <c r="G28" s="61" t="s">
        <v>70</v>
      </c>
      <c r="H28" s="61"/>
      <c r="I28" s="61">
        <v>2391</v>
      </c>
      <c r="J28" s="61" t="s">
        <v>71</v>
      </c>
      <c r="K28" s="61"/>
      <c r="L28" s="61">
        <f>0+466</f>
        <v>466</v>
      </c>
      <c r="M28" s="64" t="s">
        <v>66</v>
      </c>
      <c r="N28" s="61" t="s">
        <v>72</v>
      </c>
      <c r="O28" s="61">
        <f>2391+443+233</f>
        <v>3067</v>
      </c>
      <c r="P28" s="63"/>
      <c r="Q28" s="63">
        <f>(2391+443+233)*1</f>
        <v>3067</v>
      </c>
      <c r="R28" s="15"/>
      <c r="S28" s="15"/>
      <c r="T28" s="15"/>
      <c r="U28" s="15"/>
      <c r="V28" s="15"/>
    </row>
    <row r="29" spans="1:22" ht="228" x14ac:dyDescent="0.2">
      <c r="A29" s="61">
        <v>7</v>
      </c>
      <c r="B29" s="62" t="s">
        <v>73</v>
      </c>
      <c r="C29" s="62" t="s">
        <v>74</v>
      </c>
      <c r="D29" s="63" t="s">
        <v>75</v>
      </c>
      <c r="E29" s="61">
        <v>1.6559999999999999</v>
      </c>
      <c r="F29" s="61" t="s">
        <v>76</v>
      </c>
      <c r="G29" s="61"/>
      <c r="H29" s="61"/>
      <c r="I29" s="61" t="s">
        <v>77</v>
      </c>
      <c r="J29" s="61"/>
      <c r="K29" s="61"/>
      <c r="L29" s="61">
        <f>2864+0</f>
        <v>2864</v>
      </c>
      <c r="M29" s="64" t="s">
        <v>78</v>
      </c>
      <c r="N29" s="61" t="s">
        <v>79</v>
      </c>
      <c r="O29" s="61">
        <f>2864+2291+1289</f>
        <v>6444</v>
      </c>
      <c r="P29" s="63"/>
      <c r="Q29" s="63">
        <f>(2864+2291+1289)*1</f>
        <v>6444</v>
      </c>
      <c r="R29" s="15"/>
      <c r="S29" s="15"/>
      <c r="T29" s="15"/>
      <c r="U29" s="15"/>
      <c r="V29" s="15"/>
    </row>
    <row r="30" spans="1:22" ht="228" x14ac:dyDescent="0.2">
      <c r="A30" s="61">
        <v>8</v>
      </c>
      <c r="B30" s="62" t="s">
        <v>80</v>
      </c>
      <c r="C30" s="62" t="s">
        <v>81</v>
      </c>
      <c r="D30" s="63" t="s">
        <v>82</v>
      </c>
      <c r="E30" s="61">
        <v>18</v>
      </c>
      <c r="F30" s="61" t="s">
        <v>83</v>
      </c>
      <c r="G30" s="61" t="s">
        <v>84</v>
      </c>
      <c r="H30" s="61"/>
      <c r="I30" s="61" t="s">
        <v>85</v>
      </c>
      <c r="J30" s="61" t="s">
        <v>86</v>
      </c>
      <c r="K30" s="61"/>
      <c r="L30" s="61">
        <f>74+66</f>
        <v>140</v>
      </c>
      <c r="M30" s="64" t="s">
        <v>42</v>
      </c>
      <c r="N30" s="61" t="s">
        <v>87</v>
      </c>
      <c r="O30" s="61">
        <f>1296+147+84</f>
        <v>1527</v>
      </c>
      <c r="P30" s="63"/>
      <c r="Q30" s="63">
        <f>(1296+147+84)*1</f>
        <v>1527</v>
      </c>
      <c r="R30" s="15"/>
      <c r="S30" s="15"/>
      <c r="T30" s="15"/>
      <c r="U30" s="15"/>
      <c r="V30" s="15"/>
    </row>
    <row r="31" spans="1:22" ht="132" x14ac:dyDescent="0.2">
      <c r="A31" s="61">
        <v>9</v>
      </c>
      <c r="B31" s="62" t="s">
        <v>88</v>
      </c>
      <c r="C31" s="62" t="s">
        <v>89</v>
      </c>
      <c r="D31" s="63" t="s">
        <v>90</v>
      </c>
      <c r="E31" s="61">
        <v>90</v>
      </c>
      <c r="F31" s="61" t="s">
        <v>91</v>
      </c>
      <c r="G31" s="61" t="s">
        <v>92</v>
      </c>
      <c r="H31" s="61">
        <v>22.45</v>
      </c>
      <c r="I31" s="61" t="s">
        <v>93</v>
      </c>
      <c r="J31" s="61" t="s">
        <v>94</v>
      </c>
      <c r="K31" s="61">
        <v>2021</v>
      </c>
      <c r="L31" s="61">
        <f>15134+6117</f>
        <v>21251</v>
      </c>
      <c r="M31" s="64" t="s">
        <v>95</v>
      </c>
      <c r="N31" s="61" t="s">
        <v>96</v>
      </c>
      <c r="O31" s="61">
        <f>74056+23376+14876</f>
        <v>112308</v>
      </c>
      <c r="P31" s="63"/>
      <c r="Q31" s="63">
        <f>(74056+23376+14876)*1</f>
        <v>112308</v>
      </c>
      <c r="R31" s="15"/>
      <c r="S31" s="15"/>
      <c r="T31" s="15"/>
      <c r="U31" s="15"/>
      <c r="V31" s="15"/>
    </row>
    <row r="32" spans="1:22" ht="192" x14ac:dyDescent="0.2">
      <c r="A32" s="61">
        <v>10</v>
      </c>
      <c r="B32" s="62" t="s">
        <v>97</v>
      </c>
      <c r="C32" s="62" t="s">
        <v>98</v>
      </c>
      <c r="D32" s="63" t="s">
        <v>61</v>
      </c>
      <c r="E32" s="61">
        <v>2.4624000000000001</v>
      </c>
      <c r="F32" s="61">
        <v>650.83000000000004</v>
      </c>
      <c r="G32" s="61" t="s">
        <v>99</v>
      </c>
      <c r="H32" s="61"/>
      <c r="I32" s="61">
        <v>1603</v>
      </c>
      <c r="J32" s="61" t="s">
        <v>100</v>
      </c>
      <c r="K32" s="61"/>
      <c r="L32" s="61">
        <f>0+313</f>
        <v>313</v>
      </c>
      <c r="M32" s="64" t="s">
        <v>66</v>
      </c>
      <c r="N32" s="61" t="s">
        <v>101</v>
      </c>
      <c r="O32" s="61">
        <f>1603+297+157</f>
        <v>2057</v>
      </c>
      <c r="P32" s="63"/>
      <c r="Q32" s="63">
        <f>(1603+297+157)*1</f>
        <v>2057</v>
      </c>
      <c r="R32" s="15"/>
      <c r="S32" s="15"/>
      <c r="T32" s="15"/>
      <c r="U32" s="15"/>
      <c r="V32" s="15"/>
    </row>
    <row r="33" spans="1:22" ht="180" x14ac:dyDescent="0.2">
      <c r="A33" s="61">
        <v>11</v>
      </c>
      <c r="B33" s="62" t="s">
        <v>102</v>
      </c>
      <c r="C33" s="62" t="s">
        <v>103</v>
      </c>
      <c r="D33" s="63" t="s">
        <v>61</v>
      </c>
      <c r="E33" s="61">
        <v>2.4624000000000001</v>
      </c>
      <c r="F33" s="61">
        <v>364.81</v>
      </c>
      <c r="G33" s="61" t="s">
        <v>104</v>
      </c>
      <c r="H33" s="61"/>
      <c r="I33" s="61">
        <v>898</v>
      </c>
      <c r="J33" s="61" t="s">
        <v>105</v>
      </c>
      <c r="K33" s="61"/>
      <c r="L33" s="61">
        <f>0+175</f>
        <v>175</v>
      </c>
      <c r="M33" s="64" t="s">
        <v>66</v>
      </c>
      <c r="N33" s="61" t="s">
        <v>106</v>
      </c>
      <c r="O33" s="61">
        <f>898+166+88</f>
        <v>1152</v>
      </c>
      <c r="P33" s="63"/>
      <c r="Q33" s="63">
        <f>(898+166+88)*1</f>
        <v>1152</v>
      </c>
      <c r="R33" s="15"/>
      <c r="S33" s="15"/>
      <c r="T33" s="15"/>
      <c r="U33" s="15"/>
      <c r="V33" s="15"/>
    </row>
    <row r="34" spans="1:22" ht="144" x14ac:dyDescent="0.2">
      <c r="A34" s="61">
        <v>12</v>
      </c>
      <c r="B34" s="62" t="s">
        <v>107</v>
      </c>
      <c r="C34" s="62" t="s">
        <v>108</v>
      </c>
      <c r="D34" s="63" t="s">
        <v>109</v>
      </c>
      <c r="E34" s="61">
        <v>24.623999999999999</v>
      </c>
      <c r="F34" s="61" t="s">
        <v>110</v>
      </c>
      <c r="G34" s="61" t="s">
        <v>111</v>
      </c>
      <c r="H34" s="61"/>
      <c r="I34" s="61" t="s">
        <v>112</v>
      </c>
      <c r="J34" s="61" t="s">
        <v>113</v>
      </c>
      <c r="K34" s="61"/>
      <c r="L34" s="61">
        <f>3158+904</f>
        <v>4062</v>
      </c>
      <c r="M34" s="64" t="s">
        <v>66</v>
      </c>
      <c r="N34" s="61" t="s">
        <v>114</v>
      </c>
      <c r="O34" s="61">
        <f>11441+3859+2031</f>
        <v>17331</v>
      </c>
      <c r="P34" s="63"/>
      <c r="Q34" s="63">
        <f>(11441+3859+2031)*1</f>
        <v>17331</v>
      </c>
      <c r="R34" s="15"/>
      <c r="S34" s="15"/>
      <c r="T34" s="15"/>
      <c r="U34" s="15"/>
      <c r="V34" s="15"/>
    </row>
    <row r="35" spans="1:22" ht="17.850000000000001" customHeight="1" x14ac:dyDescent="0.2">
      <c r="A35" s="65" t="s">
        <v>115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15"/>
      <c r="S35" s="15"/>
      <c r="T35" s="15"/>
      <c r="U35" s="15"/>
      <c r="V35" s="15"/>
    </row>
    <row r="36" spans="1:22" ht="72" x14ac:dyDescent="0.2">
      <c r="A36" s="61">
        <v>14</v>
      </c>
      <c r="B36" s="62" t="s">
        <v>116</v>
      </c>
      <c r="C36" s="62" t="s">
        <v>117</v>
      </c>
      <c r="D36" s="63" t="s">
        <v>118</v>
      </c>
      <c r="E36" s="61">
        <v>80.915999999999997</v>
      </c>
      <c r="F36" s="61">
        <v>17.95</v>
      </c>
      <c r="G36" s="61">
        <v>17.95</v>
      </c>
      <c r="H36" s="61"/>
      <c r="I36" s="61">
        <v>1452</v>
      </c>
      <c r="J36" s="61">
        <v>1452</v>
      </c>
      <c r="K36" s="61"/>
      <c r="L36" s="61">
        <f>0+0</f>
        <v>0</v>
      </c>
      <c r="M36" s="64" t="s">
        <v>119</v>
      </c>
      <c r="N36" s="61"/>
      <c r="O36" s="61">
        <f>1452+0+0</f>
        <v>1452</v>
      </c>
      <c r="P36" s="63"/>
      <c r="Q36" s="63">
        <f>(1452+0+0)*1</f>
        <v>1452</v>
      </c>
      <c r="R36" s="15"/>
      <c r="S36" s="15"/>
      <c r="T36" s="15"/>
      <c r="U36" s="15"/>
      <c r="V36" s="15"/>
    </row>
    <row r="37" spans="1:22" ht="60" x14ac:dyDescent="0.2">
      <c r="A37" s="61">
        <v>15</v>
      </c>
      <c r="B37" s="62" t="s">
        <v>120</v>
      </c>
      <c r="C37" s="62" t="s">
        <v>121</v>
      </c>
      <c r="D37" s="63" t="s">
        <v>118</v>
      </c>
      <c r="E37" s="61">
        <v>58.05</v>
      </c>
      <c r="F37" s="61">
        <v>8.39</v>
      </c>
      <c r="G37" s="61">
        <v>8.39</v>
      </c>
      <c r="H37" s="61"/>
      <c r="I37" s="61">
        <v>487</v>
      </c>
      <c r="J37" s="61">
        <v>487</v>
      </c>
      <c r="K37" s="61"/>
      <c r="L37" s="61">
        <f>0+0</f>
        <v>0</v>
      </c>
      <c r="M37" s="64" t="s">
        <v>119</v>
      </c>
      <c r="N37" s="61"/>
      <c r="O37" s="61">
        <f>487+0+0</f>
        <v>487</v>
      </c>
      <c r="P37" s="63"/>
      <c r="Q37" s="63">
        <f>(487+0+0)*1</f>
        <v>487</v>
      </c>
      <c r="R37" s="15"/>
      <c r="S37" s="15"/>
      <c r="T37" s="15"/>
      <c r="U37" s="15"/>
      <c r="V37" s="15"/>
    </row>
    <row r="38" spans="1:22" ht="72" x14ac:dyDescent="0.2">
      <c r="A38" s="61">
        <v>16</v>
      </c>
      <c r="B38" s="62" t="s">
        <v>122</v>
      </c>
      <c r="C38" s="62" t="s">
        <v>123</v>
      </c>
      <c r="D38" s="63" t="s">
        <v>118</v>
      </c>
      <c r="E38" s="61">
        <v>225</v>
      </c>
      <c r="F38" s="61">
        <v>10.4</v>
      </c>
      <c r="G38" s="61">
        <v>10.4</v>
      </c>
      <c r="H38" s="61"/>
      <c r="I38" s="61">
        <v>2340</v>
      </c>
      <c r="J38" s="61">
        <v>2340</v>
      </c>
      <c r="K38" s="61"/>
      <c r="L38" s="61">
        <f>0+0</f>
        <v>0</v>
      </c>
      <c r="M38" s="64" t="s">
        <v>119</v>
      </c>
      <c r="N38" s="61"/>
      <c r="O38" s="61">
        <f>2340+0+0</f>
        <v>2340</v>
      </c>
      <c r="P38" s="63"/>
      <c r="Q38" s="63">
        <f>(2340+0+0)*1</f>
        <v>2340</v>
      </c>
      <c r="R38" s="15"/>
      <c r="S38" s="15"/>
      <c r="T38" s="15"/>
      <c r="U38" s="15"/>
      <c r="V38" s="15"/>
    </row>
    <row r="39" spans="1:22" ht="72" x14ac:dyDescent="0.2">
      <c r="A39" s="61">
        <v>17</v>
      </c>
      <c r="B39" s="62" t="s">
        <v>124</v>
      </c>
      <c r="C39" s="62" t="s">
        <v>125</v>
      </c>
      <c r="D39" s="63" t="s">
        <v>118</v>
      </c>
      <c r="E39" s="61">
        <v>80.915999999999997</v>
      </c>
      <c r="F39" s="61">
        <v>14.41</v>
      </c>
      <c r="G39" s="61">
        <v>14.41</v>
      </c>
      <c r="H39" s="61"/>
      <c r="I39" s="61">
        <v>1166</v>
      </c>
      <c r="J39" s="61">
        <v>1166</v>
      </c>
      <c r="K39" s="61"/>
      <c r="L39" s="61">
        <f>0+0</f>
        <v>0</v>
      </c>
      <c r="M39" s="64" t="s">
        <v>119</v>
      </c>
      <c r="N39" s="61"/>
      <c r="O39" s="61">
        <f>1166+0+0</f>
        <v>1166</v>
      </c>
      <c r="P39" s="63"/>
      <c r="Q39" s="63">
        <f>(1166+0+0)*1</f>
        <v>1166</v>
      </c>
      <c r="R39" s="15"/>
      <c r="S39" s="15"/>
      <c r="T39" s="15"/>
      <c r="U39" s="15"/>
      <c r="V39" s="15"/>
    </row>
    <row r="40" spans="1:22" ht="60" x14ac:dyDescent="0.2">
      <c r="A40" s="61">
        <v>18</v>
      </c>
      <c r="B40" s="62" t="s">
        <v>126</v>
      </c>
      <c r="C40" s="62" t="s">
        <v>127</v>
      </c>
      <c r="D40" s="63" t="s">
        <v>118</v>
      </c>
      <c r="E40" s="61">
        <v>58.05</v>
      </c>
      <c r="F40" s="61">
        <v>8.39</v>
      </c>
      <c r="G40" s="61">
        <v>8.39</v>
      </c>
      <c r="H40" s="61"/>
      <c r="I40" s="61">
        <v>487</v>
      </c>
      <c r="J40" s="61">
        <v>487</v>
      </c>
      <c r="K40" s="61"/>
      <c r="L40" s="61">
        <f>0+0</f>
        <v>0</v>
      </c>
      <c r="M40" s="64" t="s">
        <v>119</v>
      </c>
      <c r="N40" s="61"/>
      <c r="O40" s="61">
        <f>487+0+0</f>
        <v>487</v>
      </c>
      <c r="P40" s="63"/>
      <c r="Q40" s="63">
        <f>(487+0+0)*1</f>
        <v>487</v>
      </c>
      <c r="R40" s="15"/>
      <c r="S40" s="15"/>
      <c r="T40" s="15"/>
      <c r="U40" s="15"/>
      <c r="V40" s="15"/>
    </row>
    <row r="41" spans="1:22" ht="72" x14ac:dyDescent="0.2">
      <c r="A41" s="61">
        <v>19</v>
      </c>
      <c r="B41" s="62" t="s">
        <v>128</v>
      </c>
      <c r="C41" s="62" t="s">
        <v>129</v>
      </c>
      <c r="D41" s="63" t="s">
        <v>118</v>
      </c>
      <c r="E41" s="61">
        <v>225</v>
      </c>
      <c r="F41" s="61">
        <v>10.4</v>
      </c>
      <c r="G41" s="61">
        <v>10.4</v>
      </c>
      <c r="H41" s="61"/>
      <c r="I41" s="61">
        <v>2340</v>
      </c>
      <c r="J41" s="61">
        <v>2340</v>
      </c>
      <c r="K41" s="61"/>
      <c r="L41" s="61">
        <f>0+0</f>
        <v>0</v>
      </c>
      <c r="M41" s="64" t="s">
        <v>119</v>
      </c>
      <c r="N41" s="61"/>
      <c r="O41" s="61">
        <f>2340+0+0</f>
        <v>2340</v>
      </c>
      <c r="P41" s="63"/>
      <c r="Q41" s="63">
        <f>(2340+0+0)*1</f>
        <v>2340</v>
      </c>
      <c r="R41" s="15"/>
      <c r="S41" s="15"/>
      <c r="T41" s="15"/>
      <c r="U41" s="15"/>
      <c r="V41" s="15"/>
    </row>
    <row r="42" spans="1:22" ht="60" x14ac:dyDescent="0.2">
      <c r="A42" s="67">
        <v>20</v>
      </c>
      <c r="B42" s="68" t="s">
        <v>130</v>
      </c>
      <c r="C42" s="68" t="s">
        <v>131</v>
      </c>
      <c r="D42" s="69" t="s">
        <v>118</v>
      </c>
      <c r="E42" s="67">
        <v>363.96600000000001</v>
      </c>
      <c r="F42" s="67">
        <v>19.29</v>
      </c>
      <c r="G42" s="67">
        <v>19.29</v>
      </c>
      <c r="H42" s="67"/>
      <c r="I42" s="67">
        <v>7021</v>
      </c>
      <c r="J42" s="67">
        <v>7021</v>
      </c>
      <c r="K42" s="67"/>
      <c r="L42" s="67">
        <f>0+0</f>
        <v>0</v>
      </c>
      <c r="M42" s="70" t="s">
        <v>119</v>
      </c>
      <c r="N42" s="67"/>
      <c r="O42" s="67">
        <f>7021+0+0</f>
        <v>7021</v>
      </c>
      <c r="P42" s="69"/>
      <c r="Q42" s="69">
        <f>(7021+0+0)*1</f>
        <v>7021</v>
      </c>
      <c r="R42" s="15"/>
      <c r="S42" s="15"/>
      <c r="T42" s="15"/>
      <c r="U42" s="15"/>
      <c r="V42" s="15"/>
    </row>
    <row r="43" spans="1:22" ht="12.75" x14ac:dyDescent="0.2">
      <c r="A43" s="71" t="s">
        <v>132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3">
        <v>329334</v>
      </c>
      <c r="R43" s="15"/>
      <c r="S43" s="15"/>
      <c r="T43" s="15"/>
      <c r="U43" s="15"/>
      <c r="V43" s="15"/>
    </row>
    <row r="44" spans="1:22" ht="12.75" x14ac:dyDescent="0.2">
      <c r="A44" s="71" t="s">
        <v>133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3">
        <v>73852</v>
      </c>
      <c r="R44" s="15"/>
      <c r="S44" s="15"/>
      <c r="T44" s="15"/>
      <c r="U44" s="15"/>
      <c r="V44" s="15"/>
    </row>
    <row r="45" spans="1:22" ht="12.75" x14ac:dyDescent="0.2">
      <c r="A45" s="71" t="s">
        <v>134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3">
        <v>43416</v>
      </c>
      <c r="R45" s="15"/>
      <c r="S45" s="15"/>
      <c r="T45" s="15"/>
      <c r="U45" s="15"/>
      <c r="V45" s="15"/>
    </row>
    <row r="46" spans="1:22" ht="12.75" x14ac:dyDescent="0.2">
      <c r="A46" s="74" t="s">
        <v>135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75">
        <v>446602</v>
      </c>
      <c r="R46" s="15"/>
      <c r="S46" s="15"/>
      <c r="T46" s="15"/>
      <c r="U46" s="15"/>
      <c r="V46" s="15"/>
    </row>
    <row r="47" spans="1:22" x14ac:dyDescent="0.2"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22" x14ac:dyDescent="0.2">
      <c r="A48" s="14" t="s">
        <v>32</v>
      </c>
      <c r="R48" s="13"/>
      <c r="S48" s="13"/>
      <c r="T48" s="13"/>
      <c r="U48" s="13"/>
      <c r="V48" s="13"/>
    </row>
    <row r="50" spans="1:1" x14ac:dyDescent="0.2">
      <c r="A50" s="14" t="s">
        <v>33</v>
      </c>
    </row>
    <row r="51" spans="1:1" x14ac:dyDescent="0.2">
      <c r="A51" s="14"/>
    </row>
  </sheetData>
  <mergeCells count="30">
    <mergeCell ref="A23:Q23"/>
    <mergeCell ref="A35:Q35"/>
    <mergeCell ref="A43:P43"/>
    <mergeCell ref="A44:P44"/>
    <mergeCell ref="A45:P45"/>
    <mergeCell ref="A46:P46"/>
    <mergeCell ref="A7:Q7"/>
    <mergeCell ref="P19:P21"/>
    <mergeCell ref="A19:A21"/>
    <mergeCell ref="B19:B21"/>
    <mergeCell ref="C19:C21"/>
    <mergeCell ref="D19:D21"/>
    <mergeCell ref="D16:E16"/>
    <mergeCell ref="C17:J17"/>
    <mergeCell ref="O19:O21"/>
    <mergeCell ref="Q19:Q21"/>
    <mergeCell ref="N19:N21"/>
    <mergeCell ref="L19:L21"/>
    <mergeCell ref="E19:E21"/>
    <mergeCell ref="I19:K19"/>
    <mergeCell ref="F19:H19"/>
    <mergeCell ref="H20:H21"/>
    <mergeCell ref="K20:K21"/>
    <mergeCell ref="M19:M21"/>
    <mergeCell ref="A8:Q8"/>
    <mergeCell ref="A9:Q9"/>
    <mergeCell ref="A10:Q10"/>
    <mergeCell ref="A11:Q11"/>
    <mergeCell ref="A12:Q12"/>
    <mergeCell ref="A13:Q13"/>
  </mergeCells>
  <phoneticPr fontId="0" type="noConversion"/>
  <pageMargins left="0.78740157480314965" right="0.39370078740157483" top="0.39370078740157483" bottom="0.39370078740157483" header="0.23622047244094491" footer="0.23622047244094491"/>
  <pageSetup paperSize="9" scale="68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Корнева Вера Петровна</dc:creator>
  <cp:keywords>12.03.2008</cp:keywords>
  <cp:lastModifiedBy>Корнева Вера Петровна</cp:lastModifiedBy>
  <cp:lastPrinted>2006-01-30T09:34:26Z</cp:lastPrinted>
  <dcterms:created xsi:type="dcterms:W3CDTF">2003-01-28T12:33:10Z</dcterms:created>
  <dcterms:modified xsi:type="dcterms:W3CDTF">2017-11-10T12:00:22Z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