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6080" windowHeight="6480" firstSheet="1" activeTab="1"/>
  </bookViews>
  <sheets>
    <sheet name="Дефектовка" sheetId="1" state="hidden" r:id="rId1"/>
    <sheet name="Смета" sheetId="2" r:id="rId2"/>
    <sheet name="Материал" sheetId="3" state="hidden" r:id="rId3"/>
    <sheet name="Материал по разделам" sheetId="11" state="hidden" r:id="rId4"/>
    <sheet name="График" sheetId="10" state="hidden" r:id="rId5"/>
    <sheet name="1 этап" sheetId="13" state="hidden" r:id="rId6"/>
    <sheet name="2 этап" sheetId="14" state="hidden" r:id="rId7"/>
    <sheet name="3 этап" sheetId="15" state="hidden" r:id="rId8"/>
  </sheets>
  <definedNames>
    <definedName name="_xlnm.Print_Titles" localSheetId="6">'2 этап'!$26:$27</definedName>
    <definedName name="_xlnm.Print_Titles" localSheetId="7">'3 этап'!$26:$27</definedName>
    <definedName name="_xlnm.Print_Titles" localSheetId="0">Дефектовка!$1:$2</definedName>
    <definedName name="_xlnm.Print_Titles" localSheetId="1">Смета!$26:$27</definedName>
    <definedName name="_xlnm.Print_Area" localSheetId="6">'2 этап'!$A$1:$J$449</definedName>
    <definedName name="_xlnm.Print_Area" localSheetId="7">'3 этап'!$A$1:$J$449</definedName>
    <definedName name="_xlnm.Print_Area" localSheetId="4">График!$A$1:$R$35</definedName>
    <definedName name="_xlnm.Print_Area" localSheetId="1">Смета!$A$1:$J$449</definedName>
  </definedNames>
  <calcPr calcId="124519"/>
  <pivotCaches>
    <pivotCache cacheId="1" r:id="rId9"/>
  </pivotCaches>
</workbook>
</file>

<file path=xl/calcChain.xml><?xml version="1.0" encoding="utf-8"?>
<calcChain xmlns="http://schemas.openxmlformats.org/spreadsheetml/2006/main">
  <c r="F225" i="13"/>
  <c r="F224"/>
  <c r="F223"/>
  <c r="F222"/>
  <c r="F219"/>
  <c r="F218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3"/>
  <c r="F159"/>
  <c r="F158"/>
  <c r="F155"/>
  <c r="F150"/>
  <c r="F151"/>
  <c r="F148"/>
  <c r="F149"/>
  <c r="F146"/>
  <c r="F147"/>
  <c r="F140"/>
  <c r="F141"/>
  <c r="F142"/>
  <c r="F143"/>
  <c r="F144"/>
  <c r="F145"/>
  <c r="F138"/>
  <c r="F139"/>
  <c r="F13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07"/>
  <c r="F390"/>
  <c r="F389"/>
  <c r="F409"/>
  <c r="F408"/>
  <c r="F407"/>
  <c r="F320"/>
  <c r="F339"/>
  <c r="F406"/>
  <c r="F400"/>
  <c r="F397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"/>
  <c r="F135"/>
  <c r="F161"/>
  <c r="F196"/>
  <c r="F387"/>
  <c r="F220"/>
  <c r="F216"/>
  <c r="F164"/>
  <c r="F405"/>
  <c r="F404"/>
  <c r="F403"/>
  <c r="F402"/>
  <c r="F399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30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48"/>
  <c r="F347"/>
  <c r="F349" s="1"/>
  <c r="F340"/>
  <c r="F341"/>
  <c r="F342"/>
  <c r="F343"/>
  <c r="F344"/>
  <c r="F338"/>
  <c r="F323"/>
  <c r="F324"/>
  <c r="F325"/>
  <c r="F326"/>
  <c r="F327"/>
  <c r="F328"/>
  <c r="F329"/>
  <c r="F330"/>
  <c r="F331"/>
  <c r="F332"/>
  <c r="F333"/>
  <c r="F334"/>
  <c r="F335"/>
  <c r="F322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293"/>
  <c r="I130" i="11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29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05"/>
  <c r="I104"/>
  <c r="I103"/>
  <c r="I100"/>
  <c r="I95"/>
  <c r="I94"/>
  <c r="I88"/>
  <c r="I87"/>
  <c r="I84"/>
  <c r="I83"/>
  <c r="I79"/>
  <c r="I76"/>
  <c r="I74"/>
  <c r="I70"/>
  <c r="I62"/>
  <c r="I59"/>
  <c r="I53"/>
  <c r="I48"/>
  <c r="I45"/>
  <c r="I43"/>
  <c r="I42"/>
  <c r="I36"/>
  <c r="I28"/>
  <c r="I27"/>
  <c r="I26"/>
  <c r="I24"/>
  <c r="I23"/>
  <c r="I21"/>
  <c r="I19"/>
  <c r="I18"/>
  <c r="I15"/>
  <c r="I12"/>
  <c r="I11"/>
  <c r="F188" i="2"/>
  <c r="K127"/>
  <c r="K161"/>
  <c r="K277"/>
  <c r="K420"/>
  <c r="K445"/>
  <c r="K446"/>
  <c r="K376"/>
  <c r="D428"/>
  <c r="D430"/>
  <c r="D432" s="1"/>
  <c r="I432" s="1"/>
  <c r="H427"/>
  <c r="I426"/>
  <c r="I425"/>
  <c r="I424"/>
  <c r="D420"/>
  <c r="H422" s="1"/>
  <c r="H421"/>
  <c r="J421" s="1"/>
  <c r="F421"/>
  <c r="G421" s="1"/>
  <c r="F153" i="13" l="1"/>
  <c r="F105"/>
  <c r="F336"/>
  <c r="F345"/>
  <c r="F388" s="1"/>
  <c r="F368"/>
  <c r="I430" i="2"/>
  <c r="D429"/>
  <c r="I429" s="1"/>
  <c r="D431"/>
  <c r="I431" s="1"/>
  <c r="D423"/>
  <c r="I423" s="1"/>
  <c r="I422" s="1"/>
  <c r="I428"/>
  <c r="F226" i="13" l="1"/>
  <c r="I427" i="2"/>
  <c r="I433" s="1"/>
  <c r="J422"/>
  <c r="K422"/>
  <c r="F422"/>
  <c r="G422" s="1"/>
  <c r="J427" l="1"/>
  <c r="L422" s="1"/>
  <c r="F427"/>
  <c r="G427" s="1"/>
  <c r="G20"/>
  <c r="H420"/>
  <c r="H433" s="1"/>
  <c r="H356"/>
  <c r="D357"/>
  <c r="E30" i="1"/>
  <c r="E24"/>
  <c r="D39" i="2"/>
  <c r="I39" s="1"/>
  <c r="C242" i="3"/>
  <c r="B378"/>
  <c r="F176" i="2"/>
  <c r="F174"/>
  <c r="F172"/>
  <c r="F168"/>
  <c r="I168" s="1"/>
  <c r="D168"/>
  <c r="F153"/>
  <c r="F143"/>
  <c r="F439"/>
  <c r="F443"/>
  <c r="F436"/>
  <c r="H400"/>
  <c r="F417"/>
  <c r="I417" s="1"/>
  <c r="F416"/>
  <c r="I416" s="1"/>
  <c r="F415"/>
  <c r="I415" s="1"/>
  <c r="F414"/>
  <c r="I414" s="1"/>
  <c r="F413"/>
  <c r="I413" s="1"/>
  <c r="F412"/>
  <c r="I412" s="1"/>
  <c r="F411"/>
  <c r="I411" s="1"/>
  <c r="F410"/>
  <c r="I410" s="1"/>
  <c r="F409"/>
  <c r="I409" s="1"/>
  <c r="F408"/>
  <c r="I408" s="1"/>
  <c r="F407"/>
  <c r="I407" s="1"/>
  <c r="F406"/>
  <c r="I406" s="1"/>
  <c r="F405"/>
  <c r="I405" s="1"/>
  <c r="F404"/>
  <c r="I404" s="1"/>
  <c r="F403"/>
  <c r="I403" s="1"/>
  <c r="F402"/>
  <c r="I402" s="1"/>
  <c r="F401"/>
  <c r="I401" s="1"/>
  <c r="D397"/>
  <c r="I397" s="1"/>
  <c r="I396" s="1"/>
  <c r="H396"/>
  <c r="D395"/>
  <c r="I395" s="1"/>
  <c r="I394" s="1"/>
  <c r="H394"/>
  <c r="D436"/>
  <c r="D437" s="1"/>
  <c r="I437" s="1"/>
  <c r="H435"/>
  <c r="D443"/>
  <c r="D444" s="1"/>
  <c r="I444" s="1"/>
  <c r="H442"/>
  <c r="D439"/>
  <c r="D440" s="1"/>
  <c r="H438"/>
  <c r="D393"/>
  <c r="H392"/>
  <c r="F391"/>
  <c r="D391"/>
  <c r="H390"/>
  <c r="D360"/>
  <c r="D341"/>
  <c r="D350"/>
  <c r="D352"/>
  <c r="D342"/>
  <c r="D380"/>
  <c r="I380" s="1"/>
  <c r="I379" s="1"/>
  <c r="H379"/>
  <c r="D378"/>
  <c r="I378" s="1"/>
  <c r="I377" s="1"/>
  <c r="H377"/>
  <c r="D387"/>
  <c r="I387" s="1"/>
  <c r="H386"/>
  <c r="D384"/>
  <c r="I384" s="1"/>
  <c r="H383"/>
  <c r="D220"/>
  <c r="D221" s="1"/>
  <c r="F65" i="1"/>
  <c r="F49"/>
  <c r="F46"/>
  <c r="I400" i="2" l="1"/>
  <c r="H398"/>
  <c r="E18" s="1"/>
  <c r="K377"/>
  <c r="J420"/>
  <c r="J433" s="1"/>
  <c r="E20"/>
  <c r="F420"/>
  <c r="G420" s="1"/>
  <c r="I357"/>
  <c r="I356" s="1"/>
  <c r="I440"/>
  <c r="D441"/>
  <c r="I441" s="1"/>
  <c r="F379"/>
  <c r="G379" s="1"/>
  <c r="I439"/>
  <c r="I443"/>
  <c r="I442" s="1"/>
  <c r="I436"/>
  <c r="I435" s="1"/>
  <c r="J396"/>
  <c r="F396"/>
  <c r="G396" s="1"/>
  <c r="J394"/>
  <c r="F394"/>
  <c r="G394" s="1"/>
  <c r="I391"/>
  <c r="I390" s="1"/>
  <c r="I393"/>
  <c r="I392" s="1"/>
  <c r="J379"/>
  <c r="D385"/>
  <c r="I385" s="1"/>
  <c r="I383" s="1"/>
  <c r="D388"/>
  <c r="I388" s="1"/>
  <c r="D389"/>
  <c r="I389" s="1"/>
  <c r="I221"/>
  <c r="I222"/>
  <c r="H220"/>
  <c r="I386" l="1"/>
  <c r="I438"/>
  <c r="F438" s="1"/>
  <c r="G438" s="1"/>
  <c r="I398"/>
  <c r="I220"/>
  <c r="F220" s="1"/>
  <c r="G220" s="1"/>
  <c r="J400"/>
  <c r="K400"/>
  <c r="L420"/>
  <c r="J356"/>
  <c r="F356"/>
  <c r="G356" s="1"/>
  <c r="F386"/>
  <c r="G386" s="1"/>
  <c r="J390"/>
  <c r="J442"/>
  <c r="J435"/>
  <c r="F435"/>
  <c r="G435" s="1"/>
  <c r="F400"/>
  <c r="G400" s="1"/>
  <c r="J377"/>
  <c r="F377"/>
  <c r="G377" s="1"/>
  <c r="L377" l="1"/>
  <c r="L400"/>
  <c r="J418"/>
  <c r="K435"/>
  <c r="F383"/>
  <c r="G383" s="1"/>
  <c r="K383"/>
  <c r="F392"/>
  <c r="G392" s="1"/>
  <c r="G18"/>
  <c r="J392"/>
  <c r="J383"/>
  <c r="J398" s="1"/>
  <c r="I447"/>
  <c r="F390"/>
  <c r="G390" s="1"/>
  <c r="J438"/>
  <c r="L435" s="1"/>
  <c r="F442"/>
  <c r="G442" s="1"/>
  <c r="J386"/>
  <c r="J220"/>
  <c r="G21" l="1"/>
  <c r="L383"/>
  <c r="F372"/>
  <c r="G371" i="3" s="1"/>
  <c r="F371" i="2"/>
  <c r="G372" i="3" s="1"/>
  <c r="F373" i="2"/>
  <c r="G296" i="3" s="1"/>
  <c r="F366" i="2"/>
  <c r="G210" i="3" s="1"/>
  <c r="F363" i="2"/>
  <c r="F367" s="1"/>
  <c r="G354" i="3" s="1"/>
  <c r="F362" i="2"/>
  <c r="F361"/>
  <c r="F365" s="1"/>
  <c r="G336" i="3" s="1"/>
  <c r="F355" i="2"/>
  <c r="G274" i="3" s="1"/>
  <c r="F353" i="2"/>
  <c r="G273" i="3" s="1"/>
  <c r="F352" i="2"/>
  <c r="G272" i="3" s="1"/>
  <c r="F351" i="2"/>
  <c r="G271" i="3" s="1"/>
  <c r="F349" i="2"/>
  <c r="G398" i="3" s="1"/>
  <c r="F348" i="2"/>
  <c r="F345"/>
  <c r="F344"/>
  <c r="F342"/>
  <c r="G219" i="3" s="1"/>
  <c r="F343" i="2"/>
  <c r="G220" i="3" s="1"/>
  <c r="F338" i="2"/>
  <c r="G192" i="3" s="1"/>
  <c r="F340" i="2"/>
  <c r="G237" i="3" s="1"/>
  <c r="H339" i="2"/>
  <c r="D340"/>
  <c r="F337"/>
  <c r="F346"/>
  <c r="F335" s="1"/>
  <c r="G259" i="3" s="1"/>
  <c r="F332" i="2"/>
  <c r="H376"/>
  <c r="F376"/>
  <c r="G376" s="1"/>
  <c r="D373"/>
  <c r="E296" i="3" s="1"/>
  <c r="F393"/>
  <c r="F337"/>
  <c r="F247"/>
  <c r="D429"/>
  <c r="F429"/>
  <c r="G429"/>
  <c r="F399"/>
  <c r="F275"/>
  <c r="F382"/>
  <c r="F194"/>
  <c r="D430"/>
  <c r="F430"/>
  <c r="G430"/>
  <c r="F400"/>
  <c r="F276"/>
  <c r="F383"/>
  <c r="D431"/>
  <c r="F431"/>
  <c r="G431"/>
  <c r="F401"/>
  <c r="F277"/>
  <c r="F384"/>
  <c r="F195"/>
  <c r="D432"/>
  <c r="G432"/>
  <c r="F211"/>
  <c r="F321"/>
  <c r="F349"/>
  <c r="F363"/>
  <c r="F370"/>
  <c r="F248"/>
  <c r="F342"/>
  <c r="F407"/>
  <c r="F414"/>
  <c r="F374"/>
  <c r="F238"/>
  <c r="F222"/>
  <c r="F317"/>
  <c r="D433"/>
  <c r="F433"/>
  <c r="G433"/>
  <c r="F215"/>
  <c r="F327"/>
  <c r="F352"/>
  <c r="F364"/>
  <c r="F249"/>
  <c r="F343"/>
  <c r="F408"/>
  <c r="F415"/>
  <c r="F375"/>
  <c r="F239"/>
  <c r="F328"/>
  <c r="F223"/>
  <c r="D434"/>
  <c r="G434"/>
  <c r="F216"/>
  <c r="F322"/>
  <c r="F350"/>
  <c r="F365"/>
  <c r="F250"/>
  <c r="F344"/>
  <c r="F409"/>
  <c r="F416"/>
  <c r="F376"/>
  <c r="F240"/>
  <c r="F329"/>
  <c r="F224"/>
  <c r="F318"/>
  <c r="D435"/>
  <c r="F435"/>
  <c r="G435"/>
  <c r="F212"/>
  <c r="F324"/>
  <c r="F339"/>
  <c r="F366"/>
  <c r="F251"/>
  <c r="F345"/>
  <c r="F410"/>
  <c r="F417"/>
  <c r="F377"/>
  <c r="F241"/>
  <c r="F330"/>
  <c r="F225"/>
  <c r="D436"/>
  <c r="F436"/>
  <c r="G436"/>
  <c r="D437"/>
  <c r="F437"/>
  <c r="G437"/>
  <c r="F213"/>
  <c r="F323"/>
  <c r="F351"/>
  <c r="F367"/>
  <c r="F252"/>
  <c r="F346"/>
  <c r="F411"/>
  <c r="F418"/>
  <c r="F378"/>
  <c r="F242"/>
  <c r="F226"/>
  <c r="F319"/>
  <c r="D438"/>
  <c r="E438"/>
  <c r="F438"/>
  <c r="G438"/>
  <c r="D439"/>
  <c r="E439"/>
  <c r="F439"/>
  <c r="G439"/>
  <c r="D440"/>
  <c r="F440"/>
  <c r="G440"/>
  <c r="D441"/>
  <c r="F441"/>
  <c r="G441"/>
  <c r="D442"/>
  <c r="F442"/>
  <c r="G442"/>
  <c r="D443"/>
  <c r="F443"/>
  <c r="G443"/>
  <c r="F233"/>
  <c r="F355"/>
  <c r="F308"/>
  <c r="D444"/>
  <c r="F444"/>
  <c r="G444"/>
  <c r="F245"/>
  <c r="D445"/>
  <c r="F445"/>
  <c r="G445"/>
  <c r="F234"/>
  <c r="F356"/>
  <c r="F309"/>
  <c r="D446"/>
  <c r="F446"/>
  <c r="G446"/>
  <c r="F232"/>
  <c r="F357"/>
  <c r="F306"/>
  <c r="D447"/>
  <c r="F447"/>
  <c r="G447"/>
  <c r="F301"/>
  <c r="F253"/>
  <c r="D448"/>
  <c r="F448"/>
  <c r="G448"/>
  <c r="F300"/>
  <c r="F254"/>
  <c r="D449"/>
  <c r="F449"/>
  <c r="G449"/>
  <c r="F304"/>
  <c r="D358"/>
  <c r="E358"/>
  <c r="F358"/>
  <c r="D307"/>
  <c r="E307"/>
  <c r="F307"/>
  <c r="D450"/>
  <c r="F450"/>
  <c r="G450"/>
  <c r="F334"/>
  <c r="D264"/>
  <c r="E264"/>
  <c r="F264"/>
  <c r="F281"/>
  <c r="D451"/>
  <c r="E451"/>
  <c r="F451"/>
  <c r="G451"/>
  <c r="D452"/>
  <c r="E452"/>
  <c r="F452"/>
  <c r="G452"/>
  <c r="D453"/>
  <c r="F453"/>
  <c r="G453"/>
  <c r="D454"/>
  <c r="F454"/>
  <c r="G454"/>
  <c r="D455"/>
  <c r="F455"/>
  <c r="G455"/>
  <c r="F214"/>
  <c r="F419"/>
  <c r="F379"/>
  <c r="F283"/>
  <c r="D456"/>
  <c r="F456"/>
  <c r="G456"/>
  <c r="F221"/>
  <c r="D457"/>
  <c r="F457"/>
  <c r="G457"/>
  <c r="F422"/>
  <c r="D458"/>
  <c r="F458"/>
  <c r="G458"/>
  <c r="F423"/>
  <c r="D459"/>
  <c r="F459"/>
  <c r="G459"/>
  <c r="F424"/>
  <c r="D460"/>
  <c r="F460"/>
  <c r="G460"/>
  <c r="F227"/>
  <c r="D461"/>
  <c r="F461"/>
  <c r="G461"/>
  <c r="F284"/>
  <c r="F197"/>
  <c r="F311"/>
  <c r="F292"/>
  <c r="F265"/>
  <c r="D462"/>
  <c r="F462"/>
  <c r="G462"/>
  <c r="F285"/>
  <c r="F198"/>
  <c r="F312"/>
  <c r="F293"/>
  <c r="F266"/>
  <c r="D463"/>
  <c r="F463"/>
  <c r="G463"/>
  <c r="F279"/>
  <c r="F199"/>
  <c r="F302"/>
  <c r="D464"/>
  <c r="F464"/>
  <c r="G464"/>
  <c r="F395"/>
  <c r="F425"/>
  <c r="D465"/>
  <c r="F465"/>
  <c r="G465"/>
  <c r="F394"/>
  <c r="F282"/>
  <c r="D466"/>
  <c r="F466"/>
  <c r="G466"/>
  <c r="F404"/>
  <c r="F200"/>
  <c r="F386"/>
  <c r="D467"/>
  <c r="F467"/>
  <c r="G467"/>
  <c r="F405"/>
  <c r="F201"/>
  <c r="F387"/>
  <c r="D468"/>
  <c r="F468"/>
  <c r="G468"/>
  <c r="F303"/>
  <c r="F280"/>
  <c r="F202"/>
  <c r="D469"/>
  <c r="F469"/>
  <c r="G469"/>
  <c r="F290"/>
  <c r="F389"/>
  <c r="F203"/>
  <c r="D470"/>
  <c r="F470"/>
  <c r="G470"/>
  <c r="F359"/>
  <c r="F361"/>
  <c r="D471"/>
  <c r="E471"/>
  <c r="F471"/>
  <c r="G471"/>
  <c r="D472"/>
  <c r="E472"/>
  <c r="F472"/>
  <c r="G472"/>
  <c r="D473"/>
  <c r="F473"/>
  <c r="G473"/>
  <c r="F385"/>
  <c r="F402"/>
  <c r="D474"/>
  <c r="F474"/>
  <c r="G474"/>
  <c r="D475"/>
  <c r="F475"/>
  <c r="G475"/>
  <c r="F403"/>
  <c r="D476"/>
  <c r="F476"/>
  <c r="G476"/>
  <c r="F228"/>
  <c r="D477"/>
  <c r="F477"/>
  <c r="G477"/>
  <c r="F286"/>
  <c r="F204"/>
  <c r="F314"/>
  <c r="F294"/>
  <c r="F267"/>
  <c r="D478"/>
  <c r="F478"/>
  <c r="G478"/>
  <c r="D479"/>
  <c r="F479"/>
  <c r="G479"/>
  <c r="D480"/>
  <c r="F480"/>
  <c r="G480"/>
  <c r="D481"/>
  <c r="F481"/>
  <c r="G481"/>
  <c r="F287"/>
  <c r="F205"/>
  <c r="F315"/>
  <c r="F295"/>
  <c r="F268"/>
  <c r="D482"/>
  <c r="F482"/>
  <c r="G482"/>
  <c r="F299"/>
  <c r="D483"/>
  <c r="F483"/>
  <c r="G483"/>
  <c r="F297"/>
  <c r="F278"/>
  <c r="D484"/>
  <c r="F484"/>
  <c r="G484"/>
  <c r="F338"/>
  <c r="F246"/>
  <c r="D485"/>
  <c r="F485"/>
  <c r="G485"/>
  <c r="F310"/>
  <c r="D263"/>
  <c r="E263"/>
  <c r="F263"/>
  <c r="D262"/>
  <c r="E262"/>
  <c r="F262"/>
  <c r="F373"/>
  <c r="D392"/>
  <c r="E392"/>
  <c r="F392"/>
  <c r="F255"/>
  <c r="D486"/>
  <c r="F486"/>
  <c r="G486"/>
  <c r="F288"/>
  <c r="F206"/>
  <c r="F316"/>
  <c r="F269"/>
  <c r="D487"/>
  <c r="F487"/>
  <c r="G487"/>
  <c r="F289"/>
  <c r="F207"/>
  <c r="F313"/>
  <c r="F270"/>
  <c r="D488"/>
  <c r="F488"/>
  <c r="G488"/>
  <c r="F305"/>
  <c r="D489"/>
  <c r="E489"/>
  <c r="F489"/>
  <c r="G489"/>
  <c r="D490"/>
  <c r="E490"/>
  <c r="F490"/>
  <c r="G490"/>
  <c r="D491"/>
  <c r="F491"/>
  <c r="G491"/>
  <c r="D492"/>
  <c r="F492"/>
  <c r="G492"/>
  <c r="F217"/>
  <c r="F325"/>
  <c r="F340"/>
  <c r="F368"/>
  <c r="F256"/>
  <c r="F347"/>
  <c r="F412"/>
  <c r="F420"/>
  <c r="F380"/>
  <c r="F243"/>
  <c r="F331"/>
  <c r="F229"/>
  <c r="D493"/>
  <c r="F493"/>
  <c r="G493"/>
  <c r="F320"/>
  <c r="D494"/>
  <c r="F494"/>
  <c r="G494"/>
  <c r="F218"/>
  <c r="F326"/>
  <c r="F341"/>
  <c r="F369"/>
  <c r="F257"/>
  <c r="F348"/>
  <c r="F413"/>
  <c r="F421"/>
  <c r="F381"/>
  <c r="F244"/>
  <c r="F332"/>
  <c r="F230"/>
  <c r="D495"/>
  <c r="F495"/>
  <c r="G495"/>
  <c r="F231"/>
  <c r="D496"/>
  <c r="F496"/>
  <c r="G496"/>
  <c r="F396"/>
  <c r="F426"/>
  <c r="D497"/>
  <c r="F497"/>
  <c r="G497"/>
  <c r="F427"/>
  <c r="D498"/>
  <c r="F498"/>
  <c r="G498"/>
  <c r="F406"/>
  <c r="F208"/>
  <c r="F388"/>
  <c r="D499"/>
  <c r="F499"/>
  <c r="G499"/>
  <c r="F291"/>
  <c r="F390"/>
  <c r="F209"/>
  <c r="D500"/>
  <c r="F500"/>
  <c r="G500"/>
  <c r="F333"/>
  <c r="F397"/>
  <c r="F261"/>
  <c r="F362"/>
  <c r="F258"/>
  <c r="D501"/>
  <c r="F501"/>
  <c r="G501"/>
  <c r="D502"/>
  <c r="E502"/>
  <c r="F502"/>
  <c r="G502"/>
  <c r="D503"/>
  <c r="E503"/>
  <c r="F503"/>
  <c r="G503"/>
  <c r="D504"/>
  <c r="E504"/>
  <c r="F504"/>
  <c r="G504"/>
  <c r="F193"/>
  <c r="G193"/>
  <c r="D505"/>
  <c r="E505"/>
  <c r="F505"/>
  <c r="G505"/>
  <c r="F428"/>
  <c r="G428"/>
  <c r="F259"/>
  <c r="D506"/>
  <c r="E506"/>
  <c r="F506"/>
  <c r="G506"/>
  <c r="F191"/>
  <c r="G191"/>
  <c r="F237"/>
  <c r="F192"/>
  <c r="D507"/>
  <c r="F507"/>
  <c r="G507"/>
  <c r="F219"/>
  <c r="D220"/>
  <c r="E220"/>
  <c r="F220"/>
  <c r="D235"/>
  <c r="E235"/>
  <c r="F235"/>
  <c r="G235"/>
  <c r="D236"/>
  <c r="E236"/>
  <c r="F236"/>
  <c r="G236"/>
  <c r="D260"/>
  <c r="E260"/>
  <c r="F260"/>
  <c r="G260"/>
  <c r="D508"/>
  <c r="E508"/>
  <c r="F508"/>
  <c r="G508"/>
  <c r="F298"/>
  <c r="G298"/>
  <c r="F398"/>
  <c r="D509"/>
  <c r="F509"/>
  <c r="G509"/>
  <c r="F271"/>
  <c r="F272"/>
  <c r="F273"/>
  <c r="D510"/>
  <c r="F510"/>
  <c r="G510"/>
  <c r="F274"/>
  <c r="D511"/>
  <c r="E511"/>
  <c r="F511"/>
  <c r="G511"/>
  <c r="D512"/>
  <c r="E512"/>
  <c r="F512"/>
  <c r="G512"/>
  <c r="D513"/>
  <c r="F513"/>
  <c r="G513"/>
  <c r="F335"/>
  <c r="G335"/>
  <c r="F360"/>
  <c r="G360"/>
  <c r="F353"/>
  <c r="D514"/>
  <c r="E514"/>
  <c r="F514"/>
  <c r="G514"/>
  <c r="F336"/>
  <c r="F210"/>
  <c r="F354"/>
  <c r="D515"/>
  <c r="E515"/>
  <c r="F515"/>
  <c r="G515"/>
  <c r="F391"/>
  <c r="G391"/>
  <c r="D516"/>
  <c r="F516"/>
  <c r="G516"/>
  <c r="D372"/>
  <c r="E372"/>
  <c r="F372"/>
  <c r="D371"/>
  <c r="E371"/>
  <c r="F371"/>
  <c r="F296"/>
  <c r="D517"/>
  <c r="E517"/>
  <c r="F517"/>
  <c r="G517"/>
  <c r="F196"/>
  <c r="G196"/>
  <c r="D518"/>
  <c r="E518"/>
  <c r="F518"/>
  <c r="G518"/>
  <c r="D519"/>
  <c r="E519"/>
  <c r="F519"/>
  <c r="G519"/>
  <c r="D520"/>
  <c r="E520"/>
  <c r="F520"/>
  <c r="G520"/>
  <c r="D521"/>
  <c r="E521"/>
  <c r="F521"/>
  <c r="G521"/>
  <c r="D522"/>
  <c r="E522"/>
  <c r="F522"/>
  <c r="G522"/>
  <c r="D523"/>
  <c r="F523"/>
  <c r="G523"/>
  <c r="D524"/>
  <c r="F524"/>
  <c r="G524"/>
  <c r="D525"/>
  <c r="F525"/>
  <c r="G525"/>
  <c r="D526"/>
  <c r="E526"/>
  <c r="F526"/>
  <c r="G526"/>
  <c r="D527"/>
  <c r="E527"/>
  <c r="F527"/>
  <c r="G527"/>
  <c r="D528"/>
  <c r="E528"/>
  <c r="F528"/>
  <c r="G528"/>
  <c r="D529"/>
  <c r="E529"/>
  <c r="F529"/>
  <c r="G529"/>
  <c r="D530"/>
  <c r="E530"/>
  <c r="F530"/>
  <c r="G530"/>
  <c r="D531"/>
  <c r="E531"/>
  <c r="F531"/>
  <c r="G531"/>
  <c r="D532"/>
  <c r="E532"/>
  <c r="F532"/>
  <c r="G532"/>
  <c r="D533"/>
  <c r="E533"/>
  <c r="F533"/>
  <c r="G533"/>
  <c r="D534"/>
  <c r="E534"/>
  <c r="F534"/>
  <c r="G534"/>
  <c r="D535"/>
  <c r="E535"/>
  <c r="F535"/>
  <c r="G535"/>
  <c r="D536"/>
  <c r="E536"/>
  <c r="F536"/>
  <c r="G536"/>
  <c r="D537"/>
  <c r="E537"/>
  <c r="F537"/>
  <c r="G537"/>
  <c r="D538"/>
  <c r="E538"/>
  <c r="F538"/>
  <c r="G538"/>
  <c r="D539"/>
  <c r="E539"/>
  <c r="F539"/>
  <c r="G539"/>
  <c r="D540"/>
  <c r="E540"/>
  <c r="F540"/>
  <c r="G540"/>
  <c r="D541"/>
  <c r="E541"/>
  <c r="F541"/>
  <c r="G541"/>
  <c r="D542"/>
  <c r="E542"/>
  <c r="F542"/>
  <c r="G542"/>
  <c r="D543"/>
  <c r="E543"/>
  <c r="F543"/>
  <c r="G543"/>
  <c r="D544"/>
  <c r="E544"/>
  <c r="F544"/>
  <c r="G544"/>
  <c r="D545"/>
  <c r="E545"/>
  <c r="F545"/>
  <c r="G545"/>
  <c r="D546"/>
  <c r="E546"/>
  <c r="F546"/>
  <c r="G546"/>
  <c r="D547"/>
  <c r="E547"/>
  <c r="F547"/>
  <c r="G547"/>
  <c r="D548"/>
  <c r="E548"/>
  <c r="F548"/>
  <c r="G548"/>
  <c r="D549"/>
  <c r="E549"/>
  <c r="F549"/>
  <c r="G549"/>
  <c r="D550"/>
  <c r="E550"/>
  <c r="F550"/>
  <c r="G550"/>
  <c r="D551"/>
  <c r="E551"/>
  <c r="F551"/>
  <c r="G551"/>
  <c r="D552"/>
  <c r="E552"/>
  <c r="F552"/>
  <c r="G552"/>
  <c r="D553"/>
  <c r="E553"/>
  <c r="F553"/>
  <c r="G553"/>
  <c r="D554"/>
  <c r="E554"/>
  <c r="F554"/>
  <c r="G554"/>
  <c r="D555"/>
  <c r="E555"/>
  <c r="F555"/>
  <c r="G555"/>
  <c r="D556"/>
  <c r="E556"/>
  <c r="F556"/>
  <c r="G556"/>
  <c r="D557"/>
  <c r="E557"/>
  <c r="F557"/>
  <c r="G557"/>
  <c r="D558"/>
  <c r="E558"/>
  <c r="F558"/>
  <c r="G558"/>
  <c r="D559"/>
  <c r="E559"/>
  <c r="F559"/>
  <c r="G559"/>
  <c r="D560"/>
  <c r="E560"/>
  <c r="F560"/>
  <c r="G560"/>
  <c r="D561"/>
  <c r="E561"/>
  <c r="F561"/>
  <c r="G561"/>
  <c r="D562"/>
  <c r="E562"/>
  <c r="F562"/>
  <c r="G562"/>
  <c r="D563"/>
  <c r="E563"/>
  <c r="F563"/>
  <c r="G563"/>
  <c r="D564"/>
  <c r="E564"/>
  <c r="F564"/>
  <c r="G564"/>
  <c r="D565"/>
  <c r="E565"/>
  <c r="F565"/>
  <c r="G565"/>
  <c r="D566"/>
  <c r="E566"/>
  <c r="F566"/>
  <c r="G566"/>
  <c r="D567"/>
  <c r="E567"/>
  <c r="F567"/>
  <c r="G567"/>
  <c r="D568"/>
  <c r="E568"/>
  <c r="F568"/>
  <c r="G568"/>
  <c r="D569"/>
  <c r="E569"/>
  <c r="F569"/>
  <c r="G569"/>
  <c r="D570"/>
  <c r="E570"/>
  <c r="F570"/>
  <c r="G570"/>
  <c r="D571"/>
  <c r="E571"/>
  <c r="F571"/>
  <c r="G571"/>
  <c r="D572"/>
  <c r="E572"/>
  <c r="F572"/>
  <c r="G572"/>
  <c r="D573"/>
  <c r="E573"/>
  <c r="F573"/>
  <c r="G573"/>
  <c r="D574"/>
  <c r="E574"/>
  <c r="F574"/>
  <c r="G574"/>
  <c r="D575"/>
  <c r="E575"/>
  <c r="F575"/>
  <c r="G575"/>
  <c r="D576"/>
  <c r="E576"/>
  <c r="F576"/>
  <c r="G576"/>
  <c r="D577"/>
  <c r="E577"/>
  <c r="F577"/>
  <c r="G577"/>
  <c r="D578"/>
  <c r="E578"/>
  <c r="F578"/>
  <c r="G578"/>
  <c r="D579"/>
  <c r="E579"/>
  <c r="F579"/>
  <c r="G579"/>
  <c r="D580"/>
  <c r="E580"/>
  <c r="F580"/>
  <c r="G580"/>
  <c r="D581"/>
  <c r="E581"/>
  <c r="F581"/>
  <c r="G581"/>
  <c r="D582"/>
  <c r="E582"/>
  <c r="F582"/>
  <c r="G582"/>
  <c r="D583"/>
  <c r="E583"/>
  <c r="F583"/>
  <c r="G583"/>
  <c r="D584"/>
  <c r="E584"/>
  <c r="F584"/>
  <c r="G584"/>
  <c r="D585"/>
  <c r="E585"/>
  <c r="F585"/>
  <c r="G585"/>
  <c r="D586"/>
  <c r="E586"/>
  <c r="F586"/>
  <c r="G586"/>
  <c r="D587"/>
  <c r="E587"/>
  <c r="F587"/>
  <c r="G587"/>
  <c r="D588"/>
  <c r="E588"/>
  <c r="F588"/>
  <c r="G588"/>
  <c r="D589"/>
  <c r="E589"/>
  <c r="F589"/>
  <c r="G589"/>
  <c r="D590"/>
  <c r="E590"/>
  <c r="F590"/>
  <c r="G590"/>
  <c r="D591"/>
  <c r="E591"/>
  <c r="F591"/>
  <c r="G591"/>
  <c r="D592"/>
  <c r="E592"/>
  <c r="F592"/>
  <c r="G592"/>
  <c r="D593"/>
  <c r="E593"/>
  <c r="F593"/>
  <c r="G593"/>
  <c r="D594"/>
  <c r="E594"/>
  <c r="F594"/>
  <c r="G594"/>
  <c r="D595"/>
  <c r="E595"/>
  <c r="F595"/>
  <c r="G595"/>
  <c r="D596"/>
  <c r="E596"/>
  <c r="F596"/>
  <c r="G596"/>
  <c r="D597"/>
  <c r="E597"/>
  <c r="F597"/>
  <c r="G597"/>
  <c r="D598"/>
  <c r="E598"/>
  <c r="F598"/>
  <c r="G598"/>
  <c r="D599"/>
  <c r="E599"/>
  <c r="F599"/>
  <c r="G599"/>
  <c r="D600"/>
  <c r="E600"/>
  <c r="F600"/>
  <c r="G600"/>
  <c r="D601"/>
  <c r="E601"/>
  <c r="F601"/>
  <c r="G601"/>
  <c r="D602"/>
  <c r="E602"/>
  <c r="F602"/>
  <c r="G602"/>
  <c r="D603"/>
  <c r="E603"/>
  <c r="F603"/>
  <c r="G603"/>
  <c r="D604"/>
  <c r="E604"/>
  <c r="F604"/>
  <c r="G604"/>
  <c r="D605"/>
  <c r="E605"/>
  <c r="F605"/>
  <c r="G605"/>
  <c r="D606"/>
  <c r="E606"/>
  <c r="F606"/>
  <c r="G606"/>
  <c r="D607"/>
  <c r="E607"/>
  <c r="F607"/>
  <c r="G607"/>
  <c r="D608"/>
  <c r="E608"/>
  <c r="F608"/>
  <c r="G608"/>
  <c r="D609"/>
  <c r="E609"/>
  <c r="F609"/>
  <c r="G609"/>
  <c r="D610"/>
  <c r="E610"/>
  <c r="F610"/>
  <c r="G610"/>
  <c r="D611"/>
  <c r="E611"/>
  <c r="F611"/>
  <c r="G611"/>
  <c r="D612"/>
  <c r="E612"/>
  <c r="F612"/>
  <c r="G612"/>
  <c r="D613"/>
  <c r="E613"/>
  <c r="F613"/>
  <c r="G613"/>
  <c r="D614"/>
  <c r="E614"/>
  <c r="F614"/>
  <c r="G614"/>
  <c r="D615"/>
  <c r="E615"/>
  <c r="F615"/>
  <c r="G615"/>
  <c r="D616"/>
  <c r="E616"/>
  <c r="F616"/>
  <c r="G616"/>
  <c r="D617"/>
  <c r="E617"/>
  <c r="F617"/>
  <c r="G617"/>
  <c r="D618"/>
  <c r="E618"/>
  <c r="F618"/>
  <c r="G618"/>
  <c r="D619"/>
  <c r="E619"/>
  <c r="F619"/>
  <c r="G619"/>
  <c r="D620"/>
  <c r="E620"/>
  <c r="F620"/>
  <c r="G620"/>
  <c r="D621"/>
  <c r="E621"/>
  <c r="F621"/>
  <c r="G621"/>
  <c r="D622"/>
  <c r="E622"/>
  <c r="F622"/>
  <c r="G622"/>
  <c r="D623"/>
  <c r="E623"/>
  <c r="F623"/>
  <c r="G623"/>
  <c r="D624"/>
  <c r="E624"/>
  <c r="F624"/>
  <c r="G624"/>
  <c r="D625"/>
  <c r="E625"/>
  <c r="F625"/>
  <c r="G625"/>
  <c r="D626"/>
  <c r="E626"/>
  <c r="F626"/>
  <c r="G626"/>
  <c r="D627"/>
  <c r="E627"/>
  <c r="F627"/>
  <c r="G627"/>
  <c r="D628"/>
  <c r="E628"/>
  <c r="F628"/>
  <c r="G628"/>
  <c r="D629"/>
  <c r="E629"/>
  <c r="F629"/>
  <c r="G629"/>
  <c r="D630"/>
  <c r="E630"/>
  <c r="F630"/>
  <c r="G630"/>
  <c r="D631"/>
  <c r="E631"/>
  <c r="F631"/>
  <c r="G631"/>
  <c r="D632"/>
  <c r="E632"/>
  <c r="F632"/>
  <c r="G632"/>
  <c r="D633"/>
  <c r="E633"/>
  <c r="F633"/>
  <c r="G633"/>
  <c r="D634"/>
  <c r="E634"/>
  <c r="F634"/>
  <c r="G634"/>
  <c r="D635"/>
  <c r="E635"/>
  <c r="F635"/>
  <c r="G635"/>
  <c r="D636"/>
  <c r="E636"/>
  <c r="F636"/>
  <c r="G636"/>
  <c r="D637"/>
  <c r="E637"/>
  <c r="F637"/>
  <c r="G637"/>
  <c r="D638"/>
  <c r="E638"/>
  <c r="F638"/>
  <c r="G638"/>
  <c r="D639"/>
  <c r="E639"/>
  <c r="F639"/>
  <c r="G639"/>
  <c r="D640"/>
  <c r="E640"/>
  <c r="F640"/>
  <c r="G640"/>
  <c r="D641"/>
  <c r="E641"/>
  <c r="F641"/>
  <c r="G641"/>
  <c r="D642"/>
  <c r="E642"/>
  <c r="F642"/>
  <c r="G642"/>
  <c r="D643"/>
  <c r="E643"/>
  <c r="F643"/>
  <c r="G643"/>
  <c r="D644"/>
  <c r="E644"/>
  <c r="F644"/>
  <c r="G644"/>
  <c r="D645"/>
  <c r="E645"/>
  <c r="F645"/>
  <c r="G645"/>
  <c r="D646"/>
  <c r="E646"/>
  <c r="F646"/>
  <c r="G646"/>
  <c r="D647"/>
  <c r="E647"/>
  <c r="F647"/>
  <c r="G647"/>
  <c r="D648"/>
  <c r="E648"/>
  <c r="F648"/>
  <c r="G648"/>
  <c r="D649"/>
  <c r="E649"/>
  <c r="F649"/>
  <c r="G649"/>
  <c r="D650"/>
  <c r="E650"/>
  <c r="F650"/>
  <c r="G650"/>
  <c r="D651"/>
  <c r="E651"/>
  <c r="F651"/>
  <c r="G651"/>
  <c r="D652"/>
  <c r="E652"/>
  <c r="F652"/>
  <c r="G652"/>
  <c r="D653"/>
  <c r="E653"/>
  <c r="F653"/>
  <c r="G653"/>
  <c r="D654"/>
  <c r="E654"/>
  <c r="F654"/>
  <c r="G654"/>
  <c r="D655"/>
  <c r="E655"/>
  <c r="F655"/>
  <c r="G655"/>
  <c r="D656"/>
  <c r="E656"/>
  <c r="F656"/>
  <c r="G656"/>
  <c r="D657"/>
  <c r="E657"/>
  <c r="F657"/>
  <c r="G657"/>
  <c r="D658"/>
  <c r="E658"/>
  <c r="F658"/>
  <c r="G658"/>
  <c r="D659"/>
  <c r="E659"/>
  <c r="F659"/>
  <c r="G659"/>
  <c r="D660"/>
  <c r="E660"/>
  <c r="F660"/>
  <c r="G660"/>
  <c r="D661"/>
  <c r="E661"/>
  <c r="F661"/>
  <c r="G661"/>
  <c r="D662"/>
  <c r="E662"/>
  <c r="F662"/>
  <c r="G662"/>
  <c r="D663"/>
  <c r="E663"/>
  <c r="F663"/>
  <c r="G663"/>
  <c r="D664"/>
  <c r="E664"/>
  <c r="F664"/>
  <c r="G664"/>
  <c r="D665"/>
  <c r="E665"/>
  <c r="F665"/>
  <c r="G665"/>
  <c r="D666"/>
  <c r="E666"/>
  <c r="F666"/>
  <c r="G666"/>
  <c r="D667"/>
  <c r="E667"/>
  <c r="F667"/>
  <c r="G667"/>
  <c r="D668"/>
  <c r="E668"/>
  <c r="F668"/>
  <c r="G668"/>
  <c r="D669"/>
  <c r="E669"/>
  <c r="F669"/>
  <c r="G669"/>
  <c r="D670"/>
  <c r="E670"/>
  <c r="F670"/>
  <c r="G670"/>
  <c r="D671"/>
  <c r="E671"/>
  <c r="F671"/>
  <c r="G671"/>
  <c r="D672"/>
  <c r="E672"/>
  <c r="F672"/>
  <c r="G672"/>
  <c r="D673"/>
  <c r="E673"/>
  <c r="F673"/>
  <c r="G673"/>
  <c r="D674"/>
  <c r="E674"/>
  <c r="F674"/>
  <c r="G674"/>
  <c r="D675"/>
  <c r="E675"/>
  <c r="F675"/>
  <c r="G675"/>
  <c r="D676"/>
  <c r="E676"/>
  <c r="F676"/>
  <c r="G676"/>
  <c r="D677"/>
  <c r="E677"/>
  <c r="F677"/>
  <c r="G677"/>
  <c r="D678"/>
  <c r="E678"/>
  <c r="F678"/>
  <c r="G678"/>
  <c r="D679"/>
  <c r="E679"/>
  <c r="F679"/>
  <c r="G679"/>
  <c r="D680"/>
  <c r="E680"/>
  <c r="F680"/>
  <c r="G680"/>
  <c r="D681"/>
  <c r="E681"/>
  <c r="F681"/>
  <c r="G681"/>
  <c r="D682"/>
  <c r="E682"/>
  <c r="F682"/>
  <c r="G682"/>
  <c r="D683"/>
  <c r="E683"/>
  <c r="F683"/>
  <c r="G683"/>
  <c r="D684"/>
  <c r="E684"/>
  <c r="F684"/>
  <c r="G684"/>
  <c r="D685"/>
  <c r="E685"/>
  <c r="F685"/>
  <c r="G685"/>
  <c r="D686"/>
  <c r="E686"/>
  <c r="F686"/>
  <c r="G686"/>
  <c r="D687"/>
  <c r="E687"/>
  <c r="F687"/>
  <c r="G687"/>
  <c r="D688"/>
  <c r="E688"/>
  <c r="F688"/>
  <c r="G688"/>
  <c r="D689"/>
  <c r="E689"/>
  <c r="F689"/>
  <c r="G689"/>
  <c r="D690"/>
  <c r="E690"/>
  <c r="F690"/>
  <c r="G690"/>
  <c r="D691"/>
  <c r="E691"/>
  <c r="F691"/>
  <c r="G691"/>
  <c r="D692"/>
  <c r="E692"/>
  <c r="F692"/>
  <c r="G692"/>
  <c r="D693"/>
  <c r="E693"/>
  <c r="F693"/>
  <c r="G693"/>
  <c r="D694"/>
  <c r="E694"/>
  <c r="F694"/>
  <c r="G694"/>
  <c r="D695"/>
  <c r="E695"/>
  <c r="F695"/>
  <c r="G695"/>
  <c r="D696"/>
  <c r="E696"/>
  <c r="F696"/>
  <c r="G696"/>
  <c r="D697"/>
  <c r="E697"/>
  <c r="F697"/>
  <c r="G697"/>
  <c r="D698"/>
  <c r="E698"/>
  <c r="F698"/>
  <c r="G698"/>
  <c r="D699"/>
  <c r="E699"/>
  <c r="F699"/>
  <c r="G699"/>
  <c r="D700"/>
  <c r="E700"/>
  <c r="F700"/>
  <c r="G700"/>
  <c r="D701"/>
  <c r="E701"/>
  <c r="F701"/>
  <c r="G701"/>
  <c r="D702"/>
  <c r="E702"/>
  <c r="F702"/>
  <c r="G702"/>
  <c r="D703"/>
  <c r="E703"/>
  <c r="F703"/>
  <c r="G703"/>
  <c r="D704"/>
  <c r="E704"/>
  <c r="F704"/>
  <c r="G704"/>
  <c r="D705"/>
  <c r="E705"/>
  <c r="F705"/>
  <c r="G705"/>
  <c r="D706"/>
  <c r="E706"/>
  <c r="F706"/>
  <c r="G706"/>
  <c r="D707"/>
  <c r="E707"/>
  <c r="F707"/>
  <c r="G707"/>
  <c r="D708"/>
  <c r="E708"/>
  <c r="F708"/>
  <c r="G708"/>
  <c r="D709"/>
  <c r="E709"/>
  <c r="F709"/>
  <c r="G709"/>
  <c r="D710"/>
  <c r="E710"/>
  <c r="F710"/>
  <c r="G710"/>
  <c r="D711"/>
  <c r="E711"/>
  <c r="F711"/>
  <c r="G711"/>
  <c r="D712"/>
  <c r="E712"/>
  <c r="F712"/>
  <c r="G712"/>
  <c r="D713"/>
  <c r="E713"/>
  <c r="F713"/>
  <c r="G713"/>
  <c r="D714"/>
  <c r="E714"/>
  <c r="F714"/>
  <c r="G714"/>
  <c r="D715"/>
  <c r="E715"/>
  <c r="F715"/>
  <c r="G715"/>
  <c r="D716"/>
  <c r="E716"/>
  <c r="F716"/>
  <c r="G716"/>
  <c r="D717"/>
  <c r="E717"/>
  <c r="F717"/>
  <c r="G717"/>
  <c r="D718"/>
  <c r="E718"/>
  <c r="F718"/>
  <c r="G718"/>
  <c r="D719"/>
  <c r="E719"/>
  <c r="F719"/>
  <c r="G719"/>
  <c r="D720"/>
  <c r="E720"/>
  <c r="F720"/>
  <c r="G720"/>
  <c r="D721"/>
  <c r="E721"/>
  <c r="F721"/>
  <c r="G721"/>
  <c r="D722"/>
  <c r="E722"/>
  <c r="F722"/>
  <c r="G722"/>
  <c r="D723"/>
  <c r="E723"/>
  <c r="F723"/>
  <c r="G723"/>
  <c r="D724"/>
  <c r="E724"/>
  <c r="F724"/>
  <c r="G724"/>
  <c r="D725"/>
  <c r="E725"/>
  <c r="F725"/>
  <c r="G725"/>
  <c r="D726"/>
  <c r="E726"/>
  <c r="F726"/>
  <c r="G726"/>
  <c r="D727"/>
  <c r="E727"/>
  <c r="F727"/>
  <c r="G727"/>
  <c r="D728"/>
  <c r="E728"/>
  <c r="F728"/>
  <c r="G728"/>
  <c r="D729"/>
  <c r="E729"/>
  <c r="F729"/>
  <c r="G729"/>
  <c r="D730"/>
  <c r="E730"/>
  <c r="F730"/>
  <c r="G730"/>
  <c r="D731"/>
  <c r="E731"/>
  <c r="F731"/>
  <c r="G731"/>
  <c r="D732"/>
  <c r="E732"/>
  <c r="F732"/>
  <c r="G732"/>
  <c r="D733"/>
  <c r="E733"/>
  <c r="F733"/>
  <c r="G733"/>
  <c r="D734"/>
  <c r="E734"/>
  <c r="F734"/>
  <c r="G734"/>
  <c r="D735"/>
  <c r="E735"/>
  <c r="F735"/>
  <c r="G735"/>
  <c r="D736"/>
  <c r="E736"/>
  <c r="F736"/>
  <c r="G736"/>
  <c r="D737"/>
  <c r="E737"/>
  <c r="F737"/>
  <c r="G737"/>
  <c r="D738"/>
  <c r="E738"/>
  <c r="F738"/>
  <c r="G738"/>
  <c r="D739"/>
  <c r="E739"/>
  <c r="F739"/>
  <c r="G739"/>
  <c r="D740"/>
  <c r="E740"/>
  <c r="F740"/>
  <c r="G740"/>
  <c r="D741"/>
  <c r="E741"/>
  <c r="F741"/>
  <c r="G741"/>
  <c r="D742"/>
  <c r="E742"/>
  <c r="F742"/>
  <c r="G742"/>
  <c r="D743"/>
  <c r="E743"/>
  <c r="F743"/>
  <c r="G743"/>
  <c r="D744"/>
  <c r="E744"/>
  <c r="F744"/>
  <c r="G744"/>
  <c r="D745"/>
  <c r="E745"/>
  <c r="F745"/>
  <c r="G745"/>
  <c r="D746"/>
  <c r="E746"/>
  <c r="F746"/>
  <c r="G746"/>
  <c r="D747"/>
  <c r="E747"/>
  <c r="F747"/>
  <c r="G747"/>
  <c r="D748"/>
  <c r="E748"/>
  <c r="F748"/>
  <c r="G748"/>
  <c r="D749"/>
  <c r="E749"/>
  <c r="F749"/>
  <c r="G749"/>
  <c r="D750"/>
  <c r="E750"/>
  <c r="F750"/>
  <c r="G750"/>
  <c r="D751"/>
  <c r="E751"/>
  <c r="F751"/>
  <c r="G751"/>
  <c r="D752"/>
  <c r="E752"/>
  <c r="F752"/>
  <c r="G752"/>
  <c r="D753"/>
  <c r="E753"/>
  <c r="F753"/>
  <c r="G753"/>
  <c r="D754"/>
  <c r="E754"/>
  <c r="F754"/>
  <c r="G754"/>
  <c r="D755"/>
  <c r="E755"/>
  <c r="F755"/>
  <c r="G755"/>
  <c r="C393"/>
  <c r="C337"/>
  <c r="C247"/>
  <c r="C429"/>
  <c r="C399"/>
  <c r="C275"/>
  <c r="C382"/>
  <c r="C194"/>
  <c r="C430"/>
  <c r="C400"/>
  <c r="C276"/>
  <c r="C383"/>
  <c r="C431"/>
  <c r="C401"/>
  <c r="C277"/>
  <c r="C384"/>
  <c r="C195"/>
  <c r="C432"/>
  <c r="C211"/>
  <c r="C321"/>
  <c r="C349"/>
  <c r="C363"/>
  <c r="C370"/>
  <c r="C248"/>
  <c r="C342"/>
  <c r="C407"/>
  <c r="C414"/>
  <c r="C374"/>
  <c r="C238"/>
  <c r="C222"/>
  <c r="C317"/>
  <c r="C433"/>
  <c r="C215"/>
  <c r="C327"/>
  <c r="C352"/>
  <c r="C364"/>
  <c r="C249"/>
  <c r="C343"/>
  <c r="C408"/>
  <c r="C415"/>
  <c r="C375"/>
  <c r="C239"/>
  <c r="C328"/>
  <c r="C223"/>
  <c r="C434"/>
  <c r="C216"/>
  <c r="C322"/>
  <c r="C350"/>
  <c r="C365"/>
  <c r="C250"/>
  <c r="C344"/>
  <c r="C409"/>
  <c r="C416"/>
  <c r="C376"/>
  <c r="C240"/>
  <c r="C329"/>
  <c r="C224"/>
  <c r="C318"/>
  <c r="C435"/>
  <c r="C212"/>
  <c r="C324"/>
  <c r="C339"/>
  <c r="C366"/>
  <c r="C251"/>
  <c r="C345"/>
  <c r="C410"/>
  <c r="C417"/>
  <c r="C377"/>
  <c r="C241"/>
  <c r="C330"/>
  <c r="C225"/>
  <c r="C436"/>
  <c r="C437"/>
  <c r="C213"/>
  <c r="C323"/>
  <c r="C351"/>
  <c r="C367"/>
  <c r="C252"/>
  <c r="C346"/>
  <c r="C411"/>
  <c r="C418"/>
  <c r="C378"/>
  <c r="C226"/>
  <c r="C319"/>
  <c r="C438"/>
  <c r="C439"/>
  <c r="C440"/>
  <c r="C441"/>
  <c r="C442"/>
  <c r="C443"/>
  <c r="C233"/>
  <c r="C355"/>
  <c r="C308"/>
  <c r="C444"/>
  <c r="C245"/>
  <c r="C445"/>
  <c r="C234"/>
  <c r="C356"/>
  <c r="C309"/>
  <c r="C446"/>
  <c r="C232"/>
  <c r="C357"/>
  <c r="C306"/>
  <c r="C447"/>
  <c r="C301"/>
  <c r="C253"/>
  <c r="C448"/>
  <c r="C300"/>
  <c r="C254"/>
  <c r="C449"/>
  <c r="C304"/>
  <c r="C358"/>
  <c r="C307"/>
  <c r="C450"/>
  <c r="C334"/>
  <c r="C264"/>
  <c r="C281"/>
  <c r="C451"/>
  <c r="C452"/>
  <c r="C453"/>
  <c r="C454"/>
  <c r="C455"/>
  <c r="C214"/>
  <c r="C419"/>
  <c r="C379"/>
  <c r="C283"/>
  <c r="C456"/>
  <c r="C221"/>
  <c r="C457"/>
  <c r="C422"/>
  <c r="C458"/>
  <c r="C423"/>
  <c r="C459"/>
  <c r="C424"/>
  <c r="C460"/>
  <c r="C227"/>
  <c r="C461"/>
  <c r="C284"/>
  <c r="C197"/>
  <c r="C311"/>
  <c r="C292"/>
  <c r="C265"/>
  <c r="C462"/>
  <c r="C285"/>
  <c r="C198"/>
  <c r="C312"/>
  <c r="C293"/>
  <c r="C266"/>
  <c r="C463"/>
  <c r="C279"/>
  <c r="C199"/>
  <c r="C302"/>
  <c r="C464"/>
  <c r="C395"/>
  <c r="C425"/>
  <c r="C465"/>
  <c r="C394"/>
  <c r="C282"/>
  <c r="C466"/>
  <c r="C404"/>
  <c r="C200"/>
  <c r="C386"/>
  <c r="C467"/>
  <c r="C405"/>
  <c r="C201"/>
  <c r="C387"/>
  <c r="C468"/>
  <c r="C303"/>
  <c r="C280"/>
  <c r="C202"/>
  <c r="C469"/>
  <c r="C290"/>
  <c r="C389"/>
  <c r="C203"/>
  <c r="C470"/>
  <c r="C359"/>
  <c r="C361"/>
  <c r="C471"/>
  <c r="C472"/>
  <c r="C473"/>
  <c r="C385"/>
  <c r="C402"/>
  <c r="C474"/>
  <c r="C475"/>
  <c r="C403"/>
  <c r="C476"/>
  <c r="C228"/>
  <c r="C477"/>
  <c r="C286"/>
  <c r="C204"/>
  <c r="C314"/>
  <c r="C294"/>
  <c r="C267"/>
  <c r="C478"/>
  <c r="C479"/>
  <c r="C480"/>
  <c r="C481"/>
  <c r="C287"/>
  <c r="C205"/>
  <c r="C315"/>
  <c r="C295"/>
  <c r="C268"/>
  <c r="C482"/>
  <c r="C299"/>
  <c r="C483"/>
  <c r="C297"/>
  <c r="C278"/>
  <c r="C484"/>
  <c r="C338"/>
  <c r="C246"/>
  <c r="C485"/>
  <c r="C310"/>
  <c r="C263"/>
  <c r="C262"/>
  <c r="C373"/>
  <c r="C392"/>
  <c r="C255"/>
  <c r="C486"/>
  <c r="C288"/>
  <c r="C206"/>
  <c r="C316"/>
  <c r="C269"/>
  <c r="C487"/>
  <c r="C289"/>
  <c r="C207"/>
  <c r="C313"/>
  <c r="C270"/>
  <c r="C488"/>
  <c r="C305"/>
  <c r="C489"/>
  <c r="C490"/>
  <c r="C491"/>
  <c r="C492"/>
  <c r="C217"/>
  <c r="C325"/>
  <c r="C340"/>
  <c r="C368"/>
  <c r="C256"/>
  <c r="C347"/>
  <c r="C412"/>
  <c r="C420"/>
  <c r="C380"/>
  <c r="C243"/>
  <c r="C331"/>
  <c r="C229"/>
  <c r="C493"/>
  <c r="C320"/>
  <c r="C494"/>
  <c r="C218"/>
  <c r="C326"/>
  <c r="C341"/>
  <c r="C369"/>
  <c r="C257"/>
  <c r="C348"/>
  <c r="C413"/>
  <c r="C421"/>
  <c r="C381"/>
  <c r="C244"/>
  <c r="C332"/>
  <c r="C230"/>
  <c r="C495"/>
  <c r="C231"/>
  <c r="C496"/>
  <c r="C396"/>
  <c r="C426"/>
  <c r="C497"/>
  <c r="C427"/>
  <c r="C498"/>
  <c r="C406"/>
  <c r="C208"/>
  <c r="C388"/>
  <c r="C499"/>
  <c r="C291"/>
  <c r="C390"/>
  <c r="C209"/>
  <c r="C500"/>
  <c r="C333"/>
  <c r="C397"/>
  <c r="C261"/>
  <c r="C362"/>
  <c r="C258"/>
  <c r="C501"/>
  <c r="C502"/>
  <c r="C503"/>
  <c r="C504"/>
  <c r="C193"/>
  <c r="C505"/>
  <c r="C428"/>
  <c r="C259"/>
  <c r="C506"/>
  <c r="C191"/>
  <c r="C237"/>
  <c r="C192"/>
  <c r="C507"/>
  <c r="C219"/>
  <c r="C220"/>
  <c r="C235"/>
  <c r="C236"/>
  <c r="C260"/>
  <c r="C508"/>
  <c r="C298"/>
  <c r="C398"/>
  <c r="C509"/>
  <c r="C271"/>
  <c r="C272"/>
  <c r="C273"/>
  <c r="C510"/>
  <c r="C274"/>
  <c r="C511"/>
  <c r="C512"/>
  <c r="C513"/>
  <c r="C335"/>
  <c r="C360"/>
  <c r="C353"/>
  <c r="C514"/>
  <c r="C336"/>
  <c r="C210"/>
  <c r="C354"/>
  <c r="C515"/>
  <c r="C391"/>
  <c r="C516"/>
  <c r="C372"/>
  <c r="C371"/>
  <c r="C296"/>
  <c r="C517"/>
  <c r="C196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B384"/>
  <c r="B195"/>
  <c r="B432"/>
  <c r="B211"/>
  <c r="B321"/>
  <c r="B349"/>
  <c r="B363"/>
  <c r="B370"/>
  <c r="B248"/>
  <c r="B342"/>
  <c r="B407"/>
  <c r="B414"/>
  <c r="B374"/>
  <c r="B238"/>
  <c r="B222"/>
  <c r="B317"/>
  <c r="B433"/>
  <c r="B215"/>
  <c r="B327"/>
  <c r="B352"/>
  <c r="B364"/>
  <c r="B249"/>
  <c r="B343"/>
  <c r="B408"/>
  <c r="B415"/>
  <c r="B375"/>
  <c r="B239"/>
  <c r="B328"/>
  <c r="B223"/>
  <c r="B434"/>
  <c r="B216"/>
  <c r="B322"/>
  <c r="B350"/>
  <c r="B365"/>
  <c r="B250"/>
  <c r="B344"/>
  <c r="B409"/>
  <c r="B416"/>
  <c r="B376"/>
  <c r="B240"/>
  <c r="B329"/>
  <c r="B224"/>
  <c r="B318"/>
  <c r="B435"/>
  <c r="B212"/>
  <c r="B324"/>
  <c r="B339"/>
  <c r="B366"/>
  <c r="B251"/>
  <c r="B345"/>
  <c r="B410"/>
  <c r="B417"/>
  <c r="B377"/>
  <c r="B241"/>
  <c r="B330"/>
  <c r="B225"/>
  <c r="B436"/>
  <c r="B437"/>
  <c r="B213"/>
  <c r="B323"/>
  <c r="B351"/>
  <c r="B367"/>
  <c r="B252"/>
  <c r="B346"/>
  <c r="B411"/>
  <c r="B418"/>
  <c r="B242"/>
  <c r="B226"/>
  <c r="B319"/>
  <c r="B438"/>
  <c r="B439"/>
  <c r="B440"/>
  <c r="B441"/>
  <c r="B442"/>
  <c r="B443"/>
  <c r="B233"/>
  <c r="B355"/>
  <c r="B308"/>
  <c r="B444"/>
  <c r="B245"/>
  <c r="B445"/>
  <c r="B234"/>
  <c r="B356"/>
  <c r="B309"/>
  <c r="B446"/>
  <c r="B232"/>
  <c r="B357"/>
  <c r="B306"/>
  <c r="B447"/>
  <c r="B301"/>
  <c r="B253"/>
  <c r="B448"/>
  <c r="B300"/>
  <c r="B254"/>
  <c r="B449"/>
  <c r="B304"/>
  <c r="B358"/>
  <c r="B307"/>
  <c r="B450"/>
  <c r="B334"/>
  <c r="B264"/>
  <c r="B281"/>
  <c r="B451"/>
  <c r="B452"/>
  <c r="B453"/>
  <c r="B454"/>
  <c r="B455"/>
  <c r="B214"/>
  <c r="B419"/>
  <c r="B379"/>
  <c r="B283"/>
  <c r="B456"/>
  <c r="B221"/>
  <c r="B457"/>
  <c r="B422"/>
  <c r="B458"/>
  <c r="B423"/>
  <c r="B459"/>
  <c r="B424"/>
  <c r="B460"/>
  <c r="B227"/>
  <c r="B461"/>
  <c r="B284"/>
  <c r="B197"/>
  <c r="B311"/>
  <c r="B292"/>
  <c r="B265"/>
  <c r="B462"/>
  <c r="B285"/>
  <c r="B198"/>
  <c r="B312"/>
  <c r="B293"/>
  <c r="B266"/>
  <c r="B463"/>
  <c r="B279"/>
  <c r="B199"/>
  <c r="B302"/>
  <c r="B464"/>
  <c r="B395"/>
  <c r="B425"/>
  <c r="B465"/>
  <c r="B394"/>
  <c r="B282"/>
  <c r="B466"/>
  <c r="B404"/>
  <c r="B200"/>
  <c r="B386"/>
  <c r="B467"/>
  <c r="B405"/>
  <c r="B201"/>
  <c r="B387"/>
  <c r="B468"/>
  <c r="B303"/>
  <c r="B280"/>
  <c r="B202"/>
  <c r="B469"/>
  <c r="B290"/>
  <c r="B389"/>
  <c r="B203"/>
  <c r="B470"/>
  <c r="B359"/>
  <c r="B361"/>
  <c r="B471"/>
  <c r="B472"/>
  <c r="B473"/>
  <c r="B385"/>
  <c r="B402"/>
  <c r="B474"/>
  <c r="B475"/>
  <c r="B403"/>
  <c r="B476"/>
  <c r="B228"/>
  <c r="B477"/>
  <c r="B286"/>
  <c r="B204"/>
  <c r="B314"/>
  <c r="B294"/>
  <c r="B267"/>
  <c r="B478"/>
  <c r="B479"/>
  <c r="B480"/>
  <c r="B481"/>
  <c r="B287"/>
  <c r="B205"/>
  <c r="B315"/>
  <c r="B295"/>
  <c r="B268"/>
  <c r="B482"/>
  <c r="B299"/>
  <c r="B483"/>
  <c r="B297"/>
  <c r="B278"/>
  <c r="B484"/>
  <c r="B338"/>
  <c r="B246"/>
  <c r="B485"/>
  <c r="B310"/>
  <c r="B263"/>
  <c r="B262"/>
  <c r="B373"/>
  <c r="B392"/>
  <c r="B255"/>
  <c r="B486"/>
  <c r="B288"/>
  <c r="B206"/>
  <c r="B316"/>
  <c r="B269"/>
  <c r="B487"/>
  <c r="B289"/>
  <c r="B207"/>
  <c r="B313"/>
  <c r="B270"/>
  <c r="B488"/>
  <c r="B305"/>
  <c r="B489"/>
  <c r="B490"/>
  <c r="B491"/>
  <c r="B492"/>
  <c r="B217"/>
  <c r="B325"/>
  <c r="B340"/>
  <c r="B368"/>
  <c r="B256"/>
  <c r="B347"/>
  <c r="B412"/>
  <c r="B420"/>
  <c r="B380"/>
  <c r="B243"/>
  <c r="B331"/>
  <c r="B229"/>
  <c r="B493"/>
  <c r="B320"/>
  <c r="B494"/>
  <c r="B218"/>
  <c r="B326"/>
  <c r="B341"/>
  <c r="B369"/>
  <c r="B257"/>
  <c r="B348"/>
  <c r="B413"/>
  <c r="B421"/>
  <c r="B381"/>
  <c r="B244"/>
  <c r="B332"/>
  <c r="B230"/>
  <c r="B495"/>
  <c r="B231"/>
  <c r="B496"/>
  <c r="B396"/>
  <c r="B426"/>
  <c r="B497"/>
  <c r="B427"/>
  <c r="B498"/>
  <c r="B406"/>
  <c r="B208"/>
  <c r="B388"/>
  <c r="B499"/>
  <c r="B291"/>
  <c r="B390"/>
  <c r="B209"/>
  <c r="B500"/>
  <c r="B333"/>
  <c r="B397"/>
  <c r="B261"/>
  <c r="B362"/>
  <c r="B258"/>
  <c r="B501"/>
  <c r="B502"/>
  <c r="B503"/>
  <c r="B504"/>
  <c r="B193"/>
  <c r="B505"/>
  <c r="B428"/>
  <c r="B259"/>
  <c r="B506"/>
  <c r="B191"/>
  <c r="B237"/>
  <c r="B192"/>
  <c r="B507"/>
  <c r="B219"/>
  <c r="B220"/>
  <c r="B235"/>
  <c r="B236"/>
  <c r="B260"/>
  <c r="B508"/>
  <c r="B298"/>
  <c r="B398"/>
  <c r="B509"/>
  <c r="B271"/>
  <c r="B272"/>
  <c r="B273"/>
  <c r="B510"/>
  <c r="B274"/>
  <c r="B511"/>
  <c r="B512"/>
  <c r="B513"/>
  <c r="B335"/>
  <c r="B360"/>
  <c r="B353"/>
  <c r="B514"/>
  <c r="B336"/>
  <c r="B210"/>
  <c r="B354"/>
  <c r="B515"/>
  <c r="B391"/>
  <c r="B516"/>
  <c r="B372"/>
  <c r="B371"/>
  <c r="B296"/>
  <c r="B517"/>
  <c r="B196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393"/>
  <c r="B337"/>
  <c r="B247"/>
  <c r="B429"/>
  <c r="B399"/>
  <c r="B275"/>
  <c r="B382"/>
  <c r="B194"/>
  <c r="B430"/>
  <c r="B400"/>
  <c r="B276"/>
  <c r="B383"/>
  <c r="B431"/>
  <c r="B401"/>
  <c r="B277"/>
  <c r="D96"/>
  <c r="I418" i="2"/>
  <c r="G19" s="1"/>
  <c r="H418"/>
  <c r="E19" s="1"/>
  <c r="H374"/>
  <c r="D375"/>
  <c r="D370"/>
  <c r="H370" s="1"/>
  <c r="H368"/>
  <c r="D369"/>
  <c r="I369" s="1"/>
  <c r="H364"/>
  <c r="D367"/>
  <c r="D366"/>
  <c r="E210" i="3" s="1"/>
  <c r="D365" i="2"/>
  <c r="D361"/>
  <c r="I361" s="1"/>
  <c r="H359"/>
  <c r="J359" s="1"/>
  <c r="F359"/>
  <c r="G359" s="1"/>
  <c r="H358"/>
  <c r="J358" s="1"/>
  <c r="F358"/>
  <c r="G358" s="1"/>
  <c r="D354"/>
  <c r="D355" s="1"/>
  <c r="D351"/>
  <c r="E272" i="3"/>
  <c r="D353" i="2"/>
  <c r="D349"/>
  <c r="D348"/>
  <c r="H347"/>
  <c r="E219" i="3"/>
  <c r="I346" i="2"/>
  <c r="I344"/>
  <c r="H350"/>
  <c r="H341"/>
  <c r="H336"/>
  <c r="D338"/>
  <c r="D337"/>
  <c r="I337" s="1"/>
  <c r="H331"/>
  <c r="D332"/>
  <c r="I332" s="1"/>
  <c r="I331" s="1"/>
  <c r="H333"/>
  <c r="D335"/>
  <c r="D259" i="3" s="1"/>
  <c r="D334" i="2"/>
  <c r="I334" s="1"/>
  <c r="I368" l="1"/>
  <c r="K368" s="1"/>
  <c r="I342"/>
  <c r="I355"/>
  <c r="G353" i="3"/>
  <c r="I348" i="2"/>
  <c r="I340"/>
  <c r="I351"/>
  <c r="I343"/>
  <c r="I349"/>
  <c r="I372"/>
  <c r="I338"/>
  <c r="I336" s="1"/>
  <c r="I353"/>
  <c r="J376"/>
  <c r="L376" s="1"/>
  <c r="E196" i="3"/>
  <c r="I375" i="2"/>
  <c r="I365"/>
  <c r="I352"/>
  <c r="I366"/>
  <c r="I367"/>
  <c r="E510" i="3"/>
  <c r="D298"/>
  <c r="E509"/>
  <c r="D219"/>
  <c r="E192"/>
  <c r="D210"/>
  <c r="E513"/>
  <c r="E298"/>
  <c r="D192"/>
  <c r="D272"/>
  <c r="E191"/>
  <c r="E259"/>
  <c r="E516"/>
  <c r="D191"/>
  <c r="J368" i="2"/>
  <c r="L368" s="1"/>
  <c r="D196" i="3"/>
  <c r="D296"/>
  <c r="D391"/>
  <c r="D354"/>
  <c r="D336"/>
  <c r="D335"/>
  <c r="D274"/>
  <c r="D273"/>
  <c r="D271"/>
  <c r="D398"/>
  <c r="D237"/>
  <c r="D428"/>
  <c r="D193"/>
  <c r="E391"/>
  <c r="E354"/>
  <c r="E336"/>
  <c r="E335"/>
  <c r="E274"/>
  <c r="E273"/>
  <c r="E271"/>
  <c r="E398"/>
  <c r="E507"/>
  <c r="E237"/>
  <c r="E428"/>
  <c r="E193"/>
  <c r="H354" i="2"/>
  <c r="D363"/>
  <c r="H360"/>
  <c r="H381" s="1"/>
  <c r="D362"/>
  <c r="I373"/>
  <c r="I371"/>
  <c r="F368"/>
  <c r="G368" s="1"/>
  <c r="I345"/>
  <c r="J331"/>
  <c r="F331"/>
  <c r="G331" s="1"/>
  <c r="I335"/>
  <c r="I333" s="1"/>
  <c r="I370" l="1"/>
  <c r="I364"/>
  <c r="J364" s="1"/>
  <c r="I347"/>
  <c r="I339"/>
  <c r="J339" s="1"/>
  <c r="I341"/>
  <c r="J341" s="1"/>
  <c r="I374"/>
  <c r="F374" s="1"/>
  <c r="G374" s="1"/>
  <c r="I354"/>
  <c r="F354" s="1"/>
  <c r="G354" s="1"/>
  <c r="F336"/>
  <c r="G336" s="1"/>
  <c r="I350"/>
  <c r="J350" s="1"/>
  <c r="E17"/>
  <c r="J336"/>
  <c r="I363"/>
  <c r="E353" i="3"/>
  <c r="D353"/>
  <c r="I362" i="2"/>
  <c r="D360" i="3"/>
  <c r="E360"/>
  <c r="J354" i="2" l="1"/>
  <c r="I360"/>
  <c r="K374"/>
  <c r="J374"/>
  <c r="L374" s="1"/>
  <c r="F339"/>
  <c r="G339" s="1"/>
  <c r="J370"/>
  <c r="L370" s="1"/>
  <c r="K370"/>
  <c r="F333"/>
  <c r="G333" s="1"/>
  <c r="F350"/>
  <c r="G350" s="1"/>
  <c r="F341"/>
  <c r="G341" s="1"/>
  <c r="F364"/>
  <c r="G364" s="1"/>
  <c r="J333"/>
  <c r="F370"/>
  <c r="G370" s="1"/>
  <c r="F347" l="1"/>
  <c r="G347" s="1"/>
  <c r="I381"/>
  <c r="F360"/>
  <c r="G360" s="1"/>
  <c r="K358"/>
  <c r="K331"/>
  <c r="J347"/>
  <c r="L331" s="1"/>
  <c r="J360"/>
  <c r="L358" s="1"/>
  <c r="I31" i="3"/>
  <c r="F240" i="2" s="1"/>
  <c r="D58" i="1"/>
  <c r="D239" i="2" s="1"/>
  <c r="D445"/>
  <c r="E524" i="3" s="1"/>
  <c r="E523"/>
  <c r="F68" i="1"/>
  <c r="F69" s="1"/>
  <c r="F53"/>
  <c r="F57" s="1"/>
  <c r="B277" i="2"/>
  <c r="J67" i="1"/>
  <c r="K67"/>
  <c r="L67"/>
  <c r="M67"/>
  <c r="N67"/>
  <c r="O67"/>
  <c r="D273" i="2"/>
  <c r="E488" i="3" s="1"/>
  <c r="B162" i="2"/>
  <c r="P40" i="1"/>
  <c r="P34"/>
  <c r="P36" s="1"/>
  <c r="P37" s="1"/>
  <c r="N34"/>
  <c r="N36" s="1"/>
  <c r="N37" s="1"/>
  <c r="M34"/>
  <c r="M36" s="1"/>
  <c r="M37" s="1"/>
  <c r="L40"/>
  <c r="L34"/>
  <c r="L36" s="1"/>
  <c r="L37" s="1"/>
  <c r="K36"/>
  <c r="K37" s="1"/>
  <c r="J34"/>
  <c r="J36" s="1"/>
  <c r="J37" s="1"/>
  <c r="I36"/>
  <c r="G34"/>
  <c r="G36" s="1"/>
  <c r="G37" s="1"/>
  <c r="E37"/>
  <c r="E36"/>
  <c r="I33"/>
  <c r="G33"/>
  <c r="B161" i="2"/>
  <c r="E14" i="1"/>
  <c r="B43" i="2"/>
  <c r="P16" i="1"/>
  <c r="D27"/>
  <c r="D134" i="2" s="1"/>
  <c r="E444" i="3" s="1"/>
  <c r="M25" i="1"/>
  <c r="N25"/>
  <c r="L25"/>
  <c r="L14"/>
  <c r="B71" i="3"/>
  <c r="B32"/>
  <c r="O12" i="1"/>
  <c r="E11"/>
  <c r="J10"/>
  <c r="D5"/>
  <c r="D30" i="2" s="1"/>
  <c r="F30" s="1"/>
  <c r="G30" s="1"/>
  <c r="D6" i="1"/>
  <c r="D31" i="2" s="1"/>
  <c r="D7" i="1"/>
  <c r="D32" i="2" s="1"/>
  <c r="D8" i="1"/>
  <c r="D33" i="2" s="1"/>
  <c r="D9" i="1"/>
  <c r="D34" i="2" s="1"/>
  <c r="F35" i="3"/>
  <c r="F36"/>
  <c r="F37"/>
  <c r="F38"/>
  <c r="F39"/>
  <c r="F40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8"/>
  <c r="F69"/>
  <c r="F70"/>
  <c r="F71"/>
  <c r="F72"/>
  <c r="F73"/>
  <c r="F74"/>
  <c r="F75"/>
  <c r="F76"/>
  <c r="F77"/>
  <c r="F78"/>
  <c r="F79"/>
  <c r="F3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2"/>
  <c r="F4"/>
  <c r="F3"/>
  <c r="F2"/>
  <c r="F33"/>
  <c r="F269" i="2"/>
  <c r="G289" i="3" s="1"/>
  <c r="F264" i="2"/>
  <c r="G288" i="3" s="1"/>
  <c r="I69"/>
  <c r="F260" i="2" s="1"/>
  <c r="G373" i="3" s="1"/>
  <c r="F243" i="2"/>
  <c r="G287" i="3" s="1"/>
  <c r="F234" i="2"/>
  <c r="G286" i="3" s="1"/>
  <c r="I33"/>
  <c r="F192" i="2"/>
  <c r="G279" i="3" s="1"/>
  <c r="F186" i="2"/>
  <c r="G285" i="3" s="1"/>
  <c r="F180" i="2"/>
  <c r="G284" i="3" s="1"/>
  <c r="I3"/>
  <c r="F181" i="2" s="1"/>
  <c r="G197" i="3" s="1"/>
  <c r="I4"/>
  <c r="F164" i="2" s="1"/>
  <c r="G214" i="3" s="1"/>
  <c r="I5"/>
  <c r="F85" i="2" s="1"/>
  <c r="G216" i="3" s="1"/>
  <c r="I6"/>
  <c r="F294" i="2" s="1"/>
  <c r="G218" i="3" s="1"/>
  <c r="I7"/>
  <c r="F170" i="2" s="1"/>
  <c r="G221" i="3" s="1"/>
  <c r="I8"/>
  <c r="F123" i="2" s="1"/>
  <c r="G226" i="3" s="1"/>
  <c r="I9"/>
  <c r="F141" i="2" s="1"/>
  <c r="G232" i="3" s="1"/>
  <c r="I10"/>
  <c r="G233" s="1"/>
  <c r="I11"/>
  <c r="G234" s="1"/>
  <c r="I12"/>
  <c r="F122" i="2" s="1"/>
  <c r="G242" i="3" s="1"/>
  <c r="I13"/>
  <c r="F135" i="2" s="1"/>
  <c r="G245" i="3" s="1"/>
  <c r="I14"/>
  <c r="F255" i="2" s="1"/>
  <c r="G246" i="3" s="1"/>
  <c r="I15"/>
  <c r="F149" i="2" s="1"/>
  <c r="G254" i="3" s="1"/>
  <c r="I16"/>
  <c r="F324" i="2" s="1"/>
  <c r="G261" i="3" s="1"/>
  <c r="I17"/>
  <c r="F258" i="2" s="1"/>
  <c r="I18" i="3"/>
  <c r="F259" i="2" s="1"/>
  <c r="I19" i="3"/>
  <c r="F156" i="2" s="1"/>
  <c r="G264" i="3" s="1"/>
  <c r="I20"/>
  <c r="F184" i="2" s="1"/>
  <c r="G265" i="3" s="1"/>
  <c r="I21"/>
  <c r="F54" i="2" s="1"/>
  <c r="G277" i="3" s="1"/>
  <c r="I22"/>
  <c r="F252" i="2" s="1"/>
  <c r="G278" i="3" s="1"/>
  <c r="I24"/>
  <c r="F211" i="2" s="1"/>
  <c r="G280" i="3" s="1"/>
  <c r="I25"/>
  <c r="F158" i="2" s="1"/>
  <c r="G281" i="3" s="1"/>
  <c r="I26"/>
  <c r="F167" i="2" s="1"/>
  <c r="G283" i="3" s="1"/>
  <c r="I28"/>
  <c r="F214" i="2" s="1"/>
  <c r="G290" i="3" s="1"/>
  <c r="I29"/>
  <c r="F189" i="2" s="1"/>
  <c r="G293" i="3" s="1"/>
  <c r="I30"/>
  <c r="F251" i="2" s="1"/>
  <c r="G297" i="3" s="1"/>
  <c r="I32"/>
  <c r="I34"/>
  <c r="F249" i="2" s="1"/>
  <c r="G299" i="3" s="1"/>
  <c r="I35"/>
  <c r="G301" s="1"/>
  <c r="I36"/>
  <c r="F148" i="2" s="1"/>
  <c r="G300" i="3" s="1"/>
  <c r="I37"/>
  <c r="F210" i="2" s="1"/>
  <c r="G303" i="3" s="1"/>
  <c r="I38"/>
  <c r="F151" i="2" s="1"/>
  <c r="G304" i="3" s="1"/>
  <c r="I39"/>
  <c r="F274" i="2" s="1"/>
  <c r="G305" i="3" s="1"/>
  <c r="I40"/>
  <c r="I42"/>
  <c r="F257" i="2" s="1"/>
  <c r="G310" i="3" s="1"/>
  <c r="I43"/>
  <c r="F182" i="2" s="1"/>
  <c r="G311" i="3" s="1"/>
  <c r="I44"/>
  <c r="G312" s="1"/>
  <c r="I45"/>
  <c r="F271" i="2" s="1"/>
  <c r="G313" i="3" s="1"/>
  <c r="I46"/>
  <c r="F236" i="2" s="1"/>
  <c r="G314" i="3" s="1"/>
  <c r="I47"/>
  <c r="F245" i="2" s="1"/>
  <c r="G315" i="3" s="1"/>
  <c r="I48"/>
  <c r="F124" i="2" s="1"/>
  <c r="G319" i="3" s="1"/>
  <c r="I49"/>
  <c r="F114" i="2" s="1"/>
  <c r="G323" i="3" s="1"/>
  <c r="I50"/>
  <c r="F100" i="2" s="1"/>
  <c r="G324" i="3" s="1"/>
  <c r="I51"/>
  <c r="F73" i="2" s="1"/>
  <c r="G327" i="3" s="1"/>
  <c r="I52"/>
  <c r="F95" i="2" s="1"/>
  <c r="G329" i="3" s="1"/>
  <c r="I53"/>
  <c r="F322" i="2" s="1"/>
  <c r="G333" i="3" s="1"/>
  <c r="I54"/>
  <c r="F155" i="2" s="1"/>
  <c r="G334" i="3" s="1"/>
  <c r="I55"/>
  <c r="F254" i="2" s="1"/>
  <c r="G338" i="3" s="1"/>
  <c r="I56"/>
  <c r="F101" i="2" s="1"/>
  <c r="G339" i="3" s="1"/>
  <c r="I57"/>
  <c r="F118" i="2" s="1"/>
  <c r="G346" i="3" s="1"/>
  <c r="I58"/>
  <c r="F87" i="2" s="1"/>
  <c r="G350" i="3" s="1"/>
  <c r="I59"/>
  <c r="F74" i="2" s="1"/>
  <c r="G352" i="3" s="1"/>
  <c r="I60"/>
  <c r="I61"/>
  <c r="F218" i="2" s="1"/>
  <c r="G359" i="3" s="1"/>
  <c r="I62"/>
  <c r="F219" i="2" s="1"/>
  <c r="G361" i="3" s="1"/>
  <c r="I63"/>
  <c r="F88" i="2" s="1"/>
  <c r="G365" i="3" s="1"/>
  <c r="I64"/>
  <c r="F62" i="2" s="1"/>
  <c r="G370" i="3" s="1"/>
  <c r="I65"/>
  <c r="F67" i="2" s="1"/>
  <c r="G374" i="3" s="1"/>
  <c r="I66"/>
  <c r="F55" i="2" s="1"/>
  <c r="G384" i="3" s="1"/>
  <c r="I67"/>
  <c r="F208" i="2" s="1"/>
  <c r="G387" i="3" s="1"/>
  <c r="I68"/>
  <c r="F215" i="2" s="1"/>
  <c r="G389" i="3" s="1"/>
  <c r="I70"/>
  <c r="F261" i="2" s="1"/>
  <c r="I71" i="3"/>
  <c r="F37" i="2" s="1"/>
  <c r="G393" i="3" s="1"/>
  <c r="I72"/>
  <c r="F199" i="2" s="1"/>
  <c r="G394" i="3" s="1"/>
  <c r="I73"/>
  <c r="F309" i="2" s="1"/>
  <c r="G396" i="3" s="1"/>
  <c r="I74"/>
  <c r="F323" i="2" s="1"/>
  <c r="G397" i="3" s="1"/>
  <c r="I75"/>
  <c r="G424" s="1"/>
  <c r="I76"/>
  <c r="F314" i="2" s="1"/>
  <c r="G406" i="3" s="1"/>
  <c r="I77"/>
  <c r="F65" i="2" s="1"/>
  <c r="G407" i="3" s="1"/>
  <c r="I78"/>
  <c r="F120" i="2" s="1"/>
  <c r="G418" i="3" s="1"/>
  <c r="I79"/>
  <c r="F310" i="2" s="1"/>
  <c r="G426" i="3" s="1"/>
  <c r="I2"/>
  <c r="F47" i="2" s="1"/>
  <c r="G194" i="3" s="1"/>
  <c r="D67"/>
  <c r="F67" s="1"/>
  <c r="G327" i="2"/>
  <c r="D323"/>
  <c r="G73" i="1"/>
  <c r="D73" s="1"/>
  <c r="D311" i="2" s="1"/>
  <c r="E497" i="3" s="1"/>
  <c r="E57" i="2"/>
  <c r="F432" i="3" s="1"/>
  <c r="P65" i="1"/>
  <c r="N65"/>
  <c r="M65"/>
  <c r="L65"/>
  <c r="K65"/>
  <c r="J65"/>
  <c r="I65"/>
  <c r="F194" i="2" l="1"/>
  <c r="G302" i="3" s="1"/>
  <c r="J381" i="2"/>
  <c r="G17"/>
  <c r="F38"/>
  <c r="G337" i="3" s="1"/>
  <c r="D33" i="1"/>
  <c r="D161" i="2" s="1"/>
  <c r="E453" i="3" s="1"/>
  <c r="F75" i="1"/>
  <c r="F71"/>
  <c r="F74"/>
  <c r="F142" i="2"/>
  <c r="G357" i="3" s="1"/>
  <c r="F132" i="2"/>
  <c r="G355" i="3" s="1"/>
  <c r="D65" i="1"/>
  <c r="D268" i="2" s="1"/>
  <c r="D53" i="1"/>
  <c r="D228" i="2" s="1"/>
  <c r="H228" s="1"/>
  <c r="J228" s="1"/>
  <c r="F133"/>
  <c r="G308" i="3" s="1"/>
  <c r="G306"/>
  <c r="D274" i="2"/>
  <c r="E305" i="3" s="1"/>
  <c r="H445" i="2"/>
  <c r="J445" s="1"/>
  <c r="L445" s="1"/>
  <c r="F445"/>
  <c r="G445" s="1"/>
  <c r="E397" i="3"/>
  <c r="D397"/>
  <c r="F446" i="2"/>
  <c r="G446" s="1"/>
  <c r="E525" i="3"/>
  <c r="D240" i="2"/>
  <c r="E479" i="3" s="1"/>
  <c r="E478"/>
  <c r="H273" i="2"/>
  <c r="I259"/>
  <c r="G262" i="3"/>
  <c r="I261" i="2"/>
  <c r="G392" i="3"/>
  <c r="I258" i="2"/>
  <c r="G263" i="3"/>
  <c r="H268" i="2"/>
  <c r="H446"/>
  <c r="D241"/>
  <c r="E480" i="3" s="1"/>
  <c r="H239" i="2"/>
  <c r="F80" i="3"/>
  <c r="F197" i="2"/>
  <c r="G425" i="3" s="1"/>
  <c r="F227" i="2"/>
  <c r="G402" i="3" s="1"/>
  <c r="F265" i="2"/>
  <c r="F270"/>
  <c r="G207" i="3" s="1"/>
  <c r="F279" i="2"/>
  <c r="G217" i="3" s="1"/>
  <c r="F283" i="2"/>
  <c r="G256" i="3" s="1"/>
  <c r="F287" i="2"/>
  <c r="G380" i="3" s="1"/>
  <c r="F292" i="2"/>
  <c r="G320" i="3" s="1"/>
  <c r="F297" i="2"/>
  <c r="F301"/>
  <c r="F305"/>
  <c r="F312"/>
  <c r="G427" i="3" s="1"/>
  <c r="F318" i="2"/>
  <c r="G291" i="3" s="1"/>
  <c r="F196" i="2"/>
  <c r="G395" i="3" s="1"/>
  <c r="F206" i="2"/>
  <c r="G405" i="3" s="1"/>
  <c r="F282" i="2"/>
  <c r="G368" i="3" s="1"/>
  <c r="F286" i="2"/>
  <c r="G420" i="3" s="1"/>
  <c r="F290" i="2"/>
  <c r="G229" i="3" s="1"/>
  <c r="F296" i="2"/>
  <c r="F300"/>
  <c r="F304"/>
  <c r="F316"/>
  <c r="G388" i="3" s="1"/>
  <c r="F326" i="2"/>
  <c r="G258" i="3" s="1"/>
  <c r="F226" i="2"/>
  <c r="G385" i="3" s="1"/>
  <c r="F202" i="2"/>
  <c r="G404" i="3" s="1"/>
  <c r="F267" i="2"/>
  <c r="F272"/>
  <c r="F281"/>
  <c r="G340" i="3" s="1"/>
  <c r="F285" i="2"/>
  <c r="G412" i="3" s="1"/>
  <c r="F289" i="2"/>
  <c r="G331" i="3" s="1"/>
  <c r="F295" i="2"/>
  <c r="F299"/>
  <c r="F303"/>
  <c r="F315"/>
  <c r="G208" i="3" s="1"/>
  <c r="F320" i="2"/>
  <c r="G209" i="3" s="1"/>
  <c r="F325" i="2"/>
  <c r="G362" i="3" s="1"/>
  <c r="I323" i="2"/>
  <c r="F230"/>
  <c r="G403" i="3" s="1"/>
  <c r="F266" i="2"/>
  <c r="F280"/>
  <c r="G325" i="3" s="1"/>
  <c r="F284" i="2"/>
  <c r="G347" i="3" s="1"/>
  <c r="F288" i="2"/>
  <c r="G243" i="3" s="1"/>
  <c r="F298" i="2"/>
  <c r="F302"/>
  <c r="F307"/>
  <c r="G231" i="3" s="1"/>
  <c r="F319" i="2"/>
  <c r="G390" i="3" s="1"/>
  <c r="F241" i="2"/>
  <c r="H311"/>
  <c r="D312"/>
  <c r="D34" i="1"/>
  <c r="D162" i="2" s="1"/>
  <c r="E454" i="3" s="1"/>
  <c r="H33" i="2"/>
  <c r="J33" s="1"/>
  <c r="F33"/>
  <c r="G33" s="1"/>
  <c r="F34"/>
  <c r="G34" s="1"/>
  <c r="H34"/>
  <c r="J34" s="1"/>
  <c r="H31"/>
  <c r="J31" s="1"/>
  <c r="F31"/>
  <c r="G31" s="1"/>
  <c r="F32"/>
  <c r="G32" s="1"/>
  <c r="H32"/>
  <c r="J32" s="1"/>
  <c r="H30"/>
  <c r="J30" s="1"/>
  <c r="F200"/>
  <c r="G282" i="3" s="1"/>
  <c r="F216" i="2"/>
  <c r="G203" i="3" s="1"/>
  <c r="F244" i="2"/>
  <c r="F204"/>
  <c r="G386" i="3" s="1"/>
  <c r="F235" i="2"/>
  <c r="G204" i="3" s="1"/>
  <c r="F247" i="2"/>
  <c r="F203"/>
  <c r="G200" i="3" s="1"/>
  <c r="F238" i="2"/>
  <c r="G267" i="3" s="1"/>
  <c r="F246" i="2"/>
  <c r="F207"/>
  <c r="G201" i="3" s="1"/>
  <c r="F212" i="2"/>
  <c r="G202" i="3" s="1"/>
  <c r="F232" i="2"/>
  <c r="G228" i="3" s="1"/>
  <c r="F237" i="2"/>
  <c r="G294" i="3" s="1"/>
  <c r="F262" i="2"/>
  <c r="F56"/>
  <c r="G195" i="3" s="1"/>
  <c r="F91" i="2"/>
  <c r="F119"/>
  <c r="G411" i="3" s="1"/>
  <c r="G423"/>
  <c r="F53" i="2"/>
  <c r="G401" i="3" s="1"/>
  <c r="F49" i="2"/>
  <c r="G400" i="3" s="1"/>
  <c r="F79" i="2"/>
  <c r="G415" i="3" s="1"/>
  <c r="F106" i="2"/>
  <c r="G417" i="3" s="1"/>
  <c r="G422"/>
  <c r="F66" i="2"/>
  <c r="G414" i="3" s="1"/>
  <c r="F78" i="2"/>
  <c r="G408" i="3" s="1"/>
  <c r="F105" i="2"/>
  <c r="G410" i="3" s="1"/>
  <c r="F165" i="2"/>
  <c r="G419" i="3" s="1"/>
  <c r="F44" i="2"/>
  <c r="G399" i="3" s="1"/>
  <c r="F92" i="2"/>
  <c r="G416" i="3" s="1"/>
  <c r="F46" i="2"/>
  <c r="G382" i="3" s="1"/>
  <c r="F58" i="2"/>
  <c r="G211" i="3" s="1"/>
  <c r="F70" i="2"/>
  <c r="G317" i="3" s="1"/>
  <c r="F77" i="2"/>
  <c r="G343" i="3" s="1"/>
  <c r="F81" i="2"/>
  <c r="G239" i="3" s="1"/>
  <c r="F86" i="2"/>
  <c r="G322" i="3" s="1"/>
  <c r="F90" i="2"/>
  <c r="G344" i="3" s="1"/>
  <c r="F94" i="2"/>
  <c r="G240" i="3" s="1"/>
  <c r="F99" i="2"/>
  <c r="G212" i="3" s="1"/>
  <c r="F103" i="2"/>
  <c r="G251" i="3" s="1"/>
  <c r="F107" i="2"/>
  <c r="G377" i="3" s="1"/>
  <c r="F113" i="2"/>
  <c r="G213" i="3" s="1"/>
  <c r="F117" i="2"/>
  <c r="G252" i="3" s="1"/>
  <c r="F121" i="2"/>
  <c r="G378" i="3" s="1"/>
  <c r="F139" i="2"/>
  <c r="G309" i="3" s="1"/>
  <c r="F178" i="2"/>
  <c r="G227" i="3" s="1"/>
  <c r="F183" i="2"/>
  <c r="G292" i="3" s="1"/>
  <c r="F193" i="2"/>
  <c r="G199" i="3" s="1"/>
  <c r="F45" i="2"/>
  <c r="G275" i="3" s="1"/>
  <c r="F51" i="2"/>
  <c r="G383" i="3" s="1"/>
  <c r="F61" i="2"/>
  <c r="G363" i="3" s="1"/>
  <c r="F69" i="2"/>
  <c r="G222" i="3" s="1"/>
  <c r="F72" i="2"/>
  <c r="G215" i="3" s="1"/>
  <c r="F76" i="2"/>
  <c r="G249" i="3" s="1"/>
  <c r="F80" i="2"/>
  <c r="G375" i="3" s="1"/>
  <c r="F89" i="2"/>
  <c r="G250" i="3" s="1"/>
  <c r="F93" i="2"/>
  <c r="G376" i="3" s="1"/>
  <c r="F97" i="2"/>
  <c r="G318" i="3" s="1"/>
  <c r="F102" i="2"/>
  <c r="G366" i="3" s="1"/>
  <c r="F110" i="2"/>
  <c r="G225" i="3" s="1"/>
  <c r="F116" i="2"/>
  <c r="G367" i="3" s="1"/>
  <c r="F138" i="2"/>
  <c r="G356" i="3" s="1"/>
  <c r="F146" i="2"/>
  <c r="G253" i="3" s="1"/>
  <c r="F152" i="2"/>
  <c r="G358" i="3" s="1"/>
  <c r="F187" i="2"/>
  <c r="G198" i="3" s="1"/>
  <c r="F50" i="2"/>
  <c r="G276" i="3" s="1"/>
  <c r="F60" i="2"/>
  <c r="G349" i="3" s="1"/>
  <c r="F64" i="2"/>
  <c r="G342" i="3" s="1"/>
  <c r="F68" i="2"/>
  <c r="G238" i="3" s="1"/>
  <c r="F75" i="2"/>
  <c r="G364" i="3" s="1"/>
  <c r="F83" i="2"/>
  <c r="G223" i="3" s="1"/>
  <c r="F96" i="2"/>
  <c r="G224" i="3" s="1"/>
  <c r="F109" i="2"/>
  <c r="G330" i="3" s="1"/>
  <c r="F115" i="2"/>
  <c r="G351" i="3" s="1"/>
  <c r="F166" i="2"/>
  <c r="G379" i="3" s="1"/>
  <c r="F190" i="2"/>
  <c r="G266" i="3" s="1"/>
  <c r="F40" i="2"/>
  <c r="G247" i="3" s="1"/>
  <c r="F59" i="2"/>
  <c r="G321" i="3" s="1"/>
  <c r="F63" i="2"/>
  <c r="G248" i="3" s="1"/>
  <c r="F82" i="2"/>
  <c r="G328" i="3" s="1"/>
  <c r="F104" i="2"/>
  <c r="G345" i="3" s="1"/>
  <c r="F108" i="2"/>
  <c r="G241" i="3" s="1"/>
  <c r="D325" i="2"/>
  <c r="D269" l="1"/>
  <c r="I269" s="1"/>
  <c r="D271"/>
  <c r="I271" s="1"/>
  <c r="E474" i="3"/>
  <c r="F228" i="2"/>
  <c r="G228" s="1"/>
  <c r="H161"/>
  <c r="H447"/>
  <c r="D270"/>
  <c r="D207" i="3" s="1"/>
  <c r="D272" i="2"/>
  <c r="D270" i="3" s="1"/>
  <c r="E487"/>
  <c r="D305"/>
  <c r="J446" i="2"/>
  <c r="G307" i="3"/>
  <c r="F157" i="2"/>
  <c r="I241"/>
  <c r="I274"/>
  <c r="I273" s="1"/>
  <c r="H162"/>
  <c r="I325"/>
  <c r="D362" i="3"/>
  <c r="E362"/>
  <c r="I240" i="2"/>
  <c r="I239" s="1"/>
  <c r="D289" i="3"/>
  <c r="E289"/>
  <c r="E427"/>
  <c r="D427"/>
  <c r="G255"/>
  <c r="G295"/>
  <c r="G268"/>
  <c r="G205"/>
  <c r="G269"/>
  <c r="G341"/>
  <c r="G230"/>
  <c r="G206"/>
  <c r="G326"/>
  <c r="G270"/>
  <c r="G413"/>
  <c r="G409"/>
  <c r="G257"/>
  <c r="G316"/>
  <c r="G348"/>
  <c r="G332"/>
  <c r="G369"/>
  <c r="G381"/>
  <c r="G244"/>
  <c r="G421"/>
  <c r="I312" i="2"/>
  <c r="I311" l="1"/>
  <c r="F311" s="1"/>
  <c r="G311" s="1"/>
  <c r="J447"/>
  <c r="L446"/>
  <c r="E21"/>
  <c r="E270" i="3"/>
  <c r="I272" i="2"/>
  <c r="E207" i="3"/>
  <c r="I270" i="2"/>
  <c r="E313" i="3"/>
  <c r="D313"/>
  <c r="J273" i="2"/>
  <c r="F239"/>
  <c r="G239" s="1"/>
  <c r="J311"/>
  <c r="F273"/>
  <c r="G273" s="1"/>
  <c r="M42" i="1"/>
  <c r="D42" s="1"/>
  <c r="D185" i="2" s="1"/>
  <c r="D188" s="1"/>
  <c r="I268" l="1"/>
  <c r="J268" s="1"/>
  <c r="J239"/>
  <c r="D186"/>
  <c r="I186" s="1"/>
  <c r="E462" i="3"/>
  <c r="D189" i="2"/>
  <c r="E293" i="3" s="1"/>
  <c r="H185" i="2"/>
  <c r="D190"/>
  <c r="I190" s="1"/>
  <c r="D187"/>
  <c r="E198" i="3" s="1"/>
  <c r="D312"/>
  <c r="F268" i="2" l="1"/>
  <c r="G268" s="1"/>
  <c r="D293" i="3"/>
  <c r="I189" i="2"/>
  <c r="I188"/>
  <c r="E312" i="3"/>
  <c r="E285"/>
  <c r="D285"/>
  <c r="I187" i="2"/>
  <c r="D266" i="3"/>
  <c r="D198"/>
  <c r="E266"/>
  <c r="I156" i="2"/>
  <c r="F150"/>
  <c r="G150" s="1"/>
  <c r="I153"/>
  <c r="I152"/>
  <c r="D135"/>
  <c r="H134"/>
  <c r="I185" l="1"/>
  <c r="F185" s="1"/>
  <c r="G185" s="1"/>
  <c r="I135"/>
  <c r="I134" s="1"/>
  <c r="D245" i="3"/>
  <c r="E245"/>
  <c r="J185" i="2" l="1"/>
  <c r="F162"/>
  <c r="G162" s="1"/>
  <c r="J162"/>
  <c r="F161"/>
  <c r="G161" s="1"/>
  <c r="J161"/>
  <c r="J134"/>
  <c r="F134"/>
  <c r="G134" s="1"/>
  <c r="L161" l="1"/>
  <c r="G111"/>
  <c r="E84"/>
  <c r="F434" i="3" l="1"/>
  <c r="H69" i="1" l="1"/>
  <c r="H74" s="1"/>
  <c r="H75" s="1"/>
  <c r="H18"/>
  <c r="D18" s="1"/>
  <c r="D84" i="2" s="1"/>
  <c r="H63" i="1"/>
  <c r="H54"/>
  <c r="H56" s="1"/>
  <c r="G10"/>
  <c r="D10" s="1"/>
  <c r="D35" i="2" s="1"/>
  <c r="I70" i="1"/>
  <c r="K70"/>
  <c r="L70"/>
  <c r="P77"/>
  <c r="P67" s="1"/>
  <c r="P70"/>
  <c r="P68"/>
  <c r="P71" s="1"/>
  <c r="P74" s="1"/>
  <c r="P75" s="1"/>
  <c r="P17"/>
  <c r="P57"/>
  <c r="P55"/>
  <c r="P46"/>
  <c r="P49" s="1"/>
  <c r="O39"/>
  <c r="O44" s="1"/>
  <c r="L12"/>
  <c r="L46"/>
  <c r="N54"/>
  <c r="N55" s="1"/>
  <c r="N45"/>
  <c r="N35"/>
  <c r="N47" s="1"/>
  <c r="N44"/>
  <c r="L24"/>
  <c r="N30"/>
  <c r="N24"/>
  <c r="M76"/>
  <c r="M54"/>
  <c r="M55" s="1"/>
  <c r="M57" s="1"/>
  <c r="M45"/>
  <c r="M35"/>
  <c r="M47" s="1"/>
  <c r="M44"/>
  <c r="L71"/>
  <c r="L74" s="1"/>
  <c r="L75" s="1"/>
  <c r="L45"/>
  <c r="L43"/>
  <c r="D43" s="1"/>
  <c r="D191" i="2" s="1"/>
  <c r="D194" s="1"/>
  <c r="L39" i="1"/>
  <c r="L44" s="1"/>
  <c r="M30"/>
  <c r="M20"/>
  <c r="D20" s="1"/>
  <c r="D111" i="2" s="1"/>
  <c r="I111" s="1"/>
  <c r="M21" i="1"/>
  <c r="D21" s="1"/>
  <c r="D112" i="2" s="1"/>
  <c r="E437" i="3" s="1"/>
  <c r="L72" i="1"/>
  <c r="L54"/>
  <c r="L57" s="1"/>
  <c r="L35"/>
  <c r="L47" s="1"/>
  <c r="L19"/>
  <c r="K17"/>
  <c r="K72"/>
  <c r="K68"/>
  <c r="K74"/>
  <c r="K75"/>
  <c r="K55"/>
  <c r="K57" s="1"/>
  <c r="K46"/>
  <c r="K49" s="1"/>
  <c r="K44"/>
  <c r="K40"/>
  <c r="K13"/>
  <c r="I37"/>
  <c r="I40" s="1"/>
  <c r="D26"/>
  <c r="D130" i="2" s="1"/>
  <c r="J68" i="1"/>
  <c r="J71" s="1"/>
  <c r="J74" s="1"/>
  <c r="J75" s="1"/>
  <c r="I55"/>
  <c r="J55"/>
  <c r="J57" s="1"/>
  <c r="J46"/>
  <c r="J40" s="1"/>
  <c r="J38"/>
  <c r="D38" s="1"/>
  <c r="D173" i="2" s="1"/>
  <c r="D174" s="1"/>
  <c r="J39" i="1"/>
  <c r="J44" s="1"/>
  <c r="I72"/>
  <c r="I77"/>
  <c r="I68"/>
  <c r="I57"/>
  <c r="I44"/>
  <c r="I49"/>
  <c r="D50"/>
  <c r="D217" i="2" s="1"/>
  <c r="E45" i="1"/>
  <c r="G47"/>
  <c r="I47"/>
  <c r="K47"/>
  <c r="O47"/>
  <c r="P47"/>
  <c r="E47"/>
  <c r="E40" s="1"/>
  <c r="E31"/>
  <c r="L30"/>
  <c r="D29"/>
  <c r="D140" i="2" s="1"/>
  <c r="D147" s="1"/>
  <c r="D62" i="1"/>
  <c r="D256" i="2" s="1"/>
  <c r="D61" i="1"/>
  <c r="D253" i="2" s="1"/>
  <c r="D60" i="1"/>
  <c r="D250" i="2" s="1"/>
  <c r="D59" i="1"/>
  <c r="D248" i="2" s="1"/>
  <c r="D48" i="1"/>
  <c r="D209" i="2" s="1"/>
  <c r="G54" i="1"/>
  <c r="G56"/>
  <c r="D41"/>
  <c r="D179" i="2" s="1"/>
  <c r="D52" i="1"/>
  <c r="D225" i="2" s="1"/>
  <c r="E473" i="3" s="1"/>
  <c r="D28" i="1"/>
  <c r="D136" i="2" s="1"/>
  <c r="D23" i="1"/>
  <c r="D127" i="2" s="1"/>
  <c r="E440" i="3" s="1"/>
  <c r="G40" i="1"/>
  <c r="H55" l="1"/>
  <c r="D35"/>
  <c r="D163" i="2" s="1"/>
  <c r="D164" s="1"/>
  <c r="D70" i="1"/>
  <c r="D293" i="2" s="1"/>
  <c r="D295" s="1"/>
  <c r="D54" i="1"/>
  <c r="D229" i="2" s="1"/>
  <c r="H229" s="1"/>
  <c r="H40" i="1"/>
  <c r="H46" s="1"/>
  <c r="D180" i="2"/>
  <c r="D182"/>
  <c r="D132"/>
  <c r="I132" s="1"/>
  <c r="D133"/>
  <c r="I133" s="1"/>
  <c r="D131"/>
  <c r="I131" s="1"/>
  <c r="E458" i="3"/>
  <c r="H173" i="2"/>
  <c r="D251"/>
  <c r="H250"/>
  <c r="E483" i="3"/>
  <c r="D77" i="1"/>
  <c r="D327" i="2" s="1"/>
  <c r="I327" s="1"/>
  <c r="I67" i="1"/>
  <c r="D67" s="1"/>
  <c r="D277" i="2" s="1"/>
  <c r="E482" i="3"/>
  <c r="H248" i="2"/>
  <c r="D249"/>
  <c r="D31" i="1"/>
  <c r="D154" i="2" s="1"/>
  <c r="D157" s="1"/>
  <c r="I157" s="1"/>
  <c r="E25" i="1"/>
  <c r="D25" s="1"/>
  <c r="D129" i="2" s="1"/>
  <c r="I75" i="1"/>
  <c r="D68"/>
  <c r="E468" i="3"/>
  <c r="D210" i="2"/>
  <c r="H209"/>
  <c r="D212"/>
  <c r="D211"/>
  <c r="L49" i="1"/>
  <c r="E446" i="3"/>
  <c r="D142" i="2"/>
  <c r="D143"/>
  <c r="D141"/>
  <c r="H140"/>
  <c r="D69" i="1"/>
  <c r="D291" i="2" s="1"/>
  <c r="E493" i="3" s="1"/>
  <c r="E461"/>
  <c r="D181" i="2"/>
  <c r="D183"/>
  <c r="D184"/>
  <c r="H179"/>
  <c r="D257"/>
  <c r="H256"/>
  <c r="D262"/>
  <c r="E485" i="3"/>
  <c r="D260" i="2"/>
  <c r="E470" i="3"/>
  <c r="D218" i="2"/>
  <c r="H217"/>
  <c r="D86"/>
  <c r="D95"/>
  <c r="D94"/>
  <c r="D85"/>
  <c r="D91"/>
  <c r="D96"/>
  <c r="D87"/>
  <c r="E434" i="3"/>
  <c r="D93" i="2"/>
  <c r="D89"/>
  <c r="D88"/>
  <c r="D90"/>
  <c r="D92"/>
  <c r="D97"/>
  <c r="H84"/>
  <c r="D24" i="1"/>
  <c r="D128" i="2" s="1"/>
  <c r="D39" i="1"/>
  <c r="D175" i="2" s="1"/>
  <c r="D176" s="1"/>
  <c r="E463" i="3"/>
  <c r="D193" i="2"/>
  <c r="D192"/>
  <c r="H191"/>
  <c r="E445" i="3"/>
  <c r="D144" i="2"/>
  <c r="H136"/>
  <c r="D139"/>
  <c r="D138"/>
  <c r="D137"/>
  <c r="E484" i="3"/>
  <c r="D255" i="2"/>
  <c r="D254"/>
  <c r="H253"/>
  <c r="E443" i="3"/>
  <c r="H130" i="2"/>
  <c r="D56" i="1"/>
  <c r="D242" i="2" s="1"/>
  <c r="D72" i="1"/>
  <c r="D308" i="2" s="1"/>
  <c r="E496" i="3" s="1"/>
  <c r="D45" i="1"/>
  <c r="D198" i="2" s="1"/>
  <c r="H111"/>
  <c r="J111" s="1"/>
  <c r="E436" i="3"/>
  <c r="D227" i="2"/>
  <c r="D226"/>
  <c r="H225"/>
  <c r="D116"/>
  <c r="D114"/>
  <c r="D115"/>
  <c r="D119"/>
  <c r="D120"/>
  <c r="H112"/>
  <c r="D121"/>
  <c r="D124"/>
  <c r="D122"/>
  <c r="D117"/>
  <c r="D123"/>
  <c r="D226" i="3" s="1"/>
  <c r="D118" i="2"/>
  <c r="D113"/>
  <c r="F35"/>
  <c r="G35" s="1"/>
  <c r="H35"/>
  <c r="F127"/>
  <c r="G127" s="1"/>
  <c r="H127"/>
  <c r="J47" i="1"/>
  <c r="J49" s="1"/>
  <c r="L55"/>
  <c r="D55" s="1"/>
  <c r="D231" i="2" s="1"/>
  <c r="D232" s="1"/>
  <c r="D44" i="1"/>
  <c r="D195" i="2" s="1"/>
  <c r="D63" i="1"/>
  <c r="D263" i="2" s="1"/>
  <c r="D278"/>
  <c r="E492" i="3" s="1"/>
  <c r="D37" i="1"/>
  <c r="D171" i="2" s="1"/>
  <c r="D172" s="1"/>
  <c r="N57" i="1"/>
  <c r="N76" s="1"/>
  <c r="D76" s="1"/>
  <c r="D321" i="2" s="1"/>
  <c r="E500" i="3" s="1"/>
  <c r="I71" i="1"/>
  <c r="D71" s="1"/>
  <c r="D306" i="2" s="1"/>
  <c r="D307" s="1"/>
  <c r="D75" i="1"/>
  <c r="D317" i="2" s="1"/>
  <c r="E499" i="3" s="1"/>
  <c r="D36" i="1"/>
  <c r="D169" i="2" s="1"/>
  <c r="I74" i="1"/>
  <c r="D74" s="1"/>
  <c r="D313" i="2" s="1"/>
  <c r="E49" i="1"/>
  <c r="D30"/>
  <c r="D150" i="2" s="1"/>
  <c r="I130" l="1"/>
  <c r="E498" i="3"/>
  <c r="D314" i="2"/>
  <c r="D166"/>
  <c r="D379" i="3" s="1"/>
  <c r="D167" i="2"/>
  <c r="E283" i="3" s="1"/>
  <c r="H49" i="1"/>
  <c r="H163" i="2"/>
  <c r="H291"/>
  <c r="D292"/>
  <c r="D320" i="3" s="1"/>
  <c r="E455"/>
  <c r="D165" i="2"/>
  <c r="D419" i="3" s="1"/>
  <c r="E494"/>
  <c r="D297" i="2"/>
  <c r="D369" i="3" s="1"/>
  <c r="D304" i="2"/>
  <c r="D332" i="3" s="1"/>
  <c r="D296" i="2"/>
  <c r="I296" s="1"/>
  <c r="H293"/>
  <c r="D301"/>
  <c r="I301" s="1"/>
  <c r="E475" i="3"/>
  <c r="D302" i="2"/>
  <c r="E381" i="3" s="1"/>
  <c r="D298" i="2"/>
  <c r="I298" s="1"/>
  <c r="D57" i="1"/>
  <c r="D233" i="2" s="1"/>
  <c r="D230"/>
  <c r="D403" i="3" s="1"/>
  <c r="D303" i="2"/>
  <c r="I303" s="1"/>
  <c r="D305"/>
  <c r="E230" i="3" s="1"/>
  <c r="D294" i="2"/>
  <c r="I294" s="1"/>
  <c r="D300"/>
  <c r="E413" i="3" s="1"/>
  <c r="D299" i="2"/>
  <c r="I299" s="1"/>
  <c r="D266"/>
  <c r="D264"/>
  <c r="D243"/>
  <c r="D245"/>
  <c r="E495" i="3"/>
  <c r="E501"/>
  <c r="H327" i="2"/>
  <c r="E456" i="3"/>
  <c r="H169" i="2"/>
  <c r="D170"/>
  <c r="E465" i="3"/>
  <c r="D200" i="2"/>
  <c r="D199"/>
  <c r="H198"/>
  <c r="E447" i="3"/>
  <c r="D146" i="2"/>
  <c r="H144"/>
  <c r="D145"/>
  <c r="D365" i="3"/>
  <c r="E365"/>
  <c r="I88" i="2"/>
  <c r="D255" i="3"/>
  <c r="E255"/>
  <c r="I262" i="2"/>
  <c r="D197" i="3"/>
  <c r="E197"/>
  <c r="I181" i="2"/>
  <c r="I211"/>
  <c r="E280" i="3"/>
  <c r="D280"/>
  <c r="I251" i="2"/>
  <c r="D252"/>
  <c r="D297" i="3"/>
  <c r="E297"/>
  <c r="E486"/>
  <c r="D265" i="2"/>
  <c r="D267"/>
  <c r="H263"/>
  <c r="D233" i="3"/>
  <c r="E233"/>
  <c r="D309"/>
  <c r="E309"/>
  <c r="I139" i="2"/>
  <c r="D416" i="3"/>
  <c r="E416"/>
  <c r="I92" i="2"/>
  <c r="E409" i="3"/>
  <c r="D409"/>
  <c r="I91" i="2"/>
  <c r="I260"/>
  <c r="E373" i="3"/>
  <c r="D373"/>
  <c r="D292"/>
  <c r="E292"/>
  <c r="I183" i="2"/>
  <c r="E306" i="3"/>
  <c r="D306"/>
  <c r="I143" i="2"/>
  <c r="E355" i="3"/>
  <c r="D355"/>
  <c r="E356"/>
  <c r="D356"/>
  <c r="I138" i="2"/>
  <c r="D199" i="3"/>
  <c r="E199"/>
  <c r="I193" i="2"/>
  <c r="D318" i="3"/>
  <c r="E318"/>
  <c r="I97" i="2"/>
  <c r="D224" i="3"/>
  <c r="E224"/>
  <c r="I96" i="2"/>
  <c r="D265" i="3"/>
  <c r="I184" i="2"/>
  <c r="E265" i="3"/>
  <c r="E448"/>
  <c r="H147" i="2"/>
  <c r="D149"/>
  <c r="D148"/>
  <c r="I254"/>
  <c r="E338" i="3"/>
  <c r="D338"/>
  <c r="E250"/>
  <c r="D250"/>
  <c r="I89" i="2"/>
  <c r="E329" i="3"/>
  <c r="D329"/>
  <c r="I95" i="2"/>
  <c r="I249"/>
  <c r="I248" s="1"/>
  <c r="E299" i="3"/>
  <c r="D299"/>
  <c r="E216"/>
  <c r="D216"/>
  <c r="I85" i="2"/>
  <c r="E234" i="3"/>
  <c r="D234"/>
  <c r="I137" i="2"/>
  <c r="F277"/>
  <c r="G277" s="1"/>
  <c r="H277"/>
  <c r="J277" s="1"/>
  <c r="L277" s="1"/>
  <c r="E491" i="3"/>
  <c r="E449"/>
  <c r="H150" i="2"/>
  <c r="D151"/>
  <c r="E441" i="3"/>
  <c r="F128" i="2"/>
  <c r="G128" s="1"/>
  <c r="H128"/>
  <c r="J128" s="1"/>
  <c r="E311" i="3"/>
  <c r="D311"/>
  <c r="I182" i="2"/>
  <c r="E214" i="3"/>
  <c r="I164" i="2"/>
  <c r="D214" i="3"/>
  <c r="D303"/>
  <c r="E303"/>
  <c r="I210" i="2"/>
  <c r="D310"/>
  <c r="E426" i="3" s="1"/>
  <c r="H308" i="2"/>
  <c r="D202" i="3"/>
  <c r="E202"/>
  <c r="I212" i="2"/>
  <c r="E476" i="3"/>
  <c r="H231" i="2"/>
  <c r="D240" i="3"/>
  <c r="E240"/>
  <c r="I94" i="2"/>
  <c r="E450" i="3"/>
  <c r="H154" i="2"/>
  <c r="D155"/>
  <c r="D158"/>
  <c r="E464" i="3"/>
  <c r="D196" i="2"/>
  <c r="H195"/>
  <c r="D197"/>
  <c r="E344" i="3"/>
  <c r="D344"/>
  <c r="I90" i="2"/>
  <c r="E284" i="3"/>
  <c r="D284"/>
  <c r="I180" i="2"/>
  <c r="D357" i="3"/>
  <c r="E357"/>
  <c r="I142" i="2"/>
  <c r="E442" i="3"/>
  <c r="F129" i="2"/>
  <c r="G129" s="1"/>
  <c r="H129"/>
  <c r="J129" s="1"/>
  <c r="E457" i="3"/>
  <c r="H171" i="2"/>
  <c r="I194"/>
  <c r="E302" i="3"/>
  <c r="D302"/>
  <c r="E350"/>
  <c r="D350"/>
  <c r="I87" i="2"/>
  <c r="D359" i="3"/>
  <c r="D219" i="2"/>
  <c r="E359" i="3"/>
  <c r="I218" i="2"/>
  <c r="D232" i="3"/>
  <c r="E232"/>
  <c r="I141" i="2"/>
  <c r="D308" i="3"/>
  <c r="E308"/>
  <c r="E279"/>
  <c r="D279"/>
  <c r="I192" i="2"/>
  <c r="E481" i="3"/>
  <c r="D247" i="2"/>
  <c r="H242"/>
  <c r="D244"/>
  <c r="D246"/>
  <c r="I255"/>
  <c r="D246" i="3"/>
  <c r="E246"/>
  <c r="E459"/>
  <c r="H175" i="2"/>
  <c r="E376" i="3"/>
  <c r="D376"/>
  <c r="I93" i="2"/>
  <c r="E322" i="3"/>
  <c r="D322"/>
  <c r="I86" i="2"/>
  <c r="I257"/>
  <c r="D310" i="3"/>
  <c r="E310"/>
  <c r="D423"/>
  <c r="E423"/>
  <c r="I174" i="2"/>
  <c r="I173" s="1"/>
  <c r="I295"/>
  <c r="D326" i="3"/>
  <c r="E326"/>
  <c r="D309" i="2"/>
  <c r="D396" i="3" s="1"/>
  <c r="D47" i="1"/>
  <c r="D205" i="2" s="1"/>
  <c r="D206" s="1"/>
  <c r="I122"/>
  <c r="D242" i="3"/>
  <c r="E242"/>
  <c r="I116" i="2"/>
  <c r="D367" i="3"/>
  <c r="E367"/>
  <c r="I117" i="2"/>
  <c r="E252" i="3"/>
  <c r="D252"/>
  <c r="I114" i="2"/>
  <c r="D323" i="3"/>
  <c r="E323"/>
  <c r="I227" i="2"/>
  <c r="D402" i="3"/>
  <c r="E402"/>
  <c r="I292" i="2"/>
  <c r="I291" s="1"/>
  <c r="I123"/>
  <c r="E226" i="3"/>
  <c r="I121" i="2"/>
  <c r="E378" i="3"/>
  <c r="D378"/>
  <c r="I115" i="2"/>
  <c r="E351" i="3"/>
  <c r="D351"/>
  <c r="I226" i="2"/>
  <c r="E385" i="3"/>
  <c r="D385"/>
  <c r="I113" i="2"/>
  <c r="E213" i="3"/>
  <c r="D213"/>
  <c r="I120" i="2"/>
  <c r="E418" i="3"/>
  <c r="D418"/>
  <c r="I118" i="2"/>
  <c r="D346" i="3"/>
  <c r="E346"/>
  <c r="I124" i="2"/>
  <c r="E319" i="3"/>
  <c r="D319"/>
  <c r="I119" i="2"/>
  <c r="E411" i="3"/>
  <c r="D411"/>
  <c r="J35" i="2"/>
  <c r="H306"/>
  <c r="D318"/>
  <c r="H317"/>
  <c r="D320"/>
  <c r="D324"/>
  <c r="H321"/>
  <c r="D322"/>
  <c r="D315"/>
  <c r="H313"/>
  <c r="D316"/>
  <c r="D280"/>
  <c r="D282"/>
  <c r="D287"/>
  <c r="D289"/>
  <c r="D285"/>
  <c r="D288"/>
  <c r="D279"/>
  <c r="D283"/>
  <c r="D286"/>
  <c r="D290"/>
  <c r="D284"/>
  <c r="H278"/>
  <c r="D281"/>
  <c r="J127"/>
  <c r="L127" s="1"/>
  <c r="J12" i="1"/>
  <c r="G12"/>
  <c r="I209" i="2" l="1"/>
  <c r="I256"/>
  <c r="I136"/>
  <c r="I225"/>
  <c r="I191"/>
  <c r="J191" s="1"/>
  <c r="I179"/>
  <c r="H159"/>
  <c r="I112"/>
  <c r="J112" s="1"/>
  <c r="I140"/>
  <c r="I253"/>
  <c r="K253" s="1"/>
  <c r="I84"/>
  <c r="H328"/>
  <c r="D381" i="3"/>
  <c r="I302" i="2"/>
  <c r="D348" i="3"/>
  <c r="I165" i="2"/>
  <c r="E403" i="3"/>
  <c r="E419"/>
  <c r="E348"/>
  <c r="D413"/>
  <c r="I300" i="2"/>
  <c r="E332" i="3"/>
  <c r="I304" i="2"/>
  <c r="D234"/>
  <c r="D286" i="3" s="1"/>
  <c r="D236" i="2"/>
  <c r="E314" i="3" s="1"/>
  <c r="D421"/>
  <c r="E257"/>
  <c r="E379"/>
  <c r="I166" i="2"/>
  <c r="I305"/>
  <c r="I167"/>
  <c r="E369" i="3"/>
  <c r="J291" i="2"/>
  <c r="E320" i="3"/>
  <c r="D238" i="2"/>
  <c r="I238" s="1"/>
  <c r="D230" i="3"/>
  <c r="E421"/>
  <c r="I230" i="2"/>
  <c r="D283" i="3"/>
  <c r="D218"/>
  <c r="E218"/>
  <c r="D257"/>
  <c r="I297" i="2"/>
  <c r="H233"/>
  <c r="H275" s="1"/>
  <c r="D244" i="3"/>
  <c r="E341"/>
  <c r="E244"/>
  <c r="E477"/>
  <c r="D341"/>
  <c r="D235" i="2"/>
  <c r="E204" i="3" s="1"/>
  <c r="D237" i="2"/>
  <c r="I237" s="1"/>
  <c r="I309"/>
  <c r="J327"/>
  <c r="E396" i="3"/>
  <c r="D426"/>
  <c r="F291" i="2"/>
  <c r="G291" s="1"/>
  <c r="E288" i="3"/>
  <c r="D288"/>
  <c r="I264" i="2"/>
  <c r="D278" i="3"/>
  <c r="E278"/>
  <c r="I252" i="2"/>
  <c r="I250" s="1"/>
  <c r="D253" i="3"/>
  <c r="I146" i="2"/>
  <c r="E253" i="3"/>
  <c r="D316"/>
  <c r="E316"/>
  <c r="I266" i="2"/>
  <c r="F173"/>
  <c r="G173" s="1"/>
  <c r="J173"/>
  <c r="E287" i="3"/>
  <c r="D287"/>
  <c r="I243" i="2"/>
  <c r="E269" i="3"/>
  <c r="D269"/>
  <c r="I267" i="2"/>
  <c r="E301" i="3"/>
  <c r="D301"/>
  <c r="I145" i="2"/>
  <c r="E221" i="3"/>
  <c r="I170" i="2"/>
  <c r="I169" s="1"/>
  <c r="D221" i="3"/>
  <c r="I310" i="2"/>
  <c r="K256"/>
  <c r="I176"/>
  <c r="I175" s="1"/>
  <c r="D424" i="3"/>
  <c r="E424"/>
  <c r="D205"/>
  <c r="E205"/>
  <c r="I244" i="2"/>
  <c r="E254" i="3"/>
  <c r="D254"/>
  <c r="I149" i="2"/>
  <c r="E315" i="3"/>
  <c r="I245" i="2"/>
  <c r="D315" i="3"/>
  <c r="D395"/>
  <c r="E395"/>
  <c r="I196" i="2"/>
  <c r="D300" i="3"/>
  <c r="E300"/>
  <c r="I148" i="2"/>
  <c r="E282" i="3"/>
  <c r="D282"/>
  <c r="I200" i="2"/>
  <c r="D11" i="1"/>
  <c r="D36" i="2" s="1"/>
  <c r="D268" i="3"/>
  <c r="E268"/>
  <c r="I247" i="2"/>
  <c r="D228" i="3"/>
  <c r="E228"/>
  <c r="I232" i="2"/>
  <c r="I231" s="1"/>
  <c r="D295" i="3"/>
  <c r="E295"/>
  <c r="I246" i="2"/>
  <c r="E361" i="3"/>
  <c r="I219" i="2"/>
  <c r="I217" s="1"/>
  <c r="D361" i="3"/>
  <c r="D422"/>
  <c r="I172" i="2"/>
  <c r="I171" s="1"/>
  <c r="E422" i="3"/>
  <c r="D304"/>
  <c r="I151" i="2"/>
  <c r="E304" i="3"/>
  <c r="E394"/>
  <c r="I199" i="2"/>
  <c r="D394" i="3"/>
  <c r="I197" i="2"/>
  <c r="E425" i="3"/>
  <c r="D425"/>
  <c r="E334"/>
  <c r="D334"/>
  <c r="I155" i="2"/>
  <c r="E467" i="3"/>
  <c r="D207" i="2"/>
  <c r="D208"/>
  <c r="H205"/>
  <c r="E281" i="3"/>
  <c r="D281"/>
  <c r="I158" i="2"/>
  <c r="J248"/>
  <c r="F248"/>
  <c r="G248" s="1"/>
  <c r="D206" i="3"/>
  <c r="E206"/>
  <c r="I265" i="2"/>
  <c r="I279"/>
  <c r="E217" i="3"/>
  <c r="D217"/>
  <c r="I314" i="2"/>
  <c r="D406" i="3"/>
  <c r="E406"/>
  <c r="I283" i="2"/>
  <c r="E256" i="3"/>
  <c r="D256"/>
  <c r="I289" i="2"/>
  <c r="E331" i="3"/>
  <c r="D331"/>
  <c r="I316" i="2"/>
  <c r="D388" i="3"/>
  <c r="E388"/>
  <c r="E261"/>
  <c r="D261"/>
  <c r="I307" i="2"/>
  <c r="D231" i="3"/>
  <c r="E231"/>
  <c r="I287" i="2"/>
  <c r="E380" i="3"/>
  <c r="D380"/>
  <c r="I320" i="2"/>
  <c r="E209" i="3"/>
  <c r="D209"/>
  <c r="I281" i="2"/>
  <c r="E340" i="3"/>
  <c r="D340"/>
  <c r="I286" i="2"/>
  <c r="D420" i="3"/>
  <c r="E420"/>
  <c r="I285" i="2"/>
  <c r="E412" i="3"/>
  <c r="D412"/>
  <c r="I280" i="2"/>
  <c r="D325" i="3"/>
  <c r="E325"/>
  <c r="I315" i="2"/>
  <c r="E208" i="3"/>
  <c r="D208"/>
  <c r="E291"/>
  <c r="D291"/>
  <c r="I284" i="2"/>
  <c r="D347" i="3"/>
  <c r="E347"/>
  <c r="I290" i="2"/>
  <c r="D229" i="3"/>
  <c r="E229"/>
  <c r="I288" i="2"/>
  <c r="D243" i="3"/>
  <c r="E243"/>
  <c r="I282" i="2"/>
  <c r="D368" i="3"/>
  <c r="E368"/>
  <c r="I322" i="2"/>
  <c r="D333" i="3"/>
  <c r="E333"/>
  <c r="I324" i="2"/>
  <c r="D326"/>
  <c r="D319"/>
  <c r="I318"/>
  <c r="D4" i="1"/>
  <c r="D29" i="2" s="1"/>
  <c r="P19" i="1"/>
  <c r="N19"/>
  <c r="N46" s="1"/>
  <c r="N49" s="1"/>
  <c r="N40" s="1"/>
  <c r="M19"/>
  <c r="M46" s="1"/>
  <c r="I17"/>
  <c r="N17"/>
  <c r="M17"/>
  <c r="L17"/>
  <c r="L16"/>
  <c r="D16" s="1"/>
  <c r="D57" i="2" s="1"/>
  <c r="E432" i="3" s="1"/>
  <c r="D15" i="1"/>
  <c r="D52" i="2" s="1"/>
  <c r="E431" i="3" s="1"/>
  <c r="D14" i="1"/>
  <c r="D48" i="2" s="1"/>
  <c r="E430" i="3" s="1"/>
  <c r="D13" i="1"/>
  <c r="D43" i="2" s="1"/>
  <c r="E429" i="3" s="1"/>
  <c r="I198" i="2" l="1"/>
  <c r="I147"/>
  <c r="I313"/>
  <c r="I293"/>
  <c r="F293" s="1"/>
  <c r="G293" s="1"/>
  <c r="I163"/>
  <c r="I144"/>
  <c r="I154"/>
  <c r="I242"/>
  <c r="K248"/>
  <c r="I308"/>
  <c r="F308" s="1"/>
  <c r="G308" s="1"/>
  <c r="I150"/>
  <c r="J150" s="1"/>
  <c r="I278"/>
  <c r="I195"/>
  <c r="I263"/>
  <c r="K263" s="1"/>
  <c r="I306"/>
  <c r="J306" s="1"/>
  <c r="I229"/>
  <c r="F229" s="1"/>
  <c r="G229" s="1"/>
  <c r="F225"/>
  <c r="G225" s="1"/>
  <c r="J209"/>
  <c r="L209" s="1"/>
  <c r="K209"/>
  <c r="I236"/>
  <c r="E267" i="3"/>
  <c r="D314"/>
  <c r="D41" i="2"/>
  <c r="D37"/>
  <c r="E286" i="3"/>
  <c r="I234" i="2"/>
  <c r="D267" i="3"/>
  <c r="F112" i="2"/>
  <c r="G112" s="1"/>
  <c r="E294" i="3"/>
  <c r="D204"/>
  <c r="D294"/>
  <c r="I235" i="2"/>
  <c r="F191"/>
  <c r="G191" s="1"/>
  <c r="J225"/>
  <c r="F209"/>
  <c r="G209" s="1"/>
  <c r="J171"/>
  <c r="F171"/>
  <c r="G171" s="1"/>
  <c r="D201" i="3"/>
  <c r="I207" i="2"/>
  <c r="E201" i="3"/>
  <c r="D40" i="2"/>
  <c r="D38" s="1"/>
  <c r="H36"/>
  <c r="F84"/>
  <c r="G84" s="1"/>
  <c r="J84"/>
  <c r="F250"/>
  <c r="G250" s="1"/>
  <c r="J250"/>
  <c r="L248" s="1"/>
  <c r="E405" i="3"/>
  <c r="D405"/>
  <c r="I206" i="2"/>
  <c r="E387" i="3"/>
  <c r="D387"/>
  <c r="I208" i="2"/>
  <c r="J175"/>
  <c r="F175"/>
  <c r="G175" s="1"/>
  <c r="J179"/>
  <c r="F179"/>
  <c r="G179" s="1"/>
  <c r="J217"/>
  <c r="F217"/>
  <c r="G217" s="1"/>
  <c r="J130"/>
  <c r="F130"/>
  <c r="G130" s="1"/>
  <c r="F136"/>
  <c r="G136" s="1"/>
  <c r="J136"/>
  <c r="F256"/>
  <c r="G256" s="1"/>
  <c r="J256"/>
  <c r="L256" s="1"/>
  <c r="F231"/>
  <c r="G231" s="1"/>
  <c r="J231"/>
  <c r="F169"/>
  <c r="G169" s="1"/>
  <c r="J169"/>
  <c r="J253"/>
  <c r="L253" s="1"/>
  <c r="F253"/>
  <c r="G253" s="1"/>
  <c r="F140"/>
  <c r="G140" s="1"/>
  <c r="J140"/>
  <c r="I319"/>
  <c r="I317" s="1"/>
  <c r="D390" i="3"/>
  <c r="E390"/>
  <c r="I326" i="2"/>
  <c r="I321" s="1"/>
  <c r="D258" i="3"/>
  <c r="E258"/>
  <c r="D62" i="2"/>
  <c r="D60"/>
  <c r="D61"/>
  <c r="D66"/>
  <c r="D65"/>
  <c r="D59"/>
  <c r="D67"/>
  <c r="H57"/>
  <c r="D58"/>
  <c r="D68"/>
  <c r="D69"/>
  <c r="D63"/>
  <c r="D64"/>
  <c r="D70"/>
  <c r="H43"/>
  <c r="D47"/>
  <c r="D45"/>
  <c r="D44"/>
  <c r="D46"/>
  <c r="F29"/>
  <c r="G29" s="1"/>
  <c r="H29"/>
  <c r="D55"/>
  <c r="D56"/>
  <c r="H52"/>
  <c r="D54"/>
  <c r="D53"/>
  <c r="D51"/>
  <c r="H48"/>
  <c r="D50"/>
  <c r="D49"/>
  <c r="D46" i="1"/>
  <c r="D201" i="2" s="1"/>
  <c r="D202" s="1"/>
  <c r="M49" i="1"/>
  <c r="M40" s="1"/>
  <c r="D19"/>
  <c r="D98" i="2" s="1"/>
  <c r="E435" i="3" s="1"/>
  <c r="D17" i="1"/>
  <c r="D71" i="2" s="1"/>
  <c r="E433" i="3" s="1"/>
  <c r="I328" i="2" l="1"/>
  <c r="I205"/>
  <c r="F306"/>
  <c r="G306" s="1"/>
  <c r="J229"/>
  <c r="L225" s="1"/>
  <c r="K130"/>
  <c r="I233"/>
  <c r="I275" s="1"/>
  <c r="I159"/>
  <c r="K225"/>
  <c r="J313"/>
  <c r="K313"/>
  <c r="J278"/>
  <c r="K278"/>
  <c r="F198"/>
  <c r="G198" s="1"/>
  <c r="J195"/>
  <c r="L195" s="1"/>
  <c r="K195"/>
  <c r="J163"/>
  <c r="L163" s="1"/>
  <c r="K163"/>
  <c r="J293"/>
  <c r="D42"/>
  <c r="I42" s="1"/>
  <c r="I41" s="1"/>
  <c r="H41"/>
  <c r="F163"/>
  <c r="G163" s="1"/>
  <c r="J308"/>
  <c r="F321"/>
  <c r="G321" s="1"/>
  <c r="J154"/>
  <c r="J198"/>
  <c r="F195"/>
  <c r="G195" s="1"/>
  <c r="F154"/>
  <c r="G154" s="1"/>
  <c r="F313"/>
  <c r="G313" s="1"/>
  <c r="E466" i="3"/>
  <c r="H201" i="2"/>
  <c r="D204"/>
  <c r="D203"/>
  <c r="J263"/>
  <c r="F263"/>
  <c r="G263" s="1"/>
  <c r="J242"/>
  <c r="F242"/>
  <c r="G242" s="1"/>
  <c r="F144"/>
  <c r="G144" s="1"/>
  <c r="J144"/>
  <c r="D247" i="3"/>
  <c r="E247"/>
  <c r="I40" i="2"/>
  <c r="E393" i="3"/>
  <c r="D393"/>
  <c r="I37" i="2"/>
  <c r="F147"/>
  <c r="G147" s="1"/>
  <c r="J147"/>
  <c r="F278"/>
  <c r="G278" s="1"/>
  <c r="I49"/>
  <c r="D400" i="3"/>
  <c r="E400"/>
  <c r="I55" i="2"/>
  <c r="E384" i="3"/>
  <c r="D384"/>
  <c r="I44" i="2"/>
  <c r="E399" i="3"/>
  <c r="D399"/>
  <c r="I70" i="2"/>
  <c r="E317" i="3"/>
  <c r="D317"/>
  <c r="I68" i="2"/>
  <c r="E238" i="3"/>
  <c r="D238"/>
  <c r="I59" i="2"/>
  <c r="E321" i="3"/>
  <c r="D321"/>
  <c r="I60" i="2"/>
  <c r="E349" i="3"/>
  <c r="D349"/>
  <c r="I46" i="2"/>
  <c r="D382" i="3"/>
  <c r="E382"/>
  <c r="I69" i="2"/>
  <c r="D222" i="3"/>
  <c r="E222"/>
  <c r="I67" i="2"/>
  <c r="E374" i="3"/>
  <c r="D374"/>
  <c r="I61" i="2"/>
  <c r="D363" i="3"/>
  <c r="E363"/>
  <c r="I53" i="2"/>
  <c r="E401" i="3"/>
  <c r="D401"/>
  <c r="I56" i="2"/>
  <c r="D195" i="3"/>
  <c r="E195"/>
  <c r="I47" i="2"/>
  <c r="E194" i="3"/>
  <c r="D194"/>
  <c r="I63" i="2"/>
  <c r="D248" i="3"/>
  <c r="E248"/>
  <c r="I66" i="2"/>
  <c r="E414" i="3"/>
  <c r="D414"/>
  <c r="I51" i="2"/>
  <c r="D383" i="3"/>
  <c r="E383"/>
  <c r="I50" i="2"/>
  <c r="E276" i="3"/>
  <c r="D276"/>
  <c r="I54" i="2"/>
  <c r="E277" i="3"/>
  <c r="D277"/>
  <c r="I45" i="2"/>
  <c r="E275" i="3"/>
  <c r="D275"/>
  <c r="I64" i="2"/>
  <c r="E342" i="3"/>
  <c r="D342"/>
  <c r="I58" i="2"/>
  <c r="E211" i="3"/>
  <c r="D211"/>
  <c r="I65" i="2"/>
  <c r="D407" i="3"/>
  <c r="E407"/>
  <c r="I62" i="2"/>
  <c r="E370" i="3"/>
  <c r="D370"/>
  <c r="J321" i="2"/>
  <c r="J29"/>
  <c r="F317"/>
  <c r="G317" s="1"/>
  <c r="J317"/>
  <c r="D99"/>
  <c r="D103"/>
  <c r="D108"/>
  <c r="D104"/>
  <c r="D102"/>
  <c r="D107"/>
  <c r="D101"/>
  <c r="D106"/>
  <c r="D110"/>
  <c r="D100"/>
  <c r="D105"/>
  <c r="D109"/>
  <c r="H98"/>
  <c r="D78"/>
  <c r="D73"/>
  <c r="D74"/>
  <c r="D75"/>
  <c r="D79"/>
  <c r="D83"/>
  <c r="D72"/>
  <c r="D77"/>
  <c r="D82"/>
  <c r="D76"/>
  <c r="D80"/>
  <c r="D81"/>
  <c r="H71"/>
  <c r="D40" i="1"/>
  <c r="D177" i="2" s="1"/>
  <c r="D178" s="1"/>
  <c r="D49" i="1"/>
  <c r="D213" i="2" s="1"/>
  <c r="I57" l="1"/>
  <c r="H125"/>
  <c r="I48"/>
  <c r="J48" s="1"/>
  <c r="I52"/>
  <c r="I43"/>
  <c r="J159"/>
  <c r="L263"/>
  <c r="J328"/>
  <c r="L313"/>
  <c r="L278"/>
  <c r="F233"/>
  <c r="G233" s="1"/>
  <c r="K231"/>
  <c r="L130"/>
  <c r="J233"/>
  <c r="J275" s="1"/>
  <c r="E404" i="3"/>
  <c r="D404"/>
  <c r="I202" i="2"/>
  <c r="D200" i="3"/>
  <c r="I203" i="2"/>
  <c r="E200" i="3"/>
  <c r="J205" i="2"/>
  <c r="F205"/>
  <c r="G205" s="1"/>
  <c r="D386" i="3"/>
  <c r="E386"/>
  <c r="I204" i="2"/>
  <c r="E469" i="3"/>
  <c r="D216" i="2"/>
  <c r="D214"/>
  <c r="H213"/>
  <c r="E337" i="3"/>
  <c r="D337"/>
  <c r="I38" i="2"/>
  <c r="J57"/>
  <c r="E460" i="3"/>
  <c r="H177" i="2"/>
  <c r="F52"/>
  <c r="G52" s="1"/>
  <c r="I80"/>
  <c r="E375" i="3"/>
  <c r="D375"/>
  <c r="I75" i="2"/>
  <c r="E364" i="3"/>
  <c r="D364"/>
  <c r="I110" i="2"/>
  <c r="D225" i="3"/>
  <c r="E225"/>
  <c r="I102" i="2"/>
  <c r="D366" i="3"/>
  <c r="E366"/>
  <c r="I99" i="2"/>
  <c r="E212" i="3"/>
  <c r="D212"/>
  <c r="I74" i="2"/>
  <c r="D352" i="3"/>
  <c r="E352"/>
  <c r="I106" i="2"/>
  <c r="E417" i="3"/>
  <c r="D417"/>
  <c r="I81" i="2"/>
  <c r="E239" i="3"/>
  <c r="D239"/>
  <c r="I82" i="2"/>
  <c r="D328" i="3"/>
  <c r="E328"/>
  <c r="I78" i="2"/>
  <c r="D408" i="3"/>
  <c r="E408"/>
  <c r="I100" i="2"/>
  <c r="D324" i="3"/>
  <c r="E324"/>
  <c r="I107" i="2"/>
  <c r="E377" i="3"/>
  <c r="D377"/>
  <c r="I103" i="2"/>
  <c r="E251" i="3"/>
  <c r="D251"/>
  <c r="I72" i="2"/>
  <c r="D215" i="3"/>
  <c r="E215"/>
  <c r="I109" i="2"/>
  <c r="E330" i="3"/>
  <c r="D330"/>
  <c r="I104" i="2"/>
  <c r="D345" i="3"/>
  <c r="E345"/>
  <c r="I77" i="2"/>
  <c r="E343" i="3"/>
  <c r="D343"/>
  <c r="I79" i="2"/>
  <c r="E415" i="3"/>
  <c r="D415"/>
  <c r="I76" i="2"/>
  <c r="D249" i="3"/>
  <c r="E249"/>
  <c r="I83" i="2"/>
  <c r="E223" i="3"/>
  <c r="D223"/>
  <c r="I73" i="2"/>
  <c r="E327" i="3"/>
  <c r="D327"/>
  <c r="I105" i="2"/>
  <c r="E410" i="3"/>
  <c r="D410"/>
  <c r="I101" i="2"/>
  <c r="E339" i="3"/>
  <c r="D339"/>
  <c r="I108" i="2"/>
  <c r="D241" i="3"/>
  <c r="E241"/>
  <c r="I71" i="2" l="1"/>
  <c r="J71" s="1"/>
  <c r="H223"/>
  <c r="H449" s="1"/>
  <c r="I201"/>
  <c r="I98"/>
  <c r="I36"/>
  <c r="K29" s="1"/>
  <c r="L231"/>
  <c r="F43"/>
  <c r="G43" s="1"/>
  <c r="J52"/>
  <c r="F48"/>
  <c r="G48" s="1"/>
  <c r="J43"/>
  <c r="E227" i="3"/>
  <c r="I178" i="2"/>
  <c r="D227" i="3"/>
  <c r="D290"/>
  <c r="D215" i="2"/>
  <c r="E290" i="3"/>
  <c r="I214" i="2"/>
  <c r="D203" i="3"/>
  <c r="I216" i="2"/>
  <c r="E203" i="3"/>
  <c r="F57" i="2"/>
  <c r="G57" s="1"/>
  <c r="J36" l="1"/>
  <c r="F36"/>
  <c r="G36" s="1"/>
  <c r="I125"/>
  <c r="E14" i="10" s="1"/>
  <c r="I177" i="2"/>
  <c r="E15" i="10" s="1"/>
  <c r="J201" i="2"/>
  <c r="L198" s="1"/>
  <c r="K198"/>
  <c r="K43"/>
  <c r="C11"/>
  <c r="H329"/>
  <c r="E16" s="1"/>
  <c r="J41"/>
  <c r="L29" s="1"/>
  <c r="F41"/>
  <c r="G41" s="1"/>
  <c r="F98"/>
  <c r="G98" s="1"/>
  <c r="F201"/>
  <c r="G201" s="1"/>
  <c r="J98"/>
  <c r="F71"/>
  <c r="G71" s="1"/>
  <c r="F177"/>
  <c r="G177" s="1"/>
  <c r="I215"/>
  <c r="I213" s="1"/>
  <c r="E16" i="10" s="1"/>
  <c r="D389" i="3"/>
  <c r="E389"/>
  <c r="K177" i="2" l="1"/>
  <c r="I223"/>
  <c r="J177"/>
  <c r="L177" s="1"/>
  <c r="L43"/>
  <c r="J125"/>
  <c r="F14" i="10" s="1"/>
  <c r="K213" i="2"/>
  <c r="F213"/>
  <c r="G213" s="1"/>
  <c r="J213"/>
  <c r="F16" i="10" s="1"/>
  <c r="F15" l="1"/>
  <c r="I449" i="2"/>
  <c r="J448" s="1"/>
  <c r="J223"/>
  <c r="J329"/>
  <c r="I329"/>
  <c r="G16" s="1"/>
  <c r="L213"/>
  <c r="J449" l="1"/>
  <c r="C12"/>
  <c r="C14"/>
  <c r="C13"/>
</calcChain>
</file>

<file path=xl/sharedStrings.xml><?xml version="1.0" encoding="utf-8"?>
<sst xmlns="http://schemas.openxmlformats.org/spreadsheetml/2006/main" count="6036" uniqueCount="509">
  <si>
    <t>м2</t>
  </si>
  <si>
    <t>м3</t>
  </si>
  <si>
    <t>Устройство коробов из ГВЛ по металлокаркасу из потолочных профилей с зашивкой в один слой, без звукоизоляции</t>
  </si>
  <si>
    <t>Устройство перегородок из ГВЛ в два слоя с двух сторон, по одинарному металлокаркасу из ПН и ПС профилей (профиль 100мм), с укладкой звукоизоляции.</t>
  </si>
  <si>
    <t>Бухг.</t>
  </si>
  <si>
    <t>Компр.</t>
  </si>
  <si>
    <t>1               с/у</t>
  </si>
  <si>
    <t>2          кор-р</t>
  </si>
  <si>
    <t>3             гиг. комн</t>
  </si>
  <si>
    <t>4    ожидан.</t>
  </si>
  <si>
    <t>5        стом. каб</t>
  </si>
  <si>
    <t>6        стом. каб</t>
  </si>
  <si>
    <t>7           кор-р</t>
  </si>
  <si>
    <t>8                 пок</t>
  </si>
  <si>
    <t>Наименование работ</t>
  </si>
  <si>
    <t>ед. изм.</t>
  </si>
  <si>
    <t>объем</t>
  </si>
  <si>
    <t>Наименование помещений</t>
  </si>
  <si>
    <t>Устройство стен и перегородок</t>
  </si>
  <si>
    <t>Пробитие дверного проема в кирпичной стене</t>
  </si>
  <si>
    <t>Устройство кладки конструкций из кирпича керамического. (Разделение оконного проема на две части О-1 и О-2)</t>
  </si>
  <si>
    <t>Заполнение дверных и оконных проемов</t>
  </si>
  <si>
    <t>шт.</t>
  </si>
  <si>
    <t>Устройство кирпичной кладки из керамического кирпича, толщ в 1/2 кирп. (закладка дверных проемов)</t>
  </si>
  <si>
    <t>м.п. уголка</t>
  </si>
  <si>
    <t xml:space="preserve">Обрамление простенков уголком 75х75х3 (по периметру пробитого дверного проема)  </t>
  </si>
  <si>
    <t>Прочие работы</t>
  </si>
  <si>
    <t>Отделка стен</t>
  </si>
  <si>
    <t>Заделка штроб в бетонном полу цементным раствором</t>
  </si>
  <si>
    <t>м.п.</t>
  </si>
  <si>
    <t>Полы</t>
  </si>
  <si>
    <t>Потолки</t>
  </si>
  <si>
    <t>Окраска в/а составами за 2 раза: потолков</t>
  </si>
  <si>
    <t>Устройство покрытия пола из керамогранитной плитки 300х300мм.</t>
  </si>
  <si>
    <t>Устройство выравнивающей стяжки, толщ. 10мм.</t>
  </si>
  <si>
    <t>Сплошная шпаклевка за 2 раза: стен</t>
  </si>
  <si>
    <t>Оклейка стен обоями</t>
  </si>
  <si>
    <t>Устройство наливного пола</t>
  </si>
  <si>
    <t>Монтаж декоративного порожка</t>
  </si>
  <si>
    <t>Покрытие поверхностей грунтовкой глубокого проникновения: полов</t>
  </si>
  <si>
    <t>Покрытие поверхностей грунтовкой глубокого проникновения: потолков</t>
  </si>
  <si>
    <t>Сплошная шпаклевка за 2 раза: потолков</t>
  </si>
  <si>
    <t>Демонтаж дверных блоков межкомнатных, одностворчатых.</t>
  </si>
  <si>
    <t>Установка оконных блоков ПВХ</t>
  </si>
  <si>
    <t>Демонтаж оконных блоков, деревянных</t>
  </si>
  <si>
    <t>Установка подоконных досок ПВХ шириной 0,5м</t>
  </si>
  <si>
    <t>Устройство откосов из ГВЛ</t>
  </si>
  <si>
    <t>Окраска в/а составами за 2 раза: стен и откосов</t>
  </si>
  <si>
    <t>Сплошная шпаклевка за 2 раза: откосов</t>
  </si>
  <si>
    <t>Покрытие поверхностей грунтовкой глубокого проникновения: стен</t>
  </si>
  <si>
    <t>Покрытие поверхностей грунтовкой "Бетоконтакт": стен</t>
  </si>
  <si>
    <t>Установка перфорированного уголка</t>
  </si>
  <si>
    <t>Установка декоративного уголка ПВХ (углы откосов окон)</t>
  </si>
  <si>
    <t>Устройство покрытия пола из полу коммерческого линолеума</t>
  </si>
  <si>
    <t>Установка декоративной решетки радиатора отопления 600х1200мм</t>
  </si>
  <si>
    <t>Устройство подвесного потолка типа "Армстронг"</t>
  </si>
  <si>
    <t>Установка плинтуса ПВХ</t>
  </si>
  <si>
    <t>Облицовка стен натуральным камнем-мрамором</t>
  </si>
  <si>
    <t>Устройство покрытия пола из керамической плитки Porcelancio</t>
  </si>
  <si>
    <t>Устройство подвесного потолка из ГКЛ, одноуровневого</t>
  </si>
  <si>
    <t>Устройство натяжного потолка Carre NOIR, глянец</t>
  </si>
  <si>
    <t>Устройство борта из ГКЛ по металлопрофилю 27*60</t>
  </si>
  <si>
    <t>Штукатурка откосов цементо-песчанным раствором шириной более 100 мм</t>
  </si>
  <si>
    <t>Штукатурка откосов цементо-песчанным раствором шириной менее 100 мм</t>
  </si>
  <si>
    <t>Демонтаж кирпичной кладки стен</t>
  </si>
  <si>
    <t>Устройство перегородок из керамического кирпича, толщиной в 1/2 кирп. (пом. 2)</t>
  </si>
  <si>
    <t>Облицовка стен листами ГВЛВ в один слой по металлокаркасу из ПН и ПС профилей (профиль 50мм), без звукоизоляции (пом. 1, 3, 4, 5, 6)</t>
  </si>
  <si>
    <t>Устройство витражных перегородок</t>
  </si>
  <si>
    <t>Устройство перегородок из ГВЛ в один слой с двух сторон, по одинарному металлокаркасу из ПН и ПС профилей (профиль 100мм), с укладкой звукоизоляции. (над витражами)</t>
  </si>
  <si>
    <t>Монтаж металлических дверных блоков в сборе</t>
  </si>
  <si>
    <t>Монтаж дверей металлических противопожарных, размером 2000х1000, в сборе</t>
  </si>
  <si>
    <t>Установка межкомнатного дверного блока ПВХ, в сборе</t>
  </si>
  <si>
    <t>тн.</t>
  </si>
  <si>
    <t>Приточка</t>
  </si>
  <si>
    <t>Облицовка стен листами ГВЛВ в один слой по металлокаркасу из ПН и ПС профилей (профиль 100мм), с укладкой звукоизоляции.</t>
  </si>
  <si>
    <t>Укладка звукоизоляционного слоя, толщиной 100мм</t>
  </si>
  <si>
    <t>Электромонтажные работы</t>
  </si>
  <si>
    <t>№</t>
  </si>
  <si>
    <t>Наименование работ и затрат</t>
  </si>
  <si>
    <t>ед изм.</t>
  </si>
  <si>
    <t>кол-во</t>
  </si>
  <si>
    <t>Стоимость еденицы</t>
  </si>
  <si>
    <t>Общая стоимость</t>
  </si>
  <si>
    <t>Работа</t>
  </si>
  <si>
    <t>Материал</t>
  </si>
  <si>
    <t>Всего</t>
  </si>
  <si>
    <t>Демонтаж кирпичных перегородок</t>
  </si>
  <si>
    <t>Дюбель-гвоздь 6*40</t>
  </si>
  <si>
    <t>ЦПС</t>
  </si>
  <si>
    <t>Сетка арматурная</t>
  </si>
  <si>
    <t>Арматура d=10мм</t>
  </si>
  <si>
    <t>тн</t>
  </si>
  <si>
    <t>Кирпич керамический</t>
  </si>
  <si>
    <t>ГВЛВ</t>
  </si>
  <si>
    <t>Шпаклевка фугенфюллер гипсовая</t>
  </si>
  <si>
    <t>кг</t>
  </si>
  <si>
    <t>Серпянка</t>
  </si>
  <si>
    <t>Дихтунгсбанд</t>
  </si>
  <si>
    <t>Грунтовка глубокая</t>
  </si>
  <si>
    <t>л</t>
  </si>
  <si>
    <t>ГВЛ</t>
  </si>
  <si>
    <t>ПН 100/40</t>
  </si>
  <si>
    <t>ПС 100/50</t>
  </si>
  <si>
    <t>Саморез 35 для ГВЛ</t>
  </si>
  <si>
    <t>Саморез 25 для ГВЛ</t>
  </si>
  <si>
    <t>Плиты минераловатные звукоизоляционные, толщ 100 мм</t>
  </si>
  <si>
    <t>ПН 50/40</t>
  </si>
  <si>
    <t>ПС 50/50</t>
  </si>
  <si>
    <t>Подвес прямой</t>
  </si>
  <si>
    <t>Пресс-шайба 13</t>
  </si>
  <si>
    <t>Устройство коробов из ГВЛ в один слой, по металлокаркасу из потолочных профилей, без звукоизоляции</t>
  </si>
  <si>
    <t>ПН 27/28</t>
  </si>
  <si>
    <t>ПП 60/27</t>
  </si>
  <si>
    <t>Монтаж дверного доводчика</t>
  </si>
  <si>
    <t>Доводчик  (Dorma,TS-68)</t>
  </si>
  <si>
    <t>Дверь металлическая входная в сборе</t>
  </si>
  <si>
    <t>Итого по подразделу:</t>
  </si>
  <si>
    <t>бал.</t>
  </si>
  <si>
    <t>Пена монтажная противопожарная</t>
  </si>
  <si>
    <t>Рамный дюбель М10х132(ДВЕРИ)</t>
  </si>
  <si>
    <t>Дверь межкомнатная ПВХ, в сборе</t>
  </si>
  <si>
    <t>Монтаж наличника деревянного</t>
  </si>
  <si>
    <t>Наличник деревянный</t>
  </si>
  <si>
    <t>Монтаж наличника металлического</t>
  </si>
  <si>
    <t>Дверь металлическая противопожарная, в сборе, с замком</t>
  </si>
  <si>
    <t>Оконный блок ПВХ</t>
  </si>
  <si>
    <t>Клей жидкие гвозди</t>
  </si>
  <si>
    <t>Заглушка, торцевая, для подоконника</t>
  </si>
  <si>
    <t>Клей Перлфикс</t>
  </si>
  <si>
    <t>Грунтовка "Бетоконтакт"</t>
  </si>
  <si>
    <t>Клей плиточный</t>
  </si>
  <si>
    <t>Крестики для плитки</t>
  </si>
  <si>
    <t>Облицовка стен керамической плиткой (Приточная камера)</t>
  </si>
  <si>
    <t>Плитка керамическая глазурованная 20*30, цв. Белый</t>
  </si>
  <si>
    <t>Плитка керамическая фирмы Porcelancio, каталог  "ISMO", marfil</t>
  </si>
  <si>
    <t>Облицовка стен керамической плиткой глазурованной</t>
  </si>
  <si>
    <t>Облицовка стен керамической плиткой Porcelancio</t>
  </si>
  <si>
    <t>Клей для мрамора WEBER.KOL PROFI</t>
  </si>
  <si>
    <t>Уголок перфорированный</t>
  </si>
  <si>
    <t>Штукатурка гипсовая</t>
  </si>
  <si>
    <t>Уголок ПВХ 30*30мм</t>
  </si>
  <si>
    <t>Шпаклевка клеевая</t>
  </si>
  <si>
    <t>кг.</t>
  </si>
  <si>
    <t>Сетка шлифовальная</t>
  </si>
  <si>
    <t>Сплошная шпаклевка и шлифовка: стен</t>
  </si>
  <si>
    <t>Сплошная шпаклевка и шлифовка: откосов</t>
  </si>
  <si>
    <t>Обои флизелиновые</t>
  </si>
  <si>
    <t>Клей для обоев</t>
  </si>
  <si>
    <t>Ветошь</t>
  </si>
  <si>
    <t>л.</t>
  </si>
  <si>
    <t xml:space="preserve">Решетка радиаторная 600*1200 горизонтальные жалюзи </t>
  </si>
  <si>
    <t>Саморез 25</t>
  </si>
  <si>
    <r>
      <t xml:space="preserve">Краска Symphony EURO-Balance 12 </t>
    </r>
    <r>
      <rPr>
        <b/>
        <sz val="11"/>
        <color rgb="FFFF0000"/>
        <rFont val="Calibri"/>
        <family val="2"/>
        <charset val="204"/>
        <scheme val="minor"/>
      </rPr>
      <t>(Цвета уточнить)</t>
    </r>
  </si>
  <si>
    <r>
      <t xml:space="preserve">Затирка для швов </t>
    </r>
    <r>
      <rPr>
        <b/>
        <sz val="11"/>
        <color rgb="FFFF0000"/>
        <rFont val="Calibri"/>
        <family val="2"/>
        <charset val="204"/>
        <scheme val="minor"/>
      </rPr>
      <t>(цвет уточнить)</t>
    </r>
  </si>
  <si>
    <t>Плитка керамогранитная 30*30</t>
  </si>
  <si>
    <t>Наливной пол</t>
  </si>
  <si>
    <t>Устройство покрытия пола из п/коммерческого линолеума</t>
  </si>
  <si>
    <t>Линолеум п/коммерческий Tarkket</t>
  </si>
  <si>
    <t>Клей для линолеума</t>
  </si>
  <si>
    <t>Порожек декоративный мет.</t>
  </si>
  <si>
    <t>Плинтус ПВХ</t>
  </si>
  <si>
    <t>Дюбель-гвоздь 4*20</t>
  </si>
  <si>
    <t>Заглушка, торцевая, для плинтуса прав.</t>
  </si>
  <si>
    <t>Заглушка, торцевая, для плинтуса лев.</t>
  </si>
  <si>
    <t>Угол внутренний для плинтуса</t>
  </si>
  <si>
    <t>Установка плинтуса из плиток керамогранитных h=10см</t>
  </si>
  <si>
    <t>Установка плинтуса из плиток керамических Porcelanio h=10см</t>
  </si>
  <si>
    <t>Установка отбойников, дверных</t>
  </si>
  <si>
    <t>Отбойники для дверей
DS-0011</t>
  </si>
  <si>
    <t>ГКЛ</t>
  </si>
  <si>
    <t>Шпаклевка Унифлот</t>
  </si>
  <si>
    <t>Шпаклевка Фугенфюллер гипсовая</t>
  </si>
  <si>
    <t>Скотч малярный</t>
  </si>
  <si>
    <t>рул.</t>
  </si>
  <si>
    <t>Сплошное выравнивание гипсовыми составами: потолков</t>
  </si>
  <si>
    <t>Подвесной потолок "Армстронг" в комплекте</t>
  </si>
  <si>
    <t>Уголок пристенный 19*19</t>
  </si>
  <si>
    <t>Европодвес</t>
  </si>
  <si>
    <t>Итого по смете:</t>
  </si>
  <si>
    <t>Уборка и вывоз строительного мусора</t>
  </si>
  <si>
    <t>Погрузо-разгрузочные работы</t>
  </si>
  <si>
    <t>Прайс</t>
  </si>
  <si>
    <t>Подоконник ПВХ, (ширину уточнить)</t>
  </si>
  <si>
    <t>Затирка для швов (цвет уточнить)</t>
  </si>
  <si>
    <t>Краска Symphony EURO-Balance 12 (Цвета уточнить)</t>
  </si>
  <si>
    <t>Плитка керамическая фирмы Porcelancio, каталог  "ISMO", разм. 60*60мм, (цвет - moka и beige, уточнить квадратуру)</t>
  </si>
  <si>
    <t>Плитка керамическая фирмы Porcelancio, каталог  "ISMO", moka, разм. 7,5*60мм  (moka и beige, уточнить квадратуру)</t>
  </si>
  <si>
    <t>Наличник дверной деревянный</t>
  </si>
  <si>
    <t>Наличник металлический</t>
  </si>
  <si>
    <t>Наличник дверной металлический</t>
  </si>
  <si>
    <t>Сетка арматурная ВР1</t>
  </si>
  <si>
    <t>уп.</t>
  </si>
  <si>
    <t>Наименование материала</t>
  </si>
  <si>
    <t>цена розн.</t>
  </si>
  <si>
    <t>наценка %</t>
  </si>
  <si>
    <t>Цена</t>
  </si>
  <si>
    <t>Натуральный камень - мрамор "Мрамор-Мск", "Крема Валенсия"</t>
  </si>
  <si>
    <t>Седенитель плинтусный</t>
  </si>
  <si>
    <t>вес</t>
  </si>
  <si>
    <t>масса</t>
  </si>
  <si>
    <t>Подьем материала вручную</t>
  </si>
  <si>
    <t>Пробитие в кирпичных перегородках технологических проемов проходок вентиляционных коммуникаций разм. 400*400мм</t>
  </si>
  <si>
    <t>Пробитие в несущей кирпичной стене технологических проемов проходок вентиляционных коммуникаций разм. 400*400мм</t>
  </si>
  <si>
    <t>Пробитие в кирпичных перегородках технологических проемов проходок вентиляционных коммуникаций диаметром менее 200мм</t>
  </si>
  <si>
    <t>Пробитие в кирпичных перегородках технологических проемов проходок вентиляционных коммуникаций диаметром от 200, до 400мм</t>
  </si>
  <si>
    <t>Пробитие в несущей кирпичной стене технологических проемов проходок вентиляционных коммуникаций диаметром менее 200мм</t>
  </si>
  <si>
    <t>Пробитие дверного проема в кирпичной перегородке</t>
  </si>
  <si>
    <t>Полоса 0,1*0,5*4</t>
  </si>
  <si>
    <t>Уголок металлический 75*75*4</t>
  </si>
  <si>
    <t>Демонтаж подоконных досок, деревянных</t>
  </si>
  <si>
    <t>Устройство перегородок из керамического кирпича, толщиной в 1/2 кирп.</t>
  </si>
  <si>
    <t>Устройство кладки конструкций из кирпича керамического. (Разделение оконного проема на две части О-1 и О-2. Ужение окна в бухг.)</t>
  </si>
  <si>
    <t>Демонтаж старой плитки со стен</t>
  </si>
  <si>
    <t>Демонтаж старой штукатурки со стен</t>
  </si>
  <si>
    <t>Оштукатуривание стен цемнто-песчанным раствором</t>
  </si>
  <si>
    <t>Устройство выравнивающей стяжки, толщ. 30мм.</t>
  </si>
  <si>
    <t>Установка отбойников дверных</t>
  </si>
  <si>
    <t>Удаление старой побелки с потолка</t>
  </si>
  <si>
    <t>Демонтаж керамической плитки с пола</t>
  </si>
  <si>
    <t>Тамбурок</t>
  </si>
  <si>
    <t>Установка лючков ревизионных</t>
  </si>
  <si>
    <t>Лючек ревиз.мет 150*150мм</t>
  </si>
  <si>
    <t>Монтаж  распределительного щита  без учета монтажа автоматов и т.д.</t>
  </si>
  <si>
    <t>Монтаж автоматических выключателей</t>
  </si>
  <si>
    <t>Щит  встроенный/накладной  36 мод. АВВ (материал пластик)</t>
  </si>
  <si>
    <t>Монтаж вводного автомата</t>
  </si>
  <si>
    <t>Авт. выключатель    3П      АВВ  63 А 6кА</t>
  </si>
  <si>
    <t>Авт. выключатель    1П      АВВ  16 А 6кА</t>
  </si>
  <si>
    <t xml:space="preserve">Дифф. автомат  1П  ABB  16/0,03  </t>
  </si>
  <si>
    <t>Авт. выключатель    3П      АВВ  16 А 6кА</t>
  </si>
  <si>
    <t>Затягивание кабеля в гофру</t>
  </si>
  <si>
    <t>Прокладка электропроводов ( 3х1,5-2,5мм2)</t>
  </si>
  <si>
    <t xml:space="preserve">Гофротруба с зондом d=20 </t>
  </si>
  <si>
    <t xml:space="preserve">Гофротруба с зондом d=25 </t>
  </si>
  <si>
    <t>Держатель гофротрубы d=20</t>
  </si>
  <si>
    <t>Держатель гофротрубы d=25</t>
  </si>
  <si>
    <t>Кабель ВВГнг 3*2,5</t>
  </si>
  <si>
    <t>Кабель ВВГ нг 3*1,5</t>
  </si>
  <si>
    <t>Кабель ВВГнг 5*2,6</t>
  </si>
  <si>
    <t xml:space="preserve">Монтаж лотка перфорированного </t>
  </si>
  <si>
    <t>Лоток перфорированный 60*150*3000</t>
  </si>
  <si>
    <t>Хомут кабельный нейлоновый 2,5*120</t>
  </si>
  <si>
    <t>Прокладка кабеля силового</t>
  </si>
  <si>
    <t>Кабель силовой ВВГнг 5*6</t>
  </si>
  <si>
    <t>Прорезание отверстий под подрозетники в ГКЛ</t>
  </si>
  <si>
    <t>Прорезание отверстий под подрозетники в капитальной стене</t>
  </si>
  <si>
    <t xml:space="preserve">Установка  розеток  </t>
  </si>
  <si>
    <t>Установка  выключателей</t>
  </si>
  <si>
    <t>Подрозетник</t>
  </si>
  <si>
    <t>Рамка Легранд 1 мод.</t>
  </si>
  <si>
    <t>Выключатель  Легранд (встр.)</t>
  </si>
  <si>
    <t>Розетка Легранд (встр.)</t>
  </si>
  <si>
    <t>Монтаж светильников направленного света металлогалогеновых</t>
  </si>
  <si>
    <t>Установка встраиваемых светильников Армстронг</t>
  </si>
  <si>
    <t>Светильники люминисцентные встраиваемые 4х18</t>
  </si>
  <si>
    <t>Лампа Osram 18Вт.</t>
  </si>
  <si>
    <t>Светильники люминисцентные встраиваемые 2х18</t>
  </si>
  <si>
    <t>Споты, LINEA LIGHT, коллекция Decorative 2010, модель BIBI, стекло прозрачное, (с лампами)</t>
  </si>
  <si>
    <t>Установка бра</t>
  </si>
  <si>
    <t>Бра - Linea LIGHT, модель 19*17</t>
  </si>
  <si>
    <t>Вентиляция и кондиционирование</t>
  </si>
  <si>
    <t>Монтаж систем вентиляции и кондиционирования</t>
  </si>
  <si>
    <t>Устройство витражных перегородок (поставка заказчика)</t>
  </si>
  <si>
    <t>Монтаж металлических дверных блоков в сборе(поставка заказчика)</t>
  </si>
  <si>
    <t>Подоконник ПВХ шир.0,5 м.</t>
  </si>
  <si>
    <t>Сверление отверстий в кирпичных стенах для прокладки элетропроводов</t>
  </si>
  <si>
    <t>Монтаж УЗО</t>
  </si>
  <si>
    <t>Зеркальные панели</t>
  </si>
  <si>
    <t>Установка зеркальных панелей на стены</t>
  </si>
  <si>
    <t>Крепежь</t>
  </si>
  <si>
    <t>Установка унитаза</t>
  </si>
  <si>
    <t>Унитаз санфаянсовый</t>
  </si>
  <si>
    <t>Сантехнические работы и санитарно-гигиенические приборы</t>
  </si>
  <si>
    <t>Умывальник санфаянсовый</t>
  </si>
  <si>
    <t>Арматура для соединения унитаза</t>
  </si>
  <si>
    <t>Установка умывальника на мраморный пьедестал</t>
  </si>
  <si>
    <t>Смеситель для умывальника</t>
  </si>
  <si>
    <t>Установка рукосушителей электрических</t>
  </si>
  <si>
    <t>Рукосушитель электрический</t>
  </si>
  <si>
    <t>Установка полотенцесушителей электрических</t>
  </si>
  <si>
    <t>Полотенцесушитель электрический</t>
  </si>
  <si>
    <t>Установка дозаторов жидкого мыла</t>
  </si>
  <si>
    <t>Дозатор жидкого мыла</t>
  </si>
  <si>
    <t>Установка держателя туалетной бумаги</t>
  </si>
  <si>
    <t>Держатель туалетной бумаги и освежителя воздуха</t>
  </si>
  <si>
    <t>Установка на стену ершика для чистки унитаза</t>
  </si>
  <si>
    <t>Ершик для унитаза</t>
  </si>
  <si>
    <t>Установка зеркала косметического</t>
  </si>
  <si>
    <t>Зеркало косметическое, для в.к.</t>
  </si>
  <si>
    <t>Приточная установка  Litened (мед.)</t>
  </si>
  <si>
    <t>Шкаф управления</t>
  </si>
  <si>
    <t>Шумоглушитель CSA 160/900</t>
  </si>
  <si>
    <t>Решетка АРН 400*400</t>
  </si>
  <si>
    <t>Решетка DVS 125</t>
  </si>
  <si>
    <t>Решетка DVS 160</t>
  </si>
  <si>
    <t>Решетка DVS-Р 125</t>
  </si>
  <si>
    <t>Решетка DVS-Р 200</t>
  </si>
  <si>
    <t>Др.клапан ф160</t>
  </si>
  <si>
    <t>Вентилятор СК 160 В</t>
  </si>
  <si>
    <t>Вентилятор СК 160 С</t>
  </si>
  <si>
    <t>Кондиционер настенного типа FTX25JV/RX25JV</t>
  </si>
  <si>
    <t>Кондиционер настенного типа FTX20JV/RX20JV</t>
  </si>
  <si>
    <t>Воздуховод гибкий Aluduct ф125</t>
  </si>
  <si>
    <t>Воздуховод гибкий Aluduct ф200</t>
  </si>
  <si>
    <t>Изоляция URSA</t>
  </si>
  <si>
    <t>Воздуховод из оцинкованной стали</t>
  </si>
  <si>
    <t>Транспортые расходы:</t>
  </si>
  <si>
    <t>СОГЛАСОВАНО:</t>
  </si>
  <si>
    <t>УТВЕРЖДАЮ:</t>
  </si>
  <si>
    <t>______________</t>
  </si>
  <si>
    <t>____________</t>
  </si>
  <si>
    <t>" _____ " ________________ 201_ г.</t>
  </si>
  <si>
    <t>"______ " _______________201_ г.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</si>
  <si>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</si>
  <si>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</si>
  <si>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</si>
  <si>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Сметная стоимость </t>
  </si>
  <si>
    <t>Составлен(а) в текущих (прогнозных) ценах по состоянию на 1 кв.2012 г.</t>
  </si>
  <si>
    <t>Тумба, со стеклянными дверцами 1060*1460*330мм</t>
  </si>
  <si>
    <t>компл.</t>
  </si>
  <si>
    <t xml:space="preserve">ЛОКАЛЬНЫЙ СМЕТНЫЙ РАСЧЕТ </t>
  </si>
  <si>
    <t>Ремонт помещений стоматологии  "Медилайн"</t>
  </si>
  <si>
    <t>Установка мраморной столешницы в гигиенической комнате</t>
  </si>
  <si>
    <t xml:space="preserve">Мраморная столешница 600*2480*40мм, с двумя отверстиями под умывальник  </t>
  </si>
  <si>
    <t xml:space="preserve">Установка тумбы с мраморной столешницей и стеклянными дверцами снизу </t>
  </si>
  <si>
    <t>Установка мраморной столешницы в санузле</t>
  </si>
  <si>
    <t>Столешница из мрамора 400*1480*40мм</t>
  </si>
  <si>
    <t xml:space="preserve">Мраморная столешница 530*870*40мм, с одним отверстием под умывальник  </t>
  </si>
  <si>
    <t>Пена монтажная</t>
  </si>
  <si>
    <t>Электроды</t>
  </si>
  <si>
    <t>Огрунтовка металлических поверхностей грунтовкой ГФ-021</t>
  </si>
  <si>
    <t>Грунтовка ГФ-021</t>
  </si>
  <si>
    <t>Полоса 100*40*4</t>
  </si>
  <si>
    <t>Погрузка и вывоз строительного мусора</t>
  </si>
  <si>
    <t>Стоимость материалов:</t>
  </si>
  <si>
    <t>Транспортные расходы:</t>
  </si>
  <si>
    <t>Элетромонтажные работы</t>
  </si>
  <si>
    <t>Сантехнические работы:</t>
  </si>
  <si>
    <t>По видам работ:</t>
  </si>
  <si>
    <t>Прокладка кабеля компьютерного</t>
  </si>
  <si>
    <t>Кабель UTP 4х2х0,5</t>
  </si>
  <si>
    <t>Всего СМР:</t>
  </si>
  <si>
    <t>Стоимость работ:</t>
  </si>
  <si>
    <t>СМР:</t>
  </si>
  <si>
    <t>Материал:</t>
  </si>
  <si>
    <t>Отопление</t>
  </si>
  <si>
    <t>Демонтаж труб отопления</t>
  </si>
  <si>
    <t>Демонтаж радиаторов отопления</t>
  </si>
  <si>
    <t>Монтаж труб отопления (полипропилен)</t>
  </si>
  <si>
    <t>Монтаж радиаторов отопления</t>
  </si>
  <si>
    <t>Кронштейн универсальный</t>
  </si>
  <si>
    <t>Кран маевского</t>
  </si>
  <si>
    <t>Пробка</t>
  </si>
  <si>
    <t>Радиатор отопления 10 секций</t>
  </si>
  <si>
    <t>Кран шаровый, прямой для радиатора</t>
  </si>
  <si>
    <t>Этап</t>
  </si>
  <si>
    <t xml:space="preserve">ГРАФИК ПРОИЗВОДСТВА РАБОТ И ФИНАНСИРОВАНИЯ </t>
  </si>
  <si>
    <t>№№ п/п</t>
  </si>
  <si>
    <t>Бетонная подгот.пола(ООО Сияние)</t>
  </si>
  <si>
    <t>Монтаж каркаса здания (МСУ 14)</t>
  </si>
  <si>
    <t>Подписи представителей сторон:</t>
  </si>
  <si>
    <t>Итого работа с материалом</t>
  </si>
  <si>
    <t>2012 год</t>
  </si>
  <si>
    <t>Объект: Ремонт помещений стоматологии  "Медилайн"</t>
  </si>
  <si>
    <t xml:space="preserve">Труба полипропиленовая армированная d 32 мм </t>
  </si>
  <si>
    <t>Американка муфтовая d32мм</t>
  </si>
  <si>
    <t>Угольник соединительный 90град, d32мм</t>
  </si>
  <si>
    <t>Муфта комбинированная d32мм</t>
  </si>
  <si>
    <t>Оштукатуривание стен гипсовым раствором, толщ. 30мм</t>
  </si>
  <si>
    <t>Штукатурка откосов гипсовым раствором шириной более 100 мм</t>
  </si>
  <si>
    <t>Штукатурка откосов гипсовым раствором шириной менее 100 мм</t>
  </si>
  <si>
    <t>Облицовка стен керамической плиткой Kerama marazzi (Стоматологические кабинеты)</t>
  </si>
  <si>
    <t>Плитка керамическая Kerama marazzi</t>
  </si>
  <si>
    <t>Декоративный камень</t>
  </si>
  <si>
    <t>Облицовка стен декоративным камнем</t>
  </si>
  <si>
    <t>Установка плинтуса из плиток керамических Kerama marazzi h=10см</t>
  </si>
  <si>
    <t>Устройство покрытия пола из керамической плитки Kerama marazzi</t>
  </si>
  <si>
    <t>Монтаж электро приборов, освещения, санфаянса. Установка мебели. Финишная отделка. Вывоз мусора.</t>
  </si>
  <si>
    <t>"____"________________2012 г._______________Заказчик</t>
  </si>
  <si>
    <t>"____"________________2012 г._______________Подрядчик</t>
  </si>
  <si>
    <t>ЛОЖЬ</t>
  </si>
  <si>
    <t>#ССЫЛКА!</t>
  </si>
  <si>
    <t>(пусто)</t>
  </si>
  <si>
    <t>Сумма по полю 192,852</t>
  </si>
  <si>
    <t>Сумма по полю 4</t>
  </si>
  <si>
    <t>Авт. выключатель    1П      АВВ  16 А 6кА Итог</t>
  </si>
  <si>
    <t>Авт. выключатель    3П      АВВ  16 А 6кА Итог</t>
  </si>
  <si>
    <t>Авт. выключатель    3П      АВВ  63 А 6кА Итог</t>
  </si>
  <si>
    <t>Арматура d=10мм Итог</t>
  </si>
  <si>
    <t>Бра - Linea LIGHT, модель 19*17 Итог</t>
  </si>
  <si>
    <t>Ветошь Итог</t>
  </si>
  <si>
    <t>Выключатель  Легранд (встр.) Итог</t>
  </si>
  <si>
    <t>ГВЛ Итог</t>
  </si>
  <si>
    <t>ГВЛВ Итог</t>
  </si>
  <si>
    <t>ГКЛ Итог</t>
  </si>
  <si>
    <t>Гофротруба с зондом d=20  Итог</t>
  </si>
  <si>
    <t>Гофротруба с зондом d=25  Итог</t>
  </si>
  <si>
    <t>Грунтовка "Бетоконтакт" Итог</t>
  </si>
  <si>
    <t>Грунтовка глубокая Итог</t>
  </si>
  <si>
    <t>Дверь межкомнатная ПВХ, в сборе Итог</t>
  </si>
  <si>
    <t>Дверь металлическая входная в сборе Итог</t>
  </si>
  <si>
    <t>Дверь металлическая противопожарная, в сборе, с замком Итог</t>
  </si>
  <si>
    <t>Декоративный камень Итог</t>
  </si>
  <si>
    <t>Держатель гофротрубы d=20 Итог</t>
  </si>
  <si>
    <t>Держатель гофротрубы d=25 Итог</t>
  </si>
  <si>
    <t>Дифф. автомат  1П  ABB  16/0,03   Итог</t>
  </si>
  <si>
    <t>Дихтунгсбанд Итог</t>
  </si>
  <si>
    <t>Доводчик  (Dorma,TS-68) Итог</t>
  </si>
  <si>
    <t>Дюбель-гвоздь 4*20 Итог</t>
  </si>
  <si>
    <t>Дюбель-гвоздь 6*40 Итог</t>
  </si>
  <si>
    <t>Европодвес Итог</t>
  </si>
  <si>
    <t>Заглушка, торцевая, для плинтуса лев. Итог</t>
  </si>
  <si>
    <t>Заглушка, торцевая, для плинтуса прав. Итог</t>
  </si>
  <si>
    <t>Заглушка, торцевая, для подоконника Итог</t>
  </si>
  <si>
    <t>Затирка для швов (цвет уточнить) Итог</t>
  </si>
  <si>
    <t>Кабель ВВГ нг 3*1,5 Итог</t>
  </si>
  <si>
    <t>Кабель ВВГнг 3*2,5 Итог</t>
  </si>
  <si>
    <t>Кабель ВВГнг 5*2,6 Итог</t>
  </si>
  <si>
    <t>Кабель силовой ВВГнг 5*6 Итог</t>
  </si>
  <si>
    <t>Кирпич керамический Итог</t>
  </si>
  <si>
    <t>Клей для линолеума Итог</t>
  </si>
  <si>
    <t>Клей для мрамора WEBER.KOL PROFI Итог</t>
  </si>
  <si>
    <t>Клей для обоев Итог</t>
  </si>
  <si>
    <t>Клей жидкие гвозди Итог</t>
  </si>
  <si>
    <t>Клей Перлфикс Итог</t>
  </si>
  <si>
    <t>Клей плиточный Итог</t>
  </si>
  <si>
    <t>Краска Symphony EURO-Balance 12 (Цвета уточнить) Итог</t>
  </si>
  <si>
    <t>Крестики для плитки Итог</t>
  </si>
  <si>
    <t>Лампа Osram 18Вт. Итог</t>
  </si>
  <si>
    <t>Линолеум п/коммерческий Tarkket Итог</t>
  </si>
  <si>
    <t>Лоток перфорированный 60*150*3000 Итог</t>
  </si>
  <si>
    <t>Наливной пол Итог</t>
  </si>
  <si>
    <t>Наличник деревянный Итог</t>
  </si>
  <si>
    <t>Наличник металлический Итог</t>
  </si>
  <si>
    <t>Обои флизелиновые Итог</t>
  </si>
  <si>
    <t>Оконный блок ПВХ Итог</t>
  </si>
  <si>
    <t>Отбойники для дверей
DS-0011 Итог</t>
  </si>
  <si>
    <t>Пена монтажная Итог</t>
  </si>
  <si>
    <t>Пена монтажная противопожарная Итог</t>
  </si>
  <si>
    <t>Плинтус ПВХ Итог</t>
  </si>
  <si>
    <t>Плитка керамическая Kerama marazzi Итог</t>
  </si>
  <si>
    <t>Плитка керамическая глазурованная 20*30, цв. Белый Итог</t>
  </si>
  <si>
    <t>Плитка керамогранитная 30*30 Итог</t>
  </si>
  <si>
    <t>Плиты минераловатные звукоизоляционные, толщ 100 мм Итог</t>
  </si>
  <si>
    <t>ПН 100/40 Итог</t>
  </si>
  <si>
    <t>ПН 27/28 Итог</t>
  </si>
  <si>
    <t>ПН 50/40 Итог</t>
  </si>
  <si>
    <t>Подвес прямой Итог</t>
  </si>
  <si>
    <t>Подвесной потолок "Армстронг" в комплекте Итог</t>
  </si>
  <si>
    <t>Подоконник ПВХ шир.0,5 м. Итог</t>
  </si>
  <si>
    <t>Подрозетник Итог</t>
  </si>
  <si>
    <t>Полоса 100*40*4 Итог</t>
  </si>
  <si>
    <t>Порожек декоративный мет. Итог</t>
  </si>
  <si>
    <t>ПП 60/27 Итог</t>
  </si>
  <si>
    <t>Пресс-шайба 13 Итог</t>
  </si>
  <si>
    <t>ПС 100/50 Итог</t>
  </si>
  <si>
    <t>ПС 50/50 Итог</t>
  </si>
  <si>
    <t>Рамка Легранд 1 мод. Итог</t>
  </si>
  <si>
    <t>Рамный дюбель М10х132(ДВЕРИ) Итог</t>
  </si>
  <si>
    <t>Решетка радиаторная 600*1200 горизонтальные жалюзи  Итог</t>
  </si>
  <si>
    <t>Розетка Легранд (встр.) Итог</t>
  </si>
  <si>
    <t>Саморез 25 Итог</t>
  </si>
  <si>
    <t>Саморез 25 для ГВЛ Итог</t>
  </si>
  <si>
    <t>Саморез 35 для ГВЛ Итог</t>
  </si>
  <si>
    <t>Светильники люминисцентные встраиваемые 2х18 Итог</t>
  </si>
  <si>
    <t>Светильники люминисцентные встраиваемые 4х18 Итог</t>
  </si>
  <si>
    <t>Седенитель плинтусный Итог</t>
  </si>
  <si>
    <t>Серпянка Итог</t>
  </si>
  <si>
    <t>Сетка арматурная Итог</t>
  </si>
  <si>
    <t>Сетка шлифовальная Итог</t>
  </si>
  <si>
    <t>Скотч малярный Итог</t>
  </si>
  <si>
    <t>Споты, LINEA LIGHT, коллекция Decorative 2010, модель BIBI, стекло прозрачное, (с лампами) Итог</t>
  </si>
  <si>
    <t>Угол внутренний для плинтуса Итог</t>
  </si>
  <si>
    <t>Уголок металлический 75*75*4 Итог</t>
  </si>
  <si>
    <t>Уголок ПВХ 30*30мм Итог</t>
  </si>
  <si>
    <t>Уголок перфорированный Итог</t>
  </si>
  <si>
    <t>Уголок пристенный 19*19 Итог</t>
  </si>
  <si>
    <t>Хомут кабельный нейлоновый 2,5*120 Итог</t>
  </si>
  <si>
    <t>ЦПС Итог</t>
  </si>
  <si>
    <t>Шпаклевка клеевая Итог</t>
  </si>
  <si>
    <t>Шпаклевка Унифлот Итог</t>
  </si>
  <si>
    <t>Шпаклевка Фугенфюллер гипсовая Итог</t>
  </si>
  <si>
    <t>Штукатурка гипсовая Итог</t>
  </si>
  <si>
    <t>Щит  встроенный/накладной  36 мод. АВВ (материал пластик) Итог</t>
  </si>
  <si>
    <t>ЛОЖЬ Итог</t>
  </si>
  <si>
    <t>#ССЫЛКА! Итог</t>
  </si>
  <si>
    <t>Арматура для соединения умывальника</t>
  </si>
  <si>
    <t>Пробка радиатора</t>
  </si>
  <si>
    <t xml:space="preserve">Комплектующие, для установеи столешницы 530*870*40мм, с одним отверстием под умывальник  </t>
  </si>
  <si>
    <t>Комплектующие, для установеи столешницы 400*1480*40мм</t>
  </si>
  <si>
    <t xml:space="preserve">Комплектующие, для установеи столешницы 600*2480*40мм, с двумя отверстиями под умывальник  </t>
  </si>
  <si>
    <t>Итого материалы</t>
  </si>
  <si>
    <t>Стоимость</t>
  </si>
  <si>
    <t>Общая выборка по всем этапам работ</t>
  </si>
  <si>
    <t>Работы 1-го этапа</t>
  </si>
  <si>
    <t>Материал 1-го этапа (Общая выборка)</t>
  </si>
  <si>
    <t>Материал 1-го этапа (По подразделам)</t>
  </si>
  <si>
    <t>Заказные материалы</t>
  </si>
  <si>
    <t>Цена работ за ед.</t>
  </si>
  <si>
    <t>Стоимость работ</t>
  </si>
  <si>
    <t>Монтаж отопления. Шпаклевка поверхностей, устройство подвесных потолков. Облицовка стен и полов плиткой и камнем</t>
  </si>
  <si>
    <t xml:space="preserve">Демонтажные работы, устройство стяжек, прокладка электропроводов. Устройство стен и перегородок. Оштукатуривание кирпичных уч-в стен. Заполнение дверных и оконных проемов. Монтаж систем вентиляции. </t>
  </si>
  <si>
    <t>ИТОГО по работам первого этапа:</t>
  </si>
  <si>
    <t>ВСЕГО по материалам первого этапа:</t>
  </si>
  <si>
    <t>Итого по материалам первого этапа:</t>
  </si>
  <si>
    <t>Итого по заказным материалам первого этапа:</t>
  </si>
  <si>
    <t>ВСЕГО по заказным материалам первого этапа:</t>
  </si>
  <si>
    <t>Заработная плата прораба</t>
  </si>
  <si>
    <t>мес.</t>
  </si>
</sst>
</file>

<file path=xl/styles.xml><?xml version="1.0" encoding="utf-8"?>
<styleSheet xmlns="http://schemas.openxmlformats.org/spreadsheetml/2006/main">
  <numFmts count="4">
    <numFmt numFmtId="164" formatCode="#,##0.00&quot;р.&quot;"/>
    <numFmt numFmtId="165" formatCode="#,##0.000"/>
    <numFmt numFmtId="166" formatCode="#,##0.0000"/>
    <numFmt numFmtId="167" formatCode="#,##0.00_р_."/>
  </numFmts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5" fillId="0" borderId="0"/>
  </cellStyleXfs>
  <cellXfs count="3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2" fontId="0" fillId="0" borderId="12" xfId="0" applyNumberForma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2" fontId="0" fillId="0" borderId="17" xfId="0" applyNumberForma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2" fontId="0" fillId="0" borderId="19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vertical="center" wrapText="1"/>
    </xf>
    <xf numFmtId="164" fontId="7" fillId="0" borderId="1" xfId="3" applyNumberFormat="1" applyFont="1" applyFill="1" applyBorder="1" applyAlignment="1">
      <alignment horizontal="right"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 wrapText="1"/>
    </xf>
    <xf numFmtId="4" fontId="8" fillId="0" borderId="1" xfId="3" applyNumberFormat="1" applyFont="1" applyFill="1" applyBorder="1" applyAlignment="1">
      <alignment horizontal="center"/>
    </xf>
    <xf numFmtId="165" fontId="8" fillId="0" borderId="1" xfId="3" applyNumberFormat="1" applyFont="1" applyFill="1" applyBorder="1" applyAlignment="1">
      <alignment horizontal="center"/>
    </xf>
    <xf numFmtId="166" fontId="8" fillId="0" borderId="1" xfId="3" applyNumberFormat="1" applyFont="1" applyFill="1" applyBorder="1" applyAlignment="1">
      <alignment horizontal="center"/>
    </xf>
    <xf numFmtId="4" fontId="8" fillId="0" borderId="1" xfId="3" applyNumberFormat="1" applyFont="1" applyFill="1" applyBorder="1" applyAlignment="1">
      <alignment horizontal="center" vertical="center"/>
    </xf>
    <xf numFmtId="3" fontId="8" fillId="0" borderId="1" xfId="3" applyNumberFormat="1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center" vertical="center"/>
    </xf>
    <xf numFmtId="3" fontId="8" fillId="0" borderId="1" xfId="3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0" xfId="3" applyFont="1"/>
    <xf numFmtId="0" fontId="20" fillId="0" borderId="0" xfId="3" applyFont="1" applyFill="1"/>
    <xf numFmtId="0" fontId="20" fillId="0" borderId="0" xfId="3" applyFont="1" applyFill="1" applyAlignment="1">
      <alignment horizontal="center"/>
    </xf>
    <xf numFmtId="0" fontId="20" fillId="0" borderId="0" xfId="3" applyFont="1" applyFill="1" applyBorder="1" applyAlignment="1"/>
    <xf numFmtId="0" fontId="20" fillId="0" borderId="0" xfId="3" applyFont="1" applyFill="1" applyBorder="1" applyAlignment="1">
      <alignment horizontal="center"/>
    </xf>
    <xf numFmtId="0" fontId="25" fillId="0" borderId="0" xfId="3" applyFont="1" applyFill="1"/>
    <xf numFmtId="0" fontId="25" fillId="0" borderId="0" xfId="3" applyFont="1" applyFill="1" applyAlignment="1">
      <alignment horizontal="center"/>
    </xf>
    <xf numFmtId="0" fontId="25" fillId="0" borderId="0" xfId="3" applyFont="1" applyFill="1" applyBorder="1" applyAlignment="1"/>
    <xf numFmtId="0" fontId="25" fillId="0" borderId="0" xfId="3" applyFont="1" applyFill="1" applyBorder="1" applyAlignment="1">
      <alignment horizontal="center"/>
    </xf>
    <xf numFmtId="0" fontId="23" fillId="0" borderId="0" xfId="3" applyFont="1" applyFill="1" applyBorder="1" applyAlignment="1">
      <alignment horizontal="center"/>
    </xf>
    <xf numFmtId="167" fontId="20" fillId="0" borderId="0" xfId="3" applyNumberFormat="1" applyFont="1" applyFill="1" applyBorder="1" applyAlignment="1"/>
    <xf numFmtId="0" fontId="15" fillId="3" borderId="0" xfId="3" applyFont="1" applyFill="1"/>
    <xf numFmtId="0" fontId="25" fillId="0" borderId="1" xfId="3" applyFont="1" applyFill="1" applyBorder="1"/>
    <xf numFmtId="0" fontId="22" fillId="0" borderId="1" xfId="3" applyFont="1" applyFill="1" applyBorder="1" applyAlignment="1">
      <alignment horizontal="center" vertical="center"/>
    </xf>
    <xf numFmtId="0" fontId="22" fillId="0" borderId="4" xfId="3" applyFont="1" applyFill="1" applyBorder="1" applyAlignment="1">
      <alignment horizontal="left" vertical="center" wrapText="1"/>
    </xf>
    <xf numFmtId="167" fontId="22" fillId="0" borderId="35" xfId="3" applyNumberFormat="1" applyFont="1" applyFill="1" applyBorder="1" applyAlignment="1">
      <alignment horizontal="center" vertical="center"/>
    </xf>
    <xf numFmtId="0" fontId="25" fillId="0" borderId="5" xfId="3" applyFont="1" applyFill="1" applyBorder="1"/>
    <xf numFmtId="0" fontId="25" fillId="0" borderId="4" xfId="3" quotePrefix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center" vertical="center"/>
    </xf>
    <xf numFmtId="0" fontId="25" fillId="0" borderId="6" xfId="3" applyFont="1" applyFill="1" applyBorder="1"/>
    <xf numFmtId="0" fontId="25" fillId="0" borderId="32" xfId="3" quotePrefix="1" applyFont="1" applyFill="1" applyBorder="1" applyAlignment="1">
      <alignment horizontal="left" vertical="center" wrapText="1"/>
    </xf>
    <xf numFmtId="0" fontId="25" fillId="0" borderId="6" xfId="3" applyFont="1" applyFill="1" applyBorder="1" applyAlignment="1">
      <alignment horizontal="center" vertical="center"/>
    </xf>
    <xf numFmtId="0" fontId="22" fillId="0" borderId="34" xfId="3" applyFont="1" applyFill="1" applyBorder="1"/>
    <xf numFmtId="0" fontId="22" fillId="0" borderId="0" xfId="3" applyFont="1" applyFill="1" applyBorder="1"/>
    <xf numFmtId="0" fontId="23" fillId="0" borderId="0" xfId="3" applyFont="1" applyFill="1" applyAlignment="1">
      <alignment wrapText="1"/>
    </xf>
    <xf numFmtId="0" fontId="23" fillId="0" borderId="0" xfId="3" applyFont="1" applyFill="1" applyAlignment="1">
      <alignment horizontal="center" wrapText="1"/>
    </xf>
    <xf numFmtId="167" fontId="22" fillId="0" borderId="1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22" fillId="0" borderId="6" xfId="3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3" fillId="0" borderId="0" xfId="0" applyNumberFormat="1" applyFont="1" applyFill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right" vertical="top"/>
    </xf>
    <xf numFmtId="0" fontId="0" fillId="0" borderId="0" xfId="0" applyFill="1"/>
    <xf numFmtId="0" fontId="15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 wrapText="1"/>
    </xf>
    <xf numFmtId="49" fontId="14" fillId="0" borderId="0" xfId="0" applyNumberFormat="1" applyFont="1" applyFill="1"/>
    <xf numFmtId="0" fontId="8" fillId="0" borderId="28" xfId="0" applyFont="1" applyFill="1" applyBorder="1" applyAlignment="1">
      <alignment horizontal="right" vertical="top" wrapText="1"/>
    </xf>
    <xf numFmtId="49" fontId="18" fillId="0" borderId="28" xfId="0" applyNumberFormat="1" applyFont="1" applyFill="1" applyBorder="1" applyAlignment="1">
      <alignment horizontal="left"/>
    </xf>
    <xf numFmtId="0" fontId="8" fillId="0" borderId="28" xfId="0" applyFont="1" applyFill="1" applyBorder="1" applyAlignment="1">
      <alignment horizontal="right" vertical="top"/>
    </xf>
    <xf numFmtId="0" fontId="8" fillId="0" borderId="28" xfId="0" applyFont="1" applyFill="1" applyBorder="1" applyAlignment="1">
      <alignment horizontal="center" vertical="top"/>
    </xf>
    <xf numFmtId="0" fontId="14" fillId="0" borderId="0" xfId="0" applyFont="1" applyFill="1"/>
    <xf numFmtId="49" fontId="14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center" vertical="top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13" fillId="0" borderId="0" xfId="0" applyFont="1" applyFill="1" applyAlignment="1">
      <alignment horizontal="center" vertical="top"/>
    </xf>
    <xf numFmtId="49" fontId="19" fillId="0" borderId="0" xfId="0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27" xfId="0" applyFont="1" applyFill="1" applyBorder="1" applyAlignment="1"/>
    <xf numFmtId="0" fontId="1" fillId="0" borderId="0" xfId="0" applyFont="1" applyFill="1" applyAlignment="1"/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2" fillId="0" borderId="5" xfId="3" applyFont="1" applyFill="1" applyBorder="1" applyAlignment="1">
      <alignment vertical="center"/>
    </xf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/>
    <xf numFmtId="0" fontId="27" fillId="0" borderId="0" xfId="0" applyFont="1" applyFill="1"/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7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164" fontId="27" fillId="0" borderId="1" xfId="0" applyNumberFormat="1" applyFont="1" applyFill="1" applyBorder="1"/>
    <xf numFmtId="164" fontId="1" fillId="0" borderId="0" xfId="0" applyNumberFormat="1" applyFont="1" applyFill="1"/>
    <xf numFmtId="0" fontId="1" fillId="0" borderId="13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2" fontId="0" fillId="2" borderId="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15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/>
    </xf>
    <xf numFmtId="0" fontId="17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4" fontId="9" fillId="0" borderId="2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5" fillId="0" borderId="0" xfId="3" applyFont="1" applyFill="1" applyBorder="1" applyAlignment="1">
      <alignment horizontal="center" vertical="top"/>
    </xf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Alignment="1">
      <alignment horizontal="center"/>
    </xf>
    <xf numFmtId="0" fontId="22" fillId="0" borderId="0" xfId="3" applyFont="1" applyFill="1" applyAlignment="1">
      <alignment horizontal="left"/>
    </xf>
    <xf numFmtId="0" fontId="23" fillId="0" borderId="0" xfId="3" quotePrefix="1" applyFont="1" applyFill="1" applyBorder="1" applyAlignment="1">
      <alignment horizontal="center"/>
    </xf>
    <xf numFmtId="0" fontId="23" fillId="0" borderId="0" xfId="3" applyFont="1" applyFill="1" applyBorder="1" applyAlignment="1">
      <alignment horizontal="center"/>
    </xf>
    <xf numFmtId="0" fontId="22" fillId="0" borderId="5" xfId="3" applyFont="1" applyFill="1" applyBorder="1" applyAlignment="1">
      <alignment horizontal="center" vertical="center"/>
    </xf>
    <xf numFmtId="0" fontId="22" fillId="0" borderId="31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1" fillId="0" borderId="0" xfId="3" quotePrefix="1" applyFont="1" applyFill="1" applyAlignment="1">
      <alignment horizontal="center" vertical="top"/>
    </xf>
    <xf numFmtId="0" fontId="22" fillId="0" borderId="0" xfId="3" applyFont="1" applyFill="1" applyAlignment="1">
      <alignment horizontal="left" wrapText="1"/>
    </xf>
    <xf numFmtId="0" fontId="22" fillId="0" borderId="5" xfId="3" quotePrefix="1" applyFont="1" applyFill="1" applyBorder="1" applyAlignment="1">
      <alignment horizontal="center" vertical="center" wrapText="1"/>
    </xf>
    <xf numFmtId="0" fontId="24" fillId="0" borderId="31" xfId="3" applyFont="1" applyFill="1" applyBorder="1" applyAlignment="1">
      <alignment horizontal="center" wrapText="1"/>
    </xf>
    <xf numFmtId="0" fontId="24" fillId="0" borderId="33" xfId="3" applyFont="1" applyFill="1" applyBorder="1" applyAlignment="1">
      <alignment horizontal="center" wrapText="1"/>
    </xf>
    <xf numFmtId="0" fontId="22" fillId="0" borderId="5" xfId="3" applyFont="1" applyFill="1" applyBorder="1" applyAlignment="1">
      <alignment horizontal="center" vertical="center" wrapText="1"/>
    </xf>
    <xf numFmtId="0" fontId="22" fillId="0" borderId="31" xfId="3" applyFont="1" applyFill="1" applyBorder="1" applyAlignment="1">
      <alignment horizontal="center" vertical="center" wrapText="1"/>
    </xf>
    <xf numFmtId="0" fontId="22" fillId="0" borderId="33" xfId="3" applyFont="1" applyFill="1" applyBorder="1" applyAlignment="1">
      <alignment horizontal="center" vertical="center" wrapText="1"/>
    </xf>
    <xf numFmtId="0" fontId="22" fillId="4" borderId="23" xfId="3" applyFont="1" applyFill="1" applyBorder="1" applyAlignment="1">
      <alignment horizontal="center" vertical="center"/>
    </xf>
    <xf numFmtId="0" fontId="22" fillId="4" borderId="24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center" vertical="center"/>
    </xf>
    <xf numFmtId="0" fontId="22" fillId="0" borderId="4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/>
    </xf>
    <xf numFmtId="0" fontId="26" fillId="0" borderId="1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6" fillId="0" borderId="29" xfId="3" applyFont="1" applyFill="1" applyBorder="1" applyAlignment="1">
      <alignment horizontal="center" vertical="center"/>
    </xf>
    <xf numFmtId="0" fontId="26" fillId="0" borderId="30" xfId="3" applyFont="1" applyFill="1" applyBorder="1" applyAlignment="1">
      <alignment horizontal="center" vertical="center"/>
    </xf>
    <xf numFmtId="0" fontId="26" fillId="0" borderId="26" xfId="3" applyFont="1" applyFill="1" applyBorder="1" applyAlignment="1">
      <alignment horizontal="center" vertical="center"/>
    </xf>
    <xf numFmtId="0" fontId="26" fillId="0" borderId="28" xfId="3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center" vertical="center"/>
    </xf>
    <xf numFmtId="0" fontId="22" fillId="4" borderId="2" xfId="3" applyFont="1" applyFill="1" applyBorder="1" applyAlignment="1">
      <alignment horizontal="center" vertical="center"/>
    </xf>
    <xf numFmtId="0" fontId="22" fillId="4" borderId="3" xfId="3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top"/>
    </xf>
    <xf numFmtId="0" fontId="27" fillId="0" borderId="2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horizontal="right" vertical="center" wrapText="1"/>
    </xf>
  </cellXfs>
  <cellStyles count="6">
    <cellStyle name="Normal_Kavkaz" xfId="4"/>
    <cellStyle name="Normal_Megafon_for_Center_1Q2004_v23.12.2004_FINAL" xfId="2"/>
    <cellStyle name="Normal_POxx_AquaFon_28 12 2007 2" xfId="1"/>
    <cellStyle name="Обычный" xfId="0" builtinId="0"/>
    <cellStyle name="Обычный 2" xfId="3"/>
    <cellStyle name="Обычный 5 2" xfId="5"/>
  </cellStyles>
  <dxfs count="14">
    <dxf>
      <font>
        <color theme="0"/>
      </font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0981.70767210648" createdVersion="3" refreshedVersion="3" minRefreshableVersion="3" recordCount="589">
  <cacheSource type="worksheet">
    <worksheetSource ref="B190:G779" sheet="Материал"/>
  </cacheSource>
  <cacheFields count="6">
    <cacheField name="Авт. выключатель    1П      АВВ  16 А 6кА" numFmtId="0">
      <sharedItems count="101">
        <s v="Авт. выключатель    1П      АВВ  16 А 6кА"/>
        <s v="Авт. выключатель    3П      АВВ  16 А 6кА"/>
        <s v="Авт. выключатель    3П      АВВ  63 А 6кА"/>
        <s v="Арматура d=10мм"/>
        <s v="Бра - Linea LIGHT, модель 19*17"/>
        <s v="Ветошь"/>
        <s v="Выключатель  Легранд (встр.)"/>
        <s v="ГВЛ"/>
        <s v="ГВЛВ"/>
        <s v="ГКЛ"/>
        <s v="Гофротруба с зондом d=20 "/>
        <s v="Гофротруба с зондом d=25 "/>
        <s v="Грунтовка &quot;Бетоконтакт&quot;"/>
        <s v="Грунтовка глубокая"/>
        <s v="Дверь межкомнатная ПВХ, в сборе"/>
        <s v="Дверь металлическая входная в сборе"/>
        <s v="Дверь металлическая противопожарная, в сборе, с замком"/>
        <s v="Держатель гофротрубы d=20"/>
        <s v="Держатель гофротрубы d=25"/>
        <s v="Дифф. автомат  1П  ABB  16/0,03  "/>
        <s v="Дихтунгсбанд"/>
        <s v="Доводчик  (Dorma,TS-68)"/>
        <s v="Дюбель-гвоздь 4*20"/>
        <s v="Дюбель-гвоздь 6*40"/>
        <s v="Европодвес"/>
        <s v="Заглушка, торцевая, для плинтуса лев."/>
        <s v="Заглушка, торцевая, для плинтуса прав."/>
        <s v="Заглушка, торцевая, для подоконника"/>
        <s v="Затирка для швов (цвет уточнить)"/>
        <s v="Кабель ВВГ нг 3*1,5"/>
        <s v="Кабель ВВГнг 3*2,5"/>
        <s v="Кабель ВВГнг 5*2,6"/>
        <s v="Кабель силовой ВВГнг 5*6"/>
        <s v="Кирпич керамический"/>
        <s v="Клей для линолеума"/>
        <s v="Клей для мрамора WEBER.KOL PROFI"/>
        <s v="Клей для обоев"/>
        <s v="Клей жидкие гвозди"/>
        <s v="Клей Перлфикс"/>
        <s v="Клей плиточный"/>
        <s v="Краска Symphony EURO-Balance 12 (Цвета уточнить)"/>
        <s v="Крестики для плитки"/>
        <s v="Лампа Osram 18Вт."/>
        <s v="Линолеум п/коммерческий Tarkket"/>
        <s v="Лоток перфорированный 60*150*3000"/>
        <s v="Наливной пол"/>
        <s v="Наличник деревянный"/>
        <s v="Наличник металлический"/>
        <s v="Декоративный камень"/>
        <s v="Обои флизелиновые"/>
        <s v="Оконный блок ПВХ"/>
        <s v="Отбойники для дверей&#10;DS-0011"/>
        <s v="Пена монтажная"/>
        <s v="Пена монтажная противопожарная"/>
        <s v="Плинтус ПВХ"/>
        <s v="Плитка керамическая глазурованная 20*30, цв. Белый"/>
        <s v="Плитка керамическая Kerama marazzi"/>
        <s v="Плитка керамогранитная 30*30"/>
        <s v="Плиты минераловатные звукоизоляционные, толщ 100 мм"/>
        <s v="ПН 100/40"/>
        <s v="ПН 27/28"/>
        <s v="ПН 50/40"/>
        <s v="Подвес прямой"/>
        <s v="Подвесной потолок &quot;Армстронг&quot; в комплекте"/>
        <s v="Подоконник ПВХ шир.0,5 м."/>
        <s v="Подрозетник"/>
        <s v="Полоса 100*40*4"/>
        <s v="Порожек декоративный мет."/>
        <s v="ПП 60/27"/>
        <s v="Пресс-шайба 13"/>
        <s v="ПС 100/50"/>
        <s v="ПС 50/50"/>
        <s v="Рамка Легранд 1 мод."/>
        <s v="Рамный дюбель М10х132(ДВЕРИ)"/>
        <s v="Решетка радиаторная 600*1200 горизонтальные жалюзи "/>
        <s v="Розетка Легранд (встр.)"/>
        <s v="Саморез 25"/>
        <s v="Саморез 25 для ГВЛ"/>
        <s v="Саморез 35 для ГВЛ"/>
        <s v="Светильники люминисцентные встраиваемые 2х18"/>
        <s v="Светильники люминисцентные встраиваемые 4х18"/>
        <s v="Седенитель плинтусный"/>
        <s v="Серпянка"/>
        <s v="Сетка арматурная"/>
        <s v="Сетка шлифовальная"/>
        <s v="Скотч малярный"/>
        <s v="Споты, LINEA LIGHT, коллекция Decorative 2010, модель BIBI, стекло прозрачное, (с лампами)"/>
        <s v="Угол внутренний для плинтуса"/>
        <s v="Уголок металлический 75*75*4"/>
        <s v="Уголок ПВХ 30*30мм"/>
        <s v="Уголок перфорированный"/>
        <s v="Уголок пристенный 19*19"/>
        <s v="Хомут кабельный нейлоновый 2,5*120"/>
        <s v="ЦПС"/>
        <s v="Шпаклевка клеевая"/>
        <s v="Шпаклевка Унифлот"/>
        <s v="Шпаклевка Фугенфюллер гипсовая"/>
        <s v="Штукатурка гипсовая"/>
        <s v="Щит  встроенный/накладной  36 мод. АВВ (материал пластик)"/>
        <b v="0"/>
        <e v="#REF!"/>
      </sharedItems>
    </cacheField>
    <cacheField name="шт." numFmtId="0">
      <sharedItems containsBlank="1" count="14">
        <s v="шт."/>
        <s v="тн"/>
        <s v="кг"/>
        <s v="м2"/>
        <s v="м.п."/>
        <s v="л"/>
        <s v="бал."/>
        <s v="тн."/>
        <s v="л."/>
        <s v="рул."/>
        <s v="кг."/>
        <b v="0"/>
        <e v="#REF!"/>
        <m/>
      </sharedItems>
    </cacheField>
    <cacheField name="4" numFmtId="0">
      <sharedItems containsBlank="1" containsMixedTypes="1" containsNumber="1" minValue="1.0510500000000002E-3" maxValue="6053.85"/>
    </cacheField>
    <cacheField name="ЛОЖЬ" numFmtId="0">
      <sharedItems containsBlank="1" count="3">
        <b v="0"/>
        <e v="#REF!"/>
        <m/>
      </sharedItems>
    </cacheField>
    <cacheField name="ЛОЖЬ2" numFmtId="0">
      <sharedItems containsBlank="1"/>
    </cacheField>
    <cacheField name="192,852" numFmtId="0">
      <sharedItems containsBlank="1" containsMixedTypes="1" containsNumber="1" minValue="0.1" maxValue="5768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9">
  <r>
    <x v="0"/>
    <x v="0"/>
    <n v="4"/>
    <x v="0"/>
    <b v="0"/>
    <n v="192.852"/>
  </r>
  <r>
    <x v="1"/>
    <x v="0"/>
    <n v="1"/>
    <x v="0"/>
    <b v="0"/>
    <n v="668.32700000000011"/>
  </r>
  <r>
    <x v="2"/>
    <x v="0"/>
    <n v="1"/>
    <x v="0"/>
    <b v="0"/>
    <n v="1287.8030000000001"/>
  </r>
  <r>
    <x v="3"/>
    <x v="1"/>
    <n v="1.0510500000000002E-3"/>
    <x v="0"/>
    <b v="0"/>
    <n v="33500"/>
  </r>
  <r>
    <x v="3"/>
    <x v="1"/>
    <n v="1.4245E-3"/>
    <x v="0"/>
    <b v="0"/>
    <n v="33500"/>
  </r>
  <r>
    <x v="4"/>
    <x v="0"/>
    <n v="22"/>
    <x v="0"/>
    <b v="0"/>
    <n v="1498"/>
  </r>
  <r>
    <x v="5"/>
    <x v="2"/>
    <n v="2.5780000000000004E-3"/>
    <x v="0"/>
    <b v="0"/>
    <n v="44"/>
  </r>
  <r>
    <x v="5"/>
    <x v="2"/>
    <n v="2.415E-3"/>
    <x v="0"/>
    <b v="0"/>
    <n v="44"/>
  </r>
  <r>
    <x v="5"/>
    <x v="2"/>
    <n v="1.3580000000000003E-3"/>
    <x v="0"/>
    <b v="0"/>
    <n v="44"/>
  </r>
  <r>
    <x v="5"/>
    <x v="2"/>
    <n v="2.5440900000000002E-2"/>
    <x v="0"/>
    <b v="0"/>
    <n v="44"/>
  </r>
  <r>
    <x v="5"/>
    <x v="2"/>
    <n v="1.4831250000000001E-3"/>
    <x v="0"/>
    <b v="0"/>
    <n v="44"/>
  </r>
  <r>
    <x v="5"/>
    <x v="2"/>
    <n v="2.336E-3"/>
    <x v="0"/>
    <b v="0"/>
    <n v="44"/>
  </r>
  <r>
    <x v="5"/>
    <x v="2"/>
    <n v="2.2268025E-2"/>
    <x v="0"/>
    <b v="0"/>
    <n v="44"/>
  </r>
  <r>
    <x v="5"/>
    <x v="2"/>
    <n v="7.7470000000000004E-3"/>
    <x v="0"/>
    <b v="0"/>
    <n v="44"/>
  </r>
  <r>
    <x v="5"/>
    <x v="2"/>
    <n v="1.1050000000000001E-3"/>
    <x v="0"/>
    <b v="0"/>
    <n v="44"/>
  </r>
  <r>
    <x v="5"/>
    <x v="2"/>
    <n v="1.1620000000000001E-3"/>
    <x v="0"/>
    <b v="0"/>
    <n v="44"/>
  </r>
  <r>
    <x v="5"/>
    <x v="2"/>
    <n v="7.7610000000000005E-3"/>
    <x v="0"/>
    <b v="0"/>
    <n v="44"/>
  </r>
  <r>
    <x v="5"/>
    <x v="2"/>
    <n v="3.0552000000000005E-3"/>
    <x v="0"/>
    <b v="0"/>
    <n v="44"/>
  </r>
  <r>
    <x v="5"/>
    <x v="2"/>
    <n v="3.0552000000000005E-3"/>
    <x v="0"/>
    <b v="0"/>
    <n v="44"/>
  </r>
  <r>
    <x v="6"/>
    <x v="0"/>
    <n v="13"/>
    <x v="0"/>
    <b v="0"/>
    <n v="158.54300000000001"/>
  </r>
  <r>
    <x v="7"/>
    <x v="3"/>
    <n v="207.57000000000002"/>
    <x v="0"/>
    <b v="0"/>
    <n v="124.62"/>
  </r>
  <r>
    <x v="7"/>
    <x v="3"/>
    <n v="15.054900000000002"/>
    <x v="0"/>
    <b v="0"/>
    <n v="124.62"/>
  </r>
  <r>
    <x v="7"/>
    <x v="3"/>
    <n v="6.6484259999999962"/>
    <x v="0"/>
    <b v="0"/>
    <n v="124.62"/>
  </r>
  <r>
    <x v="7"/>
    <x v="3"/>
    <n v="15.387187500000001"/>
    <x v="0"/>
    <b v="0"/>
    <n v="124.62"/>
  </r>
  <r>
    <x v="8"/>
    <x v="3"/>
    <n v="30.784756000000002"/>
    <x v="0"/>
    <b v="0"/>
    <n v="124.62"/>
  </r>
  <r>
    <x v="8"/>
    <x v="3"/>
    <n v="36.059000000000005"/>
    <x v="0"/>
    <b v="0"/>
    <n v="124.62"/>
  </r>
  <r>
    <x v="9"/>
    <x v="3"/>
    <n v="25.593330000000005"/>
    <x v="0"/>
    <b v="0"/>
    <n v="101"/>
  </r>
  <r>
    <x v="9"/>
    <x v="3"/>
    <n v="25.401800000000001"/>
    <x v="0"/>
    <b v="0"/>
    <n v="101"/>
  </r>
  <r>
    <x v="10"/>
    <x v="3"/>
    <n v="415"/>
    <x v="0"/>
    <b v="0"/>
    <n v="5.4119999999999999"/>
  </r>
  <r>
    <x v="11"/>
    <x v="4"/>
    <n v="50"/>
    <x v="0"/>
    <b v="0"/>
    <n v="9.1080000000000005"/>
  </r>
  <r>
    <x v="12"/>
    <x v="2"/>
    <n v="64.207499999999996"/>
    <x v="0"/>
    <b v="0"/>
    <n v="57"/>
  </r>
  <r>
    <x v="13"/>
    <x v="5"/>
    <n v="10.200000000000001"/>
    <x v="0"/>
    <b v="0"/>
    <n v="55.6"/>
  </r>
  <r>
    <x v="13"/>
    <x v="5"/>
    <n v="2.8770800000000003"/>
    <x v="0"/>
    <b v="0"/>
    <n v="55.6"/>
  </r>
  <r>
    <x v="13"/>
    <x v="5"/>
    <n v="3.3700000000000006"/>
    <x v="0"/>
    <b v="0"/>
    <n v="55.6"/>
  </r>
  <r>
    <x v="13"/>
    <x v="5"/>
    <n v="1.407"/>
    <x v="0"/>
    <b v="0"/>
    <n v="55.6"/>
  </r>
  <r>
    <x v="13"/>
    <x v="5"/>
    <n v="0.64235999999999971"/>
    <x v="0"/>
    <b v="0"/>
    <n v="55.6"/>
  </r>
  <r>
    <x v="13"/>
    <x v="2"/>
    <n v="61.074680000000001"/>
    <x v="0"/>
    <b v="0"/>
    <n v="55.6"/>
  </r>
  <r>
    <x v="13"/>
    <x v="2"/>
    <n v="16.954000000000001"/>
    <x v="0"/>
    <b v="0"/>
    <n v="55.6"/>
  </r>
  <r>
    <x v="13"/>
    <x v="5"/>
    <n v="2.3919000000000006"/>
    <x v="0"/>
    <b v="0"/>
    <n v="55.6"/>
  </r>
  <r>
    <x v="13"/>
    <x v="5"/>
    <n v="2.3740000000000001"/>
    <x v="0"/>
    <b v="0"/>
    <n v="55.6"/>
  </r>
  <r>
    <x v="13"/>
    <x v="2"/>
    <n v="4.0856000000000003"/>
    <x v="0"/>
    <b v="0"/>
    <n v="55.6"/>
  </r>
  <r>
    <x v="14"/>
    <x v="0"/>
    <n v="8"/>
    <x v="0"/>
    <b v="0"/>
    <n v="8960"/>
  </r>
  <r>
    <x v="15"/>
    <x v="0"/>
    <n v="1"/>
    <x v="0"/>
    <b v="0"/>
    <n v="28230"/>
  </r>
  <r>
    <x v="16"/>
    <x v="0"/>
    <n v="2"/>
    <x v="0"/>
    <b v="0"/>
    <n v="18960"/>
  </r>
  <r>
    <x v="17"/>
    <x v="0"/>
    <n v="400"/>
    <x v="0"/>
    <b v="0"/>
    <n v="1.7160000000000002"/>
  </r>
  <r>
    <x v="18"/>
    <x v="0"/>
    <n v="80"/>
    <x v="0"/>
    <b v="0"/>
    <n v="2.1339999999999999"/>
  </r>
  <r>
    <x v="19"/>
    <x v="0"/>
    <n v="10"/>
    <x v="0"/>
    <b v="0"/>
    <n v="1973.4"/>
  </r>
  <r>
    <x v="20"/>
    <x v="4"/>
    <n v="61.199999999999996"/>
    <x v="0"/>
    <b v="0"/>
    <n v="8.3000000000000007"/>
  </r>
  <r>
    <x v="20"/>
    <x v="4"/>
    <n v="34.52496"/>
    <x v="0"/>
    <b v="0"/>
    <n v="8.3000000000000007"/>
  </r>
  <r>
    <x v="20"/>
    <x v="4"/>
    <n v="40.440000000000005"/>
    <x v="0"/>
    <b v="0"/>
    <n v="8.3000000000000007"/>
  </r>
  <r>
    <x v="20"/>
    <x v="4"/>
    <n v="16.884"/>
    <x v="0"/>
    <b v="0"/>
    <n v="8.3000000000000007"/>
  </r>
  <r>
    <x v="20"/>
    <x v="4"/>
    <n v="3.854159999999998"/>
    <x v="0"/>
    <b v="0"/>
    <n v="8.3000000000000007"/>
  </r>
  <r>
    <x v="20"/>
    <x v="4"/>
    <n v="28.702800000000003"/>
    <x v="0"/>
    <b v="0"/>
    <n v="8.3000000000000007"/>
  </r>
  <r>
    <x v="20"/>
    <x v="4"/>
    <n v="28.487999999999996"/>
    <x v="0"/>
    <b v="0"/>
    <n v="8.3000000000000007"/>
  </r>
  <r>
    <x v="21"/>
    <x v="0"/>
    <n v="3"/>
    <x v="0"/>
    <b v="0"/>
    <n v="1500"/>
  </r>
  <r>
    <x v="22"/>
    <x v="0"/>
    <n v="3.52"/>
    <x v="0"/>
    <b v="0"/>
    <n v="0.35"/>
  </r>
  <r>
    <x v="23"/>
    <x v="0"/>
    <n v="112.40333333333335"/>
    <x v="0"/>
    <b v="0"/>
    <n v="0.6"/>
  </r>
  <r>
    <x v="23"/>
    <x v="0"/>
    <n v="83.13"/>
    <x v="0"/>
    <b v="0"/>
    <n v="0.6"/>
  </r>
  <r>
    <x v="23"/>
    <x v="0"/>
    <n v="46.896403999999997"/>
    <x v="0"/>
    <b v="0"/>
    <n v="0.6"/>
  </r>
  <r>
    <x v="23"/>
    <x v="0"/>
    <n v="54.931000000000004"/>
    <x v="0"/>
    <b v="0"/>
    <n v="0.6"/>
  </r>
  <r>
    <x v="23"/>
    <x v="0"/>
    <n v="22.934099999999997"/>
    <x v="0"/>
    <b v="0"/>
    <n v="0.6"/>
  </r>
  <r>
    <x v="23"/>
    <x v="0"/>
    <n v="5.2352339999999975"/>
    <x v="0"/>
    <b v="0"/>
    <n v="0.6"/>
  </r>
  <r>
    <x v="23"/>
    <x v="0"/>
    <n v="48.600000000000009"/>
    <x v="0"/>
    <b v="0"/>
    <n v="0.6"/>
  </r>
  <r>
    <x v="23"/>
    <x v="0"/>
    <n v="86.4"/>
    <x v="0"/>
    <b v="0"/>
    <n v="0.6"/>
  </r>
  <r>
    <x v="23"/>
    <x v="0"/>
    <n v="35.200000000000003"/>
    <x v="0"/>
    <b v="0"/>
    <n v="0.6"/>
  </r>
  <r>
    <x v="23"/>
    <x v="0"/>
    <n v="77.01918000000002"/>
    <x v="0"/>
    <b v="0"/>
    <n v="0.6"/>
  </r>
  <r>
    <x v="23"/>
    <x v="0"/>
    <n v="76.442800000000005"/>
    <x v="0"/>
    <b v="0"/>
    <n v="0.6"/>
  </r>
  <r>
    <x v="23"/>
    <x v="0"/>
    <n v="109.0215"/>
    <x v="0"/>
    <b v="0"/>
    <n v="0.6"/>
  </r>
  <r>
    <x v="23"/>
    <x v="0"/>
    <n v="4"/>
    <x v="0"/>
    <b v="0"/>
    <n v="0.6"/>
  </r>
  <r>
    <x v="23"/>
    <x v="0"/>
    <n v="400"/>
    <x v="0"/>
    <b v="0"/>
    <n v="0.6"/>
  </r>
  <r>
    <x v="24"/>
    <x v="0"/>
    <n v="24.065999999999999"/>
    <x v="0"/>
    <b v="0"/>
    <n v="8.5"/>
  </r>
  <r>
    <x v="25"/>
    <x v="0"/>
    <n v="1"/>
    <x v="0"/>
    <b v="0"/>
    <n v="7.2"/>
  </r>
  <r>
    <x v="26"/>
    <x v="0"/>
    <n v="1"/>
    <x v="0"/>
    <b v="0"/>
    <n v="7.2"/>
  </r>
  <r>
    <x v="27"/>
    <x v="0"/>
    <n v="3"/>
    <x v="0"/>
    <b v="0"/>
    <n v="34"/>
  </r>
  <r>
    <x v="28"/>
    <x v="2"/>
    <n v="12.89"/>
    <x v="0"/>
    <b v="0"/>
    <n v="63.4"/>
  </r>
  <r>
    <x v="28"/>
    <x v="2"/>
    <n v="12.074999999999999"/>
    <x v="0"/>
    <b v="0"/>
    <n v="63.4"/>
  </r>
  <r>
    <x v="28"/>
    <x v="2"/>
    <n v="38.734999999999999"/>
    <x v="0"/>
    <b v="0"/>
    <n v="63.4"/>
  </r>
  <r>
    <x v="28"/>
    <x v="2"/>
    <n v="5.5250000000000004"/>
    <x v="0"/>
    <b v="0"/>
    <n v="63.4"/>
  </r>
  <r>
    <x v="28"/>
    <x v="2"/>
    <n v="0.58100000000000007"/>
    <x v="0"/>
    <b v="0"/>
    <n v="63.4"/>
  </r>
  <r>
    <x v="28"/>
    <x v="2"/>
    <n v="3.8805000000000001"/>
    <x v="0"/>
    <b v="0"/>
    <n v="63.4"/>
  </r>
  <r>
    <x v="29"/>
    <x v="4"/>
    <n v="178.5"/>
    <x v="0"/>
    <b v="0"/>
    <n v="23.638999999999999"/>
  </r>
  <r>
    <x v="30"/>
    <x v="4"/>
    <n v="218"/>
    <x v="0"/>
    <b v="0"/>
    <n v="37.884"/>
  </r>
  <r>
    <x v="31"/>
    <x v="4"/>
    <n v="36.75"/>
    <x v="0"/>
    <b v="0"/>
    <n v="65.208000000000013"/>
  </r>
  <r>
    <x v="32"/>
    <x v="4"/>
    <n v="52.5"/>
    <x v="0"/>
    <b v="0"/>
    <n v="157.751"/>
  </r>
  <r>
    <x v="33"/>
    <x v="0"/>
    <n v="57.330000000000005"/>
    <x v="0"/>
    <b v="0"/>
    <n v="12.5"/>
  </r>
  <r>
    <x v="33"/>
    <x v="0"/>
    <n v="293.31120000000004"/>
    <x v="0"/>
    <b v="0"/>
    <n v="12.5"/>
  </r>
  <r>
    <x v="33"/>
    <x v="0"/>
    <n v="77.699999999999989"/>
    <x v="0"/>
    <b v="0"/>
    <n v="12.5"/>
  </r>
  <r>
    <x v="34"/>
    <x v="2"/>
    <n v="3.1779000000000006"/>
    <x v="0"/>
    <b v="0"/>
    <n v="119.07"/>
  </r>
  <r>
    <x v="35"/>
    <x v="2"/>
    <n v="57.036000000000008"/>
    <x v="0"/>
    <b v="0"/>
    <n v="24"/>
  </r>
  <r>
    <x v="36"/>
    <x v="2"/>
    <n v="0.8176000000000001"/>
    <x v="0"/>
    <b v="0"/>
    <n v="310"/>
  </r>
  <r>
    <x v="37"/>
    <x v="6"/>
    <n v="2.9430000000000001"/>
    <x v="0"/>
    <b v="0"/>
    <n v="210"/>
  </r>
  <r>
    <x v="37"/>
    <x v="6"/>
    <n v="3.6247499999999997"/>
    <x v="0"/>
    <b v="0"/>
    <n v="210"/>
  </r>
  <r>
    <x v="38"/>
    <x v="2"/>
    <n v="43.084125"/>
    <x v="0"/>
    <b v="0"/>
    <n v="11.17"/>
  </r>
  <r>
    <x v="39"/>
    <x v="7"/>
    <n v="0.25780000000000003"/>
    <x v="0"/>
    <b v="0"/>
    <n v="10680"/>
  </r>
  <r>
    <x v="39"/>
    <x v="7"/>
    <n v="0.24149999999999999"/>
    <x v="0"/>
    <b v="0"/>
    <n v="10680"/>
  </r>
  <r>
    <x v="39"/>
    <x v="7"/>
    <n v="0.77470000000000006"/>
    <x v="0"/>
    <b v="0"/>
    <n v="10680"/>
  </r>
  <r>
    <x v="39"/>
    <x v="7"/>
    <n v="0.11050000000000001"/>
    <x v="0"/>
    <b v="0"/>
    <n v="10680"/>
  </r>
  <r>
    <x v="39"/>
    <x v="7"/>
    <n v="2.3240000000000004E-2"/>
    <x v="0"/>
    <b v="0"/>
    <n v="10680"/>
  </r>
  <r>
    <x v="39"/>
    <x v="7"/>
    <n v="0.15522"/>
    <x v="0"/>
    <b v="0"/>
    <n v="10680"/>
  </r>
  <r>
    <x v="40"/>
    <x v="8"/>
    <n v="140.2885575"/>
    <x v="0"/>
    <b v="0"/>
    <n v="339.62"/>
  </r>
  <r>
    <x v="40"/>
    <x v="8"/>
    <n v="19.247760000000003"/>
    <x v="0"/>
    <b v="0"/>
    <n v="339.62"/>
  </r>
  <r>
    <x v="41"/>
    <x v="0"/>
    <n v="386.70000000000005"/>
    <x v="0"/>
    <b v="0"/>
    <n v="0.1"/>
  </r>
  <r>
    <x v="41"/>
    <x v="0"/>
    <n v="362.25"/>
    <x v="0"/>
    <b v="0"/>
    <n v="0.1"/>
  </r>
  <r>
    <x v="41"/>
    <x v="0"/>
    <n v="1162.05"/>
    <x v="0"/>
    <b v="0"/>
    <n v="0.1"/>
  </r>
  <r>
    <x v="41"/>
    <x v="0"/>
    <n v="165.75"/>
    <x v="0"/>
    <b v="0"/>
    <n v="0.1"/>
  </r>
  <r>
    <x v="42"/>
    <x v="0"/>
    <n v="74.800000000000011"/>
    <x v="0"/>
    <b v="0"/>
    <n v="41.183999999999997"/>
  </r>
  <r>
    <x v="43"/>
    <x v="3"/>
    <n v="6.3558000000000012"/>
    <x v="0"/>
    <b v="0"/>
    <n v="532"/>
  </r>
  <r>
    <x v="44"/>
    <x v="4"/>
    <n v="10.35"/>
    <x v="0"/>
    <b v="0"/>
    <n v="242.88000000000002"/>
  </r>
  <r>
    <x v="45"/>
    <x v="2"/>
    <n v="100.98"/>
    <x v="0"/>
    <b v="0"/>
    <n v="15.36"/>
  </r>
  <r>
    <x v="46"/>
    <x v="4"/>
    <n v="46.224000000000004"/>
    <x v="0"/>
    <b v="0"/>
    <n v="132"/>
  </r>
  <r>
    <x v="47"/>
    <x v="4"/>
    <n v="17.334000000000003"/>
    <x v="0"/>
    <b v="0"/>
    <n v="214.2"/>
  </r>
  <r>
    <x v="48"/>
    <x v="3"/>
    <n v="14.938000000000002"/>
    <x v="0"/>
    <b v="0"/>
    <n v="2400"/>
  </r>
  <r>
    <x v="49"/>
    <x v="3"/>
    <n v="26.863999999999997"/>
    <x v="0"/>
    <b v="0"/>
    <n v="124"/>
  </r>
  <r>
    <x v="50"/>
    <x v="3"/>
    <n v="18.597750000000001"/>
    <x v="0"/>
    <b v="0"/>
    <n v="3180"/>
  </r>
  <r>
    <x v="51"/>
    <x v="0"/>
    <n v="12"/>
    <x v="0"/>
    <b v="0"/>
    <n v="145"/>
  </r>
  <r>
    <x v="52"/>
    <x v="6"/>
    <n v="8"/>
    <x v="0"/>
    <b v="0"/>
    <n v="195"/>
  </r>
  <r>
    <x v="52"/>
    <x v="6"/>
    <n v="5"/>
    <x v="0"/>
    <b v="0"/>
    <n v="195"/>
  </r>
  <r>
    <x v="53"/>
    <x v="6"/>
    <n v="1"/>
    <x v="0"/>
    <b v="0"/>
    <n v="391.98"/>
  </r>
  <r>
    <x v="53"/>
    <x v="6"/>
    <n v="2"/>
    <x v="0"/>
    <b v="0"/>
    <n v="391.98"/>
  </r>
  <r>
    <x v="54"/>
    <x v="4"/>
    <n v="9.4160000000000021"/>
    <x v="0"/>
    <b v="0"/>
    <n v="66.099999999999994"/>
  </r>
  <r>
    <x v="55"/>
    <x v="3"/>
    <n v="28.358000000000004"/>
    <x v="0"/>
    <b v="0"/>
    <n v="249"/>
  </r>
  <r>
    <x v="56"/>
    <x v="3"/>
    <n v="25.840499999999999"/>
    <x v="0"/>
    <b v="0"/>
    <n v="1320"/>
  </r>
  <r>
    <x v="56"/>
    <x v="3"/>
    <n v="8.3042700000000007"/>
    <x v="0"/>
    <b v="0"/>
    <n v="1710"/>
  </r>
  <r>
    <x v="56"/>
    <x v="3"/>
    <n v="82.892899999999997"/>
    <x v="0"/>
    <b v="0"/>
    <n v="1710"/>
  </r>
  <r>
    <x v="57"/>
    <x v="3"/>
    <n v="11.602500000000001"/>
    <x v="0"/>
    <b v="0"/>
    <n v="367"/>
  </r>
  <r>
    <x v="57"/>
    <x v="3"/>
    <n v="1.3944000000000001"/>
    <x v="0"/>
    <b v="0"/>
    <n v="367"/>
  </r>
  <r>
    <x v="58"/>
    <x v="3"/>
    <n v="52.02"/>
    <x v="0"/>
    <b v="0"/>
    <n v="174.93"/>
  </r>
  <r>
    <x v="58"/>
    <x v="3"/>
    <n v="34.374000000000002"/>
    <x v="0"/>
    <b v="0"/>
    <n v="174.93"/>
  </r>
  <r>
    <x v="58"/>
    <x v="3"/>
    <n v="3.2760359999999986"/>
    <x v="0"/>
    <b v="0"/>
    <n v="174.93"/>
  </r>
  <r>
    <x v="58"/>
    <x v="3"/>
    <n v="11.22306"/>
    <x v="0"/>
    <b v="0"/>
    <n v="174.93"/>
  </r>
  <r>
    <x v="59"/>
    <x v="4"/>
    <n v="40.800000000000004"/>
    <x v="0"/>
    <b v="0"/>
    <n v="34"/>
  </r>
  <r>
    <x v="59"/>
    <x v="4"/>
    <n v="41.114000000000004"/>
    <x v="0"/>
    <b v="0"/>
    <n v="34"/>
  </r>
  <r>
    <x v="59"/>
    <x v="4"/>
    <n v="5.1388799999999977"/>
    <x v="0"/>
    <b v="0"/>
    <n v="34"/>
  </r>
  <r>
    <x v="60"/>
    <x v="4"/>
    <n v="18.291"/>
    <x v="0"/>
    <b v="0"/>
    <n v="14.7"/>
  </r>
  <r>
    <x v="60"/>
    <x v="4"/>
    <n v="63.624540000000017"/>
    <x v="0"/>
    <b v="0"/>
    <n v="14.7"/>
  </r>
  <r>
    <x v="60"/>
    <x v="4"/>
    <n v="63.148400000000002"/>
    <x v="0"/>
    <b v="0"/>
    <n v="14.7"/>
  </r>
  <r>
    <x v="61"/>
    <x v="4"/>
    <n v="35.100376000000004"/>
    <x v="0"/>
    <b v="0"/>
    <n v="27.1"/>
  </r>
  <r>
    <x v="62"/>
    <x v="0"/>
    <n v="20.139559999999999"/>
    <x v="0"/>
    <b v="0"/>
    <n v="3.5"/>
  </r>
  <r>
    <x v="62"/>
    <x v="0"/>
    <n v="23.59"/>
    <x v="0"/>
    <b v="0"/>
    <n v="3.5"/>
  </r>
  <r>
    <x v="62"/>
    <x v="0"/>
    <n v="9.8490000000000002"/>
    <x v="0"/>
    <b v="0"/>
    <n v="3.5"/>
  </r>
  <r>
    <x v="62"/>
    <x v="0"/>
    <n v="19.374390000000005"/>
    <x v="0"/>
    <b v="0"/>
    <n v="3.5"/>
  </r>
  <r>
    <x v="62"/>
    <x v="0"/>
    <n v="19.229399999999998"/>
    <x v="0"/>
    <b v="0"/>
    <n v="3.5"/>
  </r>
  <r>
    <x v="63"/>
    <x v="3"/>
    <n v="31.686900000000001"/>
    <x v="0"/>
    <b v="0"/>
    <n v="270"/>
  </r>
  <r>
    <x v="64"/>
    <x v="4"/>
    <n v="10.1043"/>
    <x v="0"/>
    <b v="0"/>
    <n v="695.5"/>
  </r>
  <r>
    <x v="65"/>
    <x v="0"/>
    <n v="22"/>
    <x v="0"/>
    <b v="0"/>
    <n v="6.8750000000000009"/>
  </r>
  <r>
    <x v="65"/>
    <x v="0"/>
    <n v="13"/>
    <x v="0"/>
    <b v="0"/>
    <n v="6.8750000000000009"/>
  </r>
  <r>
    <x v="66"/>
    <x v="7"/>
    <n v="1.7647323333333336E-2"/>
    <x v="0"/>
    <b v="0"/>
    <n v="35700"/>
  </r>
  <r>
    <x v="67"/>
    <x v="3"/>
    <n v="0.9416000000000001"/>
    <x v="0"/>
    <b v="0"/>
    <n v="120"/>
  </r>
  <r>
    <x v="68"/>
    <x v="4"/>
    <n v="35.7378"/>
    <x v="0"/>
    <b v="0"/>
    <n v="26.33"/>
  </r>
  <r>
    <x v="68"/>
    <x v="4"/>
    <n v="80.128650000000022"/>
    <x v="0"/>
    <b v="0"/>
    <n v="26.33"/>
  </r>
  <r>
    <x v="68"/>
    <x v="4"/>
    <n v="79.528999999999996"/>
    <x v="0"/>
    <b v="0"/>
    <n v="26.33"/>
  </r>
  <r>
    <x v="69"/>
    <x v="0"/>
    <n v="239.70000000000002"/>
    <x v="0"/>
    <b v="0"/>
    <n v="0.23"/>
  </r>
  <r>
    <x v="69"/>
    <x v="0"/>
    <n v="135.22276000000002"/>
    <x v="0"/>
    <b v="0"/>
    <n v="0.23"/>
  </r>
  <r>
    <x v="69"/>
    <x v="0"/>
    <n v="158.39000000000001"/>
    <x v="0"/>
    <b v="0"/>
    <n v="0.23"/>
  </r>
  <r>
    <x v="69"/>
    <x v="0"/>
    <n v="66.129000000000005"/>
    <x v="0"/>
    <b v="0"/>
    <n v="0.23"/>
  </r>
  <r>
    <x v="69"/>
    <x v="0"/>
    <n v="15.095459999999994"/>
    <x v="0"/>
    <b v="0"/>
    <n v="0.23"/>
  </r>
  <r>
    <x v="69"/>
    <x v="0"/>
    <n v="112.41930000000002"/>
    <x v="0"/>
    <b v="0"/>
    <n v="0.23"/>
  </r>
  <r>
    <x v="69"/>
    <x v="0"/>
    <n v="111.578"/>
    <x v="0"/>
    <b v="0"/>
    <n v="0.23"/>
  </r>
  <r>
    <x v="70"/>
    <x v="4"/>
    <n v="107.10000000000001"/>
    <x v="0"/>
    <b v="0"/>
    <n v="45.67"/>
  </r>
  <r>
    <x v="70"/>
    <x v="4"/>
    <n v="78.858000000000004"/>
    <x v="0"/>
    <b v="0"/>
    <n v="45.67"/>
  </r>
  <r>
    <x v="70"/>
    <x v="4"/>
    <n v="8.350679999999997"/>
    <x v="0"/>
    <b v="0"/>
    <n v="45.67"/>
  </r>
  <r>
    <x v="71"/>
    <x v="4"/>
    <n v="67.323672000000002"/>
    <x v="0"/>
    <b v="0"/>
    <n v="34.07"/>
  </r>
  <r>
    <x v="72"/>
    <x v="0"/>
    <n v="22"/>
    <x v="0"/>
    <b v="0"/>
    <n v="45.672000000000004"/>
  </r>
  <r>
    <x v="72"/>
    <x v="0"/>
    <n v="13"/>
    <x v="0"/>
    <b v="0"/>
    <n v="45.672000000000004"/>
  </r>
  <r>
    <x v="73"/>
    <x v="0"/>
    <n v="6"/>
    <x v="0"/>
    <b v="0"/>
    <n v="14"/>
  </r>
  <r>
    <x v="73"/>
    <x v="0"/>
    <n v="12"/>
    <x v="0"/>
    <b v="0"/>
    <n v="14"/>
  </r>
  <r>
    <x v="73"/>
    <x v="0"/>
    <n v="48"/>
    <x v="0"/>
    <b v="0"/>
    <n v="14"/>
  </r>
  <r>
    <x v="73"/>
    <x v="0"/>
    <n v="24"/>
    <x v="0"/>
    <b v="0"/>
    <n v="14"/>
  </r>
  <r>
    <x v="74"/>
    <x v="0"/>
    <n v="4"/>
    <x v="0"/>
    <b v="0"/>
    <n v="430"/>
  </r>
  <r>
    <x v="75"/>
    <x v="0"/>
    <n v="22"/>
    <x v="0"/>
    <b v="0"/>
    <n v="154.84700000000004"/>
  </r>
  <r>
    <x v="76"/>
    <x v="0"/>
    <n v="80"/>
    <x v="0"/>
    <b v="0"/>
    <n v="0.19"/>
  </r>
  <r>
    <x v="76"/>
    <x v="0"/>
    <n v="72.922499999999999"/>
    <x v="0"/>
    <b v="0"/>
    <n v="0.19"/>
  </r>
  <r>
    <x v="77"/>
    <x v="0"/>
    <n v="765"/>
    <x v="0"/>
    <b v="0"/>
    <n v="0.24"/>
  </r>
  <r>
    <x v="77"/>
    <x v="0"/>
    <n v="575.41600000000005"/>
    <x v="0"/>
    <b v="0"/>
    <n v="0.24"/>
  </r>
  <r>
    <x v="77"/>
    <x v="0"/>
    <n v="674"/>
    <x v="0"/>
    <b v="0"/>
    <n v="0.24"/>
  </r>
  <r>
    <x v="77"/>
    <x v="0"/>
    <n v="273.38010000000003"/>
    <x v="0"/>
    <b v="0"/>
    <n v="0.24"/>
  </r>
  <r>
    <x v="77"/>
    <x v="0"/>
    <n v="122.04839999999994"/>
    <x v="0"/>
    <b v="0"/>
    <n v="0.24"/>
  </r>
  <r>
    <x v="77"/>
    <x v="0"/>
    <n v="550.13700000000006"/>
    <x v="0"/>
    <b v="0"/>
    <n v="0.24"/>
  </r>
  <r>
    <x v="77"/>
    <x v="0"/>
    <n v="546.02"/>
    <x v="0"/>
    <b v="0"/>
    <n v="0.19"/>
  </r>
  <r>
    <x v="78"/>
    <x v="0"/>
    <n v="1938"/>
    <x v="0"/>
    <b v="0"/>
    <n v="0.26"/>
  </r>
  <r>
    <x v="79"/>
    <x v="0"/>
    <n v="2"/>
    <x v="0"/>
    <b v="0"/>
    <n v="511.50550000000004"/>
  </r>
  <r>
    <x v="80"/>
    <x v="0"/>
    <n v="16"/>
    <x v="0"/>
    <b v="0"/>
    <n v="682.04399999999998"/>
  </r>
  <r>
    <x v="81"/>
    <x v="0"/>
    <n v="4.4000000000000004"/>
    <x v="0"/>
    <b v="0"/>
    <n v="11.1"/>
  </r>
  <r>
    <x v="82"/>
    <x v="4"/>
    <n v="90.27"/>
    <x v="0"/>
    <b v="0"/>
    <n v="0.71"/>
  </r>
  <r>
    <x v="82"/>
    <x v="4"/>
    <n v="25.462158000000002"/>
    <x v="0"/>
    <b v="0"/>
    <n v="0.71"/>
  </r>
  <r>
    <x v="82"/>
    <x v="4"/>
    <n v="29.824500000000004"/>
    <x v="0"/>
    <b v="0"/>
    <n v="0.71"/>
  </r>
  <r>
    <x v="82"/>
    <x v="4"/>
    <n v="12.45195"/>
    <x v="0"/>
    <b v="0"/>
    <n v="0.71"/>
  </r>
  <r>
    <x v="82"/>
    <x v="4"/>
    <n v="5.684885999999997"/>
    <x v="0"/>
    <b v="0"/>
    <n v="0.71"/>
  </r>
  <r>
    <x v="82"/>
    <x v="4"/>
    <n v="9.2323125000000008"/>
    <x v="0"/>
    <b v="0"/>
    <n v="0.71"/>
  </r>
  <r>
    <x v="82"/>
    <x v="4"/>
    <n v="21.168315000000003"/>
    <x v="0"/>
    <b v="0"/>
    <n v="0.71"/>
  </r>
  <r>
    <x v="82"/>
    <x v="4"/>
    <n v="21.009899999999998"/>
    <x v="0"/>
    <b v="0"/>
    <n v="0.71"/>
  </r>
  <r>
    <x v="83"/>
    <x v="1"/>
    <n v="2.9429400000000002E-3"/>
    <x v="0"/>
    <b v="0"/>
    <n v="57680"/>
  </r>
  <r>
    <x v="83"/>
    <x v="1"/>
    <n v="3.3877443600000006E-3"/>
    <x v="0"/>
    <b v="0"/>
    <n v="57680"/>
  </r>
  <r>
    <x v="83"/>
    <x v="1"/>
    <n v="3.9885999999999993E-3"/>
    <x v="0"/>
    <b v="0"/>
    <n v="57680"/>
  </r>
  <r>
    <x v="83"/>
    <x v="7"/>
    <n v="5.3280000000000001E-2"/>
    <x v="0"/>
    <b v="0"/>
    <n v="57680"/>
  </r>
  <r>
    <x v="84"/>
    <x v="3"/>
    <n v="7.6322700000000001"/>
    <x v="0"/>
    <b v="0"/>
    <n v="72.400000000000006"/>
  </r>
  <r>
    <x v="84"/>
    <x v="3"/>
    <n v="0.44493749999999999"/>
    <x v="0"/>
    <b v="0"/>
    <n v="72.400000000000006"/>
  </r>
  <r>
    <x v="84"/>
    <x v="3"/>
    <n v="0.91656000000000004"/>
    <x v="0"/>
    <b v="0"/>
    <n v="72.400000000000006"/>
  </r>
  <r>
    <x v="85"/>
    <x v="9"/>
    <n v="14.02885575"/>
    <x v="0"/>
    <b v="0"/>
    <n v="65.8"/>
  </r>
  <r>
    <x v="85"/>
    <x v="9"/>
    <n v="1.9247760000000005"/>
    <x v="0"/>
    <b v="0"/>
    <n v="65.8"/>
  </r>
  <r>
    <x v="86"/>
    <x v="0"/>
    <n v="42"/>
    <x v="0"/>
    <b v="0"/>
    <n v="3700"/>
  </r>
  <r>
    <x v="87"/>
    <x v="0"/>
    <n v="4"/>
    <x v="0"/>
    <b v="0"/>
    <n v="12"/>
  </r>
  <r>
    <x v="88"/>
    <x v="7"/>
    <n v="0.47931029400000014"/>
    <x v="0"/>
    <b v="0"/>
    <n v="31500"/>
  </r>
  <r>
    <x v="89"/>
    <x v="4"/>
    <n v="24.889949999999999"/>
    <x v="0"/>
    <b v="0"/>
    <n v="11.5"/>
  </r>
  <r>
    <x v="90"/>
    <x v="2"/>
    <n v="81.205200000000005"/>
    <x v="0"/>
    <b v="0"/>
    <n v="7.3"/>
  </r>
  <r>
    <x v="90"/>
    <x v="2"/>
    <n v="39.830100000000002"/>
    <x v="0"/>
    <b v="0"/>
    <n v="7.3"/>
  </r>
  <r>
    <x v="91"/>
    <x v="4"/>
    <n v="48.615000000000002"/>
    <x v="0"/>
    <b v="0"/>
    <n v="14.7"/>
  </r>
  <r>
    <x v="92"/>
    <x v="0"/>
    <n v="100"/>
    <x v="0"/>
    <b v="0"/>
    <n v="0.87526999999999999"/>
  </r>
  <r>
    <x v="93"/>
    <x v="7"/>
    <n v="8.8861500000000024E-2"/>
    <x v="0"/>
    <b v="0"/>
    <n v="5800"/>
  </r>
  <r>
    <x v="93"/>
    <x v="7"/>
    <n v="0.32733529920000004"/>
    <x v="0"/>
    <b v="0"/>
    <n v="5800"/>
  </r>
  <r>
    <x v="93"/>
    <x v="7"/>
    <n v="0.12043500000000001"/>
    <x v="0"/>
    <b v="0"/>
    <n v="5800"/>
  </r>
  <r>
    <x v="93"/>
    <x v="7"/>
    <n v="1.7205000000000001"/>
    <x v="0"/>
    <b v="0"/>
    <n v="5800"/>
  </r>
  <r>
    <x v="93"/>
    <x v="7"/>
    <n v="4.8242606999999991"/>
    <x v="0"/>
    <b v="0"/>
    <n v="5800"/>
  </r>
  <r>
    <x v="94"/>
    <x v="10"/>
    <n v="508.81800000000004"/>
    <x v="0"/>
    <b v="0"/>
    <n v="22.56"/>
  </r>
  <r>
    <x v="94"/>
    <x v="10"/>
    <n v="29.662500000000001"/>
    <x v="0"/>
    <b v="0"/>
    <n v="22.56"/>
  </r>
  <r>
    <x v="94"/>
    <x v="10"/>
    <n v="61.104000000000006"/>
    <x v="0"/>
    <b v="0"/>
    <n v="22.56"/>
  </r>
  <r>
    <x v="95"/>
    <x v="2"/>
    <n v="10.709999999999999"/>
    <x v="0"/>
    <b v="0"/>
    <n v="48.8"/>
  </r>
  <r>
    <x v="95"/>
    <x v="2"/>
    <n v="1.4385400000000002"/>
    <x v="0"/>
    <b v="0"/>
    <n v="48.8"/>
  </r>
  <r>
    <x v="95"/>
    <x v="2"/>
    <n v="1.6850000000000003"/>
    <x v="0"/>
    <b v="0"/>
    <n v="48.8"/>
  </r>
  <r>
    <x v="95"/>
    <x v="2"/>
    <n v="0.70350000000000001"/>
    <x v="0"/>
    <b v="0"/>
    <n v="48.8"/>
  </r>
  <r>
    <x v="95"/>
    <x v="2"/>
    <n v="0.32117999999999985"/>
    <x v="0"/>
    <b v="0"/>
    <n v="48.8"/>
  </r>
  <r>
    <x v="95"/>
    <x v="2"/>
    <n v="0.95676000000000017"/>
    <x v="0"/>
    <b v="0"/>
    <n v="48.8"/>
  </r>
  <r>
    <x v="95"/>
    <x v="2"/>
    <n v="0.9496"/>
    <x v="0"/>
    <b v="0"/>
    <n v="48.8"/>
  </r>
  <r>
    <x v="96"/>
    <x v="2"/>
    <n v="76.5"/>
    <x v="0"/>
    <b v="0"/>
    <n v="15"/>
  </r>
  <r>
    <x v="96"/>
    <x v="2"/>
    <n v="11.508320000000001"/>
    <x v="0"/>
    <b v="0"/>
    <n v="15"/>
  </r>
  <r>
    <x v="96"/>
    <x v="2"/>
    <n v="13.480000000000002"/>
    <x v="0"/>
    <b v="0"/>
    <n v="15"/>
  </r>
  <r>
    <x v="96"/>
    <x v="2"/>
    <n v="9.8490000000000002"/>
    <x v="0"/>
    <b v="0"/>
    <n v="15"/>
  </r>
  <r>
    <x v="96"/>
    <x v="2"/>
    <n v="2.473085999999999"/>
    <x v="0"/>
    <b v="0"/>
    <n v="15"/>
  </r>
  <r>
    <x v="96"/>
    <x v="2"/>
    <n v="3.0774375000000003"/>
    <x v="0"/>
    <b v="0"/>
    <n v="15"/>
  </r>
  <r>
    <x v="96"/>
    <x v="2"/>
    <n v="16.743300000000001"/>
    <x v="0"/>
    <b v="0"/>
    <n v="15"/>
  </r>
  <r>
    <x v="96"/>
    <x v="2"/>
    <n v="16.617999999999999"/>
    <x v="0"/>
    <b v="0"/>
    <n v="15"/>
  </r>
  <r>
    <x v="97"/>
    <x v="2"/>
    <n v="6053.85"/>
    <x v="0"/>
    <b v="0"/>
    <n v="11.2"/>
  </r>
  <r>
    <x v="97"/>
    <x v="2"/>
    <n v="16.802499999999998"/>
    <x v="0"/>
    <b v="0"/>
    <n v="11.2"/>
  </r>
  <r>
    <x v="97"/>
    <x v="2"/>
    <n v="52"/>
    <x v="0"/>
    <b v="0"/>
    <n v="11.2"/>
  </r>
  <r>
    <x v="97"/>
    <x v="2"/>
    <n v="23.652000000000001"/>
    <x v="0"/>
    <b v="0"/>
    <n v="11.2"/>
  </r>
  <r>
    <x v="97"/>
    <x v="2"/>
    <n v="11.601000000000001"/>
    <x v="0"/>
    <b v="0"/>
    <n v="11.2"/>
  </r>
  <r>
    <x v="97"/>
    <x v="2"/>
    <n v="42.94"/>
    <x v="0"/>
    <b v="0"/>
    <n v="11.2"/>
  </r>
  <r>
    <x v="98"/>
    <x v="0"/>
    <n v="1"/>
    <x v="0"/>
    <b v="0"/>
    <n v="2884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100"/>
    <x v="12"/>
    <e v="#REF!"/>
    <x v="1"/>
    <e v="#REF!"/>
    <e v="#REF!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1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b v="0"/>
    <x v="0"/>
    <b v="0"/>
    <b v="0"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  <r>
    <x v="99"/>
    <x v="13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1" applyNumberFormats="0" applyBorderFormats="0" applyFontFormats="0" applyPatternFormats="0" applyAlignmentFormats="0" applyWidthHeightFormats="1" dataCaption="Значения" updatedVersion="3" minRefreshableVersion="3" showCalcMbrs="0" showDrill="0" useAutoFormatting="1" rowGrandTotals="0" colGrandTotals="0" itemPrintTitles="1" createdVersion="3" indent="0" showHeaders="0" compact="0" compactData="0" gridDropZones="1" customListSort="0">
  <location ref="B781:E987" firstHeaderRow="1" firstDataRow="2" firstDataCol="2"/>
  <pivotFields count="6">
    <pivotField axis="axisRow" compact="0" outline="0" subtotalTop="0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48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6"/>
        <item x="55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axis="axisRow" compact="0" outline="0" showAll="0" includeNewItemsInFilter="1" defaultSubtotal="0">
      <items count="14">
        <item x="6"/>
        <item x="2"/>
        <item x="10"/>
        <item x="5"/>
        <item x="8"/>
        <item x="4"/>
        <item x="3"/>
        <item x="9"/>
        <item x="1"/>
        <item x="7"/>
        <item x="0"/>
        <item x="11"/>
        <item x="12"/>
        <item x="13"/>
      </items>
    </pivotField>
    <pivotField dataField="1" compact="0" outline="0" showAll="0"/>
    <pivotField compact="0" outline="0" showAll="0"/>
    <pivotField compact="0" outline="0" showAll="0"/>
    <pivotField dataField="1" compact="0" outline="0" showAll="0"/>
  </pivotFields>
  <rowFields count="2">
    <field x="0"/>
    <field x="1"/>
  </rowFields>
  <rowItems count="205">
    <i>
      <x/>
      <x v="10"/>
    </i>
    <i t="default">
      <x/>
    </i>
    <i>
      <x v="1"/>
      <x v="10"/>
    </i>
    <i t="default">
      <x v="1"/>
    </i>
    <i>
      <x v="2"/>
      <x v="10"/>
    </i>
    <i t="default">
      <x v="2"/>
    </i>
    <i>
      <x v="3"/>
      <x v="8"/>
    </i>
    <i t="default">
      <x v="3"/>
    </i>
    <i>
      <x v="4"/>
      <x v="10"/>
    </i>
    <i t="default">
      <x v="4"/>
    </i>
    <i>
      <x v="5"/>
      <x v="1"/>
    </i>
    <i t="default">
      <x v="5"/>
    </i>
    <i>
      <x v="6"/>
      <x v="10"/>
    </i>
    <i t="default">
      <x v="6"/>
    </i>
    <i>
      <x v="7"/>
      <x v="6"/>
    </i>
    <i t="default">
      <x v="7"/>
    </i>
    <i>
      <x v="8"/>
      <x v="6"/>
    </i>
    <i t="default">
      <x v="8"/>
    </i>
    <i>
      <x v="9"/>
      <x v="6"/>
    </i>
    <i t="default">
      <x v="9"/>
    </i>
    <i>
      <x v="10"/>
      <x v="6"/>
    </i>
    <i t="default">
      <x v="10"/>
    </i>
    <i>
      <x v="11"/>
      <x v="5"/>
    </i>
    <i t="default">
      <x v="11"/>
    </i>
    <i>
      <x v="12"/>
      <x v="1"/>
    </i>
    <i t="default">
      <x v="12"/>
    </i>
    <i>
      <x v="13"/>
      <x v="1"/>
    </i>
    <i r="1">
      <x v="3"/>
    </i>
    <i t="default">
      <x v="13"/>
    </i>
    <i>
      <x v="14"/>
      <x v="10"/>
    </i>
    <i t="default">
      <x v="14"/>
    </i>
    <i>
      <x v="15"/>
      <x v="10"/>
    </i>
    <i t="default">
      <x v="15"/>
    </i>
    <i>
      <x v="16"/>
      <x v="10"/>
    </i>
    <i t="default">
      <x v="16"/>
    </i>
    <i>
      <x v="17"/>
      <x v="6"/>
    </i>
    <i t="default">
      <x v="17"/>
    </i>
    <i>
      <x v="18"/>
      <x v="10"/>
    </i>
    <i t="default">
      <x v="18"/>
    </i>
    <i>
      <x v="19"/>
      <x v="10"/>
    </i>
    <i t="default">
      <x v="19"/>
    </i>
    <i>
      <x v="20"/>
      <x v="10"/>
    </i>
    <i t="default">
      <x v="20"/>
    </i>
    <i>
      <x v="21"/>
      <x v="5"/>
    </i>
    <i t="default">
      <x v="21"/>
    </i>
    <i>
      <x v="22"/>
      <x v="10"/>
    </i>
    <i t="default">
      <x v="22"/>
    </i>
    <i>
      <x v="23"/>
      <x v="10"/>
    </i>
    <i t="default">
      <x v="23"/>
    </i>
    <i>
      <x v="24"/>
      <x v="10"/>
    </i>
    <i t="default">
      <x v="24"/>
    </i>
    <i>
      <x v="25"/>
      <x v="10"/>
    </i>
    <i t="default">
      <x v="25"/>
    </i>
    <i>
      <x v="26"/>
      <x v="10"/>
    </i>
    <i t="default">
      <x v="26"/>
    </i>
    <i>
      <x v="27"/>
      <x v="10"/>
    </i>
    <i t="default">
      <x v="27"/>
    </i>
    <i>
      <x v="28"/>
      <x v="10"/>
    </i>
    <i t="default">
      <x v="28"/>
    </i>
    <i>
      <x v="29"/>
      <x v="1"/>
    </i>
    <i t="default">
      <x v="29"/>
    </i>
    <i>
      <x v="30"/>
      <x v="5"/>
    </i>
    <i t="default">
      <x v="30"/>
    </i>
    <i>
      <x v="31"/>
      <x v="5"/>
    </i>
    <i t="default">
      <x v="31"/>
    </i>
    <i>
      <x v="32"/>
      <x v="5"/>
    </i>
    <i t="default">
      <x v="32"/>
    </i>
    <i>
      <x v="33"/>
      <x v="5"/>
    </i>
    <i t="default">
      <x v="33"/>
    </i>
    <i>
      <x v="34"/>
      <x v="10"/>
    </i>
    <i t="default">
      <x v="34"/>
    </i>
    <i>
      <x v="35"/>
      <x v="1"/>
    </i>
    <i t="default">
      <x v="35"/>
    </i>
    <i>
      <x v="36"/>
      <x v="1"/>
    </i>
    <i t="default">
      <x v="36"/>
    </i>
    <i>
      <x v="37"/>
      <x v="1"/>
    </i>
    <i t="default">
      <x v="37"/>
    </i>
    <i>
      <x v="38"/>
      <x/>
    </i>
    <i t="default">
      <x v="38"/>
    </i>
    <i>
      <x v="39"/>
      <x v="1"/>
    </i>
    <i t="default">
      <x v="39"/>
    </i>
    <i>
      <x v="40"/>
      <x v="9"/>
    </i>
    <i t="default">
      <x v="40"/>
    </i>
    <i>
      <x v="41"/>
      <x v="4"/>
    </i>
    <i t="default">
      <x v="41"/>
    </i>
    <i>
      <x v="42"/>
      <x v="10"/>
    </i>
    <i t="default">
      <x v="42"/>
    </i>
    <i>
      <x v="43"/>
      <x v="10"/>
    </i>
    <i t="default">
      <x v="43"/>
    </i>
    <i>
      <x v="44"/>
      <x v="6"/>
    </i>
    <i t="default">
      <x v="44"/>
    </i>
    <i>
      <x v="45"/>
      <x v="5"/>
    </i>
    <i t="default">
      <x v="45"/>
    </i>
    <i>
      <x v="46"/>
      <x v="1"/>
    </i>
    <i t="default">
      <x v="46"/>
    </i>
    <i>
      <x v="47"/>
      <x v="5"/>
    </i>
    <i t="default">
      <x v="47"/>
    </i>
    <i>
      <x v="48"/>
      <x v="5"/>
    </i>
    <i t="default">
      <x v="48"/>
    </i>
    <i>
      <x v="49"/>
      <x v="6"/>
    </i>
    <i t="default">
      <x v="49"/>
    </i>
    <i>
      <x v="50"/>
      <x v="6"/>
    </i>
    <i t="default">
      <x v="50"/>
    </i>
    <i>
      <x v="51"/>
      <x v="10"/>
    </i>
    <i t="default">
      <x v="51"/>
    </i>
    <i>
      <x v="52"/>
      <x/>
    </i>
    <i t="default">
      <x v="52"/>
    </i>
    <i>
      <x v="53"/>
      <x/>
    </i>
    <i t="default">
      <x v="53"/>
    </i>
    <i>
      <x v="54"/>
      <x v="5"/>
    </i>
    <i t="default">
      <x v="54"/>
    </i>
    <i>
      <x v="55"/>
      <x v="6"/>
    </i>
    <i t="default">
      <x v="55"/>
    </i>
    <i>
      <x v="56"/>
      <x v="6"/>
    </i>
    <i t="default">
      <x v="56"/>
    </i>
    <i>
      <x v="57"/>
      <x v="6"/>
    </i>
    <i t="default">
      <x v="57"/>
    </i>
    <i>
      <x v="58"/>
      <x v="6"/>
    </i>
    <i t="default">
      <x v="58"/>
    </i>
    <i>
      <x v="59"/>
      <x v="5"/>
    </i>
    <i t="default">
      <x v="59"/>
    </i>
    <i>
      <x v="60"/>
      <x v="5"/>
    </i>
    <i t="default">
      <x v="60"/>
    </i>
    <i>
      <x v="61"/>
      <x v="5"/>
    </i>
    <i t="default">
      <x v="61"/>
    </i>
    <i>
      <x v="62"/>
      <x v="10"/>
    </i>
    <i t="default">
      <x v="62"/>
    </i>
    <i>
      <x v="63"/>
      <x v="6"/>
    </i>
    <i t="default">
      <x v="63"/>
    </i>
    <i>
      <x v="64"/>
      <x v="5"/>
    </i>
    <i t="default">
      <x v="64"/>
    </i>
    <i>
      <x v="65"/>
      <x v="10"/>
    </i>
    <i t="default">
      <x v="65"/>
    </i>
    <i>
      <x v="66"/>
      <x v="9"/>
    </i>
    <i t="default">
      <x v="66"/>
    </i>
    <i>
      <x v="67"/>
      <x v="6"/>
    </i>
    <i t="default">
      <x v="67"/>
    </i>
    <i>
      <x v="68"/>
      <x v="5"/>
    </i>
    <i t="default">
      <x v="68"/>
    </i>
    <i>
      <x v="69"/>
      <x v="10"/>
    </i>
    <i t="default">
      <x v="69"/>
    </i>
    <i>
      <x v="70"/>
      <x v="5"/>
    </i>
    <i t="default">
      <x v="70"/>
    </i>
    <i>
      <x v="71"/>
      <x v="5"/>
    </i>
    <i t="default">
      <x v="71"/>
    </i>
    <i>
      <x v="72"/>
      <x v="10"/>
    </i>
    <i t="default">
      <x v="72"/>
    </i>
    <i>
      <x v="73"/>
      <x v="10"/>
    </i>
    <i t="default">
      <x v="73"/>
    </i>
    <i>
      <x v="74"/>
      <x v="10"/>
    </i>
    <i t="default">
      <x v="74"/>
    </i>
    <i>
      <x v="75"/>
      <x v="10"/>
    </i>
    <i t="default">
      <x v="75"/>
    </i>
    <i>
      <x v="76"/>
      <x v="10"/>
    </i>
    <i t="default">
      <x v="76"/>
    </i>
    <i>
      <x v="77"/>
      <x v="10"/>
    </i>
    <i t="default">
      <x v="77"/>
    </i>
    <i>
      <x v="78"/>
      <x v="10"/>
    </i>
    <i t="default">
      <x v="78"/>
    </i>
    <i>
      <x v="79"/>
      <x v="10"/>
    </i>
    <i t="default">
      <x v="79"/>
    </i>
    <i>
      <x v="80"/>
      <x v="10"/>
    </i>
    <i t="default">
      <x v="80"/>
    </i>
    <i>
      <x v="81"/>
      <x v="10"/>
    </i>
    <i t="default">
      <x v="81"/>
    </i>
    <i>
      <x v="82"/>
      <x v="5"/>
    </i>
    <i t="default">
      <x v="82"/>
    </i>
    <i>
      <x v="83"/>
      <x v="8"/>
    </i>
    <i r="1">
      <x v="9"/>
    </i>
    <i t="default">
      <x v="83"/>
    </i>
    <i>
      <x v="84"/>
      <x v="6"/>
    </i>
    <i t="default">
      <x v="84"/>
    </i>
    <i>
      <x v="85"/>
      <x v="7"/>
    </i>
    <i t="default">
      <x v="85"/>
    </i>
    <i>
      <x v="86"/>
      <x v="10"/>
    </i>
    <i t="default">
      <x v="86"/>
    </i>
    <i>
      <x v="87"/>
      <x v="10"/>
    </i>
    <i t="default">
      <x v="87"/>
    </i>
    <i>
      <x v="88"/>
      <x v="9"/>
    </i>
    <i t="default">
      <x v="88"/>
    </i>
    <i>
      <x v="89"/>
      <x v="5"/>
    </i>
    <i t="default">
      <x v="89"/>
    </i>
    <i>
      <x v="90"/>
      <x v="1"/>
    </i>
    <i t="default">
      <x v="90"/>
    </i>
    <i>
      <x v="91"/>
      <x v="5"/>
    </i>
    <i t="default">
      <x v="91"/>
    </i>
    <i>
      <x v="92"/>
      <x v="10"/>
    </i>
    <i t="default">
      <x v="92"/>
    </i>
    <i>
      <x v="93"/>
      <x v="9"/>
    </i>
    <i t="default">
      <x v="93"/>
    </i>
    <i>
      <x v="94"/>
      <x v="2"/>
    </i>
    <i t="default">
      <x v="94"/>
    </i>
    <i>
      <x v="95"/>
      <x v="1"/>
    </i>
    <i t="default">
      <x v="95"/>
    </i>
    <i>
      <x v="96"/>
      <x v="1"/>
    </i>
    <i t="default">
      <x v="96"/>
    </i>
    <i>
      <x v="97"/>
      <x v="1"/>
    </i>
    <i t="default">
      <x v="97"/>
    </i>
    <i>
      <x v="98"/>
      <x v="10"/>
    </i>
    <i t="default">
      <x v="98"/>
    </i>
    <i>
      <x v="99"/>
      <x v="11"/>
    </i>
    <i r="1">
      <x v="13"/>
    </i>
    <i t="default">
      <x v="99"/>
    </i>
    <i>
      <x v="100"/>
      <x v="12"/>
    </i>
    <i t="default">
      <x v="100"/>
    </i>
  </rowItems>
  <colFields count="1">
    <field x="-2"/>
  </colFields>
  <colItems count="2">
    <i>
      <x/>
    </i>
    <i i="1">
      <x v="1"/>
    </i>
  </colItems>
  <dataFields count="2">
    <dataField name="Сумма по полю 4" fld="2" baseField="0" baseItem="0"/>
    <dataField name="Сумма по полю 192,852" fld="5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21"/>
  <sheetViews>
    <sheetView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C65" sqref="C65"/>
    </sheetView>
  </sheetViews>
  <sheetFormatPr defaultRowHeight="15"/>
  <cols>
    <col min="1" max="1" width="4.28515625" style="4" customWidth="1"/>
    <col min="2" max="2" width="41.7109375" style="10" customWidth="1"/>
    <col min="3" max="5" width="9.140625" style="4"/>
    <col min="6" max="6" width="9.85546875" style="4" customWidth="1"/>
    <col min="7" max="7" width="9.5703125" style="4" customWidth="1"/>
    <col min="8" max="16384" width="9.140625" style="4"/>
  </cols>
  <sheetData>
    <row r="1" spans="2:16" ht="15.75" thickTop="1">
      <c r="B1" s="201" t="s">
        <v>14</v>
      </c>
      <c r="C1" s="203" t="s">
        <v>15</v>
      </c>
      <c r="D1" s="203" t="s">
        <v>16</v>
      </c>
      <c r="E1" s="205" t="s">
        <v>17</v>
      </c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6"/>
    </row>
    <row r="2" spans="2:16" s="5" customFormat="1" ht="33.75" customHeight="1" thickBot="1">
      <c r="B2" s="202"/>
      <c r="C2" s="204"/>
      <c r="D2" s="204"/>
      <c r="E2" s="2" t="s">
        <v>4</v>
      </c>
      <c r="F2" s="2" t="s">
        <v>219</v>
      </c>
      <c r="G2" s="2" t="s">
        <v>73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16" t="s">
        <v>13</v>
      </c>
    </row>
    <row r="3" spans="2:16" s="5" customFormat="1" ht="20.25" customHeight="1" thickTop="1" thickBot="1">
      <c r="B3" s="189" t="s">
        <v>18</v>
      </c>
      <c r="C3" s="190"/>
      <c r="D3" s="190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2:16" s="62" customFormat="1" ht="30.75" thickTop="1">
      <c r="B4" s="58" t="s">
        <v>206</v>
      </c>
      <c r="C4" s="44" t="s">
        <v>22</v>
      </c>
      <c r="D4" s="59">
        <f t="shared" ref="D4:D21" si="0">SUM(E4:P4)</f>
        <v>3</v>
      </c>
      <c r="E4" s="60"/>
      <c r="F4" s="60"/>
      <c r="G4" s="60"/>
      <c r="H4" s="60">
        <v>1</v>
      </c>
      <c r="I4" s="60"/>
      <c r="J4" s="191">
        <v>1</v>
      </c>
      <c r="K4" s="192"/>
      <c r="L4" s="60">
        <v>1</v>
      </c>
      <c r="M4" s="60"/>
      <c r="N4" s="60"/>
      <c r="O4" s="60"/>
      <c r="P4" s="61"/>
    </row>
    <row r="5" spans="2:16" s="62" customFormat="1" ht="60">
      <c r="B5" s="58" t="s">
        <v>203</v>
      </c>
      <c r="C5" s="44" t="s">
        <v>22</v>
      </c>
      <c r="D5" s="59">
        <f>SUM(E5:P5)</f>
        <v>3</v>
      </c>
      <c r="E5" s="191">
        <v>3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</row>
    <row r="6" spans="2:16" s="62" customFormat="1" ht="60">
      <c r="B6" s="58" t="s">
        <v>204</v>
      </c>
      <c r="C6" s="44" t="s">
        <v>22</v>
      </c>
      <c r="D6" s="59">
        <f t="shared" si="0"/>
        <v>11</v>
      </c>
      <c r="E6" s="191">
        <v>11</v>
      </c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</row>
    <row r="7" spans="2:16" s="62" customFormat="1" ht="60">
      <c r="B7" s="58" t="s">
        <v>201</v>
      </c>
      <c r="C7" s="44" t="s">
        <v>22</v>
      </c>
      <c r="D7" s="59">
        <f t="shared" si="0"/>
        <v>4</v>
      </c>
      <c r="E7" s="191">
        <v>4</v>
      </c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200"/>
    </row>
    <row r="8" spans="2:16" s="62" customFormat="1" ht="60">
      <c r="B8" s="58" t="s">
        <v>205</v>
      </c>
      <c r="C8" s="44" t="s">
        <v>22</v>
      </c>
      <c r="D8" s="59">
        <f t="shared" si="0"/>
        <v>6</v>
      </c>
      <c r="E8" s="191">
        <v>6</v>
      </c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0"/>
    </row>
    <row r="9" spans="2:16" s="62" customFormat="1" ht="60">
      <c r="B9" s="58" t="s">
        <v>202</v>
      </c>
      <c r="C9" s="44" t="s">
        <v>22</v>
      </c>
      <c r="D9" s="59">
        <f t="shared" si="0"/>
        <v>2</v>
      </c>
      <c r="E9" s="191">
        <v>2</v>
      </c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200"/>
    </row>
    <row r="10" spans="2:16" s="62" customFormat="1">
      <c r="B10" s="58" t="s">
        <v>64</v>
      </c>
      <c r="C10" s="44" t="s">
        <v>1</v>
      </c>
      <c r="D10" s="59">
        <f t="shared" si="0"/>
        <v>1.1055999999999999</v>
      </c>
      <c r="E10" s="60"/>
      <c r="F10" s="60"/>
      <c r="G10" s="60">
        <f>0.25*1.64*3-0.71+0.25*2.1</f>
        <v>1.0449999999999999</v>
      </c>
      <c r="H10" s="60"/>
      <c r="I10" s="60"/>
      <c r="J10" s="60">
        <f>1.01*0.12*0.5</f>
        <v>6.0600000000000001E-2</v>
      </c>
      <c r="K10" s="60"/>
      <c r="L10" s="60"/>
      <c r="M10" s="60"/>
      <c r="N10" s="60"/>
      <c r="O10" s="60"/>
      <c r="P10" s="61"/>
    </row>
    <row r="11" spans="2:16" s="62" customFormat="1">
      <c r="B11" s="193" t="s">
        <v>25</v>
      </c>
      <c r="C11" s="195" t="s">
        <v>24</v>
      </c>
      <c r="D11" s="197">
        <f>SUM(E12:P12)+E11</f>
        <v>67.442000000000007</v>
      </c>
      <c r="E11" s="191">
        <f>E7*0.4*4*2+E9*0.4*4*2</f>
        <v>19.200000000000003</v>
      </c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200"/>
    </row>
    <row r="12" spans="2:16" s="62" customFormat="1">
      <c r="B12" s="194"/>
      <c r="C12" s="196"/>
      <c r="D12" s="198"/>
      <c r="E12" s="60"/>
      <c r="F12" s="60"/>
      <c r="G12" s="60">
        <f>1.5*2+2.1*4</f>
        <v>11.4</v>
      </c>
      <c r="H12" s="60"/>
      <c r="I12" s="60"/>
      <c r="J12" s="191">
        <f>1.2*2+2.1*4</f>
        <v>10.8</v>
      </c>
      <c r="K12" s="192"/>
      <c r="L12" s="60">
        <f>0.91*2.1*2</f>
        <v>3.8220000000000005</v>
      </c>
      <c r="M12" s="60"/>
      <c r="N12" s="60"/>
      <c r="O12" s="60">
        <f>3*4+(2.1*2+0.91)*2</f>
        <v>22.22</v>
      </c>
      <c r="P12" s="61"/>
    </row>
    <row r="13" spans="2:16" s="62" customFormat="1" ht="45">
      <c r="B13" s="58" t="s">
        <v>23</v>
      </c>
      <c r="C13" s="44" t="s">
        <v>0</v>
      </c>
      <c r="D13" s="59">
        <f t="shared" si="0"/>
        <v>1.9110000000000003</v>
      </c>
      <c r="E13" s="60"/>
      <c r="F13" s="60"/>
      <c r="G13" s="60"/>
      <c r="H13" s="60"/>
      <c r="I13" s="60"/>
      <c r="J13" s="60"/>
      <c r="K13" s="60">
        <f>0.91*2.1</f>
        <v>1.9110000000000003</v>
      </c>
      <c r="L13" s="60"/>
      <c r="M13" s="60"/>
      <c r="N13" s="60"/>
      <c r="O13" s="60"/>
      <c r="P13" s="61"/>
    </row>
    <row r="14" spans="2:16" s="62" customFormat="1" ht="60">
      <c r="B14" s="58" t="s">
        <v>211</v>
      </c>
      <c r="C14" s="44" t="s">
        <v>1</v>
      </c>
      <c r="D14" s="59">
        <f t="shared" si="0"/>
        <v>0.7332780000000001</v>
      </c>
      <c r="E14" s="60">
        <f>1.81*0.38*0.51</f>
        <v>0.35077800000000003</v>
      </c>
      <c r="F14" s="60"/>
      <c r="G14" s="60"/>
      <c r="H14" s="60"/>
      <c r="I14" s="60"/>
      <c r="J14" s="60"/>
      <c r="K14" s="60"/>
      <c r="L14" s="207">
        <f>0.25*0.51*3</f>
        <v>0.38250000000000001</v>
      </c>
      <c r="M14" s="207"/>
      <c r="N14" s="60"/>
      <c r="O14" s="60"/>
      <c r="P14" s="61"/>
    </row>
    <row r="15" spans="2:16" s="62" customFormat="1" ht="30">
      <c r="B15" s="58" t="s">
        <v>210</v>
      </c>
      <c r="C15" s="44" t="s">
        <v>0</v>
      </c>
      <c r="D15" s="59">
        <f t="shared" si="0"/>
        <v>2.59</v>
      </c>
      <c r="E15" s="60"/>
      <c r="F15" s="60"/>
      <c r="G15" s="60">
        <v>2.59</v>
      </c>
      <c r="H15" s="60"/>
      <c r="I15" s="60"/>
      <c r="J15" s="60"/>
      <c r="K15" s="60"/>
      <c r="L15" s="60"/>
      <c r="M15" s="60"/>
      <c r="N15" s="60"/>
      <c r="O15" s="60"/>
      <c r="P15" s="61"/>
    </row>
    <row r="16" spans="2:16" s="62" customFormat="1" ht="76.5" customHeight="1">
      <c r="B16" s="58" t="s">
        <v>3</v>
      </c>
      <c r="C16" s="44" t="s">
        <v>0</v>
      </c>
      <c r="D16" s="59">
        <f t="shared" si="0"/>
        <v>51</v>
      </c>
      <c r="E16" s="60"/>
      <c r="F16" s="60"/>
      <c r="G16" s="60"/>
      <c r="H16" s="60"/>
      <c r="I16" s="60"/>
      <c r="J16" s="60"/>
      <c r="K16" s="60"/>
      <c r="L16" s="207">
        <f>(3.07+1.64+4.55+1.87+1.48*2)*3</f>
        <v>42.269999999999996</v>
      </c>
      <c r="M16" s="207"/>
      <c r="N16" s="207"/>
      <c r="O16" s="60"/>
      <c r="P16" s="61">
        <f>2.91*3</f>
        <v>8.73</v>
      </c>
    </row>
    <row r="17" spans="2:16" s="62" customFormat="1" ht="60">
      <c r="B17" s="58" t="s">
        <v>66</v>
      </c>
      <c r="C17" s="44" t="s">
        <v>0</v>
      </c>
      <c r="D17" s="59">
        <f t="shared" si="0"/>
        <v>28.770800000000001</v>
      </c>
      <c r="E17" s="60">
        <v>2.96</v>
      </c>
      <c r="F17" s="60"/>
      <c r="G17" s="60"/>
      <c r="H17" s="60"/>
      <c r="I17" s="60">
        <f>1.76*3</f>
        <v>5.28</v>
      </c>
      <c r="J17" s="60"/>
      <c r="K17" s="60">
        <f>(2.67+1.2)*3</f>
        <v>11.61</v>
      </c>
      <c r="L17" s="60">
        <f>2.98*0.86</f>
        <v>2.5627999999999997</v>
      </c>
      <c r="M17" s="60">
        <f>2.55*0.86</f>
        <v>2.1929999999999996</v>
      </c>
      <c r="N17" s="60">
        <f>2.75*0.86</f>
        <v>2.3649999999999998</v>
      </c>
      <c r="O17" s="60"/>
      <c r="P17" s="61">
        <f>0.6*3</f>
        <v>1.7999999999999998</v>
      </c>
    </row>
    <row r="18" spans="2:16" ht="60">
      <c r="B18" s="17" t="s">
        <v>74</v>
      </c>
      <c r="C18" s="6" t="s">
        <v>0</v>
      </c>
      <c r="D18" s="7">
        <f t="shared" ref="D18" si="1">SUM(E18:P18)</f>
        <v>33.700000000000003</v>
      </c>
      <c r="E18" s="3"/>
      <c r="F18" s="43"/>
      <c r="G18" s="3"/>
      <c r="H18" s="3">
        <f>33.7</f>
        <v>33.700000000000003</v>
      </c>
      <c r="I18" s="3"/>
      <c r="J18" s="3"/>
      <c r="K18" s="3"/>
      <c r="L18" s="3"/>
      <c r="M18" s="3"/>
      <c r="N18" s="3"/>
      <c r="O18" s="3"/>
      <c r="P18" s="18"/>
    </row>
    <row r="19" spans="2:16" ht="45">
      <c r="B19" s="17" t="s">
        <v>2</v>
      </c>
      <c r="C19" s="6" t="s">
        <v>0</v>
      </c>
      <c r="D19" s="7">
        <f t="shared" si="0"/>
        <v>14.07</v>
      </c>
      <c r="E19" s="3"/>
      <c r="F19" s="43"/>
      <c r="G19" s="3"/>
      <c r="H19" s="3"/>
      <c r="I19" s="3"/>
      <c r="J19" s="3"/>
      <c r="K19" s="3"/>
      <c r="L19" s="3">
        <f>(0.73+0.24)*3</f>
        <v>2.91</v>
      </c>
      <c r="M19" s="3">
        <f>0.42*2*3</f>
        <v>2.52</v>
      </c>
      <c r="N19" s="3">
        <f>(0.42*2+0.5)*3</f>
        <v>4.0199999999999996</v>
      </c>
      <c r="O19" s="3"/>
      <c r="P19" s="18">
        <f>(0.6+0.94)*3</f>
        <v>4.62</v>
      </c>
    </row>
    <row r="20" spans="2:16">
      <c r="B20" s="17" t="s">
        <v>67</v>
      </c>
      <c r="C20" s="6" t="s">
        <v>0</v>
      </c>
      <c r="D20" s="7">
        <f t="shared" si="0"/>
        <v>14.9682</v>
      </c>
      <c r="E20" s="3"/>
      <c r="F20" s="43"/>
      <c r="G20" s="3"/>
      <c r="H20" s="3"/>
      <c r="I20" s="3"/>
      <c r="J20" s="3"/>
      <c r="K20" s="3"/>
      <c r="L20" s="3"/>
      <c r="M20" s="208">
        <f>6.06*2.47</f>
        <v>14.9682</v>
      </c>
      <c r="N20" s="209"/>
      <c r="O20" s="3"/>
      <c r="P20" s="18"/>
    </row>
    <row r="21" spans="2:16" ht="75.75" thickBot="1">
      <c r="B21" s="17" t="s">
        <v>68</v>
      </c>
      <c r="C21" s="6" t="s">
        <v>0</v>
      </c>
      <c r="D21" s="7">
        <f t="shared" si="0"/>
        <v>3.2117999999999984</v>
      </c>
      <c r="E21" s="3"/>
      <c r="F21" s="43"/>
      <c r="G21" s="3"/>
      <c r="H21" s="3"/>
      <c r="I21" s="3"/>
      <c r="J21" s="3"/>
      <c r="K21" s="3"/>
      <c r="L21" s="3"/>
      <c r="M21" s="208">
        <f>6.06*(3-2.47)</f>
        <v>3.2117999999999984</v>
      </c>
      <c r="N21" s="209"/>
      <c r="O21" s="3"/>
      <c r="P21" s="18"/>
    </row>
    <row r="22" spans="2:16" s="5" customFormat="1" ht="20.25" customHeight="1" thickTop="1" thickBot="1">
      <c r="B22" s="189" t="s">
        <v>21</v>
      </c>
      <c r="C22" s="190"/>
      <c r="D22" s="190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2:16" ht="30.75" thickTop="1">
      <c r="B23" s="17" t="s">
        <v>42</v>
      </c>
      <c r="C23" s="6" t="s">
        <v>22</v>
      </c>
      <c r="D23" s="7">
        <f t="shared" ref="D23:D31" si="2">SUM(E23:P23)</f>
        <v>2</v>
      </c>
      <c r="E23" s="3"/>
      <c r="F23" s="43"/>
      <c r="G23" s="3">
        <v>1</v>
      </c>
      <c r="H23" s="3"/>
      <c r="I23" s="3">
        <v>1</v>
      </c>
      <c r="J23" s="3"/>
      <c r="K23" s="3"/>
      <c r="L23" s="3"/>
      <c r="M23" s="3"/>
      <c r="N23" s="3"/>
      <c r="O23" s="3"/>
      <c r="P23" s="18"/>
    </row>
    <row r="24" spans="2:16">
      <c r="B24" s="17" t="s">
        <v>44</v>
      </c>
      <c r="C24" s="6" t="s">
        <v>0</v>
      </c>
      <c r="D24" s="7">
        <f t="shared" si="2"/>
        <v>19.774250000000002</v>
      </c>
      <c r="E24" s="3">
        <f>1.81*2.75</f>
        <v>4.9775</v>
      </c>
      <c r="F24" s="43"/>
      <c r="G24" s="3"/>
      <c r="H24" s="3"/>
      <c r="I24" s="3"/>
      <c r="J24" s="3"/>
      <c r="K24" s="3"/>
      <c r="L24" s="208">
        <f>1.81*(2.765+2.41+0.25)</f>
        <v>9.819250000000002</v>
      </c>
      <c r="M24" s="209"/>
      <c r="N24" s="3">
        <f>1.81*2.75</f>
        <v>4.9775</v>
      </c>
      <c r="O24" s="3"/>
      <c r="P24" s="18"/>
    </row>
    <row r="25" spans="2:16" ht="30">
      <c r="B25" s="17" t="s">
        <v>209</v>
      </c>
      <c r="C25" s="41" t="s">
        <v>29</v>
      </c>
      <c r="D25" s="7">
        <f t="shared" si="2"/>
        <v>9.81</v>
      </c>
      <c r="E25" s="43">
        <f>E31</f>
        <v>1.58</v>
      </c>
      <c r="F25" s="43"/>
      <c r="G25" s="43"/>
      <c r="H25" s="43"/>
      <c r="I25" s="43"/>
      <c r="J25" s="43"/>
      <c r="K25" s="43"/>
      <c r="L25" s="42">
        <f>L31</f>
        <v>2.87</v>
      </c>
      <c r="M25" s="42">
        <f t="shared" ref="M25:N25" si="3">M31</f>
        <v>2.5099999999999998</v>
      </c>
      <c r="N25" s="42">
        <f t="shared" si="3"/>
        <v>2.85</v>
      </c>
      <c r="O25" s="43"/>
      <c r="P25" s="18"/>
    </row>
    <row r="26" spans="2:16" ht="30">
      <c r="B26" s="17" t="s">
        <v>69</v>
      </c>
      <c r="C26" s="6" t="s">
        <v>22</v>
      </c>
      <c r="D26" s="7">
        <f t="shared" si="2"/>
        <v>1</v>
      </c>
      <c r="E26" s="3"/>
      <c r="F26" s="43"/>
      <c r="G26" s="3"/>
      <c r="H26" s="3"/>
      <c r="I26" s="3"/>
      <c r="J26" s="3">
        <v>1</v>
      </c>
      <c r="K26" s="3"/>
      <c r="L26" s="3"/>
      <c r="M26" s="3"/>
      <c r="N26" s="3"/>
      <c r="O26" s="3"/>
      <c r="P26" s="18"/>
    </row>
    <row r="27" spans="2:16">
      <c r="B27" s="17" t="s">
        <v>113</v>
      </c>
      <c r="C27" s="41" t="s">
        <v>22</v>
      </c>
      <c r="D27" s="7">
        <f t="shared" si="2"/>
        <v>3</v>
      </c>
      <c r="E27" s="43"/>
      <c r="F27" s="43"/>
      <c r="G27" s="43">
        <v>1</v>
      </c>
      <c r="H27" s="43">
        <v>1</v>
      </c>
      <c r="I27" s="43"/>
      <c r="J27" s="43">
        <v>1</v>
      </c>
      <c r="K27" s="43"/>
      <c r="L27" s="43"/>
      <c r="M27" s="43"/>
      <c r="N27" s="43"/>
      <c r="O27" s="43"/>
      <c r="P27" s="18"/>
    </row>
    <row r="28" spans="2:16" ht="45">
      <c r="B28" s="17" t="s">
        <v>70</v>
      </c>
      <c r="C28" s="6" t="s">
        <v>22</v>
      </c>
      <c r="D28" s="7">
        <f t="shared" si="2"/>
        <v>2</v>
      </c>
      <c r="E28" s="3"/>
      <c r="F28" s="43"/>
      <c r="G28" s="3">
        <v>1</v>
      </c>
      <c r="H28" s="3">
        <v>1</v>
      </c>
      <c r="I28" s="3"/>
      <c r="J28" s="3"/>
      <c r="K28" s="3"/>
      <c r="L28" s="3"/>
      <c r="M28" s="3"/>
      <c r="N28" s="3"/>
      <c r="O28" s="3"/>
      <c r="P28" s="18"/>
    </row>
    <row r="29" spans="2:16" ht="30">
      <c r="B29" s="17" t="s">
        <v>71</v>
      </c>
      <c r="C29" s="6" t="s">
        <v>22</v>
      </c>
      <c r="D29" s="7">
        <f t="shared" si="2"/>
        <v>8</v>
      </c>
      <c r="E29" s="3">
        <v>1</v>
      </c>
      <c r="F29" s="43"/>
      <c r="G29" s="3"/>
      <c r="H29" s="3"/>
      <c r="I29" s="3"/>
      <c r="J29" s="3">
        <v>3</v>
      </c>
      <c r="K29" s="3">
        <v>1</v>
      </c>
      <c r="L29" s="3">
        <v>2</v>
      </c>
      <c r="M29" s="3"/>
      <c r="N29" s="3"/>
      <c r="O29" s="3"/>
      <c r="P29" s="18">
        <v>1</v>
      </c>
    </row>
    <row r="30" spans="2:16">
      <c r="B30" s="17" t="s">
        <v>43</v>
      </c>
      <c r="C30" s="6" t="s">
        <v>0</v>
      </c>
      <c r="D30" s="7">
        <f t="shared" si="2"/>
        <v>18.597750000000001</v>
      </c>
      <c r="E30" s="3">
        <f>1.81*2.35</f>
        <v>4.2535000000000007</v>
      </c>
      <c r="F30" s="43"/>
      <c r="G30" s="3"/>
      <c r="H30" s="3"/>
      <c r="I30" s="3"/>
      <c r="J30" s="3"/>
      <c r="K30" s="3"/>
      <c r="L30" s="3">
        <f>1.81*2.765</f>
        <v>5.0046500000000007</v>
      </c>
      <c r="M30" s="3">
        <f>1.81*2.41</f>
        <v>4.3621000000000008</v>
      </c>
      <c r="N30" s="3">
        <f>1.81*2.75</f>
        <v>4.9775</v>
      </c>
      <c r="O30" s="3"/>
      <c r="P30" s="18"/>
    </row>
    <row r="31" spans="2:16" ht="30.75" thickBot="1">
      <c r="B31" s="17" t="s">
        <v>45</v>
      </c>
      <c r="C31" s="6" t="s">
        <v>29</v>
      </c>
      <c r="D31" s="7">
        <f t="shared" si="2"/>
        <v>9.81</v>
      </c>
      <c r="E31" s="3">
        <f>1.58</f>
        <v>1.58</v>
      </c>
      <c r="F31" s="43"/>
      <c r="G31" s="3"/>
      <c r="H31" s="3"/>
      <c r="I31" s="3"/>
      <c r="J31" s="3"/>
      <c r="K31" s="3"/>
      <c r="L31" s="3">
        <v>2.87</v>
      </c>
      <c r="M31" s="3">
        <v>2.5099999999999998</v>
      </c>
      <c r="N31" s="3">
        <v>2.85</v>
      </c>
      <c r="O31" s="3"/>
      <c r="P31" s="18"/>
    </row>
    <row r="32" spans="2:16" s="5" customFormat="1" ht="20.25" customHeight="1" thickTop="1" thickBot="1">
      <c r="B32" s="189" t="s">
        <v>27</v>
      </c>
      <c r="C32" s="190"/>
      <c r="D32" s="19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2:16" ht="15.75" thickTop="1">
      <c r="B33" s="21" t="s">
        <v>212</v>
      </c>
      <c r="C33" s="14" t="s">
        <v>0</v>
      </c>
      <c r="D33" s="7">
        <f>SUM(E33:P33)</f>
        <v>29.630000000000003</v>
      </c>
      <c r="E33" s="15"/>
      <c r="F33" s="15"/>
      <c r="G33" s="15">
        <f>(1.08*2+1.87*2)*2.3-0.71*2</f>
        <v>12.15</v>
      </c>
      <c r="H33" s="15"/>
      <c r="I33" s="15">
        <f>(1.87*2+(1.74+0.17)*2)*2.5-0.71*2</f>
        <v>17.480000000000004</v>
      </c>
      <c r="J33" s="15"/>
      <c r="K33" s="15"/>
      <c r="L33" s="15"/>
      <c r="M33" s="15"/>
      <c r="N33" s="15"/>
      <c r="O33" s="15"/>
      <c r="P33" s="22"/>
    </row>
    <row r="34" spans="2:16">
      <c r="B34" s="17" t="s">
        <v>213</v>
      </c>
      <c r="C34" s="41" t="s">
        <v>0</v>
      </c>
      <c r="D34" s="7">
        <f>SUM(E34:P34)</f>
        <v>183.45000000000002</v>
      </c>
      <c r="E34" s="43">
        <v>26.7</v>
      </c>
      <c r="F34" s="43"/>
      <c r="G34" s="43">
        <f>(1.08*2+3.55*2)*3</f>
        <v>27.78</v>
      </c>
      <c r="H34" s="43"/>
      <c r="I34" s="43">
        <v>15.07</v>
      </c>
      <c r="J34" s="43">
        <f>19.86</f>
        <v>19.86</v>
      </c>
      <c r="K34" s="43">
        <v>15.77</v>
      </c>
      <c r="L34" s="43">
        <f>(2.98-1.48+9.19-0.73)*3</f>
        <v>29.879999999999995</v>
      </c>
      <c r="M34" s="43">
        <f>(1.74+0.16+3.07)*3</f>
        <v>14.91</v>
      </c>
      <c r="N34" s="43">
        <f>(4.39+0.7)*3</f>
        <v>15.27</v>
      </c>
      <c r="O34" s="43"/>
      <c r="P34" s="18">
        <f>((2.91-0.6+2.7+2.7-0.94)*3-1*2.1)</f>
        <v>18.209999999999997</v>
      </c>
    </row>
    <row r="35" spans="2:16">
      <c r="B35" s="17" t="s">
        <v>46</v>
      </c>
      <c r="C35" s="6" t="s">
        <v>0</v>
      </c>
      <c r="D35" s="7">
        <f>SUM(E35:P35)</f>
        <v>12.309750000000001</v>
      </c>
      <c r="E35" s="3">
        <v>2.25</v>
      </c>
      <c r="F35" s="43"/>
      <c r="G35" s="3"/>
      <c r="H35" s="3"/>
      <c r="I35" s="3"/>
      <c r="J35" s="3"/>
      <c r="K35" s="3"/>
      <c r="L35" s="3">
        <f>(1.81*2+2.765)*0.51</f>
        <v>3.2563499999999999</v>
      </c>
      <c r="M35" s="3">
        <f>(1.81*2+2.41)*0.51</f>
        <v>3.0753000000000004</v>
      </c>
      <c r="N35" s="3">
        <f>(1.81+2.75*2)*0.51</f>
        <v>3.7281000000000004</v>
      </c>
      <c r="O35" s="3"/>
      <c r="P35" s="18"/>
    </row>
    <row r="36" spans="2:16" ht="30">
      <c r="B36" s="17" t="s">
        <v>50</v>
      </c>
      <c r="C36" s="6" t="s">
        <v>0</v>
      </c>
      <c r="D36" s="7">
        <f t="shared" ref="D36:D50" si="4">SUM(E36:P36)</f>
        <v>183.45000000000002</v>
      </c>
      <c r="E36" s="3">
        <f>E34</f>
        <v>26.7</v>
      </c>
      <c r="F36" s="43"/>
      <c r="G36" s="3">
        <f>G34</f>
        <v>27.78</v>
      </c>
      <c r="H36" s="3"/>
      <c r="I36" s="3">
        <f t="shared" ref="I36:N36" si="5">I34</f>
        <v>15.07</v>
      </c>
      <c r="J36" s="3">
        <f t="shared" si="5"/>
        <v>19.86</v>
      </c>
      <c r="K36" s="3">
        <f t="shared" si="5"/>
        <v>15.77</v>
      </c>
      <c r="L36" s="3">
        <f t="shared" si="5"/>
        <v>29.879999999999995</v>
      </c>
      <c r="M36" s="43">
        <f t="shared" si="5"/>
        <v>14.91</v>
      </c>
      <c r="N36" s="43">
        <f t="shared" si="5"/>
        <v>15.27</v>
      </c>
      <c r="O36" s="3"/>
      <c r="P36" s="18">
        <f>P34</f>
        <v>18.209999999999997</v>
      </c>
    </row>
    <row r="37" spans="2:16" ht="30">
      <c r="B37" s="17" t="s">
        <v>214</v>
      </c>
      <c r="C37" s="6" t="s">
        <v>0</v>
      </c>
      <c r="D37" s="7">
        <f t="shared" si="4"/>
        <v>183.45000000000002</v>
      </c>
      <c r="E37" s="3">
        <f>E34</f>
        <v>26.7</v>
      </c>
      <c r="F37" s="43"/>
      <c r="G37" s="3">
        <f>G36</f>
        <v>27.78</v>
      </c>
      <c r="H37" s="3"/>
      <c r="I37" s="3">
        <f t="shared" ref="I37:N37" si="6">I36</f>
        <v>15.07</v>
      </c>
      <c r="J37" s="3">
        <f t="shared" si="6"/>
        <v>19.86</v>
      </c>
      <c r="K37" s="3">
        <f t="shared" si="6"/>
        <v>15.77</v>
      </c>
      <c r="L37" s="3">
        <f t="shared" si="6"/>
        <v>29.879999999999995</v>
      </c>
      <c r="M37" s="43">
        <f t="shared" si="6"/>
        <v>14.91</v>
      </c>
      <c r="N37" s="43">
        <f t="shared" si="6"/>
        <v>15.27</v>
      </c>
      <c r="O37" s="3"/>
      <c r="P37" s="18">
        <f>P36</f>
        <v>18.209999999999997</v>
      </c>
    </row>
    <row r="38" spans="2:16" ht="30">
      <c r="B38" s="17" t="s">
        <v>62</v>
      </c>
      <c r="C38" s="6" t="s">
        <v>0</v>
      </c>
      <c r="D38" s="7">
        <f t="shared" si="4"/>
        <v>1.2925</v>
      </c>
      <c r="E38" s="3"/>
      <c r="F38" s="43"/>
      <c r="G38" s="3"/>
      <c r="H38" s="3"/>
      <c r="I38" s="3"/>
      <c r="J38" s="3">
        <f>0.25*(0.97+2.1*2)</f>
        <v>1.2925</v>
      </c>
      <c r="K38" s="3"/>
      <c r="L38" s="3"/>
      <c r="M38" s="3"/>
      <c r="N38" s="3"/>
      <c r="O38" s="3"/>
      <c r="P38" s="18"/>
    </row>
    <row r="39" spans="2:16" ht="30">
      <c r="B39" s="17" t="s">
        <v>63</v>
      </c>
      <c r="C39" s="6" t="s">
        <v>29</v>
      </c>
      <c r="D39" s="7">
        <f t="shared" si="4"/>
        <v>40</v>
      </c>
      <c r="E39" s="3"/>
      <c r="F39" s="43"/>
      <c r="G39" s="3"/>
      <c r="H39" s="3"/>
      <c r="I39" s="3"/>
      <c r="J39" s="3">
        <f>(0.7+2.1*2)*2+0.91+2.1*2+0.91+1.97*2+0.88+1.97*2</f>
        <v>24.580000000000002</v>
      </c>
      <c r="K39" s="3"/>
      <c r="L39" s="3">
        <f>2.1*2+0.91</f>
        <v>5.1100000000000003</v>
      </c>
      <c r="M39" s="3"/>
      <c r="N39" s="3"/>
      <c r="O39" s="3">
        <f>1+2.1*2+2.1*2+0.91</f>
        <v>10.31</v>
      </c>
      <c r="P39" s="18"/>
    </row>
    <row r="40" spans="2:16" ht="30">
      <c r="B40" s="17" t="s">
        <v>49</v>
      </c>
      <c r="C40" s="6" t="s">
        <v>0</v>
      </c>
      <c r="D40" s="7">
        <f t="shared" si="4"/>
        <v>305.3734</v>
      </c>
      <c r="E40" s="3">
        <f>E46+E47</f>
        <v>28.95</v>
      </c>
      <c r="F40" s="43"/>
      <c r="G40" s="3">
        <f>G41</f>
        <v>25.78</v>
      </c>
      <c r="H40" s="3">
        <f>H18</f>
        <v>33.700000000000003</v>
      </c>
      <c r="I40" s="3">
        <f>I37+I43</f>
        <v>16.059999999999999</v>
      </c>
      <c r="J40" s="3">
        <f>J46</f>
        <v>19.86</v>
      </c>
      <c r="K40" s="3">
        <f>12.13+3.64+4.53</f>
        <v>20.3</v>
      </c>
      <c r="L40" s="3">
        <f>(13.89+14.7+8.06)+2.91</f>
        <v>39.56</v>
      </c>
      <c r="M40" s="3">
        <f>M42+M49</f>
        <v>48.345299999999995</v>
      </c>
      <c r="N40" s="3">
        <f>N42+N49</f>
        <v>43.578099999999999</v>
      </c>
      <c r="O40" s="3"/>
      <c r="P40" s="18">
        <f>13.2+16.04</f>
        <v>29.24</v>
      </c>
    </row>
    <row r="41" spans="2:16" ht="30">
      <c r="B41" s="17" t="s">
        <v>135</v>
      </c>
      <c r="C41" s="6" t="s">
        <v>0</v>
      </c>
      <c r="D41" s="7">
        <f t="shared" si="4"/>
        <v>25.78</v>
      </c>
      <c r="E41" s="3"/>
      <c r="F41" s="43"/>
      <c r="G41" s="3">
        <v>25.78</v>
      </c>
      <c r="H41" s="3"/>
      <c r="I41" s="3"/>
      <c r="J41" s="3"/>
      <c r="K41" s="3"/>
      <c r="L41" s="3"/>
      <c r="M41" s="3"/>
      <c r="N41" s="3"/>
      <c r="O41" s="3"/>
      <c r="P41" s="18"/>
    </row>
    <row r="42" spans="2:16" ht="30">
      <c r="B42" s="17" t="s">
        <v>136</v>
      </c>
      <c r="C42" s="6" t="s">
        <v>0</v>
      </c>
      <c r="D42" s="7">
        <f t="shared" ref="D42" si="7">SUM(E42:P42)</f>
        <v>24.15</v>
      </c>
      <c r="E42" s="9"/>
      <c r="F42" s="43"/>
      <c r="G42" s="9"/>
      <c r="H42" s="9"/>
      <c r="I42" s="9"/>
      <c r="J42" s="9"/>
      <c r="K42" s="9"/>
      <c r="L42" s="9"/>
      <c r="M42" s="9">
        <f>13.98</f>
        <v>13.98</v>
      </c>
      <c r="N42" s="9">
        <v>10.17</v>
      </c>
      <c r="O42" s="9"/>
      <c r="P42" s="18"/>
    </row>
    <row r="43" spans="2:16" ht="30">
      <c r="B43" s="17" t="s">
        <v>57</v>
      </c>
      <c r="C43" s="6" t="s">
        <v>0</v>
      </c>
      <c r="D43" s="7">
        <f t="shared" ref="D43" si="8">SUM(E43:P43)</f>
        <v>13.580000000000002</v>
      </c>
      <c r="E43" s="3"/>
      <c r="F43" s="43"/>
      <c r="G43" s="3"/>
      <c r="H43" s="3"/>
      <c r="I43" s="3">
        <v>0.99</v>
      </c>
      <c r="J43" s="3"/>
      <c r="K43" s="3">
        <v>4.53</v>
      </c>
      <c r="L43" s="3">
        <f>8.06</f>
        <v>8.06</v>
      </c>
      <c r="M43" s="3"/>
      <c r="N43" s="3"/>
      <c r="O43" s="3"/>
      <c r="P43" s="18"/>
    </row>
    <row r="44" spans="2:16">
      <c r="B44" s="17" t="s">
        <v>51</v>
      </c>
      <c r="C44" s="6" t="s">
        <v>29</v>
      </c>
      <c r="D44" s="7">
        <f t="shared" si="4"/>
        <v>78.84</v>
      </c>
      <c r="E44" s="3"/>
      <c r="F44" s="43"/>
      <c r="G44" s="3"/>
      <c r="H44" s="3"/>
      <c r="I44" s="3">
        <f>2.7</f>
        <v>2.7</v>
      </c>
      <c r="J44" s="3">
        <f>J39+(0.97+2.1*2)</f>
        <v>29.75</v>
      </c>
      <c r="K44" s="3">
        <f>2.7*2</f>
        <v>5.4</v>
      </c>
      <c r="L44" s="3">
        <f>L39+0.97+2.1*2+2.7+2.7</f>
        <v>15.68</v>
      </c>
      <c r="M44" s="3">
        <f>3*2</f>
        <v>6</v>
      </c>
      <c r="N44" s="3">
        <f>3*2</f>
        <v>6</v>
      </c>
      <c r="O44" s="3">
        <f>O39</f>
        <v>10.31</v>
      </c>
      <c r="P44" s="18">
        <v>3</v>
      </c>
    </row>
    <row r="45" spans="2:16" ht="30">
      <c r="B45" s="17" t="s">
        <v>52</v>
      </c>
      <c r="C45" s="6" t="s">
        <v>29</v>
      </c>
      <c r="D45" s="7">
        <f t="shared" ref="D45" si="9">SUM(E45:P45)</f>
        <v>24.164999999999999</v>
      </c>
      <c r="E45" s="3">
        <f>1.48*3</f>
        <v>4.4399999999999995</v>
      </c>
      <c r="F45" s="43"/>
      <c r="G45" s="3"/>
      <c r="H45" s="3"/>
      <c r="I45" s="3"/>
      <c r="J45" s="3"/>
      <c r="K45" s="3"/>
      <c r="L45" s="3">
        <f>(1.81*2+2.765)</f>
        <v>6.3849999999999998</v>
      </c>
      <c r="M45" s="3">
        <f>(1.81*2+2.41)</f>
        <v>6.03</v>
      </c>
      <c r="N45" s="3">
        <f>(1.81+2.75*2)</f>
        <v>7.3100000000000005</v>
      </c>
      <c r="O45" s="3"/>
      <c r="P45" s="18"/>
    </row>
    <row r="46" spans="2:16">
      <c r="B46" s="17" t="s">
        <v>35</v>
      </c>
      <c r="C46" s="6" t="s">
        <v>0</v>
      </c>
      <c r="D46" s="7">
        <f t="shared" si="4"/>
        <v>254.40900000000002</v>
      </c>
      <c r="E46" s="3">
        <v>26.7</v>
      </c>
      <c r="F46" s="43">
        <f>(1.5+2.5)*2*2.7</f>
        <v>21.6</v>
      </c>
      <c r="G46" s="3"/>
      <c r="H46" s="3">
        <f>H40</f>
        <v>33.700000000000003</v>
      </c>
      <c r="I46" s="3">
        <v>15.069000000000001</v>
      </c>
      <c r="J46" s="3">
        <f>19.86</f>
        <v>19.86</v>
      </c>
      <c r="K46" s="3">
        <f>12.13+3.64</f>
        <v>15.770000000000001</v>
      </c>
      <c r="L46" s="3">
        <f>13.89+14.7+2.91</f>
        <v>31.5</v>
      </c>
      <c r="M46" s="3">
        <f>28.77+M19</f>
        <v>31.29</v>
      </c>
      <c r="N46" s="3">
        <f>25.66+N19</f>
        <v>29.68</v>
      </c>
      <c r="O46" s="3"/>
      <c r="P46" s="18">
        <f>P40</f>
        <v>29.24</v>
      </c>
    </row>
    <row r="47" spans="2:16">
      <c r="B47" s="17" t="s">
        <v>48</v>
      </c>
      <c r="C47" s="6" t="s">
        <v>0</v>
      </c>
      <c r="D47" s="7">
        <f t="shared" ref="D47" si="10">SUM(E47:P47)</f>
        <v>14.831250000000001</v>
      </c>
      <c r="E47" s="3">
        <f>E35</f>
        <v>2.25</v>
      </c>
      <c r="F47" s="43"/>
      <c r="G47" s="3">
        <f t="shared" ref="G47:P47" si="11">G35</f>
        <v>0</v>
      </c>
      <c r="H47" s="3"/>
      <c r="I47" s="3">
        <f t="shared" si="11"/>
        <v>0</v>
      </c>
      <c r="J47" s="3">
        <f>J38+J39*0.05</f>
        <v>2.5215000000000001</v>
      </c>
      <c r="K47" s="3">
        <f t="shared" si="11"/>
        <v>0</v>
      </c>
      <c r="L47" s="3">
        <f>L35</f>
        <v>3.2563499999999999</v>
      </c>
      <c r="M47" s="3">
        <f t="shared" si="11"/>
        <v>3.0753000000000004</v>
      </c>
      <c r="N47" s="3">
        <f t="shared" si="11"/>
        <v>3.7281000000000004</v>
      </c>
      <c r="O47" s="3">
        <f t="shared" si="11"/>
        <v>0</v>
      </c>
      <c r="P47" s="18">
        <f t="shared" si="11"/>
        <v>0</v>
      </c>
    </row>
    <row r="48" spans="2:16">
      <c r="B48" s="17" t="s">
        <v>36</v>
      </c>
      <c r="C48" s="6" t="s">
        <v>0</v>
      </c>
      <c r="D48" s="7">
        <f t="shared" si="4"/>
        <v>23.36</v>
      </c>
      <c r="E48" s="3">
        <v>23.36</v>
      </c>
      <c r="F48" s="43"/>
      <c r="G48" s="3"/>
      <c r="H48" s="3"/>
      <c r="I48" s="3"/>
      <c r="J48" s="3"/>
      <c r="K48" s="3"/>
      <c r="L48" s="3"/>
      <c r="M48" s="3"/>
      <c r="N48" s="3"/>
      <c r="O48" s="3"/>
      <c r="P48" s="18"/>
    </row>
    <row r="49" spans="2:16" ht="30">
      <c r="B49" s="17" t="s">
        <v>47</v>
      </c>
      <c r="C49" s="6" t="s">
        <v>0</v>
      </c>
      <c r="D49" s="7">
        <f t="shared" si="4"/>
        <v>222.68025</v>
      </c>
      <c r="E49" s="3">
        <f>E47</f>
        <v>2.25</v>
      </c>
      <c r="F49" s="43">
        <f>F46</f>
        <v>21.6</v>
      </c>
      <c r="G49" s="3"/>
      <c r="H49" s="3">
        <f>H40</f>
        <v>33.700000000000003</v>
      </c>
      <c r="I49" s="3">
        <f>I46</f>
        <v>15.069000000000001</v>
      </c>
      <c r="J49" s="3">
        <f>J47</f>
        <v>2.5215000000000001</v>
      </c>
      <c r="K49" s="3">
        <f>K46</f>
        <v>15.770000000000001</v>
      </c>
      <c r="L49" s="3">
        <f>L47+L46</f>
        <v>34.756349999999998</v>
      </c>
      <c r="M49" s="3">
        <f>M47+M46</f>
        <v>34.365299999999998</v>
      </c>
      <c r="N49" s="3">
        <f>N46+N47</f>
        <v>33.408099999999997</v>
      </c>
      <c r="O49" s="3"/>
      <c r="P49" s="18">
        <f>P46</f>
        <v>29.24</v>
      </c>
    </row>
    <row r="50" spans="2:16" ht="30.75" thickBot="1">
      <c r="B50" s="17" t="s">
        <v>54</v>
      </c>
      <c r="C50" s="6" t="s">
        <v>22</v>
      </c>
      <c r="D50" s="7">
        <f t="shared" si="4"/>
        <v>4</v>
      </c>
      <c r="E50" s="3">
        <v>1</v>
      </c>
      <c r="F50" s="43"/>
      <c r="G50" s="3"/>
      <c r="H50" s="3"/>
      <c r="I50" s="3"/>
      <c r="J50" s="3"/>
      <c r="K50" s="3"/>
      <c r="L50" s="3">
        <v>1</v>
      </c>
      <c r="M50" s="3">
        <v>1</v>
      </c>
      <c r="N50" s="3">
        <v>1</v>
      </c>
      <c r="O50" s="3"/>
      <c r="P50" s="18"/>
    </row>
    <row r="51" spans="2:16" s="5" customFormat="1" ht="20.25" customHeight="1" thickTop="1" thickBot="1">
      <c r="B51" s="189" t="s">
        <v>30</v>
      </c>
      <c r="C51" s="190"/>
      <c r="D51" s="19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6"/>
    </row>
    <row r="52" spans="2:16" ht="30.75" thickTop="1">
      <c r="B52" s="17" t="s">
        <v>28</v>
      </c>
      <c r="C52" s="6" t="s">
        <v>29</v>
      </c>
      <c r="D52" s="7">
        <f>SUM(E52:P52)</f>
        <v>37</v>
      </c>
      <c r="E52" s="3"/>
      <c r="F52" s="64"/>
      <c r="G52" s="210">
        <v>37</v>
      </c>
      <c r="H52" s="211"/>
      <c r="I52" s="211"/>
      <c r="J52" s="211"/>
      <c r="K52" s="211"/>
      <c r="L52" s="211"/>
      <c r="M52" s="211"/>
      <c r="N52" s="211"/>
      <c r="O52" s="211"/>
      <c r="P52" s="212"/>
    </row>
    <row r="53" spans="2:16">
      <c r="B53" s="17" t="s">
        <v>218</v>
      </c>
      <c r="C53" s="41" t="s">
        <v>0</v>
      </c>
      <c r="D53" s="7">
        <f t="shared" ref="D53:D62" si="12">SUM(E53:P53)</f>
        <v>3.75</v>
      </c>
      <c r="E53" s="43"/>
      <c r="F53" s="43">
        <f>1.5*2.5</f>
        <v>3.75</v>
      </c>
      <c r="G53" s="43"/>
      <c r="H53" s="43"/>
      <c r="I53" s="43"/>
      <c r="J53" s="43"/>
      <c r="K53" s="43"/>
      <c r="L53" s="43"/>
      <c r="M53" s="43"/>
      <c r="N53" s="43"/>
      <c r="O53" s="43"/>
      <c r="P53" s="18"/>
    </row>
    <row r="54" spans="2:16" ht="30">
      <c r="B54" s="17" t="s">
        <v>34</v>
      </c>
      <c r="C54" s="6" t="s">
        <v>0</v>
      </c>
      <c r="D54" s="7">
        <f t="shared" si="12"/>
        <v>84.77</v>
      </c>
      <c r="E54" s="3"/>
      <c r="F54" s="43"/>
      <c r="G54" s="3">
        <f>G55</f>
        <v>3.8</v>
      </c>
      <c r="H54" s="3">
        <f>7.25</f>
        <v>7.25</v>
      </c>
      <c r="I54" s="3">
        <v>3.08</v>
      </c>
      <c r="J54" s="3">
        <v>6.82</v>
      </c>
      <c r="K54" s="3">
        <v>4.2699999999999996</v>
      </c>
      <c r="L54" s="3">
        <f>7.6+10.53</f>
        <v>18.13</v>
      </c>
      <c r="M54" s="3">
        <f>16.93</f>
        <v>16.93</v>
      </c>
      <c r="N54" s="3">
        <f>17.24</f>
        <v>17.239999999999998</v>
      </c>
      <c r="O54" s="3"/>
      <c r="P54" s="18">
        <v>7.25</v>
      </c>
    </row>
    <row r="55" spans="2:16" ht="30">
      <c r="B55" s="17" t="s">
        <v>39</v>
      </c>
      <c r="C55" s="6" t="s">
        <v>0</v>
      </c>
      <c r="D55" s="7">
        <f t="shared" si="12"/>
        <v>84.77</v>
      </c>
      <c r="E55" s="3"/>
      <c r="F55" s="43"/>
      <c r="G55" s="3">
        <v>3.8</v>
      </c>
      <c r="H55" s="3">
        <f t="shared" ref="H55:N55" si="13">H54</f>
        <v>7.25</v>
      </c>
      <c r="I55" s="3">
        <f t="shared" si="13"/>
        <v>3.08</v>
      </c>
      <c r="J55" s="3">
        <f t="shared" si="13"/>
        <v>6.82</v>
      </c>
      <c r="K55" s="3">
        <f t="shared" si="13"/>
        <v>4.2699999999999996</v>
      </c>
      <c r="L55" s="3">
        <f t="shared" si="13"/>
        <v>18.13</v>
      </c>
      <c r="M55" s="3">
        <f t="shared" si="13"/>
        <v>16.93</v>
      </c>
      <c r="N55" s="3">
        <f t="shared" si="13"/>
        <v>17.239999999999998</v>
      </c>
      <c r="O55" s="3"/>
      <c r="P55" s="18">
        <f>P54</f>
        <v>7.25</v>
      </c>
    </row>
    <row r="56" spans="2:16" ht="30">
      <c r="B56" s="17" t="s">
        <v>33</v>
      </c>
      <c r="C56" s="6" t="s">
        <v>0</v>
      </c>
      <c r="D56" s="7">
        <f t="shared" si="12"/>
        <v>11.05</v>
      </c>
      <c r="E56" s="3"/>
      <c r="F56" s="43"/>
      <c r="G56" s="3">
        <f>G55</f>
        <v>3.8</v>
      </c>
      <c r="H56" s="3">
        <f>H54</f>
        <v>7.25</v>
      </c>
      <c r="I56" s="3"/>
      <c r="J56" s="3"/>
      <c r="K56" s="3"/>
      <c r="L56" s="3"/>
      <c r="M56" s="3"/>
      <c r="N56" s="3"/>
      <c r="O56" s="3"/>
      <c r="P56" s="18"/>
    </row>
    <row r="57" spans="2:16" ht="30">
      <c r="B57" s="17" t="s">
        <v>58</v>
      </c>
      <c r="C57" s="6" t="s">
        <v>0</v>
      </c>
      <c r="D57" s="7">
        <f t="shared" ref="D57:D58" si="14">SUM(E57:P57)</f>
        <v>77.47</v>
      </c>
      <c r="E57" s="3"/>
      <c r="F57" s="43">
        <f>F53</f>
        <v>3.75</v>
      </c>
      <c r="G57" s="3"/>
      <c r="H57" s="3"/>
      <c r="I57" s="3">
        <f>I54</f>
        <v>3.08</v>
      </c>
      <c r="J57" s="3">
        <f>J55</f>
        <v>6.82</v>
      </c>
      <c r="K57" s="3">
        <f>K55</f>
        <v>4.2699999999999996</v>
      </c>
      <c r="L57" s="3">
        <f>L54</f>
        <v>18.13</v>
      </c>
      <c r="M57" s="3">
        <f>M55</f>
        <v>16.93</v>
      </c>
      <c r="N57" s="3">
        <f>N54</f>
        <v>17.239999999999998</v>
      </c>
      <c r="O57" s="3"/>
      <c r="P57" s="18">
        <f>P54</f>
        <v>7.25</v>
      </c>
    </row>
    <row r="58" spans="2:16">
      <c r="B58" s="17" t="s">
        <v>220</v>
      </c>
      <c r="C58" s="41" t="s">
        <v>22</v>
      </c>
      <c r="D58" s="7">
        <f t="shared" si="14"/>
        <v>1</v>
      </c>
      <c r="E58" s="43"/>
      <c r="F58" s="43"/>
      <c r="G58" s="43"/>
      <c r="H58" s="43"/>
      <c r="I58" s="43"/>
      <c r="J58" s="43">
        <v>1</v>
      </c>
      <c r="K58" s="43"/>
      <c r="L58" s="43"/>
      <c r="M58" s="43"/>
      <c r="N58" s="43"/>
      <c r="O58" s="43"/>
      <c r="P58" s="18"/>
    </row>
    <row r="59" spans="2:16">
      <c r="B59" s="17" t="s">
        <v>37</v>
      </c>
      <c r="C59" s="6" t="s">
        <v>0</v>
      </c>
      <c r="D59" s="7">
        <f t="shared" si="12"/>
        <v>5.94</v>
      </c>
      <c r="E59" s="3">
        <v>5.94</v>
      </c>
      <c r="F59" s="43"/>
      <c r="G59" s="3"/>
      <c r="H59" s="3"/>
      <c r="I59" s="3"/>
      <c r="J59" s="3"/>
      <c r="K59" s="3"/>
      <c r="L59" s="3"/>
      <c r="M59" s="3"/>
      <c r="N59" s="3"/>
      <c r="O59" s="3"/>
      <c r="P59" s="18"/>
    </row>
    <row r="60" spans="2:16" ht="30">
      <c r="B60" s="17" t="s">
        <v>53</v>
      </c>
      <c r="C60" s="6" t="s">
        <v>0</v>
      </c>
      <c r="D60" s="7">
        <f t="shared" si="12"/>
        <v>5.94</v>
      </c>
      <c r="E60" s="3">
        <v>5.94</v>
      </c>
      <c r="F60" s="43"/>
      <c r="G60" s="3"/>
      <c r="H60" s="3"/>
      <c r="I60" s="3"/>
      <c r="J60" s="3"/>
      <c r="K60" s="3"/>
      <c r="L60" s="3"/>
      <c r="M60" s="3"/>
      <c r="N60" s="3"/>
      <c r="O60" s="3"/>
      <c r="P60" s="18"/>
    </row>
    <row r="61" spans="2:16">
      <c r="B61" s="17" t="s">
        <v>38</v>
      </c>
      <c r="C61" s="6" t="s">
        <v>29</v>
      </c>
      <c r="D61" s="7">
        <f t="shared" si="12"/>
        <v>0.88</v>
      </c>
      <c r="E61" s="3">
        <v>0.88</v>
      </c>
      <c r="F61" s="43"/>
      <c r="G61" s="3"/>
      <c r="H61" s="3"/>
      <c r="I61" s="3"/>
      <c r="J61" s="3"/>
      <c r="K61" s="3"/>
      <c r="L61" s="3"/>
      <c r="M61" s="3"/>
      <c r="N61" s="3"/>
      <c r="O61" s="3"/>
      <c r="P61" s="18"/>
    </row>
    <row r="62" spans="2:16">
      <c r="B62" s="17" t="s">
        <v>56</v>
      </c>
      <c r="C62" s="6" t="s">
        <v>29</v>
      </c>
      <c r="D62" s="7">
        <f t="shared" si="12"/>
        <v>8.8000000000000007</v>
      </c>
      <c r="E62" s="3">
        <v>8.8000000000000007</v>
      </c>
      <c r="F62" s="43"/>
      <c r="G62" s="3"/>
      <c r="H62" s="3"/>
      <c r="I62" s="3"/>
      <c r="J62" s="3"/>
      <c r="K62" s="3"/>
      <c r="L62" s="3"/>
      <c r="M62" s="3"/>
      <c r="N62" s="3"/>
      <c r="O62" s="3"/>
      <c r="P62" s="18"/>
    </row>
    <row r="63" spans="2:16" ht="30">
      <c r="B63" s="17" t="s">
        <v>165</v>
      </c>
      <c r="C63" s="6" t="s">
        <v>29</v>
      </c>
      <c r="D63" s="7">
        <f t="shared" ref="D63" si="15">SUM(E63:P63)</f>
        <v>11.620000000000001</v>
      </c>
      <c r="E63" s="3"/>
      <c r="F63" s="43"/>
      <c r="G63" s="3"/>
      <c r="H63" s="3">
        <f>2.9*2+2.91*2</f>
        <v>11.620000000000001</v>
      </c>
      <c r="I63" s="3"/>
      <c r="J63" s="3"/>
      <c r="K63" s="3"/>
      <c r="L63" s="3"/>
      <c r="M63" s="3"/>
      <c r="N63" s="3"/>
      <c r="O63" s="3"/>
      <c r="P63" s="18"/>
    </row>
    <row r="64" spans="2:16">
      <c r="B64" s="17" t="s">
        <v>216</v>
      </c>
      <c r="C64" s="41" t="s">
        <v>22</v>
      </c>
      <c r="D64" s="7">
        <v>12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18"/>
    </row>
    <row r="65" spans="2:16" ht="30.75" thickBot="1">
      <c r="B65" s="17" t="s">
        <v>166</v>
      </c>
      <c r="C65" s="6" t="s">
        <v>29</v>
      </c>
      <c r="D65" s="7">
        <f t="shared" ref="D65" si="16">SUM(E65:P65)</f>
        <v>77.61</v>
      </c>
      <c r="E65" s="9"/>
      <c r="F65" s="43">
        <f>(1.5*2+2.5*2-2)</f>
        <v>6</v>
      </c>
      <c r="G65" s="9"/>
      <c r="H65" s="9"/>
      <c r="I65" s="9">
        <f>(1.87*2+1.47*2)</f>
        <v>6.68</v>
      </c>
      <c r="J65" s="9">
        <f>4.57*2+1.48*2-0.71*2-0.91-0.88-0.97-0.91</f>
        <v>7.0100000000000007</v>
      </c>
      <c r="K65" s="9">
        <f>(2.87+0.955*2)</f>
        <v>4.78</v>
      </c>
      <c r="L65" s="9">
        <f>(2.98*2+9.19*2)-2-1-0.97</f>
        <v>20.37</v>
      </c>
      <c r="M65" s="9">
        <f>0.74+1.48+3.07+0.16+2.91+2.77</f>
        <v>11.129999999999999</v>
      </c>
      <c r="N65" s="9">
        <f>4.39+4+0.42*2+4.39-2.2</f>
        <v>11.420000000000002</v>
      </c>
      <c r="O65" s="9"/>
      <c r="P65" s="18">
        <f>2.91+2.91+2.7+2.7-1</f>
        <v>10.219999999999999</v>
      </c>
    </row>
    <row r="66" spans="2:16" s="5" customFormat="1" ht="20.25" customHeight="1" thickTop="1" thickBot="1">
      <c r="B66" s="189" t="s">
        <v>31</v>
      </c>
      <c r="C66" s="190"/>
      <c r="D66" s="19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6"/>
    </row>
    <row r="67" spans="2:16" ht="15.75" thickTop="1">
      <c r="B67" s="17" t="s">
        <v>217</v>
      </c>
      <c r="C67" s="41" t="s">
        <v>0</v>
      </c>
      <c r="D67" s="7">
        <f>SUM(E67:P67)</f>
        <v>29.678000000000004</v>
      </c>
      <c r="E67" s="43"/>
      <c r="F67" s="15"/>
      <c r="G67" s="63"/>
      <c r="H67" s="63"/>
      <c r="I67" s="63">
        <f>I77</f>
        <v>2.6480000000000001</v>
      </c>
      <c r="J67" s="63">
        <f t="shared" ref="J67:O67" si="17">J77</f>
        <v>0</v>
      </c>
      <c r="K67" s="63">
        <f t="shared" si="17"/>
        <v>2.74</v>
      </c>
      <c r="L67" s="63">
        <f t="shared" si="17"/>
        <v>18.12</v>
      </c>
      <c r="M67" s="63">
        <f t="shared" si="17"/>
        <v>0</v>
      </c>
      <c r="N67" s="63">
        <f t="shared" si="17"/>
        <v>0</v>
      </c>
      <c r="O67" s="63">
        <f t="shared" si="17"/>
        <v>0</v>
      </c>
      <c r="P67" s="22">
        <f>P77</f>
        <v>6.17</v>
      </c>
    </row>
    <row r="68" spans="2:16" ht="30">
      <c r="B68" s="17" t="s">
        <v>59</v>
      </c>
      <c r="C68" s="6" t="s">
        <v>0</v>
      </c>
      <c r="D68" s="7">
        <f>SUM(E68:P68)</f>
        <v>23.919000000000004</v>
      </c>
      <c r="E68" s="3"/>
      <c r="F68" s="43">
        <f>1.5*2.5</f>
        <v>3.75</v>
      </c>
      <c r="G68" s="3"/>
      <c r="H68" s="3">
        <v>7.2530000000000001</v>
      </c>
      <c r="I68" s="3">
        <f>0.22+0.4*0.53+1.2*0.6</f>
        <v>1.1520000000000001</v>
      </c>
      <c r="J68" s="3">
        <f>6.82</f>
        <v>6.82</v>
      </c>
      <c r="K68" s="3">
        <f>2.67*0.6+2.67*0.6</f>
        <v>3.2039999999999997</v>
      </c>
      <c r="L68" s="3"/>
      <c r="M68" s="3"/>
      <c r="N68" s="3"/>
      <c r="O68" s="3"/>
      <c r="P68" s="18">
        <f>1.74*0.6+1.74*0.4</f>
        <v>1.7400000000000002</v>
      </c>
    </row>
    <row r="69" spans="2:16" ht="30">
      <c r="B69" s="17" t="s">
        <v>75</v>
      </c>
      <c r="C69" s="6" t="s">
        <v>0</v>
      </c>
      <c r="D69" s="7">
        <f t="shared" ref="D69:D77" si="18">SUM(E69:P69)</f>
        <v>11.003</v>
      </c>
      <c r="E69" s="3"/>
      <c r="F69" s="43">
        <f>F68</f>
        <v>3.75</v>
      </c>
      <c r="G69" s="3"/>
      <c r="H69" s="3">
        <f>H68</f>
        <v>7.2530000000000001</v>
      </c>
      <c r="I69" s="3"/>
      <c r="J69" s="3"/>
      <c r="K69" s="3"/>
      <c r="L69" s="3"/>
      <c r="M69" s="3"/>
      <c r="N69" s="3"/>
      <c r="O69" s="3"/>
      <c r="P69" s="18"/>
    </row>
    <row r="70" spans="2:16" ht="30">
      <c r="B70" s="17" t="s">
        <v>61</v>
      </c>
      <c r="C70" s="6" t="s">
        <v>0</v>
      </c>
      <c r="D70" s="7">
        <f>SUM(E70:P70)</f>
        <v>23.74</v>
      </c>
      <c r="E70" s="3"/>
      <c r="F70" s="43"/>
      <c r="G70" s="3"/>
      <c r="H70" s="3"/>
      <c r="I70" s="3">
        <f>(1.87*2+1.47*2)*0.5</f>
        <v>3.34</v>
      </c>
      <c r="J70" s="3"/>
      <c r="K70" s="3">
        <f>(2.87+0.955*2)*0.6</f>
        <v>2.8679999999999999</v>
      </c>
      <c r="L70" s="3">
        <f>(2.98*2+9.19*2)*0.6</f>
        <v>14.603999999999999</v>
      </c>
      <c r="M70" s="3"/>
      <c r="N70" s="3"/>
      <c r="O70" s="3"/>
      <c r="P70" s="18">
        <f>(2.31*2+2.7)*0.4</f>
        <v>2.9280000000000004</v>
      </c>
    </row>
    <row r="71" spans="2:16" ht="30">
      <c r="B71" s="17" t="s">
        <v>40</v>
      </c>
      <c r="C71" s="6" t="s">
        <v>0</v>
      </c>
      <c r="D71" s="7">
        <f t="shared" si="18"/>
        <v>20.428000000000001</v>
      </c>
      <c r="E71" s="3"/>
      <c r="F71" s="43">
        <f>F69</f>
        <v>3.75</v>
      </c>
      <c r="G71" s="3">
        <v>3.8</v>
      </c>
      <c r="H71" s="3"/>
      <c r="I71" s="3">
        <f>I68</f>
        <v>1.1520000000000001</v>
      </c>
      <c r="J71" s="3">
        <f>J68</f>
        <v>6.82</v>
      </c>
      <c r="K71" s="3"/>
      <c r="L71" s="3">
        <f>(2.98*2+9.19*2)*0.1</f>
        <v>2.4340000000000002</v>
      </c>
      <c r="M71" s="3"/>
      <c r="N71" s="3"/>
      <c r="O71" s="3"/>
      <c r="P71" s="18">
        <f>P68+(2.31*2+2.7)*0.1</f>
        <v>2.4720000000000004</v>
      </c>
    </row>
    <row r="72" spans="2:16">
      <c r="B72" s="17" t="s">
        <v>51</v>
      </c>
      <c r="C72" s="6" t="s">
        <v>29</v>
      </c>
      <c r="D72" s="7">
        <f t="shared" si="18"/>
        <v>38.67</v>
      </c>
      <c r="E72" s="3"/>
      <c r="F72" s="43"/>
      <c r="G72" s="3"/>
      <c r="H72" s="3"/>
      <c r="I72" s="3">
        <f>(1.87*2+1.47*2)</f>
        <v>6.68</v>
      </c>
      <c r="J72" s="3"/>
      <c r="K72" s="3">
        <f>2.87*2+0.955*2</f>
        <v>7.65</v>
      </c>
      <c r="L72" s="3">
        <f>(2.98*2+9.19*2)</f>
        <v>24.34</v>
      </c>
      <c r="M72" s="3"/>
      <c r="N72" s="3"/>
      <c r="O72" s="3"/>
      <c r="P72" s="18"/>
    </row>
    <row r="73" spans="2:16" ht="30">
      <c r="B73" s="17" t="s">
        <v>174</v>
      </c>
      <c r="C73" s="6" t="s">
        <v>0</v>
      </c>
      <c r="D73" s="7">
        <f t="shared" si="18"/>
        <v>3.8</v>
      </c>
      <c r="E73" s="9"/>
      <c r="F73" s="43"/>
      <c r="G73" s="9">
        <f>G74</f>
        <v>3.8</v>
      </c>
      <c r="H73" s="9"/>
      <c r="I73" s="9"/>
      <c r="J73" s="9"/>
      <c r="K73" s="9"/>
      <c r="L73" s="9"/>
      <c r="M73" s="9"/>
      <c r="N73" s="9"/>
      <c r="O73" s="9"/>
      <c r="P73" s="18"/>
    </row>
    <row r="74" spans="2:16">
      <c r="B74" s="17" t="s">
        <v>41</v>
      </c>
      <c r="C74" s="6" t="s">
        <v>0</v>
      </c>
      <c r="D74" s="7">
        <f t="shared" si="18"/>
        <v>30.552000000000003</v>
      </c>
      <c r="E74" s="3"/>
      <c r="F74" s="43">
        <f>F69</f>
        <v>3.75</v>
      </c>
      <c r="G74" s="3">
        <v>3.8</v>
      </c>
      <c r="H74" s="3">
        <f>H69</f>
        <v>7.2530000000000001</v>
      </c>
      <c r="I74" s="3">
        <f>I68+(1.87*2+1.47*2)*0.15</f>
        <v>2.1539999999999999</v>
      </c>
      <c r="J74" s="3">
        <f>J71</f>
        <v>6.82</v>
      </c>
      <c r="K74" s="3">
        <f>2.67*0.6+2.67*0.1</f>
        <v>1.8689999999999998</v>
      </c>
      <c r="L74" s="3">
        <f>L71</f>
        <v>2.4340000000000002</v>
      </c>
      <c r="M74" s="3"/>
      <c r="N74" s="3"/>
      <c r="O74" s="3"/>
      <c r="P74" s="18">
        <f>P71</f>
        <v>2.4720000000000004</v>
      </c>
    </row>
    <row r="75" spans="2:16">
      <c r="B75" s="17" t="s">
        <v>32</v>
      </c>
      <c r="C75" s="6" t="s">
        <v>0</v>
      </c>
      <c r="D75" s="7">
        <f t="shared" si="18"/>
        <v>30.552000000000003</v>
      </c>
      <c r="E75" s="3"/>
      <c r="F75" s="43">
        <f>F69</f>
        <v>3.75</v>
      </c>
      <c r="G75" s="3">
        <v>3.8</v>
      </c>
      <c r="H75" s="3">
        <f>H74</f>
        <v>7.2530000000000001</v>
      </c>
      <c r="I75" s="3">
        <f>I68+(1.87*2+1.47*2)*0.15</f>
        <v>2.1539999999999999</v>
      </c>
      <c r="J75" s="3">
        <f>J74</f>
        <v>6.82</v>
      </c>
      <c r="K75" s="3">
        <f>2.67*0.6+2.67*0.1</f>
        <v>1.8689999999999998</v>
      </c>
      <c r="L75" s="3">
        <f>L74</f>
        <v>2.4340000000000002</v>
      </c>
      <c r="M75" s="3"/>
      <c r="N75" s="3"/>
      <c r="O75" s="3"/>
      <c r="P75" s="18">
        <f>P74</f>
        <v>2.4720000000000004</v>
      </c>
    </row>
    <row r="76" spans="2:16" ht="30">
      <c r="B76" s="17" t="s">
        <v>55</v>
      </c>
      <c r="C76" s="6" t="s">
        <v>0</v>
      </c>
      <c r="D76" s="7">
        <f t="shared" si="18"/>
        <v>40.11</v>
      </c>
      <c r="E76" s="3">
        <v>5.94</v>
      </c>
      <c r="F76" s="43"/>
      <c r="G76" s="3"/>
      <c r="H76" s="3"/>
      <c r="I76" s="3"/>
      <c r="J76" s="3"/>
      <c r="K76" s="3"/>
      <c r="L76" s="3"/>
      <c r="M76" s="3">
        <f>16.93</f>
        <v>16.93</v>
      </c>
      <c r="N76" s="3">
        <f>N57</f>
        <v>17.239999999999998</v>
      </c>
      <c r="O76" s="3"/>
      <c r="P76" s="18"/>
    </row>
    <row r="77" spans="2:16" ht="30.75" thickBot="1">
      <c r="B77" s="19" t="s">
        <v>60</v>
      </c>
      <c r="C77" s="11" t="s">
        <v>0</v>
      </c>
      <c r="D77" s="12">
        <f t="shared" si="18"/>
        <v>29.678000000000004</v>
      </c>
      <c r="E77" s="13"/>
      <c r="F77" s="13"/>
      <c r="G77" s="13"/>
      <c r="H77" s="13"/>
      <c r="I77" s="13">
        <f>3.08-(0.22+0.4*0.53)</f>
        <v>2.6480000000000001</v>
      </c>
      <c r="J77" s="13"/>
      <c r="K77" s="13">
        <v>2.74</v>
      </c>
      <c r="L77" s="13">
        <v>18.12</v>
      </c>
      <c r="M77" s="13"/>
      <c r="N77" s="13"/>
      <c r="O77" s="13"/>
      <c r="P77" s="20">
        <f>6.17</f>
        <v>6.17</v>
      </c>
    </row>
    <row r="78" spans="2:16" s="5" customFormat="1" ht="20.25" customHeight="1" thickTop="1" thickBot="1">
      <c r="B78" s="189" t="s">
        <v>76</v>
      </c>
      <c r="C78" s="190"/>
      <c r="D78" s="190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</row>
    <row r="79" spans="2:16" ht="15.75" hidden="1" thickTop="1">
      <c r="B79" s="17"/>
      <c r="C79" s="6"/>
      <c r="D79" s="7"/>
      <c r="E79" s="3"/>
      <c r="F79" s="43"/>
      <c r="G79" s="3"/>
      <c r="H79" s="3"/>
      <c r="I79" s="3"/>
      <c r="J79" s="3"/>
      <c r="K79" s="3"/>
      <c r="L79" s="3"/>
      <c r="M79" s="3"/>
      <c r="N79" s="3"/>
      <c r="O79" s="3"/>
      <c r="P79" s="18"/>
    </row>
    <row r="80" spans="2:16" hidden="1">
      <c r="B80" s="17"/>
      <c r="C80" s="6"/>
      <c r="D80" s="7"/>
      <c r="E80" s="3"/>
      <c r="F80" s="43"/>
      <c r="G80" s="3"/>
      <c r="H80" s="3"/>
      <c r="I80" s="3"/>
      <c r="J80" s="3"/>
      <c r="K80" s="3"/>
      <c r="L80" s="3"/>
      <c r="M80" s="3"/>
      <c r="N80" s="3"/>
      <c r="O80" s="3"/>
      <c r="P80" s="18"/>
    </row>
    <row r="81" spans="2:16" hidden="1">
      <c r="B81" s="17"/>
      <c r="C81" s="6"/>
      <c r="D81" s="7"/>
      <c r="E81" s="3"/>
      <c r="F81" s="43"/>
      <c r="G81" s="3"/>
      <c r="H81" s="3"/>
      <c r="I81" s="3"/>
      <c r="J81" s="3"/>
      <c r="K81" s="3"/>
      <c r="L81" s="3"/>
      <c r="M81" s="3"/>
      <c r="N81" s="3"/>
      <c r="O81" s="3"/>
      <c r="P81" s="18"/>
    </row>
    <row r="82" spans="2:16" hidden="1">
      <c r="B82" s="17"/>
      <c r="C82" s="6"/>
      <c r="D82" s="7"/>
      <c r="E82" s="3"/>
      <c r="F82" s="43"/>
      <c r="G82" s="3"/>
      <c r="H82" s="3"/>
      <c r="I82" s="3"/>
      <c r="J82" s="3"/>
      <c r="K82" s="3"/>
      <c r="L82" s="3"/>
      <c r="M82" s="3"/>
      <c r="N82" s="3"/>
      <c r="O82" s="3"/>
      <c r="P82" s="18"/>
    </row>
    <row r="83" spans="2:16" hidden="1">
      <c r="B83" s="17"/>
      <c r="C83" s="6"/>
      <c r="D83" s="7"/>
      <c r="E83" s="3"/>
      <c r="F83" s="43"/>
      <c r="G83" s="3"/>
      <c r="H83" s="3"/>
      <c r="I83" s="3"/>
      <c r="J83" s="3"/>
      <c r="K83" s="3"/>
      <c r="L83" s="3"/>
      <c r="M83" s="3"/>
      <c r="N83" s="3"/>
      <c r="O83" s="3"/>
      <c r="P83" s="18"/>
    </row>
    <row r="84" spans="2:16" hidden="1">
      <c r="B84" s="17"/>
      <c r="C84" s="6"/>
      <c r="D84" s="7"/>
      <c r="E84" s="3"/>
      <c r="F84" s="43"/>
      <c r="G84" s="3"/>
      <c r="H84" s="3"/>
      <c r="I84" s="3"/>
      <c r="J84" s="3"/>
      <c r="K84" s="3"/>
      <c r="L84" s="3"/>
      <c r="M84" s="3"/>
      <c r="N84" s="3"/>
      <c r="O84" s="3"/>
      <c r="P84" s="18"/>
    </row>
    <row r="85" spans="2:16" hidden="1">
      <c r="B85" s="17"/>
      <c r="C85" s="6"/>
      <c r="D85" s="7"/>
      <c r="E85" s="3"/>
      <c r="F85" s="43"/>
      <c r="G85" s="3"/>
      <c r="H85" s="3"/>
      <c r="I85" s="3"/>
      <c r="J85" s="3"/>
      <c r="K85" s="3"/>
      <c r="L85" s="3"/>
      <c r="M85" s="3"/>
      <c r="N85" s="3"/>
      <c r="O85" s="3"/>
      <c r="P85" s="18"/>
    </row>
    <row r="86" spans="2:16" hidden="1">
      <c r="B86" s="17"/>
      <c r="C86" s="6"/>
      <c r="D86" s="7"/>
      <c r="E86" s="3"/>
      <c r="F86" s="43"/>
      <c r="G86" s="3"/>
      <c r="H86" s="3"/>
      <c r="I86" s="3"/>
      <c r="J86" s="3"/>
      <c r="K86" s="3"/>
      <c r="L86" s="3"/>
      <c r="M86" s="3"/>
      <c r="N86" s="3"/>
      <c r="O86" s="3"/>
      <c r="P86" s="18"/>
    </row>
    <row r="87" spans="2:16" hidden="1">
      <c r="B87" s="17"/>
      <c r="C87" s="6"/>
      <c r="D87" s="7"/>
      <c r="E87" s="3"/>
      <c r="F87" s="43"/>
      <c r="G87" s="3"/>
      <c r="H87" s="3"/>
      <c r="I87" s="3"/>
      <c r="J87" s="3"/>
      <c r="K87" s="3"/>
      <c r="L87" s="3"/>
      <c r="M87" s="3"/>
      <c r="N87" s="3"/>
      <c r="O87" s="3"/>
      <c r="P87" s="18"/>
    </row>
    <row r="88" spans="2:16" hidden="1">
      <c r="B88" s="17"/>
      <c r="C88" s="6"/>
      <c r="D88" s="7"/>
      <c r="E88" s="3"/>
      <c r="F88" s="43"/>
      <c r="G88" s="3"/>
      <c r="H88" s="3"/>
      <c r="I88" s="3"/>
      <c r="J88" s="3"/>
      <c r="K88" s="3"/>
      <c r="L88" s="3"/>
      <c r="M88" s="3"/>
      <c r="N88" s="3"/>
      <c r="O88" s="3"/>
      <c r="P88" s="18"/>
    </row>
    <row r="89" spans="2:16" hidden="1">
      <c r="B89" s="17"/>
      <c r="C89" s="6"/>
      <c r="D89" s="7"/>
      <c r="E89" s="3"/>
      <c r="F89" s="43"/>
      <c r="G89" s="3"/>
      <c r="H89" s="3"/>
      <c r="I89" s="3"/>
      <c r="J89" s="3"/>
      <c r="K89" s="3"/>
      <c r="L89" s="3"/>
      <c r="M89" s="3"/>
      <c r="N89" s="3"/>
      <c r="O89" s="3"/>
      <c r="P89" s="18"/>
    </row>
    <row r="90" spans="2:16" hidden="1">
      <c r="B90" s="17"/>
      <c r="C90" s="6"/>
      <c r="D90" s="7"/>
      <c r="E90" s="3"/>
      <c r="F90" s="43"/>
      <c r="G90" s="3"/>
      <c r="H90" s="3"/>
      <c r="I90" s="3"/>
      <c r="J90" s="3"/>
      <c r="K90" s="3"/>
      <c r="L90" s="3"/>
      <c r="M90" s="3"/>
      <c r="N90" s="3"/>
      <c r="O90" s="3"/>
      <c r="P90" s="18"/>
    </row>
    <row r="91" spans="2:16" hidden="1">
      <c r="B91" s="17"/>
      <c r="C91" s="6"/>
      <c r="D91" s="7"/>
      <c r="E91" s="3"/>
      <c r="F91" s="43"/>
      <c r="G91" s="3"/>
      <c r="H91" s="3"/>
      <c r="I91" s="3"/>
      <c r="J91" s="3"/>
      <c r="K91" s="3"/>
      <c r="L91" s="3"/>
      <c r="M91" s="3"/>
      <c r="N91" s="3"/>
      <c r="O91" s="3"/>
      <c r="P91" s="18"/>
    </row>
    <row r="92" spans="2:16" hidden="1">
      <c r="B92" s="17"/>
      <c r="C92" s="6"/>
      <c r="D92" s="7"/>
      <c r="E92" s="3"/>
      <c r="F92" s="43"/>
      <c r="G92" s="3"/>
      <c r="H92" s="3"/>
      <c r="I92" s="3"/>
      <c r="J92" s="3"/>
      <c r="K92" s="3"/>
      <c r="L92" s="3"/>
      <c r="M92" s="3"/>
      <c r="N92" s="3"/>
      <c r="O92" s="3"/>
      <c r="P92" s="18"/>
    </row>
    <row r="93" spans="2:16" hidden="1">
      <c r="B93" s="17"/>
      <c r="C93" s="6"/>
      <c r="D93" s="7"/>
      <c r="E93" s="3"/>
      <c r="F93" s="43"/>
      <c r="G93" s="3"/>
      <c r="H93" s="3"/>
      <c r="I93" s="3"/>
      <c r="J93" s="3"/>
      <c r="K93" s="3"/>
      <c r="L93" s="3"/>
      <c r="M93" s="3"/>
      <c r="N93" s="3"/>
      <c r="O93" s="3"/>
      <c r="P93" s="18"/>
    </row>
    <row r="94" spans="2:16" hidden="1">
      <c r="B94" s="17"/>
      <c r="C94" s="6"/>
      <c r="D94" s="7"/>
      <c r="E94" s="3"/>
      <c r="F94" s="43"/>
      <c r="G94" s="3"/>
      <c r="H94" s="3"/>
      <c r="I94" s="3"/>
      <c r="J94" s="3"/>
      <c r="K94" s="3"/>
      <c r="L94" s="3"/>
      <c r="M94" s="3"/>
      <c r="N94" s="3"/>
      <c r="O94" s="3"/>
      <c r="P94" s="18"/>
    </row>
    <row r="95" spans="2:16" hidden="1">
      <c r="B95" s="17"/>
      <c r="C95" s="6"/>
      <c r="D95" s="7"/>
      <c r="E95" s="3"/>
      <c r="F95" s="43"/>
      <c r="G95" s="3"/>
      <c r="H95" s="3"/>
      <c r="I95" s="3"/>
      <c r="J95" s="3"/>
      <c r="K95" s="3"/>
      <c r="L95" s="3"/>
      <c r="M95" s="3"/>
      <c r="N95" s="3"/>
      <c r="O95" s="3"/>
      <c r="P95" s="18"/>
    </row>
    <row r="96" spans="2:16" hidden="1">
      <c r="B96" s="17"/>
      <c r="C96" s="6"/>
      <c r="D96" s="7"/>
      <c r="E96" s="3"/>
      <c r="F96" s="43"/>
      <c r="G96" s="3"/>
      <c r="H96" s="3"/>
      <c r="I96" s="3"/>
      <c r="J96" s="3"/>
      <c r="K96" s="3"/>
      <c r="L96" s="3"/>
      <c r="M96" s="3"/>
      <c r="N96" s="3"/>
      <c r="O96" s="3"/>
      <c r="P96" s="18"/>
    </row>
    <row r="97" spans="2:16" hidden="1">
      <c r="B97" s="17"/>
      <c r="C97" s="6"/>
      <c r="D97" s="7"/>
      <c r="E97" s="3"/>
      <c r="F97" s="43"/>
      <c r="G97" s="3"/>
      <c r="H97" s="3"/>
      <c r="I97" s="3"/>
      <c r="J97" s="3"/>
      <c r="K97" s="3"/>
      <c r="L97" s="3"/>
      <c r="M97" s="3"/>
      <c r="N97" s="3"/>
      <c r="O97" s="3"/>
      <c r="P97" s="18"/>
    </row>
    <row r="98" spans="2:16" hidden="1">
      <c r="B98" s="17"/>
      <c r="C98" s="6"/>
      <c r="D98" s="7"/>
      <c r="E98" s="3"/>
      <c r="F98" s="43"/>
      <c r="G98" s="3"/>
      <c r="H98" s="3"/>
      <c r="I98" s="3"/>
      <c r="J98" s="3"/>
      <c r="K98" s="3"/>
      <c r="L98" s="3"/>
      <c r="M98" s="3"/>
      <c r="N98" s="3"/>
      <c r="O98" s="3"/>
      <c r="P98" s="18"/>
    </row>
    <row r="99" spans="2:16" hidden="1">
      <c r="B99" s="17"/>
      <c r="C99" s="6"/>
      <c r="D99" s="7"/>
      <c r="E99" s="3"/>
      <c r="F99" s="43"/>
      <c r="G99" s="3"/>
      <c r="H99" s="3"/>
      <c r="I99" s="3"/>
      <c r="J99" s="3"/>
      <c r="K99" s="3"/>
      <c r="L99" s="3"/>
      <c r="M99" s="3"/>
      <c r="N99" s="3"/>
      <c r="O99" s="3"/>
      <c r="P99" s="18"/>
    </row>
    <row r="100" spans="2:16" hidden="1">
      <c r="B100" s="17"/>
      <c r="C100" s="6"/>
      <c r="D100" s="7"/>
      <c r="E100" s="3"/>
      <c r="F100" s="43"/>
      <c r="G100" s="3"/>
      <c r="H100" s="3"/>
      <c r="I100" s="3"/>
      <c r="J100" s="3"/>
      <c r="K100" s="3"/>
      <c r="L100" s="3"/>
      <c r="M100" s="3"/>
      <c r="N100" s="3"/>
      <c r="O100" s="3"/>
      <c r="P100" s="18"/>
    </row>
    <row r="101" spans="2:16" hidden="1">
      <c r="B101" s="17"/>
      <c r="C101" s="6"/>
      <c r="D101" s="7"/>
      <c r="E101" s="3"/>
      <c r="F101" s="43"/>
      <c r="G101" s="3"/>
      <c r="H101" s="3"/>
      <c r="I101" s="3"/>
      <c r="J101" s="3"/>
      <c r="K101" s="3"/>
      <c r="L101" s="3"/>
      <c r="M101" s="3"/>
      <c r="N101" s="3"/>
      <c r="O101" s="3"/>
      <c r="P101" s="18"/>
    </row>
    <row r="102" spans="2:16" hidden="1">
      <c r="B102" s="17"/>
      <c r="C102" s="6"/>
      <c r="D102" s="7"/>
      <c r="E102" s="3"/>
      <c r="F102" s="43"/>
      <c r="G102" s="3"/>
      <c r="H102" s="3"/>
      <c r="I102" s="3"/>
      <c r="J102" s="3"/>
      <c r="K102" s="3"/>
      <c r="L102" s="3"/>
      <c r="M102" s="3"/>
      <c r="N102" s="3"/>
      <c r="O102" s="3"/>
      <c r="P102" s="18"/>
    </row>
    <row r="103" spans="2:16" hidden="1">
      <c r="B103" s="17"/>
      <c r="C103" s="6"/>
      <c r="D103" s="7"/>
      <c r="E103" s="3"/>
      <c r="F103" s="43"/>
      <c r="G103" s="3"/>
      <c r="H103" s="3"/>
      <c r="I103" s="3"/>
      <c r="J103" s="3"/>
      <c r="K103" s="3"/>
      <c r="L103" s="3"/>
      <c r="M103" s="3"/>
      <c r="N103" s="3"/>
      <c r="O103" s="3"/>
      <c r="P103" s="18"/>
    </row>
    <row r="104" spans="2:16" hidden="1">
      <c r="B104" s="17"/>
      <c r="C104" s="6"/>
      <c r="D104" s="7"/>
      <c r="E104" s="3"/>
      <c r="F104" s="43"/>
      <c r="G104" s="3"/>
      <c r="H104" s="3"/>
      <c r="I104" s="3"/>
      <c r="J104" s="3"/>
      <c r="K104" s="3"/>
      <c r="L104" s="3"/>
      <c r="M104" s="3"/>
      <c r="N104" s="3"/>
      <c r="O104" s="3"/>
      <c r="P104" s="18"/>
    </row>
    <row r="105" spans="2:16" hidden="1">
      <c r="B105" s="17"/>
      <c r="C105" s="6"/>
      <c r="D105" s="7"/>
      <c r="E105" s="3"/>
      <c r="F105" s="43"/>
      <c r="G105" s="3"/>
      <c r="H105" s="3"/>
      <c r="I105" s="3"/>
      <c r="J105" s="3"/>
      <c r="K105" s="3"/>
      <c r="L105" s="3"/>
      <c r="M105" s="3"/>
      <c r="N105" s="3"/>
      <c r="O105" s="3"/>
      <c r="P105" s="18"/>
    </row>
    <row r="106" spans="2:16" hidden="1">
      <c r="B106" s="17"/>
      <c r="C106" s="6"/>
      <c r="D106" s="7"/>
      <c r="E106" s="3"/>
      <c r="F106" s="43"/>
      <c r="G106" s="3"/>
      <c r="H106" s="3"/>
      <c r="I106" s="3"/>
      <c r="J106" s="3"/>
      <c r="K106" s="3"/>
      <c r="L106" s="3"/>
      <c r="M106" s="3"/>
      <c r="N106" s="3"/>
      <c r="O106" s="3"/>
      <c r="P106" s="18"/>
    </row>
    <row r="107" spans="2:16" hidden="1">
      <c r="B107" s="17"/>
      <c r="C107" s="6"/>
      <c r="D107" s="7"/>
      <c r="E107" s="3"/>
      <c r="F107" s="43"/>
      <c r="G107" s="3"/>
      <c r="H107" s="3"/>
      <c r="I107" s="3"/>
      <c r="J107" s="3"/>
      <c r="K107" s="3"/>
      <c r="L107" s="3"/>
      <c r="M107" s="3"/>
      <c r="N107" s="3"/>
      <c r="O107" s="3"/>
      <c r="P107" s="18"/>
    </row>
    <row r="108" spans="2:16" hidden="1">
      <c r="B108" s="17"/>
      <c r="C108" s="6"/>
      <c r="D108" s="7"/>
      <c r="E108" s="3"/>
      <c r="F108" s="43"/>
      <c r="G108" s="3"/>
      <c r="H108" s="3"/>
      <c r="I108" s="3"/>
      <c r="J108" s="3"/>
      <c r="K108" s="3"/>
      <c r="L108" s="3"/>
      <c r="M108" s="3"/>
      <c r="N108" s="3"/>
      <c r="O108" s="3"/>
      <c r="P108" s="18"/>
    </row>
    <row r="109" spans="2:16" hidden="1">
      <c r="B109" s="17"/>
      <c r="C109" s="6"/>
      <c r="D109" s="7"/>
      <c r="E109" s="3"/>
      <c r="F109" s="43"/>
      <c r="G109" s="3"/>
      <c r="H109" s="3"/>
      <c r="I109" s="3"/>
      <c r="J109" s="3"/>
      <c r="K109" s="3"/>
      <c r="L109" s="3"/>
      <c r="M109" s="3"/>
      <c r="N109" s="3"/>
      <c r="O109" s="3"/>
      <c r="P109" s="18"/>
    </row>
    <row r="110" spans="2:16" hidden="1">
      <c r="B110" s="17"/>
      <c r="C110" s="6"/>
      <c r="D110" s="7"/>
      <c r="E110" s="3"/>
      <c r="F110" s="43"/>
      <c r="G110" s="3"/>
      <c r="H110" s="3"/>
      <c r="I110" s="3"/>
      <c r="J110" s="3"/>
      <c r="K110" s="3"/>
      <c r="L110" s="3"/>
      <c r="M110" s="3"/>
      <c r="N110" s="3"/>
      <c r="O110" s="3"/>
      <c r="P110" s="18"/>
    </row>
    <row r="111" spans="2:16" hidden="1">
      <c r="B111" s="17"/>
      <c r="C111" s="6"/>
      <c r="D111" s="7"/>
      <c r="E111" s="3"/>
      <c r="F111" s="43"/>
      <c r="G111" s="3"/>
      <c r="H111" s="3"/>
      <c r="I111" s="3"/>
      <c r="J111" s="3"/>
      <c r="K111" s="3"/>
      <c r="L111" s="3"/>
      <c r="M111" s="3"/>
      <c r="N111" s="3"/>
      <c r="O111" s="3"/>
      <c r="P111" s="18"/>
    </row>
    <row r="112" spans="2:16" hidden="1">
      <c r="B112" s="17"/>
      <c r="C112" s="6"/>
      <c r="D112" s="7"/>
      <c r="E112" s="3"/>
      <c r="F112" s="43"/>
      <c r="G112" s="3"/>
      <c r="H112" s="3"/>
      <c r="I112" s="3"/>
      <c r="J112" s="3"/>
      <c r="K112" s="3"/>
      <c r="L112" s="3"/>
      <c r="M112" s="3"/>
      <c r="N112" s="3"/>
      <c r="O112" s="3"/>
      <c r="P112" s="18"/>
    </row>
    <row r="113" spans="2:16" hidden="1">
      <c r="B113" s="17"/>
      <c r="C113" s="6"/>
      <c r="D113" s="7"/>
      <c r="E113" s="3"/>
      <c r="F113" s="43"/>
      <c r="G113" s="3"/>
      <c r="H113" s="3"/>
      <c r="I113" s="3"/>
      <c r="J113" s="3"/>
      <c r="K113" s="3"/>
      <c r="L113" s="3"/>
      <c r="M113" s="3"/>
      <c r="N113" s="3"/>
      <c r="O113" s="3"/>
      <c r="P113" s="18"/>
    </row>
    <row r="114" spans="2:16" hidden="1">
      <c r="B114" s="17"/>
      <c r="C114" s="6"/>
      <c r="D114" s="7"/>
      <c r="E114" s="3"/>
      <c r="F114" s="43"/>
      <c r="G114" s="3"/>
      <c r="H114" s="3"/>
      <c r="I114" s="3"/>
      <c r="J114" s="3"/>
      <c r="K114" s="3"/>
      <c r="L114" s="3"/>
      <c r="M114" s="3"/>
      <c r="N114" s="3"/>
      <c r="O114" s="3"/>
      <c r="P114" s="18"/>
    </row>
    <row r="115" spans="2:16" hidden="1">
      <c r="B115" s="17"/>
      <c r="C115" s="6"/>
      <c r="D115" s="7"/>
      <c r="E115" s="3"/>
      <c r="F115" s="43"/>
      <c r="G115" s="3"/>
      <c r="H115" s="3"/>
      <c r="I115" s="3"/>
      <c r="J115" s="3"/>
      <c r="K115" s="3"/>
      <c r="L115" s="3"/>
      <c r="M115" s="3"/>
      <c r="N115" s="3"/>
      <c r="O115" s="3"/>
      <c r="P115" s="18"/>
    </row>
    <row r="116" spans="2:16" ht="15.75" hidden="1" thickBot="1">
      <c r="B116" s="17"/>
      <c r="C116" s="6"/>
      <c r="D116" s="7"/>
      <c r="E116" s="3"/>
      <c r="F116" s="43"/>
      <c r="G116" s="3"/>
      <c r="H116" s="3"/>
      <c r="I116" s="3"/>
      <c r="J116" s="3"/>
      <c r="K116" s="3"/>
      <c r="L116" s="3"/>
      <c r="M116" s="3"/>
      <c r="N116" s="3"/>
      <c r="O116" s="3"/>
      <c r="P116" s="18"/>
    </row>
    <row r="117" spans="2:16" s="5" customFormat="1" ht="20.25" customHeight="1" thickTop="1" thickBot="1">
      <c r="B117" s="189" t="s">
        <v>26</v>
      </c>
      <c r="C117" s="190"/>
      <c r="D117" s="190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6"/>
    </row>
    <row r="118" spans="2:16" ht="15.75" thickTop="1">
      <c r="B118" s="53" t="s">
        <v>180</v>
      </c>
      <c r="C118" s="54" t="s">
        <v>72</v>
      </c>
      <c r="D118" s="54">
        <v>25.3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22"/>
    </row>
    <row r="119" spans="2:16">
      <c r="B119" s="55" t="s">
        <v>200</v>
      </c>
      <c r="C119" s="1" t="s">
        <v>72</v>
      </c>
      <c r="D119" s="1">
        <v>25.3</v>
      </c>
      <c r="E119" s="3"/>
      <c r="F119" s="43"/>
      <c r="G119" s="3"/>
      <c r="H119" s="3"/>
      <c r="I119" s="3"/>
      <c r="J119" s="3"/>
      <c r="K119" s="3"/>
      <c r="L119" s="3"/>
      <c r="M119" s="3"/>
      <c r="N119" s="3"/>
      <c r="O119" s="3"/>
      <c r="P119" s="18"/>
    </row>
    <row r="120" spans="2:16" ht="15.75" thickBot="1">
      <c r="B120" s="56" t="s">
        <v>179</v>
      </c>
      <c r="C120" s="57" t="s">
        <v>1</v>
      </c>
      <c r="D120" s="57">
        <v>7.5</v>
      </c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4"/>
    </row>
    <row r="121" spans="2:16" ht="15.75" thickTop="1"/>
  </sheetData>
  <mergeCells count="28">
    <mergeCell ref="B117:D117"/>
    <mergeCell ref="B1:B2"/>
    <mergeCell ref="C1:C2"/>
    <mergeCell ref="D1:D2"/>
    <mergeCell ref="E1:P1"/>
    <mergeCell ref="J4:K4"/>
    <mergeCell ref="B51:D51"/>
    <mergeCell ref="B66:D66"/>
    <mergeCell ref="B78:D78"/>
    <mergeCell ref="L14:M14"/>
    <mergeCell ref="L16:N16"/>
    <mergeCell ref="L24:M24"/>
    <mergeCell ref="G52:P52"/>
    <mergeCell ref="M21:N21"/>
    <mergeCell ref="M20:N20"/>
    <mergeCell ref="B3:D3"/>
    <mergeCell ref="E9:P9"/>
    <mergeCell ref="E8:P8"/>
    <mergeCell ref="E7:P7"/>
    <mergeCell ref="E6:P6"/>
    <mergeCell ref="E5:P5"/>
    <mergeCell ref="B32:D32"/>
    <mergeCell ref="J12:K12"/>
    <mergeCell ref="B11:B12"/>
    <mergeCell ref="C11:C12"/>
    <mergeCell ref="D11:D12"/>
    <mergeCell ref="E11:P11"/>
    <mergeCell ref="B22:D22"/>
  </mergeCells>
  <conditionalFormatting sqref="C1:D2 C79:D116 A42:XFD42 A65:XFD65 C68:D77 B121:D1048576 G1:P4 A8:F9 C13:D21 A5:F5 B1:B10 C4:D10 G10:P10 C23:D31 A1:A1048576 B13:B117 E1:F1048576 C33:D50 G12:P51 Q1:XFD1048576 A67:F67 G54:P1048576 A53:XFD53 C52:D65">
    <cfRule type="cellIs" dxfId="1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9"/>
  <sheetViews>
    <sheetView tabSelected="1" workbookViewId="0">
      <selection activeCell="P26" sqref="P26"/>
    </sheetView>
  </sheetViews>
  <sheetFormatPr defaultRowHeight="15" outlineLevelRow="1"/>
  <cols>
    <col min="1" max="1" width="6.85546875" style="150" customWidth="1"/>
    <col min="2" max="2" width="40.85546875" style="154" customWidth="1"/>
    <col min="3" max="3" width="9.140625" style="155"/>
    <col min="4" max="4" width="10" style="155" bestFit="1" customWidth="1"/>
    <col min="5" max="5" width="12.140625" style="99" customWidth="1"/>
    <col min="6" max="6" width="13.85546875" style="99" customWidth="1"/>
    <col min="7" max="7" width="13.5703125" style="99" customWidth="1"/>
    <col min="8" max="8" width="12.140625" style="99" customWidth="1"/>
    <col min="9" max="9" width="14.85546875" style="99" customWidth="1"/>
    <col min="10" max="10" width="16.140625" style="99" customWidth="1"/>
    <col min="11" max="11" width="13.28515625" style="99" hidden="1" customWidth="1"/>
    <col min="12" max="12" width="14.28515625" style="99" hidden="1" customWidth="1"/>
    <col min="13" max="13" width="0" style="99" hidden="1" customWidth="1"/>
    <col min="14" max="16384" width="9.140625" style="99"/>
  </cols>
  <sheetData>
    <row r="1" spans="1:11" s="108" customFormat="1">
      <c r="A1" s="104" t="s">
        <v>307</v>
      </c>
      <c r="B1" s="105"/>
      <c r="C1" s="106"/>
      <c r="D1" s="104"/>
      <c r="E1" s="104"/>
      <c r="F1" s="107"/>
      <c r="G1" s="107"/>
      <c r="H1" s="107"/>
      <c r="I1" s="216" t="s">
        <v>308</v>
      </c>
      <c r="J1" s="216"/>
      <c r="K1" s="107"/>
    </row>
    <row r="2" spans="1:11" s="108" customFormat="1">
      <c r="A2" s="109" t="s">
        <v>309</v>
      </c>
      <c r="B2" s="105"/>
      <c r="C2" s="106"/>
      <c r="D2" s="109"/>
      <c r="E2" s="109"/>
      <c r="F2" s="107"/>
      <c r="G2" s="107"/>
      <c r="H2" s="107"/>
      <c r="I2" s="215" t="s">
        <v>310</v>
      </c>
      <c r="J2" s="215"/>
      <c r="K2" s="107"/>
    </row>
    <row r="3" spans="1:11" s="108" customFormat="1">
      <c r="A3" s="109" t="s">
        <v>309</v>
      </c>
      <c r="B3" s="105"/>
      <c r="C3" s="106"/>
      <c r="D3" s="109"/>
      <c r="E3" s="109"/>
      <c r="F3" s="107"/>
      <c r="G3" s="107"/>
      <c r="H3" s="107"/>
      <c r="I3" s="215" t="s">
        <v>310</v>
      </c>
      <c r="J3" s="215"/>
      <c r="K3" s="107"/>
    </row>
    <row r="4" spans="1:11" s="108" customFormat="1" ht="26.25" customHeight="1">
      <c r="A4" s="110" t="s">
        <v>311</v>
      </c>
      <c r="B4" s="105"/>
      <c r="C4" s="106"/>
      <c r="D4" s="111"/>
      <c r="E4" s="111"/>
      <c r="F4" s="107"/>
      <c r="G4" s="107"/>
      <c r="H4" s="107"/>
      <c r="I4" s="217" t="s">
        <v>312</v>
      </c>
      <c r="J4" s="217"/>
      <c r="K4" s="107"/>
    </row>
    <row r="5" spans="1:11" s="108" customFormat="1" ht="16.5" customHeight="1">
      <c r="A5" s="218" t="s">
        <v>320</v>
      </c>
      <c r="B5" s="218"/>
      <c r="C5" s="218"/>
      <c r="D5" s="218"/>
      <c r="E5" s="218"/>
      <c r="F5" s="218"/>
      <c r="G5" s="218"/>
      <c r="H5" s="218"/>
      <c r="I5" s="218"/>
    </row>
    <row r="6" spans="1:11" s="108" customFormat="1">
      <c r="A6" s="219" t="s">
        <v>313</v>
      </c>
      <c r="B6" s="219"/>
      <c r="C6" s="219"/>
      <c r="D6" s="219"/>
      <c r="E6" s="219"/>
      <c r="F6" s="219"/>
      <c r="G6" s="219"/>
      <c r="H6" s="219"/>
      <c r="I6" s="219"/>
    </row>
    <row r="7" spans="1:11" s="108" customFormat="1" ht="9.75" customHeight="1">
      <c r="A7" s="112"/>
      <c r="B7" s="113"/>
      <c r="C7" s="107"/>
      <c r="D7" s="107"/>
      <c r="E7" s="107"/>
      <c r="F7" s="107"/>
      <c r="G7" s="107"/>
      <c r="H7" s="107"/>
      <c r="I7" s="107"/>
    </row>
    <row r="8" spans="1:11" s="108" customFormat="1" ht="15.75">
      <c r="A8" s="114" t="s">
        <v>314</v>
      </c>
      <c r="B8" s="115" t="s">
        <v>321</v>
      </c>
      <c r="C8" s="116"/>
      <c r="D8" s="117"/>
      <c r="E8" s="117"/>
      <c r="F8" s="116"/>
      <c r="G8" s="116"/>
      <c r="H8" s="116"/>
      <c r="I8" s="116"/>
    </row>
    <row r="9" spans="1:11" s="108" customFormat="1">
      <c r="A9" s="220" t="s">
        <v>315</v>
      </c>
      <c r="B9" s="220"/>
      <c r="C9" s="220"/>
      <c r="D9" s="220"/>
      <c r="E9" s="220"/>
      <c r="F9" s="220"/>
      <c r="G9" s="220"/>
      <c r="H9" s="220"/>
      <c r="I9" s="220"/>
    </row>
    <row r="10" spans="1:11" s="108" customFormat="1" ht="9" customHeight="1">
      <c r="A10" s="118"/>
      <c r="B10" s="119"/>
      <c r="C10" s="107"/>
      <c r="D10" s="107"/>
      <c r="E10" s="107"/>
      <c r="F10" s="107"/>
      <c r="G10" s="107"/>
      <c r="H10" s="107"/>
      <c r="I10" s="107"/>
    </row>
    <row r="11" spans="1:11" s="108" customFormat="1">
      <c r="A11" s="120"/>
      <c r="B11" s="121" t="s">
        <v>342</v>
      </c>
      <c r="C11" s="213">
        <f>H449</f>
        <v>854667.08720800001</v>
      </c>
      <c r="D11" s="214"/>
      <c r="E11" s="122"/>
      <c r="F11" s="123"/>
      <c r="G11" s="122"/>
      <c r="H11" s="122"/>
      <c r="I11" s="122"/>
    </row>
    <row r="12" spans="1:11" s="108" customFormat="1">
      <c r="A12" s="120"/>
      <c r="B12" s="121" t="s">
        <v>334</v>
      </c>
      <c r="C12" s="213">
        <f>I449</f>
        <v>1897133.9897110695</v>
      </c>
      <c r="D12" s="214"/>
      <c r="E12" s="122"/>
      <c r="F12" s="123"/>
      <c r="G12" s="122"/>
      <c r="H12" s="122"/>
      <c r="I12" s="122"/>
    </row>
    <row r="13" spans="1:11" s="108" customFormat="1">
      <c r="A13" s="120"/>
      <c r="B13" s="121" t="s">
        <v>335</v>
      </c>
      <c r="C13" s="213">
        <f>J448</f>
        <v>189713.39897110697</v>
      </c>
      <c r="D13" s="214"/>
      <c r="E13" s="122"/>
      <c r="F13" s="123"/>
      <c r="G13" s="122"/>
      <c r="H13" s="122"/>
      <c r="I13" s="122"/>
    </row>
    <row r="14" spans="1:11" s="108" customFormat="1">
      <c r="A14" s="120"/>
      <c r="B14" s="121" t="s">
        <v>316</v>
      </c>
      <c r="C14" s="221">
        <f>J449</f>
        <v>2941514.4758901764</v>
      </c>
      <c r="D14" s="221"/>
      <c r="E14" s="122"/>
      <c r="F14" s="124"/>
      <c r="G14" s="122"/>
      <c r="H14" s="122"/>
      <c r="I14" s="122"/>
    </row>
    <row r="15" spans="1:11" s="108" customFormat="1">
      <c r="A15" s="125"/>
      <c r="B15" s="126" t="s">
        <v>338</v>
      </c>
      <c r="C15" s="127"/>
      <c r="D15" s="128"/>
      <c r="E15" s="128"/>
      <c r="F15" s="128"/>
      <c r="G15" s="128"/>
      <c r="H15" s="128"/>
      <c r="I15" s="129"/>
    </row>
    <row r="16" spans="1:11" s="108" customFormat="1">
      <c r="A16" s="120"/>
      <c r="B16" s="121" t="s">
        <v>343</v>
      </c>
      <c r="C16" s="213" t="s">
        <v>83</v>
      </c>
      <c r="D16" s="214"/>
      <c r="E16" s="130">
        <f>H329</f>
        <v>542574.34720800002</v>
      </c>
      <c r="F16" s="131" t="s">
        <v>344</v>
      </c>
      <c r="G16" s="130">
        <f>I329</f>
        <v>894137.54211106966</v>
      </c>
      <c r="H16" s="237"/>
      <c r="I16" s="237"/>
      <c r="J16" s="132"/>
    </row>
    <row r="17" spans="1:13" s="108" customFormat="1">
      <c r="A17" s="120"/>
      <c r="B17" s="121" t="s">
        <v>336</v>
      </c>
      <c r="C17" s="213" t="s">
        <v>83</v>
      </c>
      <c r="D17" s="214"/>
      <c r="E17" s="130">
        <f>H381</f>
        <v>131892.24</v>
      </c>
      <c r="F17" s="131" t="s">
        <v>344</v>
      </c>
      <c r="G17" s="130">
        <f>I381</f>
        <v>289038.10920000001</v>
      </c>
      <c r="H17" s="237"/>
      <c r="I17" s="237"/>
      <c r="J17" s="132"/>
    </row>
    <row r="18" spans="1:13" s="108" customFormat="1">
      <c r="A18" s="120"/>
      <c r="B18" s="121" t="s">
        <v>337</v>
      </c>
      <c r="C18" s="213" t="s">
        <v>83</v>
      </c>
      <c r="D18" s="214"/>
      <c r="E18" s="130">
        <f>H398</f>
        <v>8720</v>
      </c>
      <c r="F18" s="131" t="s">
        <v>344</v>
      </c>
      <c r="G18" s="130">
        <f>I398</f>
        <v>39187</v>
      </c>
      <c r="H18" s="237"/>
      <c r="I18" s="237"/>
      <c r="J18" s="132"/>
    </row>
    <row r="19" spans="1:13" s="108" customFormat="1">
      <c r="A19" s="120"/>
      <c r="B19" s="121" t="s">
        <v>260</v>
      </c>
      <c r="C19" s="213" t="s">
        <v>83</v>
      </c>
      <c r="D19" s="214"/>
      <c r="E19" s="130">
        <f>H418</f>
        <v>108664</v>
      </c>
      <c r="F19" s="131" t="s">
        <v>344</v>
      </c>
      <c r="G19" s="130">
        <f>I418</f>
        <v>581677.22399999993</v>
      </c>
      <c r="H19" s="237"/>
      <c r="I19" s="237"/>
      <c r="J19" s="132"/>
    </row>
    <row r="20" spans="1:13" s="108" customFormat="1">
      <c r="A20" s="120"/>
      <c r="B20" s="121" t="s">
        <v>345</v>
      </c>
      <c r="C20" s="213" t="s">
        <v>83</v>
      </c>
      <c r="D20" s="214"/>
      <c r="E20" s="130">
        <f>H433</f>
        <v>13160.5</v>
      </c>
      <c r="F20" s="131" t="s">
        <v>344</v>
      </c>
      <c r="G20" s="130">
        <f>I433</f>
        <v>35005.1944</v>
      </c>
      <c r="H20" s="133"/>
      <c r="I20" s="133"/>
      <c r="J20" s="132"/>
    </row>
    <row r="21" spans="1:13" s="108" customFormat="1">
      <c r="A21" s="120"/>
      <c r="B21" s="121" t="s">
        <v>26</v>
      </c>
      <c r="C21" s="213" t="s">
        <v>83</v>
      </c>
      <c r="D21" s="214"/>
      <c r="E21" s="130">
        <f>H447</f>
        <v>49656</v>
      </c>
      <c r="F21" s="131" t="s">
        <v>344</v>
      </c>
      <c r="G21" s="130">
        <f>I447</f>
        <v>58088.92</v>
      </c>
      <c r="H21" s="237"/>
      <c r="I21" s="237"/>
      <c r="J21" s="132"/>
    </row>
    <row r="22" spans="1:13" s="108" customFormat="1">
      <c r="A22" s="125"/>
      <c r="B22" s="126"/>
      <c r="C22" s="127"/>
      <c r="D22" s="128"/>
      <c r="E22" s="128"/>
      <c r="F22" s="128"/>
      <c r="G22" s="128"/>
      <c r="H22" s="128"/>
      <c r="I22" s="129"/>
    </row>
    <row r="23" spans="1:13" s="108" customFormat="1" ht="10.5" customHeight="1">
      <c r="A23" s="120"/>
      <c r="B23" s="121"/>
      <c r="C23" s="134"/>
      <c r="D23" s="135"/>
      <c r="E23" s="123"/>
      <c r="F23" s="123"/>
      <c r="G23" s="122"/>
      <c r="H23" s="122"/>
      <c r="I23" s="122"/>
    </row>
    <row r="24" spans="1:13" s="108" customFormat="1">
      <c r="A24" s="125"/>
      <c r="B24" s="136" t="s">
        <v>317</v>
      </c>
      <c r="C24" s="106"/>
      <c r="D24" s="107"/>
      <c r="E24" s="107"/>
      <c r="F24" s="107"/>
      <c r="G24" s="107"/>
      <c r="H24" s="107"/>
      <c r="I24" s="107"/>
    </row>
    <row r="25" spans="1:13" s="108" customFormat="1" ht="8.25" customHeight="1">
      <c r="C25" s="137"/>
      <c r="D25" s="138"/>
      <c r="E25" s="138"/>
      <c r="F25" s="139"/>
      <c r="G25" s="139"/>
      <c r="H25" s="139"/>
      <c r="I25" s="139"/>
    </row>
    <row r="26" spans="1:13" ht="12.75" customHeight="1">
      <c r="A26" s="231" t="s">
        <v>77</v>
      </c>
      <c r="B26" s="231" t="s">
        <v>78</v>
      </c>
      <c r="C26" s="231" t="s">
        <v>79</v>
      </c>
      <c r="D26" s="233" t="s">
        <v>80</v>
      </c>
      <c r="E26" s="228" t="s">
        <v>81</v>
      </c>
      <c r="F26" s="229"/>
      <c r="G26" s="230"/>
      <c r="H26" s="228" t="s">
        <v>82</v>
      </c>
      <c r="I26" s="229"/>
      <c r="J26" s="230"/>
      <c r="M26" s="204" t="s">
        <v>355</v>
      </c>
    </row>
    <row r="27" spans="1:13" ht="12.75" customHeight="1">
      <c r="A27" s="232"/>
      <c r="B27" s="232"/>
      <c r="C27" s="232"/>
      <c r="D27" s="234"/>
      <c r="E27" s="140" t="s">
        <v>83</v>
      </c>
      <c r="F27" s="141" t="s">
        <v>84</v>
      </c>
      <c r="G27" s="141" t="s">
        <v>85</v>
      </c>
      <c r="H27" s="140" t="s">
        <v>83</v>
      </c>
      <c r="I27" s="141" t="s">
        <v>84</v>
      </c>
      <c r="J27" s="141" t="s">
        <v>85</v>
      </c>
      <c r="M27" s="204"/>
    </row>
    <row r="28" spans="1:13" ht="21" customHeight="1">
      <c r="A28" s="225" t="s">
        <v>18</v>
      </c>
      <c r="B28" s="226"/>
      <c r="C28" s="226"/>
      <c r="D28" s="226"/>
      <c r="E28" s="226"/>
      <c r="F28" s="226"/>
      <c r="G28" s="226"/>
      <c r="H28" s="226"/>
      <c r="I28" s="226"/>
      <c r="J28" s="227"/>
      <c r="M28" s="156"/>
    </row>
    <row r="29" spans="1:13" ht="30">
      <c r="A29" s="71">
        <v>1</v>
      </c>
      <c r="B29" s="70" t="s">
        <v>19</v>
      </c>
      <c r="C29" s="8" t="s">
        <v>22</v>
      </c>
      <c r="D29" s="8">
        <f>Дефектовка!D4</f>
        <v>3</v>
      </c>
      <c r="E29" s="32">
        <v>1280</v>
      </c>
      <c r="F29" s="33">
        <f t="shared" ref="F29:F35" si="0">I29/D29</f>
        <v>0</v>
      </c>
      <c r="G29" s="33">
        <f>F29+E29</f>
        <v>1280</v>
      </c>
      <c r="H29" s="33">
        <f>E29*D29</f>
        <v>3840</v>
      </c>
      <c r="I29" s="33">
        <v>0</v>
      </c>
      <c r="J29" s="31">
        <f>I29+H29</f>
        <v>3840</v>
      </c>
      <c r="K29" s="235">
        <f>I29+I30+I31+I32+I33+I34+I35+I36+I41</f>
        <v>16629.386158000005</v>
      </c>
      <c r="L29" s="235">
        <f>J29+J30+J31+J32+J33+J34+J35+J36+J41</f>
        <v>66453.047158000001</v>
      </c>
      <c r="M29" s="240">
        <v>1</v>
      </c>
    </row>
    <row r="30" spans="1:13" ht="60">
      <c r="A30" s="71">
        <v>2</v>
      </c>
      <c r="B30" s="70" t="s">
        <v>203</v>
      </c>
      <c r="C30" s="8" t="s">
        <v>22</v>
      </c>
      <c r="D30" s="8">
        <f>Дефектовка!D5</f>
        <v>3</v>
      </c>
      <c r="E30" s="32">
        <v>480</v>
      </c>
      <c r="F30" s="33">
        <f t="shared" ref="F30" si="1">I30/D30</f>
        <v>0</v>
      </c>
      <c r="G30" s="33">
        <f>F30+E30</f>
        <v>480</v>
      </c>
      <c r="H30" s="33">
        <f>E30*D30</f>
        <v>1440</v>
      </c>
      <c r="I30" s="33">
        <v>0</v>
      </c>
      <c r="J30" s="31">
        <f>I30+H30</f>
        <v>1440</v>
      </c>
      <c r="K30" s="236"/>
      <c r="L30" s="236"/>
      <c r="M30" s="241"/>
    </row>
    <row r="31" spans="1:13" ht="60">
      <c r="A31" s="71">
        <v>3</v>
      </c>
      <c r="B31" s="70" t="s">
        <v>204</v>
      </c>
      <c r="C31" s="8" t="s">
        <v>22</v>
      </c>
      <c r="D31" s="8">
        <f>Дефектовка!D6</f>
        <v>11</v>
      </c>
      <c r="E31" s="32">
        <v>690</v>
      </c>
      <c r="F31" s="33">
        <f>I31/D31</f>
        <v>0</v>
      </c>
      <c r="G31" s="33">
        <f t="shared" ref="G31:G34" si="2">F31+E31</f>
        <v>690</v>
      </c>
      <c r="H31" s="33">
        <f t="shared" ref="H31:H34" si="3">E31*D31</f>
        <v>7590</v>
      </c>
      <c r="I31" s="33">
        <v>0</v>
      </c>
      <c r="J31" s="31">
        <f t="shared" ref="J31:J34" si="4">I31+H31</f>
        <v>7590</v>
      </c>
      <c r="K31" s="236"/>
      <c r="L31" s="236"/>
      <c r="M31" s="241"/>
    </row>
    <row r="32" spans="1:13" ht="60">
      <c r="A32" s="71">
        <v>4</v>
      </c>
      <c r="B32" s="70" t="s">
        <v>201</v>
      </c>
      <c r="C32" s="8" t="s">
        <v>22</v>
      </c>
      <c r="D32" s="8">
        <f>Дефектовка!D7</f>
        <v>4</v>
      </c>
      <c r="E32" s="32">
        <v>780</v>
      </c>
      <c r="F32" s="33">
        <f t="shared" ref="F32:F34" si="5">I32/D32</f>
        <v>0</v>
      </c>
      <c r="G32" s="33">
        <f t="shared" si="2"/>
        <v>780</v>
      </c>
      <c r="H32" s="33">
        <f t="shared" si="3"/>
        <v>3120</v>
      </c>
      <c r="I32" s="33">
        <v>0</v>
      </c>
      <c r="J32" s="31">
        <f t="shared" si="4"/>
        <v>3120</v>
      </c>
      <c r="K32" s="236"/>
      <c r="L32" s="236"/>
      <c r="M32" s="241"/>
    </row>
    <row r="33" spans="1:13" ht="60">
      <c r="A33" s="71">
        <v>5</v>
      </c>
      <c r="B33" s="70" t="s">
        <v>205</v>
      </c>
      <c r="C33" s="8" t="s">
        <v>22</v>
      </c>
      <c r="D33" s="8">
        <f>Дефектовка!D8</f>
        <v>6</v>
      </c>
      <c r="E33" s="32">
        <v>2100</v>
      </c>
      <c r="F33" s="33">
        <f t="shared" si="5"/>
        <v>0</v>
      </c>
      <c r="G33" s="33">
        <f t="shared" si="2"/>
        <v>2100</v>
      </c>
      <c r="H33" s="33">
        <f t="shared" si="3"/>
        <v>12600</v>
      </c>
      <c r="I33" s="33">
        <v>0</v>
      </c>
      <c r="J33" s="31">
        <f t="shared" si="4"/>
        <v>12600</v>
      </c>
      <c r="K33" s="236"/>
      <c r="L33" s="236"/>
      <c r="M33" s="241"/>
    </row>
    <row r="34" spans="1:13" ht="60">
      <c r="A34" s="71">
        <v>6</v>
      </c>
      <c r="B34" s="70" t="s">
        <v>202</v>
      </c>
      <c r="C34" s="8" t="s">
        <v>22</v>
      </c>
      <c r="D34" s="8">
        <f>Дефектовка!D9</f>
        <v>2</v>
      </c>
      <c r="E34" s="32">
        <v>2980</v>
      </c>
      <c r="F34" s="33">
        <f t="shared" si="5"/>
        <v>0</v>
      </c>
      <c r="G34" s="33">
        <f t="shared" si="2"/>
        <v>2980</v>
      </c>
      <c r="H34" s="33">
        <f t="shared" si="3"/>
        <v>5960</v>
      </c>
      <c r="I34" s="33">
        <v>0</v>
      </c>
      <c r="J34" s="31">
        <f t="shared" si="4"/>
        <v>5960</v>
      </c>
      <c r="K34" s="236"/>
      <c r="L34" s="236"/>
      <c r="M34" s="241"/>
    </row>
    <row r="35" spans="1:13">
      <c r="A35" s="71">
        <v>7</v>
      </c>
      <c r="B35" s="70" t="s">
        <v>86</v>
      </c>
      <c r="C35" s="8" t="s">
        <v>0</v>
      </c>
      <c r="D35" s="69">
        <f>Дефектовка!D10</f>
        <v>1.1055999999999999</v>
      </c>
      <c r="E35" s="32">
        <v>390</v>
      </c>
      <c r="F35" s="33">
        <f t="shared" si="0"/>
        <v>0</v>
      </c>
      <c r="G35" s="33">
        <f>F35+E35</f>
        <v>390</v>
      </c>
      <c r="H35" s="33">
        <f>E35*D35</f>
        <v>431.18399999999997</v>
      </c>
      <c r="I35" s="33">
        <v>0</v>
      </c>
      <c r="J35" s="31">
        <f>I35+H35</f>
        <v>431.18399999999997</v>
      </c>
      <c r="K35" s="236"/>
      <c r="L35" s="236"/>
      <c r="M35" s="241"/>
    </row>
    <row r="36" spans="1:13" ht="45">
      <c r="A36" s="71">
        <v>8</v>
      </c>
      <c r="B36" s="70" t="s">
        <v>25</v>
      </c>
      <c r="C36" s="8" t="s">
        <v>24</v>
      </c>
      <c r="D36" s="69">
        <f>Дефектовка!D11</f>
        <v>67.442000000000007</v>
      </c>
      <c r="E36" s="32">
        <v>190</v>
      </c>
      <c r="F36" s="33">
        <f>I36/D36</f>
        <v>244.26508264879456</v>
      </c>
      <c r="G36" s="33">
        <f>F36+E36</f>
        <v>434.26508264879453</v>
      </c>
      <c r="H36" s="33">
        <f>E36*D36</f>
        <v>12813.980000000001</v>
      </c>
      <c r="I36" s="33">
        <f>SUM(I37:I40)</f>
        <v>16473.725704000004</v>
      </c>
      <c r="J36" s="31">
        <f>I36+H36</f>
        <v>29287.705704000007</v>
      </c>
      <c r="K36" s="236"/>
      <c r="L36" s="236"/>
      <c r="M36" s="241"/>
    </row>
    <row r="37" spans="1:13" ht="15" customHeight="1" outlineLevel="1">
      <c r="A37" s="100" t="s">
        <v>181</v>
      </c>
      <c r="B37" s="66" t="s">
        <v>208</v>
      </c>
      <c r="C37" s="2" t="s">
        <v>72</v>
      </c>
      <c r="D37" s="142">
        <f>D36*1.03*6.9*0.001</f>
        <v>0.47931029400000014</v>
      </c>
      <c r="E37" s="67"/>
      <c r="F37" s="67">
        <f>Материал!I71</f>
        <v>31500</v>
      </c>
      <c r="G37" s="67"/>
      <c r="H37" s="67"/>
      <c r="I37" s="29">
        <f>F37*D37</f>
        <v>15098.274261000004</v>
      </c>
      <c r="J37" s="67"/>
      <c r="K37" s="236"/>
      <c r="L37" s="236"/>
      <c r="M37" s="241"/>
    </row>
    <row r="38" spans="1:13" ht="15" customHeight="1" outlineLevel="1">
      <c r="A38" s="100" t="s">
        <v>181</v>
      </c>
      <c r="B38" s="66" t="s">
        <v>332</v>
      </c>
      <c r="C38" s="2" t="s">
        <v>72</v>
      </c>
      <c r="D38" s="35">
        <f>0.157*D40*0.001</f>
        <v>1.7647323333333336E-2</v>
      </c>
      <c r="E38" s="67"/>
      <c r="F38" s="67">
        <f>Материал!I32</f>
        <v>35700</v>
      </c>
      <c r="G38" s="67"/>
      <c r="H38" s="67"/>
      <c r="I38" s="29">
        <f>F38*D38</f>
        <v>630.00944300000015</v>
      </c>
      <c r="J38" s="67"/>
      <c r="K38" s="236"/>
      <c r="L38" s="236"/>
      <c r="M38" s="241"/>
    </row>
    <row r="39" spans="1:13" ht="15" customHeight="1" outlineLevel="1">
      <c r="A39" s="143" t="s">
        <v>181</v>
      </c>
      <c r="B39" s="66" t="s">
        <v>329</v>
      </c>
      <c r="C39" s="2" t="s">
        <v>95</v>
      </c>
      <c r="D39" s="35">
        <f>10</f>
        <v>10</v>
      </c>
      <c r="E39" s="67"/>
      <c r="F39" s="67">
        <v>67.8</v>
      </c>
      <c r="G39" s="67"/>
      <c r="H39" s="67"/>
      <c r="I39" s="29">
        <f>F39*D39</f>
        <v>678</v>
      </c>
      <c r="J39" s="67"/>
      <c r="K39" s="236"/>
      <c r="L39" s="236"/>
      <c r="M39" s="241"/>
    </row>
    <row r="40" spans="1:13" ht="15" customHeight="1" outlineLevel="1">
      <c r="A40" s="100" t="s">
        <v>181</v>
      </c>
      <c r="B40" s="66" t="s">
        <v>87</v>
      </c>
      <c r="C40" s="144" t="s">
        <v>22</v>
      </c>
      <c r="D40" s="145">
        <f>D36/2*100/30</f>
        <v>112.40333333333335</v>
      </c>
      <c r="E40" s="67"/>
      <c r="F40" s="67">
        <f>Материал!I15</f>
        <v>0.6</v>
      </c>
      <c r="G40" s="67"/>
      <c r="H40" s="67"/>
      <c r="I40" s="29">
        <f>F40*D40</f>
        <v>67.442000000000007</v>
      </c>
      <c r="J40" s="67"/>
      <c r="K40" s="236"/>
      <c r="L40" s="236"/>
      <c r="M40" s="241"/>
    </row>
    <row r="41" spans="1:13" ht="30">
      <c r="A41" s="71">
        <v>9</v>
      </c>
      <c r="B41" s="70" t="s">
        <v>330</v>
      </c>
      <c r="C41" s="8" t="s">
        <v>0</v>
      </c>
      <c r="D41" s="69">
        <f>D36*(0.075*2)+(0.1*0.05)*112</f>
        <v>10.676300000000001</v>
      </c>
      <c r="E41" s="32">
        <v>190</v>
      </c>
      <c r="F41" s="33">
        <f>I41/D41</f>
        <v>14.58</v>
      </c>
      <c r="G41" s="33">
        <f>F41+E41</f>
        <v>204.58</v>
      </c>
      <c r="H41" s="33">
        <f>E41*D41</f>
        <v>2028.4970000000003</v>
      </c>
      <c r="I41" s="33">
        <f>SUM(I42)</f>
        <v>155.66045400000002</v>
      </c>
      <c r="J41" s="31">
        <f>I41+H41</f>
        <v>2184.1574540000001</v>
      </c>
      <c r="K41" s="236"/>
      <c r="L41" s="236"/>
      <c r="M41" s="241"/>
    </row>
    <row r="42" spans="1:13" ht="15" customHeight="1" outlineLevel="1">
      <c r="A42" s="100" t="s">
        <v>181</v>
      </c>
      <c r="B42" s="66" t="s">
        <v>331</v>
      </c>
      <c r="C42" s="2" t="s">
        <v>95</v>
      </c>
      <c r="D42" s="142">
        <f>0.15*D41</f>
        <v>1.6014450000000002</v>
      </c>
      <c r="E42" s="67"/>
      <c r="F42" s="67">
        <v>97.2</v>
      </c>
      <c r="G42" s="67"/>
      <c r="H42" s="67"/>
      <c r="I42" s="29">
        <f>F42*D42</f>
        <v>155.66045400000002</v>
      </c>
      <c r="J42" s="67"/>
      <c r="M42" s="241"/>
    </row>
    <row r="43" spans="1:13" ht="60" customHeight="1">
      <c r="A43" s="71">
        <v>10</v>
      </c>
      <c r="B43" s="70" t="str">
        <f>Дефектовка!B13</f>
        <v>Устройство кирпичной кладки из керамического кирпича, толщ в 1/2 кирп. (закладка дверных проемов)</v>
      </c>
      <c r="C43" s="8" t="s">
        <v>0</v>
      </c>
      <c r="D43" s="69">
        <f>Дефектовка!D13</f>
        <v>1.9110000000000003</v>
      </c>
      <c r="E43" s="32">
        <v>650</v>
      </c>
      <c r="F43" s="33">
        <f>I43/D43</f>
        <v>751.95219999999995</v>
      </c>
      <c r="G43" s="33">
        <f>F43+E43</f>
        <v>1401.9521999999999</v>
      </c>
      <c r="H43" s="33">
        <f>E43*D43</f>
        <v>1242.1500000000001</v>
      </c>
      <c r="I43" s="33">
        <f>SUM(I44:I47)</f>
        <v>1436.9806542000001</v>
      </c>
      <c r="J43" s="31">
        <f>I43+H43</f>
        <v>2679.1306542000002</v>
      </c>
      <c r="K43" s="239">
        <f>I112+I111+I98+I84+I71+I57+I52+I48+I43</f>
        <v>112280.6306529448</v>
      </c>
      <c r="L43" s="239">
        <f>J112+J111+J98+J84+J71+J57+J52+J48+J43</f>
        <v>176404.20086094484</v>
      </c>
      <c r="M43" s="241"/>
    </row>
    <row r="44" spans="1:13" ht="15.75" customHeight="1" outlineLevel="1">
      <c r="A44" s="100" t="s">
        <v>181</v>
      </c>
      <c r="B44" s="66" t="s">
        <v>88</v>
      </c>
      <c r="C44" s="27" t="s">
        <v>72</v>
      </c>
      <c r="D44" s="34">
        <f>D43*0.025*1.86</f>
        <v>8.8861500000000024E-2</v>
      </c>
      <c r="E44" s="67"/>
      <c r="F44" s="67">
        <f>Материал!I75</f>
        <v>5800</v>
      </c>
      <c r="G44" s="67"/>
      <c r="H44" s="67"/>
      <c r="I44" s="30">
        <f>F44*D44</f>
        <v>515.39670000000012</v>
      </c>
      <c r="J44" s="67"/>
      <c r="K44" s="239"/>
      <c r="L44" s="239"/>
      <c r="M44" s="241"/>
    </row>
    <row r="45" spans="1:13" ht="15.75" customHeight="1" outlineLevel="1">
      <c r="A45" s="100" t="s">
        <v>181</v>
      </c>
      <c r="B45" s="66" t="s">
        <v>92</v>
      </c>
      <c r="C45" s="28" t="s">
        <v>22</v>
      </c>
      <c r="D45" s="34">
        <f>D43*30</f>
        <v>57.330000000000005</v>
      </c>
      <c r="E45" s="67"/>
      <c r="F45" s="67">
        <f>Материал!I21</f>
        <v>12.5</v>
      </c>
      <c r="G45" s="67"/>
      <c r="H45" s="67"/>
      <c r="I45" s="30">
        <f>F45*D45</f>
        <v>716.62500000000011</v>
      </c>
      <c r="J45" s="67"/>
      <c r="K45" s="239"/>
      <c r="L45" s="239"/>
      <c r="M45" s="241"/>
    </row>
    <row r="46" spans="1:13" ht="15.75" customHeight="1" outlineLevel="1">
      <c r="A46" s="100" t="s">
        <v>181</v>
      </c>
      <c r="B46" s="66" t="s">
        <v>89</v>
      </c>
      <c r="C46" s="27" t="s">
        <v>91</v>
      </c>
      <c r="D46" s="35">
        <f>D43*0.00154</f>
        <v>2.9429400000000002E-3</v>
      </c>
      <c r="E46" s="67"/>
      <c r="F46" s="67">
        <f>Материал!I66</f>
        <v>57680</v>
      </c>
      <c r="G46" s="67"/>
      <c r="H46" s="67"/>
      <c r="I46" s="30">
        <f>F46*D46</f>
        <v>169.7487792</v>
      </c>
      <c r="J46" s="67"/>
      <c r="K46" s="239"/>
      <c r="L46" s="239"/>
      <c r="M46" s="241"/>
    </row>
    <row r="47" spans="1:13" ht="15.75" customHeight="1" outlineLevel="1">
      <c r="A47" s="100" t="s">
        <v>181</v>
      </c>
      <c r="B47" s="66" t="s">
        <v>90</v>
      </c>
      <c r="C47" s="27" t="s">
        <v>91</v>
      </c>
      <c r="D47" s="36">
        <f>D43*0.00055</f>
        <v>1.0510500000000002E-3</v>
      </c>
      <c r="E47" s="67"/>
      <c r="F47" s="67">
        <f>Материал!I2</f>
        <v>33500</v>
      </c>
      <c r="G47" s="67"/>
      <c r="H47" s="67"/>
      <c r="I47" s="30">
        <f>F47*D47</f>
        <v>35.210175000000007</v>
      </c>
      <c r="J47" s="67"/>
      <c r="K47" s="239"/>
      <c r="L47" s="239"/>
      <c r="M47" s="241"/>
    </row>
    <row r="48" spans="1:13" ht="45">
      <c r="A48" s="71">
        <v>11</v>
      </c>
      <c r="B48" s="70" t="s">
        <v>20</v>
      </c>
      <c r="C48" s="8" t="s">
        <v>1</v>
      </c>
      <c r="D48" s="69">
        <f>Дефектовка!D14</f>
        <v>0.7332780000000001</v>
      </c>
      <c r="E48" s="32">
        <v>2496</v>
      </c>
      <c r="F48" s="33">
        <f>I48/D48</f>
        <v>7855.6016</v>
      </c>
      <c r="G48" s="33">
        <f>F48+E48</f>
        <v>10351.6016</v>
      </c>
      <c r="H48" s="33">
        <f>E48*D48</f>
        <v>1830.2618880000002</v>
      </c>
      <c r="I48" s="33">
        <f>SUM(I49:I51)</f>
        <v>5760.3398300448007</v>
      </c>
      <c r="J48" s="31">
        <f>I48+H48</f>
        <v>7590.6017180448007</v>
      </c>
      <c r="K48" s="239"/>
      <c r="L48" s="239"/>
      <c r="M48" s="241"/>
    </row>
    <row r="49" spans="1:13" ht="15.75" customHeight="1" outlineLevel="1">
      <c r="A49" s="100" t="s">
        <v>181</v>
      </c>
      <c r="B49" s="66" t="s">
        <v>88</v>
      </c>
      <c r="C49" s="27" t="s">
        <v>72</v>
      </c>
      <c r="D49" s="34">
        <f>D48*0.24*1.86</f>
        <v>0.32733529920000004</v>
      </c>
      <c r="E49" s="67"/>
      <c r="F49" s="67">
        <f>Материал!I75</f>
        <v>5800</v>
      </c>
      <c r="G49" s="67"/>
      <c r="H49" s="67"/>
      <c r="I49" s="30">
        <f>F49*D49</f>
        <v>1898.5447353600002</v>
      </c>
      <c r="J49" s="67"/>
      <c r="K49" s="239"/>
      <c r="L49" s="239"/>
      <c r="M49" s="241"/>
    </row>
    <row r="50" spans="1:13" ht="15.75" customHeight="1" outlineLevel="1">
      <c r="A50" s="100" t="s">
        <v>181</v>
      </c>
      <c r="B50" s="66" t="s">
        <v>92</v>
      </c>
      <c r="C50" s="28" t="s">
        <v>22</v>
      </c>
      <c r="D50" s="34">
        <f>D48*400</f>
        <v>293.31120000000004</v>
      </c>
      <c r="E50" s="67"/>
      <c r="F50" s="67">
        <f>Материал!I21</f>
        <v>12.5</v>
      </c>
      <c r="G50" s="67"/>
      <c r="H50" s="67"/>
      <c r="I50" s="30">
        <f>F50*D50</f>
        <v>3666.3900000000003</v>
      </c>
      <c r="J50" s="67"/>
      <c r="K50" s="239"/>
      <c r="L50" s="239"/>
      <c r="M50" s="241"/>
    </row>
    <row r="51" spans="1:13" ht="15.75" customHeight="1" outlineLevel="1">
      <c r="A51" s="100" t="s">
        <v>181</v>
      </c>
      <c r="B51" s="66" t="s">
        <v>89</v>
      </c>
      <c r="C51" s="27" t="s">
        <v>91</v>
      </c>
      <c r="D51" s="35">
        <f>D48*0.00154*3</f>
        <v>3.3877443600000006E-3</v>
      </c>
      <c r="E51" s="67"/>
      <c r="F51" s="67">
        <f>Материал!I66</f>
        <v>57680</v>
      </c>
      <c r="G51" s="67"/>
      <c r="H51" s="67"/>
      <c r="I51" s="30">
        <f>F51*D51</f>
        <v>195.40509468480002</v>
      </c>
      <c r="J51" s="67"/>
      <c r="K51" s="239"/>
      <c r="L51" s="239"/>
      <c r="M51" s="241"/>
    </row>
    <row r="52" spans="1:13" ht="45">
      <c r="A52" s="71">
        <v>12</v>
      </c>
      <c r="B52" s="70" t="s">
        <v>65</v>
      </c>
      <c r="C52" s="8" t="s">
        <v>0</v>
      </c>
      <c r="D52" s="69">
        <f>Дефектовка!D15</f>
        <v>2.59</v>
      </c>
      <c r="E52" s="32">
        <v>650</v>
      </c>
      <c r="F52" s="33">
        <f>I52/D52</f>
        <v>751.95220000000006</v>
      </c>
      <c r="G52" s="33">
        <f>F52+E52</f>
        <v>1401.9522000000002</v>
      </c>
      <c r="H52" s="33">
        <f>E52*D52</f>
        <v>1683.5</v>
      </c>
      <c r="I52" s="33">
        <f>SUM(I53:I56)</f>
        <v>1947.556198</v>
      </c>
      <c r="J52" s="31">
        <f>I52+H52</f>
        <v>3631.0561980000002</v>
      </c>
      <c r="K52" s="239"/>
      <c r="L52" s="239"/>
      <c r="M52" s="241"/>
    </row>
    <row r="53" spans="1:13" ht="15.75" customHeight="1" outlineLevel="1">
      <c r="A53" s="100" t="s">
        <v>181</v>
      </c>
      <c r="B53" s="66" t="s">
        <v>88</v>
      </c>
      <c r="C53" s="27" t="s">
        <v>72</v>
      </c>
      <c r="D53" s="34">
        <f>D52*0.025*1.86</f>
        <v>0.12043500000000001</v>
      </c>
      <c r="E53" s="67"/>
      <c r="F53" s="67">
        <f>Материал!I75</f>
        <v>5800</v>
      </c>
      <c r="G53" s="67"/>
      <c r="H53" s="67"/>
      <c r="I53" s="30">
        <f>F53*D53</f>
        <v>698.52300000000014</v>
      </c>
      <c r="J53" s="67"/>
      <c r="K53" s="239"/>
      <c r="L53" s="239"/>
      <c r="M53" s="241"/>
    </row>
    <row r="54" spans="1:13" ht="15.75" customHeight="1" outlineLevel="1">
      <c r="A54" s="100" t="s">
        <v>181</v>
      </c>
      <c r="B54" s="66" t="s">
        <v>92</v>
      </c>
      <c r="C54" s="28" t="s">
        <v>22</v>
      </c>
      <c r="D54" s="34">
        <f>D52*30</f>
        <v>77.699999999999989</v>
      </c>
      <c r="E54" s="67"/>
      <c r="F54" s="67">
        <f>Материал!I21</f>
        <v>12.5</v>
      </c>
      <c r="G54" s="67"/>
      <c r="H54" s="67"/>
      <c r="I54" s="30">
        <f>F54*D54</f>
        <v>971.24999999999989</v>
      </c>
      <c r="J54" s="67"/>
      <c r="K54" s="239"/>
      <c r="L54" s="239"/>
      <c r="M54" s="241"/>
    </row>
    <row r="55" spans="1:13" ht="15.75" customHeight="1" outlineLevel="1">
      <c r="A55" s="100" t="s">
        <v>181</v>
      </c>
      <c r="B55" s="66" t="s">
        <v>89</v>
      </c>
      <c r="C55" s="27" t="s">
        <v>91</v>
      </c>
      <c r="D55" s="35">
        <f>D52*0.00154</f>
        <v>3.9885999999999993E-3</v>
      </c>
      <c r="E55" s="67"/>
      <c r="F55" s="67">
        <f>Материал!I66</f>
        <v>57680</v>
      </c>
      <c r="G55" s="67"/>
      <c r="H55" s="67"/>
      <c r="I55" s="30">
        <f>F55*D55</f>
        <v>230.06244799999996</v>
      </c>
      <c r="J55" s="67"/>
      <c r="K55" s="239"/>
      <c r="L55" s="239"/>
      <c r="M55" s="241"/>
    </row>
    <row r="56" spans="1:13" ht="15.75" customHeight="1" outlineLevel="1">
      <c r="A56" s="100" t="s">
        <v>181</v>
      </c>
      <c r="B56" s="66" t="s">
        <v>90</v>
      </c>
      <c r="C56" s="27" t="s">
        <v>91</v>
      </c>
      <c r="D56" s="36">
        <f>D52*0.00055</f>
        <v>1.4245E-3</v>
      </c>
      <c r="E56" s="67"/>
      <c r="F56" s="67">
        <f>Материал!I2</f>
        <v>33500</v>
      </c>
      <c r="G56" s="67"/>
      <c r="H56" s="67"/>
      <c r="I56" s="30">
        <f>F56*D56</f>
        <v>47.720750000000002</v>
      </c>
      <c r="J56" s="67"/>
      <c r="K56" s="239"/>
      <c r="L56" s="239"/>
      <c r="M56" s="241"/>
    </row>
    <row r="57" spans="1:13" ht="90" customHeight="1">
      <c r="A57" s="71">
        <v>13</v>
      </c>
      <c r="B57" s="70" t="s">
        <v>3</v>
      </c>
      <c r="C57" s="8" t="s">
        <v>0</v>
      </c>
      <c r="D57" s="69">
        <f>Дефектовка!D16</f>
        <v>51</v>
      </c>
      <c r="E57" s="32">
        <f>76.8+364.8</f>
        <v>441.6</v>
      </c>
      <c r="F57" s="33">
        <f>I57/D57</f>
        <v>879.36270000000002</v>
      </c>
      <c r="G57" s="33">
        <f>F57+E57</f>
        <v>1320.9627</v>
      </c>
      <c r="H57" s="33">
        <f>E57*D57</f>
        <v>22521.600000000002</v>
      </c>
      <c r="I57" s="33">
        <f>SUM(I58:I70)</f>
        <v>44847.4977</v>
      </c>
      <c r="J57" s="31">
        <f>I57+H57</f>
        <v>67369.097699999998</v>
      </c>
      <c r="K57" s="239"/>
      <c r="L57" s="239"/>
      <c r="M57" s="241"/>
    </row>
    <row r="58" spans="1:13" ht="15.75" customHeight="1" outlineLevel="1">
      <c r="A58" s="100" t="s">
        <v>181</v>
      </c>
      <c r="B58" s="66" t="s">
        <v>100</v>
      </c>
      <c r="C58" s="28" t="s">
        <v>0</v>
      </c>
      <c r="D58" s="34">
        <f>D57*4.07</f>
        <v>207.57000000000002</v>
      </c>
      <c r="E58" s="67"/>
      <c r="F58" s="67">
        <f>Материал!I4</f>
        <v>124.62</v>
      </c>
      <c r="G58" s="67"/>
      <c r="H58" s="67"/>
      <c r="I58" s="30">
        <f t="shared" ref="I58:I70" si="6">F58*D58</f>
        <v>25867.373400000004</v>
      </c>
      <c r="J58" s="67"/>
      <c r="K58" s="239"/>
      <c r="L58" s="239"/>
      <c r="M58" s="241"/>
    </row>
    <row r="59" spans="1:13" ht="15.75" customHeight="1" outlineLevel="1">
      <c r="A59" s="100" t="s">
        <v>181</v>
      </c>
      <c r="B59" s="66" t="s">
        <v>101</v>
      </c>
      <c r="C59" s="28" t="s">
        <v>29</v>
      </c>
      <c r="D59" s="34">
        <f>D57*0.8</f>
        <v>40.800000000000004</v>
      </c>
      <c r="E59" s="67"/>
      <c r="F59" s="67">
        <f>Материал!I49</f>
        <v>34</v>
      </c>
      <c r="G59" s="67"/>
      <c r="H59" s="67"/>
      <c r="I59" s="30">
        <f t="shared" si="6"/>
        <v>1387.2</v>
      </c>
      <c r="J59" s="67"/>
      <c r="K59" s="239"/>
      <c r="L59" s="239"/>
      <c r="M59" s="241"/>
    </row>
    <row r="60" spans="1:13" ht="15.75" customHeight="1" outlineLevel="1">
      <c r="A60" s="100" t="s">
        <v>181</v>
      </c>
      <c r="B60" s="66" t="s">
        <v>102</v>
      </c>
      <c r="C60" s="28" t="s">
        <v>29</v>
      </c>
      <c r="D60" s="34">
        <f>D57*2.1</f>
        <v>107.10000000000001</v>
      </c>
      <c r="E60" s="67"/>
      <c r="F60" s="67">
        <f>Материал!I58</f>
        <v>45.67</v>
      </c>
      <c r="G60" s="67"/>
      <c r="H60" s="67"/>
      <c r="I60" s="30">
        <f t="shared" si="6"/>
        <v>4891.2570000000005</v>
      </c>
      <c r="J60" s="67"/>
      <c r="K60" s="239"/>
      <c r="L60" s="239"/>
      <c r="M60" s="241"/>
    </row>
    <row r="61" spans="1:13" ht="15.75" customHeight="1" outlineLevel="1">
      <c r="A61" s="100" t="s">
        <v>181</v>
      </c>
      <c r="B61" s="66" t="s">
        <v>104</v>
      </c>
      <c r="C61" s="28" t="s">
        <v>22</v>
      </c>
      <c r="D61" s="34">
        <f>D57*15</f>
        <v>765</v>
      </c>
      <c r="E61" s="67"/>
      <c r="F61" s="67">
        <f>Материал!I63</f>
        <v>0.24</v>
      </c>
      <c r="G61" s="67"/>
      <c r="H61" s="67"/>
      <c r="I61" s="30">
        <f t="shared" si="6"/>
        <v>183.6</v>
      </c>
      <c r="J61" s="67"/>
      <c r="K61" s="239"/>
      <c r="L61" s="239"/>
      <c r="M61" s="241"/>
    </row>
    <row r="62" spans="1:13" ht="15.75" customHeight="1" outlineLevel="1">
      <c r="A62" s="100" t="s">
        <v>181</v>
      </c>
      <c r="B62" s="66" t="s">
        <v>103</v>
      </c>
      <c r="C62" s="28" t="s">
        <v>22</v>
      </c>
      <c r="D62" s="34">
        <f>D57*38</f>
        <v>1938</v>
      </c>
      <c r="E62" s="67"/>
      <c r="F62" s="67">
        <f>Материал!I64</f>
        <v>0.26</v>
      </c>
      <c r="G62" s="67"/>
      <c r="H62" s="67"/>
      <c r="I62" s="30">
        <f t="shared" si="6"/>
        <v>503.88</v>
      </c>
      <c r="J62" s="67"/>
      <c r="K62" s="239"/>
      <c r="L62" s="239"/>
      <c r="M62" s="241"/>
    </row>
    <row r="63" spans="1:13" ht="15.75" customHeight="1" outlineLevel="1">
      <c r="A63" s="100" t="s">
        <v>181</v>
      </c>
      <c r="B63" s="66" t="s">
        <v>87</v>
      </c>
      <c r="C63" s="28" t="s">
        <v>22</v>
      </c>
      <c r="D63" s="34">
        <f>D57*1.63</f>
        <v>83.13</v>
      </c>
      <c r="E63" s="67"/>
      <c r="F63" s="67">
        <f>Материал!I15</f>
        <v>0.6</v>
      </c>
      <c r="G63" s="67"/>
      <c r="H63" s="67"/>
      <c r="I63" s="30">
        <f t="shared" si="6"/>
        <v>49.877999999999993</v>
      </c>
      <c r="J63" s="67"/>
      <c r="K63" s="239"/>
      <c r="L63" s="239"/>
      <c r="M63" s="241"/>
    </row>
    <row r="64" spans="1:13" ht="15.75" customHeight="1" outlineLevel="1">
      <c r="A64" s="100" t="s">
        <v>181</v>
      </c>
      <c r="B64" s="66" t="s">
        <v>109</v>
      </c>
      <c r="C64" s="28" t="s">
        <v>22</v>
      </c>
      <c r="D64" s="34">
        <f>4.7*D57</f>
        <v>239.70000000000002</v>
      </c>
      <c r="E64" s="67"/>
      <c r="F64" s="67">
        <f>Материал!I57</f>
        <v>0.23</v>
      </c>
      <c r="G64" s="67"/>
      <c r="H64" s="67"/>
      <c r="I64" s="30">
        <f t="shared" si="6"/>
        <v>55.131000000000007</v>
      </c>
      <c r="J64" s="67"/>
      <c r="K64" s="239"/>
      <c r="L64" s="239"/>
      <c r="M64" s="241"/>
    </row>
    <row r="65" spans="1:13" ht="15.75" customHeight="1" outlineLevel="1">
      <c r="A65" s="100" t="s">
        <v>181</v>
      </c>
      <c r="B65" s="66" t="s">
        <v>170</v>
      </c>
      <c r="C65" s="28" t="s">
        <v>95</v>
      </c>
      <c r="D65" s="34">
        <f>0.21*D57</f>
        <v>10.709999999999999</v>
      </c>
      <c r="E65" s="67"/>
      <c r="F65" s="67">
        <f>Материал!I77</f>
        <v>48.8</v>
      </c>
      <c r="G65" s="67"/>
      <c r="H65" s="67"/>
      <c r="I65" s="30">
        <f t="shared" si="6"/>
        <v>522.64799999999991</v>
      </c>
      <c r="J65" s="67"/>
      <c r="K65" s="239"/>
      <c r="L65" s="239"/>
      <c r="M65" s="241"/>
    </row>
    <row r="66" spans="1:13" ht="15.75" customHeight="1" outlineLevel="1">
      <c r="A66" s="100" t="s">
        <v>181</v>
      </c>
      <c r="B66" s="66" t="s">
        <v>171</v>
      </c>
      <c r="C66" s="28" t="s">
        <v>95</v>
      </c>
      <c r="D66" s="34">
        <f>D57*1.5</f>
        <v>76.5</v>
      </c>
      <c r="E66" s="67"/>
      <c r="F66" s="67">
        <f>Материал!I78</f>
        <v>15</v>
      </c>
      <c r="G66" s="67"/>
      <c r="H66" s="67"/>
      <c r="I66" s="30">
        <f t="shared" si="6"/>
        <v>1147.5</v>
      </c>
      <c r="J66" s="67"/>
      <c r="K66" s="239"/>
      <c r="L66" s="239"/>
      <c r="M66" s="241"/>
    </row>
    <row r="67" spans="1:13" ht="15.75" customHeight="1" outlineLevel="1">
      <c r="A67" s="100" t="s">
        <v>181</v>
      </c>
      <c r="B67" s="66" t="s">
        <v>96</v>
      </c>
      <c r="C67" s="28" t="s">
        <v>29</v>
      </c>
      <c r="D67" s="34">
        <f>D57*1.77</f>
        <v>90.27</v>
      </c>
      <c r="E67" s="67"/>
      <c r="F67" s="67">
        <f>Материал!I65</f>
        <v>0.71</v>
      </c>
      <c r="G67" s="67"/>
      <c r="H67" s="67"/>
      <c r="I67" s="30">
        <f t="shared" si="6"/>
        <v>64.091699999999989</v>
      </c>
      <c r="J67" s="67"/>
      <c r="K67" s="239"/>
      <c r="L67" s="239"/>
      <c r="M67" s="241"/>
    </row>
    <row r="68" spans="1:13" ht="15.75" customHeight="1" outlineLevel="1">
      <c r="A68" s="100" t="s">
        <v>181</v>
      </c>
      <c r="B68" s="66" t="s">
        <v>97</v>
      </c>
      <c r="C68" s="28" t="s">
        <v>29</v>
      </c>
      <c r="D68" s="34">
        <f>D57*1.2</f>
        <v>61.199999999999996</v>
      </c>
      <c r="E68" s="67"/>
      <c r="F68" s="67">
        <f>Материал!I12</f>
        <v>8.3000000000000007</v>
      </c>
      <c r="G68" s="67"/>
      <c r="H68" s="67"/>
      <c r="I68" s="30">
        <f t="shared" si="6"/>
        <v>507.96000000000004</v>
      </c>
      <c r="J68" s="67"/>
      <c r="K68" s="239"/>
      <c r="L68" s="239"/>
      <c r="M68" s="241"/>
    </row>
    <row r="69" spans="1:13" ht="15.75" customHeight="1" outlineLevel="1">
      <c r="A69" s="100" t="s">
        <v>181</v>
      </c>
      <c r="B69" s="66" t="s">
        <v>98</v>
      </c>
      <c r="C69" s="28" t="s">
        <v>99</v>
      </c>
      <c r="D69" s="34">
        <f>D57*0.2</f>
        <v>10.200000000000001</v>
      </c>
      <c r="E69" s="67"/>
      <c r="F69" s="67">
        <f>Материал!I8</f>
        <v>55.6</v>
      </c>
      <c r="G69" s="67"/>
      <c r="H69" s="67"/>
      <c r="I69" s="30">
        <f t="shared" si="6"/>
        <v>567.12000000000012</v>
      </c>
      <c r="J69" s="67"/>
      <c r="K69" s="239"/>
      <c r="L69" s="239"/>
      <c r="M69" s="241"/>
    </row>
    <row r="70" spans="1:13" ht="30" customHeight="1" outlineLevel="1">
      <c r="A70" s="100" t="s">
        <v>181</v>
      </c>
      <c r="B70" s="66" t="s">
        <v>105</v>
      </c>
      <c r="C70" s="28" t="s">
        <v>0</v>
      </c>
      <c r="D70" s="37">
        <f>D57*1.02</f>
        <v>52.02</v>
      </c>
      <c r="E70" s="67"/>
      <c r="F70" s="67">
        <f>Материал!I48</f>
        <v>174.93</v>
      </c>
      <c r="G70" s="67"/>
      <c r="H70" s="67"/>
      <c r="I70" s="30">
        <f t="shared" si="6"/>
        <v>9099.8586000000014</v>
      </c>
      <c r="J70" s="67"/>
      <c r="K70" s="239"/>
      <c r="L70" s="239"/>
      <c r="M70" s="241"/>
    </row>
    <row r="71" spans="1:13" ht="75" customHeight="1">
      <c r="A71" s="71">
        <v>14</v>
      </c>
      <c r="B71" s="70" t="s">
        <v>66</v>
      </c>
      <c r="C71" s="8" t="s">
        <v>0</v>
      </c>
      <c r="D71" s="69">
        <f>Дефектовка!D17</f>
        <v>28.770800000000001</v>
      </c>
      <c r="E71" s="32">
        <v>259.2</v>
      </c>
      <c r="F71" s="33">
        <f>I71/D71</f>
        <v>280.02654999999999</v>
      </c>
      <c r="G71" s="33">
        <f>F71+E71</f>
        <v>539.22654999999997</v>
      </c>
      <c r="H71" s="33">
        <f>E71*D71</f>
        <v>7457.3913599999996</v>
      </c>
      <c r="I71" s="33">
        <f>SUM(I72:I83)</f>
        <v>8056.5878647400004</v>
      </c>
      <c r="J71" s="31">
        <f>I71+H71</f>
        <v>15513.97922474</v>
      </c>
      <c r="K71" s="239"/>
      <c r="L71" s="239"/>
      <c r="M71" s="241"/>
    </row>
    <row r="72" spans="1:13" ht="15.75" customHeight="1" outlineLevel="1">
      <c r="A72" s="100" t="s">
        <v>181</v>
      </c>
      <c r="B72" s="66" t="s">
        <v>93</v>
      </c>
      <c r="C72" s="28" t="s">
        <v>0</v>
      </c>
      <c r="D72" s="34">
        <f>D71*1.07</f>
        <v>30.784756000000002</v>
      </c>
      <c r="E72" s="67"/>
      <c r="F72" s="67">
        <f>Материал!I5</f>
        <v>124.62</v>
      </c>
      <c r="G72" s="67"/>
      <c r="H72" s="67"/>
      <c r="I72" s="30">
        <f t="shared" ref="I72:I83" si="7">F72*D72</f>
        <v>3836.3962927200005</v>
      </c>
      <c r="J72" s="67"/>
      <c r="K72" s="239"/>
      <c r="L72" s="239"/>
      <c r="M72" s="241"/>
    </row>
    <row r="73" spans="1:13" ht="15.75" customHeight="1" outlineLevel="1">
      <c r="A73" s="100" t="s">
        <v>181</v>
      </c>
      <c r="B73" s="66" t="s">
        <v>106</v>
      </c>
      <c r="C73" s="28" t="s">
        <v>29</v>
      </c>
      <c r="D73" s="34">
        <f>D71*1.22</f>
        <v>35.100376000000004</v>
      </c>
      <c r="E73" s="67"/>
      <c r="F73" s="67">
        <f>Материал!I51</f>
        <v>27.1</v>
      </c>
      <c r="G73" s="67"/>
      <c r="H73" s="67"/>
      <c r="I73" s="30">
        <f t="shared" si="7"/>
        <v>951.22018960000014</v>
      </c>
      <c r="J73" s="67"/>
      <c r="K73" s="239"/>
      <c r="L73" s="239"/>
      <c r="M73" s="241"/>
    </row>
    <row r="74" spans="1:13" ht="15.75" customHeight="1" outlineLevel="1">
      <c r="A74" s="100" t="s">
        <v>181</v>
      </c>
      <c r="B74" s="66" t="s">
        <v>107</v>
      </c>
      <c r="C74" s="28" t="s">
        <v>29</v>
      </c>
      <c r="D74" s="34">
        <f>D71*2.34</f>
        <v>67.323672000000002</v>
      </c>
      <c r="E74" s="67"/>
      <c r="F74" s="67">
        <f>Материал!I59</f>
        <v>34.07</v>
      </c>
      <c r="G74" s="67"/>
      <c r="H74" s="67"/>
      <c r="I74" s="30">
        <f t="shared" si="7"/>
        <v>2293.7175050400001</v>
      </c>
      <c r="J74" s="67"/>
      <c r="K74" s="239"/>
      <c r="L74" s="239"/>
      <c r="M74" s="241"/>
    </row>
    <row r="75" spans="1:13" ht="15.75" customHeight="1" outlineLevel="1">
      <c r="A75" s="100" t="s">
        <v>181</v>
      </c>
      <c r="B75" s="66" t="s">
        <v>104</v>
      </c>
      <c r="C75" s="28" t="s">
        <v>22</v>
      </c>
      <c r="D75" s="34">
        <f>D71*20</f>
        <v>575.41600000000005</v>
      </c>
      <c r="E75" s="67"/>
      <c r="F75" s="67">
        <f>Материал!I63</f>
        <v>0.24</v>
      </c>
      <c r="G75" s="67"/>
      <c r="H75" s="67"/>
      <c r="I75" s="30">
        <f t="shared" si="7"/>
        <v>138.09984</v>
      </c>
      <c r="J75" s="67"/>
      <c r="K75" s="239"/>
      <c r="L75" s="239"/>
      <c r="M75" s="241"/>
    </row>
    <row r="76" spans="1:13" ht="15.75" customHeight="1" outlineLevel="1">
      <c r="A76" s="100" t="s">
        <v>181</v>
      </c>
      <c r="B76" s="66" t="s">
        <v>87</v>
      </c>
      <c r="C76" s="28" t="s">
        <v>22</v>
      </c>
      <c r="D76" s="34">
        <f>D71*1.63</f>
        <v>46.896403999999997</v>
      </c>
      <c r="E76" s="67"/>
      <c r="F76" s="67">
        <f>Материал!I15</f>
        <v>0.6</v>
      </c>
      <c r="G76" s="67"/>
      <c r="H76" s="67"/>
      <c r="I76" s="30">
        <f t="shared" si="7"/>
        <v>28.137842399999997</v>
      </c>
      <c r="J76" s="67"/>
      <c r="K76" s="239"/>
      <c r="L76" s="239"/>
      <c r="M76" s="241"/>
    </row>
    <row r="77" spans="1:13" ht="15.75" customHeight="1" outlineLevel="1">
      <c r="A77" s="100" t="s">
        <v>181</v>
      </c>
      <c r="B77" s="66" t="s">
        <v>109</v>
      </c>
      <c r="C77" s="28" t="s">
        <v>22</v>
      </c>
      <c r="D77" s="34">
        <f>4.7*D71</f>
        <v>135.22276000000002</v>
      </c>
      <c r="E77" s="67"/>
      <c r="F77" s="67">
        <f>Материал!I57</f>
        <v>0.23</v>
      </c>
      <c r="G77" s="67"/>
      <c r="H77" s="67"/>
      <c r="I77" s="30">
        <f t="shared" si="7"/>
        <v>31.101234800000007</v>
      </c>
      <c r="J77" s="67"/>
      <c r="K77" s="239"/>
      <c r="L77" s="239"/>
      <c r="M77" s="241"/>
    </row>
    <row r="78" spans="1:13" ht="15.75" customHeight="1" outlineLevel="1">
      <c r="A78" s="100" t="s">
        <v>181</v>
      </c>
      <c r="B78" s="66" t="s">
        <v>170</v>
      </c>
      <c r="C78" s="28" t="s">
        <v>95</v>
      </c>
      <c r="D78" s="34">
        <f>0.05*D71</f>
        <v>1.4385400000000002</v>
      </c>
      <c r="E78" s="67"/>
      <c r="F78" s="67">
        <f>Материал!I77</f>
        <v>48.8</v>
      </c>
      <c r="G78" s="67"/>
      <c r="H78" s="67"/>
      <c r="I78" s="30">
        <f t="shared" si="7"/>
        <v>70.200752000000008</v>
      </c>
      <c r="J78" s="67"/>
      <c r="K78" s="239"/>
      <c r="L78" s="239"/>
      <c r="M78" s="241"/>
    </row>
    <row r="79" spans="1:13" ht="15.75" customHeight="1" outlineLevel="1">
      <c r="A79" s="100" t="s">
        <v>181</v>
      </c>
      <c r="B79" s="66" t="s">
        <v>171</v>
      </c>
      <c r="C79" s="28" t="s">
        <v>95</v>
      </c>
      <c r="D79" s="34">
        <f>D71*0.4</f>
        <v>11.508320000000001</v>
      </c>
      <c r="E79" s="67"/>
      <c r="F79" s="67">
        <f>Материал!I78</f>
        <v>15</v>
      </c>
      <c r="G79" s="67"/>
      <c r="H79" s="67"/>
      <c r="I79" s="30">
        <f t="shared" si="7"/>
        <v>172.62480000000002</v>
      </c>
      <c r="J79" s="67"/>
      <c r="K79" s="239"/>
      <c r="L79" s="239"/>
      <c r="M79" s="241"/>
    </row>
    <row r="80" spans="1:13" ht="15.75" customHeight="1" outlineLevel="1">
      <c r="A80" s="100" t="s">
        <v>181</v>
      </c>
      <c r="B80" s="66" t="s">
        <v>96</v>
      </c>
      <c r="C80" s="28" t="s">
        <v>29</v>
      </c>
      <c r="D80" s="34">
        <f>D71*0.885</f>
        <v>25.462158000000002</v>
      </c>
      <c r="E80" s="67"/>
      <c r="F80" s="67">
        <f>Материал!I65</f>
        <v>0.71</v>
      </c>
      <c r="G80" s="67"/>
      <c r="H80" s="67"/>
      <c r="I80" s="30">
        <f t="shared" si="7"/>
        <v>18.078132180000001</v>
      </c>
      <c r="J80" s="67"/>
      <c r="K80" s="239"/>
      <c r="L80" s="239"/>
      <c r="M80" s="241"/>
    </row>
    <row r="81" spans="1:13" ht="15.75" customHeight="1" outlineLevel="1">
      <c r="A81" s="100" t="s">
        <v>181</v>
      </c>
      <c r="B81" s="66" t="s">
        <v>97</v>
      </c>
      <c r="C81" s="28" t="s">
        <v>29</v>
      </c>
      <c r="D81" s="34">
        <f>D71*1.2</f>
        <v>34.52496</v>
      </c>
      <c r="E81" s="67"/>
      <c r="F81" s="67">
        <f>Материал!I12</f>
        <v>8.3000000000000007</v>
      </c>
      <c r="G81" s="67"/>
      <c r="H81" s="67"/>
      <c r="I81" s="30">
        <f t="shared" si="7"/>
        <v>286.55716800000005</v>
      </c>
      <c r="J81" s="67"/>
      <c r="K81" s="239"/>
      <c r="L81" s="239"/>
      <c r="M81" s="241"/>
    </row>
    <row r="82" spans="1:13" ht="15.75" customHeight="1" outlineLevel="1">
      <c r="A82" s="100" t="s">
        <v>181</v>
      </c>
      <c r="B82" s="66" t="s">
        <v>108</v>
      </c>
      <c r="C82" s="28" t="s">
        <v>22</v>
      </c>
      <c r="D82" s="34">
        <f>0.7*D71</f>
        <v>20.139559999999999</v>
      </c>
      <c r="E82" s="67"/>
      <c r="F82" s="67">
        <f>Материал!I52</f>
        <v>3.5</v>
      </c>
      <c r="G82" s="67"/>
      <c r="H82" s="67"/>
      <c r="I82" s="30">
        <f t="shared" si="7"/>
        <v>70.488460000000003</v>
      </c>
      <c r="J82" s="67"/>
      <c r="K82" s="239"/>
      <c r="L82" s="239"/>
      <c r="M82" s="241"/>
    </row>
    <row r="83" spans="1:13" ht="15.75" customHeight="1" outlineLevel="1">
      <c r="A83" s="100" t="s">
        <v>181</v>
      </c>
      <c r="B83" s="66" t="s">
        <v>98</v>
      </c>
      <c r="C83" s="28" t="s">
        <v>99</v>
      </c>
      <c r="D83" s="34">
        <f>D71*0.1</f>
        <v>2.8770800000000003</v>
      </c>
      <c r="E83" s="67"/>
      <c r="F83" s="67">
        <f>Материал!I8</f>
        <v>55.6</v>
      </c>
      <c r="G83" s="67"/>
      <c r="H83" s="67"/>
      <c r="I83" s="30">
        <f t="shared" si="7"/>
        <v>159.96564800000002</v>
      </c>
      <c r="J83" s="67"/>
      <c r="K83" s="239"/>
      <c r="L83" s="239"/>
      <c r="M83" s="241"/>
    </row>
    <row r="84" spans="1:13" ht="75" customHeight="1">
      <c r="A84" s="71">
        <v>15</v>
      </c>
      <c r="B84" s="70" t="s">
        <v>74</v>
      </c>
      <c r="C84" s="8" t="s">
        <v>0</v>
      </c>
      <c r="D84" s="69">
        <f>Дефектовка!D18</f>
        <v>33.700000000000003</v>
      </c>
      <c r="E84" s="32">
        <f>76.8+259.2</f>
        <v>336</v>
      </c>
      <c r="F84" s="33">
        <f>I84/D84</f>
        <v>494.01715000000007</v>
      </c>
      <c r="G84" s="33">
        <f>F84+E84</f>
        <v>830.01715000000013</v>
      </c>
      <c r="H84" s="33">
        <f>E84*D84</f>
        <v>11323.2</v>
      </c>
      <c r="I84" s="33">
        <f>SUM(I85:I97)</f>
        <v>16648.377955000004</v>
      </c>
      <c r="J84" s="31">
        <f>I84+H84</f>
        <v>27971.577955000004</v>
      </c>
      <c r="K84" s="239"/>
      <c r="L84" s="239"/>
      <c r="M84" s="241"/>
    </row>
    <row r="85" spans="1:13" ht="15.75" customHeight="1" outlineLevel="1">
      <c r="A85" s="100" t="s">
        <v>181</v>
      </c>
      <c r="B85" s="66" t="s">
        <v>93</v>
      </c>
      <c r="C85" s="28" t="s">
        <v>0</v>
      </c>
      <c r="D85" s="34">
        <f>D84*1.07</f>
        <v>36.059000000000005</v>
      </c>
      <c r="E85" s="67"/>
      <c r="F85" s="67">
        <f>Материал!I5</f>
        <v>124.62</v>
      </c>
      <c r="G85" s="67"/>
      <c r="H85" s="67"/>
      <c r="I85" s="30">
        <f t="shared" ref="I85:I97" si="8">F85*D85</f>
        <v>4493.6725800000004</v>
      </c>
      <c r="J85" s="67"/>
      <c r="K85" s="239"/>
      <c r="L85" s="239"/>
      <c r="M85" s="241"/>
    </row>
    <row r="86" spans="1:13" ht="15.75" customHeight="1" outlineLevel="1">
      <c r="A86" s="100" t="s">
        <v>181</v>
      </c>
      <c r="B86" s="66" t="s">
        <v>101</v>
      </c>
      <c r="C86" s="28" t="s">
        <v>29</v>
      </c>
      <c r="D86" s="34">
        <f>D84*1.22</f>
        <v>41.114000000000004</v>
      </c>
      <c r="E86" s="67"/>
      <c r="F86" s="67">
        <f>Материал!I49</f>
        <v>34</v>
      </c>
      <c r="G86" s="67"/>
      <c r="H86" s="67"/>
      <c r="I86" s="30">
        <f t="shared" si="8"/>
        <v>1397.8760000000002</v>
      </c>
      <c r="J86" s="67"/>
      <c r="K86" s="239"/>
      <c r="L86" s="239"/>
      <c r="M86" s="241"/>
    </row>
    <row r="87" spans="1:13" ht="15.75" customHeight="1" outlineLevel="1">
      <c r="A87" s="100" t="s">
        <v>181</v>
      </c>
      <c r="B87" s="66" t="s">
        <v>102</v>
      </c>
      <c r="C87" s="28" t="s">
        <v>29</v>
      </c>
      <c r="D87" s="34">
        <f>D84*2.34</f>
        <v>78.858000000000004</v>
      </c>
      <c r="E87" s="67"/>
      <c r="F87" s="67">
        <f>Материал!I58</f>
        <v>45.67</v>
      </c>
      <c r="G87" s="67"/>
      <c r="H87" s="67"/>
      <c r="I87" s="30">
        <f t="shared" si="8"/>
        <v>3601.4448600000005</v>
      </c>
      <c r="J87" s="67"/>
      <c r="K87" s="239"/>
      <c r="L87" s="239"/>
      <c r="M87" s="241"/>
    </row>
    <row r="88" spans="1:13" ht="15.75" customHeight="1" outlineLevel="1">
      <c r="A88" s="100" t="s">
        <v>181</v>
      </c>
      <c r="B88" s="66" t="s">
        <v>104</v>
      </c>
      <c r="C88" s="28" t="s">
        <v>22</v>
      </c>
      <c r="D88" s="34">
        <f>D84*20</f>
        <v>674</v>
      </c>
      <c r="E88" s="67"/>
      <c r="F88" s="67">
        <f>Материал!I63</f>
        <v>0.24</v>
      </c>
      <c r="G88" s="67"/>
      <c r="H88" s="67"/>
      <c r="I88" s="30">
        <f t="shared" si="8"/>
        <v>161.76</v>
      </c>
      <c r="J88" s="67"/>
      <c r="K88" s="239"/>
      <c r="L88" s="239"/>
      <c r="M88" s="241"/>
    </row>
    <row r="89" spans="1:13" ht="15.75" customHeight="1" outlineLevel="1">
      <c r="A89" s="100" t="s">
        <v>181</v>
      </c>
      <c r="B89" s="66" t="s">
        <v>87</v>
      </c>
      <c r="C89" s="28" t="s">
        <v>22</v>
      </c>
      <c r="D89" s="34">
        <f>D84*1.63</f>
        <v>54.931000000000004</v>
      </c>
      <c r="E89" s="67"/>
      <c r="F89" s="67">
        <f>Материал!I15</f>
        <v>0.6</v>
      </c>
      <c r="G89" s="67"/>
      <c r="H89" s="67"/>
      <c r="I89" s="30">
        <f t="shared" si="8"/>
        <v>32.958600000000004</v>
      </c>
      <c r="J89" s="67"/>
      <c r="K89" s="239"/>
      <c r="L89" s="239"/>
      <c r="M89" s="241"/>
    </row>
    <row r="90" spans="1:13" ht="15.75" customHeight="1" outlineLevel="1">
      <c r="A90" s="100" t="s">
        <v>181</v>
      </c>
      <c r="B90" s="66" t="s">
        <v>109</v>
      </c>
      <c r="C90" s="28" t="s">
        <v>22</v>
      </c>
      <c r="D90" s="34">
        <f>4.7*D84</f>
        <v>158.39000000000001</v>
      </c>
      <c r="E90" s="67"/>
      <c r="F90" s="67">
        <f>Материал!I57</f>
        <v>0.23</v>
      </c>
      <c r="G90" s="67"/>
      <c r="H90" s="67"/>
      <c r="I90" s="30">
        <f t="shared" si="8"/>
        <v>36.429700000000004</v>
      </c>
      <c r="J90" s="67"/>
      <c r="K90" s="239"/>
      <c r="L90" s="239"/>
      <c r="M90" s="241"/>
    </row>
    <row r="91" spans="1:13" ht="15.75" customHeight="1" outlineLevel="1">
      <c r="A91" s="100" t="s">
        <v>181</v>
      </c>
      <c r="B91" s="66" t="s">
        <v>170</v>
      </c>
      <c r="C91" s="28" t="s">
        <v>95</v>
      </c>
      <c r="D91" s="34">
        <f>0.05*D84</f>
        <v>1.6850000000000003</v>
      </c>
      <c r="E91" s="67"/>
      <c r="F91" s="67">
        <f>Материал!I77</f>
        <v>48.8</v>
      </c>
      <c r="G91" s="67"/>
      <c r="H91" s="67"/>
      <c r="I91" s="30">
        <f t="shared" si="8"/>
        <v>82.228000000000009</v>
      </c>
      <c r="J91" s="67"/>
      <c r="K91" s="239"/>
      <c r="L91" s="239"/>
      <c r="M91" s="241"/>
    </row>
    <row r="92" spans="1:13" ht="15.75" customHeight="1" outlineLevel="1">
      <c r="A92" s="100" t="s">
        <v>181</v>
      </c>
      <c r="B92" s="66" t="s">
        <v>171</v>
      </c>
      <c r="C92" s="28" t="s">
        <v>95</v>
      </c>
      <c r="D92" s="34">
        <f>D84*0.4</f>
        <v>13.480000000000002</v>
      </c>
      <c r="E92" s="67"/>
      <c r="F92" s="67">
        <f>Материал!I78</f>
        <v>15</v>
      </c>
      <c r="G92" s="67"/>
      <c r="H92" s="67"/>
      <c r="I92" s="30">
        <f t="shared" si="8"/>
        <v>202.20000000000005</v>
      </c>
      <c r="J92" s="67"/>
      <c r="K92" s="239"/>
      <c r="L92" s="239"/>
      <c r="M92" s="241"/>
    </row>
    <row r="93" spans="1:13" ht="15.75" customHeight="1" outlineLevel="1">
      <c r="A93" s="100" t="s">
        <v>181</v>
      </c>
      <c r="B93" s="66" t="s">
        <v>96</v>
      </c>
      <c r="C93" s="28" t="s">
        <v>29</v>
      </c>
      <c r="D93" s="34">
        <f>D84*0.885</f>
        <v>29.824500000000004</v>
      </c>
      <c r="E93" s="67"/>
      <c r="F93" s="67">
        <f>Материал!I65</f>
        <v>0.71</v>
      </c>
      <c r="G93" s="67"/>
      <c r="H93" s="67"/>
      <c r="I93" s="30">
        <f t="shared" si="8"/>
        <v>21.175395000000002</v>
      </c>
      <c r="J93" s="67"/>
      <c r="K93" s="239"/>
      <c r="L93" s="239"/>
      <c r="M93" s="241"/>
    </row>
    <row r="94" spans="1:13" ht="15.75" customHeight="1" outlineLevel="1">
      <c r="A94" s="100" t="s">
        <v>181</v>
      </c>
      <c r="B94" s="66" t="s">
        <v>97</v>
      </c>
      <c r="C94" s="28" t="s">
        <v>29</v>
      </c>
      <c r="D94" s="34">
        <f>D84*1.2</f>
        <v>40.440000000000005</v>
      </c>
      <c r="E94" s="67"/>
      <c r="F94" s="67">
        <f>Материал!I12</f>
        <v>8.3000000000000007</v>
      </c>
      <c r="G94" s="67"/>
      <c r="H94" s="67"/>
      <c r="I94" s="30">
        <f t="shared" si="8"/>
        <v>335.65200000000004</v>
      </c>
      <c r="J94" s="67"/>
      <c r="K94" s="239"/>
      <c r="L94" s="239"/>
      <c r="M94" s="241"/>
    </row>
    <row r="95" spans="1:13" ht="15.75" customHeight="1" outlineLevel="1">
      <c r="A95" s="100" t="s">
        <v>181</v>
      </c>
      <c r="B95" s="66" t="s">
        <v>108</v>
      </c>
      <c r="C95" s="28" t="s">
        <v>22</v>
      </c>
      <c r="D95" s="34">
        <f>0.7*D84</f>
        <v>23.59</v>
      </c>
      <c r="E95" s="67"/>
      <c r="F95" s="67">
        <f>Материал!I52</f>
        <v>3.5</v>
      </c>
      <c r="G95" s="67"/>
      <c r="H95" s="67"/>
      <c r="I95" s="30">
        <f t="shared" si="8"/>
        <v>82.564999999999998</v>
      </c>
      <c r="J95" s="67"/>
      <c r="K95" s="239"/>
      <c r="L95" s="239"/>
      <c r="M95" s="241"/>
    </row>
    <row r="96" spans="1:13" ht="15.75" customHeight="1" outlineLevel="1">
      <c r="A96" s="100" t="s">
        <v>181</v>
      </c>
      <c r="B96" s="66" t="s">
        <v>98</v>
      </c>
      <c r="C96" s="28" t="s">
        <v>99</v>
      </c>
      <c r="D96" s="34">
        <f>D84*0.1</f>
        <v>3.3700000000000006</v>
      </c>
      <c r="E96" s="67"/>
      <c r="F96" s="67">
        <f>Материал!I8</f>
        <v>55.6</v>
      </c>
      <c r="G96" s="67"/>
      <c r="H96" s="67"/>
      <c r="I96" s="30">
        <f t="shared" si="8"/>
        <v>187.37200000000004</v>
      </c>
      <c r="J96" s="67"/>
      <c r="K96" s="239"/>
      <c r="L96" s="239"/>
      <c r="M96" s="241"/>
    </row>
    <row r="97" spans="1:13" ht="30" customHeight="1" outlineLevel="1">
      <c r="A97" s="100" t="s">
        <v>181</v>
      </c>
      <c r="B97" s="66" t="s">
        <v>105</v>
      </c>
      <c r="C97" s="28" t="s">
        <v>0</v>
      </c>
      <c r="D97" s="37">
        <f>D84*1.02</f>
        <v>34.374000000000002</v>
      </c>
      <c r="E97" s="67"/>
      <c r="F97" s="67">
        <f>Материал!I48</f>
        <v>174.93</v>
      </c>
      <c r="G97" s="67"/>
      <c r="H97" s="67"/>
      <c r="I97" s="30">
        <f t="shared" si="8"/>
        <v>6013.0438200000008</v>
      </c>
      <c r="J97" s="67"/>
      <c r="K97" s="239"/>
      <c r="L97" s="239"/>
      <c r="M97" s="241"/>
    </row>
    <row r="98" spans="1:13" ht="45">
      <c r="A98" s="71">
        <v>16</v>
      </c>
      <c r="B98" s="70" t="s">
        <v>110</v>
      </c>
      <c r="C98" s="8" t="s">
        <v>0</v>
      </c>
      <c r="D98" s="69">
        <f>Дефектовка!D19</f>
        <v>14.07</v>
      </c>
      <c r="E98" s="32">
        <v>278.39999999999998</v>
      </c>
      <c r="F98" s="33">
        <f>I98/D98</f>
        <v>257.59215000000006</v>
      </c>
      <c r="G98" s="33">
        <f>F98+E98</f>
        <v>535.99215000000004</v>
      </c>
      <c r="H98" s="33">
        <f>E98*D98</f>
        <v>3917.0879999999997</v>
      </c>
      <c r="I98" s="33">
        <f>SUM(I99:I110)</f>
        <v>3624.3215505000012</v>
      </c>
      <c r="J98" s="31">
        <f>I98+H98</f>
        <v>7541.4095505000005</v>
      </c>
      <c r="K98" s="239"/>
      <c r="L98" s="239"/>
      <c r="M98" s="241"/>
    </row>
    <row r="99" spans="1:13" ht="15.75" customHeight="1" outlineLevel="1">
      <c r="A99" s="100" t="s">
        <v>181</v>
      </c>
      <c r="B99" s="66" t="s">
        <v>100</v>
      </c>
      <c r="C99" s="28" t="s">
        <v>0</v>
      </c>
      <c r="D99" s="34">
        <f>D98*1.07</f>
        <v>15.054900000000002</v>
      </c>
      <c r="E99" s="67"/>
      <c r="F99" s="67">
        <f>Материал!I4</f>
        <v>124.62</v>
      </c>
      <c r="G99" s="67"/>
      <c r="H99" s="67"/>
      <c r="I99" s="30">
        <f t="shared" ref="I99:I110" si="9">F99*D99</f>
        <v>1876.1416380000003</v>
      </c>
      <c r="J99" s="67"/>
      <c r="K99" s="239"/>
      <c r="L99" s="239"/>
      <c r="M99" s="241"/>
    </row>
    <row r="100" spans="1:13" ht="15.75" customHeight="1" outlineLevel="1">
      <c r="A100" s="100" t="s">
        <v>181</v>
      </c>
      <c r="B100" s="66" t="s">
        <v>111</v>
      </c>
      <c r="C100" s="28" t="s">
        <v>29</v>
      </c>
      <c r="D100" s="34">
        <f>D98*1.3</f>
        <v>18.291</v>
      </c>
      <c r="E100" s="67"/>
      <c r="F100" s="67">
        <f>Материал!I50</f>
        <v>14.7</v>
      </c>
      <c r="G100" s="67"/>
      <c r="H100" s="67"/>
      <c r="I100" s="30">
        <f t="shared" si="9"/>
        <v>268.8777</v>
      </c>
      <c r="J100" s="67"/>
      <c r="K100" s="239"/>
      <c r="L100" s="239"/>
      <c r="M100" s="241"/>
    </row>
    <row r="101" spans="1:13" ht="15.75" customHeight="1" outlineLevel="1">
      <c r="A101" s="100" t="s">
        <v>181</v>
      </c>
      <c r="B101" s="66" t="s">
        <v>112</v>
      </c>
      <c r="C101" s="28" t="s">
        <v>29</v>
      </c>
      <c r="D101" s="34">
        <f>D98*2.54</f>
        <v>35.7378</v>
      </c>
      <c r="E101" s="67"/>
      <c r="F101" s="67">
        <f>Материал!I56</f>
        <v>26.33</v>
      </c>
      <c r="G101" s="67"/>
      <c r="H101" s="67"/>
      <c r="I101" s="30">
        <f t="shared" si="9"/>
        <v>940.97627399999999</v>
      </c>
      <c r="J101" s="67"/>
      <c r="K101" s="239"/>
      <c r="L101" s="239"/>
      <c r="M101" s="241"/>
    </row>
    <row r="102" spans="1:13" ht="15.75" customHeight="1" outlineLevel="1">
      <c r="A102" s="100" t="s">
        <v>181</v>
      </c>
      <c r="B102" s="66" t="s">
        <v>104</v>
      </c>
      <c r="C102" s="28" t="s">
        <v>22</v>
      </c>
      <c r="D102" s="34">
        <f>D98*19.43</f>
        <v>273.38010000000003</v>
      </c>
      <c r="E102" s="67"/>
      <c r="F102" s="67">
        <f>Материал!I63</f>
        <v>0.24</v>
      </c>
      <c r="G102" s="67"/>
      <c r="H102" s="67"/>
      <c r="I102" s="30">
        <f t="shared" si="9"/>
        <v>65.611224000000007</v>
      </c>
      <c r="J102" s="67"/>
      <c r="K102" s="239"/>
      <c r="L102" s="239"/>
      <c r="M102" s="241"/>
    </row>
    <row r="103" spans="1:13" ht="15.75" customHeight="1" outlineLevel="1">
      <c r="A103" s="100" t="s">
        <v>181</v>
      </c>
      <c r="B103" s="66" t="s">
        <v>87</v>
      </c>
      <c r="C103" s="28" t="s">
        <v>22</v>
      </c>
      <c r="D103" s="34">
        <f>D98*1.63</f>
        <v>22.934099999999997</v>
      </c>
      <c r="E103" s="67"/>
      <c r="F103" s="67">
        <f>Материал!I15</f>
        <v>0.6</v>
      </c>
      <c r="G103" s="67"/>
      <c r="H103" s="67"/>
      <c r="I103" s="30">
        <f t="shared" si="9"/>
        <v>13.760459999999998</v>
      </c>
      <c r="J103" s="67"/>
      <c r="K103" s="239"/>
      <c r="L103" s="239"/>
      <c r="M103" s="241"/>
    </row>
    <row r="104" spans="1:13" ht="15.75" customHeight="1" outlineLevel="1">
      <c r="A104" s="100" t="s">
        <v>181</v>
      </c>
      <c r="B104" s="66" t="s">
        <v>109</v>
      </c>
      <c r="C104" s="28" t="s">
        <v>22</v>
      </c>
      <c r="D104" s="34">
        <f>4.7*D98</f>
        <v>66.129000000000005</v>
      </c>
      <c r="E104" s="67"/>
      <c r="F104" s="67">
        <f>Материал!I57</f>
        <v>0.23</v>
      </c>
      <c r="G104" s="67"/>
      <c r="H104" s="67"/>
      <c r="I104" s="30">
        <f t="shared" si="9"/>
        <v>15.209670000000001</v>
      </c>
      <c r="J104" s="67"/>
      <c r="K104" s="239"/>
      <c r="L104" s="239"/>
      <c r="M104" s="241"/>
    </row>
    <row r="105" spans="1:13" ht="15.75" customHeight="1" outlineLevel="1">
      <c r="A105" s="100" t="s">
        <v>181</v>
      </c>
      <c r="B105" s="66" t="s">
        <v>170</v>
      </c>
      <c r="C105" s="28" t="s">
        <v>95</v>
      </c>
      <c r="D105" s="34">
        <f>0.05*D98</f>
        <v>0.70350000000000001</v>
      </c>
      <c r="E105" s="67"/>
      <c r="F105" s="67">
        <f>Материал!I77</f>
        <v>48.8</v>
      </c>
      <c r="G105" s="67"/>
      <c r="H105" s="67"/>
      <c r="I105" s="30">
        <f t="shared" si="9"/>
        <v>34.330799999999996</v>
      </c>
      <c r="J105" s="67"/>
      <c r="K105" s="239"/>
      <c r="L105" s="239"/>
      <c r="M105" s="241"/>
    </row>
    <row r="106" spans="1:13" ht="15.75" customHeight="1" outlineLevel="1">
      <c r="A106" s="100" t="s">
        <v>181</v>
      </c>
      <c r="B106" s="66" t="s">
        <v>171</v>
      </c>
      <c r="C106" s="28" t="s">
        <v>95</v>
      </c>
      <c r="D106" s="34">
        <f>D98*0.7</f>
        <v>9.8490000000000002</v>
      </c>
      <c r="E106" s="67"/>
      <c r="F106" s="67">
        <f>Материал!I78</f>
        <v>15</v>
      </c>
      <c r="G106" s="67"/>
      <c r="H106" s="67"/>
      <c r="I106" s="30">
        <f t="shared" si="9"/>
        <v>147.73500000000001</v>
      </c>
      <c r="J106" s="67"/>
      <c r="K106" s="239"/>
      <c r="L106" s="239"/>
      <c r="M106" s="241"/>
    </row>
    <row r="107" spans="1:13" ht="15.75" customHeight="1" outlineLevel="1">
      <c r="A107" s="100" t="s">
        <v>181</v>
      </c>
      <c r="B107" s="66" t="s">
        <v>96</v>
      </c>
      <c r="C107" s="28" t="s">
        <v>29</v>
      </c>
      <c r="D107" s="34">
        <f>D98*0.885</f>
        <v>12.45195</v>
      </c>
      <c r="E107" s="67"/>
      <c r="F107" s="67">
        <f>Материал!I65</f>
        <v>0.71</v>
      </c>
      <c r="G107" s="67"/>
      <c r="H107" s="67"/>
      <c r="I107" s="30">
        <f t="shared" si="9"/>
        <v>8.8408844999999996</v>
      </c>
      <c r="J107" s="67"/>
      <c r="K107" s="239"/>
      <c r="L107" s="239"/>
      <c r="M107" s="241"/>
    </row>
    <row r="108" spans="1:13" ht="15.75" customHeight="1" outlineLevel="1">
      <c r="A108" s="100" t="s">
        <v>181</v>
      </c>
      <c r="B108" s="66" t="s">
        <v>97</v>
      </c>
      <c r="C108" s="28" t="s">
        <v>29</v>
      </c>
      <c r="D108" s="34">
        <f>D98*1.2</f>
        <v>16.884</v>
      </c>
      <c r="E108" s="67"/>
      <c r="F108" s="67">
        <f>Материал!I12</f>
        <v>8.3000000000000007</v>
      </c>
      <c r="G108" s="67"/>
      <c r="H108" s="67"/>
      <c r="I108" s="30">
        <f t="shared" si="9"/>
        <v>140.13720000000001</v>
      </c>
      <c r="J108" s="67"/>
      <c r="K108" s="239"/>
      <c r="L108" s="239"/>
      <c r="M108" s="241"/>
    </row>
    <row r="109" spans="1:13" ht="15.75" customHeight="1" outlineLevel="1">
      <c r="A109" s="100" t="s">
        <v>181</v>
      </c>
      <c r="B109" s="66" t="s">
        <v>108</v>
      </c>
      <c r="C109" s="28" t="s">
        <v>22</v>
      </c>
      <c r="D109" s="34">
        <f>0.7*D98</f>
        <v>9.8490000000000002</v>
      </c>
      <c r="E109" s="67"/>
      <c r="F109" s="67">
        <f>Материал!I52</f>
        <v>3.5</v>
      </c>
      <c r="G109" s="67"/>
      <c r="H109" s="67"/>
      <c r="I109" s="30">
        <f t="shared" si="9"/>
        <v>34.471499999999999</v>
      </c>
      <c r="J109" s="67"/>
      <c r="K109" s="239"/>
      <c r="L109" s="239"/>
      <c r="M109" s="241"/>
    </row>
    <row r="110" spans="1:13" ht="15.75" customHeight="1" outlineLevel="1">
      <c r="A110" s="100" t="s">
        <v>181</v>
      </c>
      <c r="B110" s="66" t="s">
        <v>98</v>
      </c>
      <c r="C110" s="28" t="s">
        <v>99</v>
      </c>
      <c r="D110" s="34">
        <f>D98*0.1</f>
        <v>1.407</v>
      </c>
      <c r="E110" s="67"/>
      <c r="F110" s="67">
        <f>Материал!I8</f>
        <v>55.6</v>
      </c>
      <c r="G110" s="67"/>
      <c r="H110" s="67"/>
      <c r="I110" s="30">
        <f t="shared" si="9"/>
        <v>78.229200000000006</v>
      </c>
      <c r="J110" s="67"/>
      <c r="K110" s="239"/>
      <c r="L110" s="239"/>
      <c r="M110" s="241"/>
    </row>
    <row r="111" spans="1:13" ht="31.5" customHeight="1">
      <c r="A111" s="71">
        <v>17</v>
      </c>
      <c r="B111" s="70" t="s">
        <v>262</v>
      </c>
      <c r="C111" s="8" t="s">
        <v>0</v>
      </c>
      <c r="D111" s="69">
        <f>Дефектовка!D20</f>
        <v>14.9682</v>
      </c>
      <c r="E111" s="32">
        <v>860</v>
      </c>
      <c r="F111" s="33">
        <v>1860</v>
      </c>
      <c r="G111" s="33">
        <f>F111+E111</f>
        <v>2720</v>
      </c>
      <c r="H111" s="33">
        <f>E111*D111</f>
        <v>12872.652</v>
      </c>
      <c r="I111" s="33">
        <f>D111*F111</f>
        <v>27840.851999999999</v>
      </c>
      <c r="J111" s="31">
        <f>I111+H111</f>
        <v>40713.504000000001</v>
      </c>
      <c r="K111" s="239"/>
      <c r="L111" s="239"/>
      <c r="M111" s="241"/>
    </row>
    <row r="112" spans="1:13" ht="82.5" customHeight="1">
      <c r="A112" s="71">
        <v>18</v>
      </c>
      <c r="B112" s="70" t="s">
        <v>68</v>
      </c>
      <c r="C112" s="8" t="s">
        <v>0</v>
      </c>
      <c r="D112" s="69">
        <f>Дефектовка!D21</f>
        <v>3.2117999999999984</v>
      </c>
      <c r="E112" s="32">
        <v>397.2</v>
      </c>
      <c r="F112" s="33">
        <f>I112/D112</f>
        <v>659.47969999999998</v>
      </c>
      <c r="G112" s="33">
        <f>F112+E112</f>
        <v>1056.6796999999999</v>
      </c>
      <c r="H112" s="33">
        <f>E112*D112</f>
        <v>1275.7269599999993</v>
      </c>
      <c r="I112" s="33">
        <f>SUM(I113:I124)</f>
        <v>2118.1169004599988</v>
      </c>
      <c r="J112" s="31">
        <f>I112+H112</f>
        <v>3393.8438604599978</v>
      </c>
      <c r="K112" s="239"/>
      <c r="L112" s="239"/>
      <c r="M112" s="241"/>
    </row>
    <row r="113" spans="1:13" ht="15.75" outlineLevel="1">
      <c r="A113" s="100" t="s">
        <v>181</v>
      </c>
      <c r="B113" s="66" t="s">
        <v>100</v>
      </c>
      <c r="C113" s="28" t="s">
        <v>0</v>
      </c>
      <c r="D113" s="34">
        <f>D112*2.07</f>
        <v>6.6484259999999962</v>
      </c>
      <c r="E113" s="67"/>
      <c r="F113" s="67">
        <f>Материал!I4</f>
        <v>124.62</v>
      </c>
      <c r="G113" s="67"/>
      <c r="H113" s="67"/>
      <c r="I113" s="30">
        <f t="shared" ref="I113:I124" si="10">F113*D113</f>
        <v>828.5268481199995</v>
      </c>
      <c r="J113" s="67"/>
      <c r="M113" s="241"/>
    </row>
    <row r="114" spans="1:13" ht="15.75" outlineLevel="1">
      <c r="A114" s="100" t="s">
        <v>181</v>
      </c>
      <c r="B114" s="66" t="s">
        <v>101</v>
      </c>
      <c r="C114" s="28" t="s">
        <v>29</v>
      </c>
      <c r="D114" s="34">
        <f>D112*1.6</f>
        <v>5.1388799999999977</v>
      </c>
      <c r="E114" s="67"/>
      <c r="F114" s="67">
        <f>Материал!I49</f>
        <v>34</v>
      </c>
      <c r="G114" s="67"/>
      <c r="H114" s="67"/>
      <c r="I114" s="30">
        <f t="shared" si="10"/>
        <v>174.72191999999993</v>
      </c>
      <c r="J114" s="67"/>
      <c r="M114" s="241"/>
    </row>
    <row r="115" spans="1:13" ht="15.75" outlineLevel="1">
      <c r="A115" s="100" t="s">
        <v>181</v>
      </c>
      <c r="B115" s="66" t="s">
        <v>102</v>
      </c>
      <c r="C115" s="28" t="s">
        <v>29</v>
      </c>
      <c r="D115" s="34">
        <f>D112*2.6</f>
        <v>8.350679999999997</v>
      </c>
      <c r="E115" s="67"/>
      <c r="F115" s="67">
        <f>Материал!I58</f>
        <v>45.67</v>
      </c>
      <c r="G115" s="67"/>
      <c r="H115" s="67"/>
      <c r="I115" s="30">
        <f t="shared" si="10"/>
        <v>381.37555559999987</v>
      </c>
      <c r="J115" s="67"/>
      <c r="M115" s="241"/>
    </row>
    <row r="116" spans="1:13" ht="15.75" outlineLevel="1">
      <c r="A116" s="100" t="s">
        <v>181</v>
      </c>
      <c r="B116" s="66" t="s">
        <v>104</v>
      </c>
      <c r="C116" s="28" t="s">
        <v>22</v>
      </c>
      <c r="D116" s="34">
        <f>D112*38</f>
        <v>122.04839999999994</v>
      </c>
      <c r="E116" s="67"/>
      <c r="F116" s="67">
        <f>Материал!I63</f>
        <v>0.24</v>
      </c>
      <c r="G116" s="67"/>
      <c r="H116" s="67"/>
      <c r="I116" s="30">
        <f t="shared" si="10"/>
        <v>29.291615999999987</v>
      </c>
      <c r="J116" s="67"/>
      <c r="M116" s="241"/>
    </row>
    <row r="117" spans="1:13" ht="15.75" outlineLevel="1">
      <c r="A117" s="100" t="s">
        <v>181</v>
      </c>
      <c r="B117" s="66" t="s">
        <v>87</v>
      </c>
      <c r="C117" s="28" t="s">
        <v>22</v>
      </c>
      <c r="D117" s="34">
        <f>D112*1.63</f>
        <v>5.2352339999999975</v>
      </c>
      <c r="E117" s="67"/>
      <c r="F117" s="67">
        <f>Материал!I15</f>
        <v>0.6</v>
      </c>
      <c r="G117" s="67"/>
      <c r="H117" s="67"/>
      <c r="I117" s="30">
        <f t="shared" si="10"/>
        <v>3.1411403999999985</v>
      </c>
      <c r="J117" s="67"/>
      <c r="M117" s="241"/>
    </row>
    <row r="118" spans="1:13" ht="15.75" outlineLevel="1">
      <c r="A118" s="100" t="s">
        <v>181</v>
      </c>
      <c r="B118" s="66" t="s">
        <v>109</v>
      </c>
      <c r="C118" s="28" t="s">
        <v>22</v>
      </c>
      <c r="D118" s="34">
        <f>4.7*D112</f>
        <v>15.095459999999994</v>
      </c>
      <c r="E118" s="67"/>
      <c r="F118" s="67">
        <f>Материал!I57</f>
        <v>0.23</v>
      </c>
      <c r="G118" s="67"/>
      <c r="H118" s="67"/>
      <c r="I118" s="30">
        <f t="shared" si="10"/>
        <v>3.4719557999999986</v>
      </c>
      <c r="J118" s="67"/>
      <c r="M118" s="241"/>
    </row>
    <row r="119" spans="1:13" ht="15.75" outlineLevel="1">
      <c r="A119" s="100" t="s">
        <v>181</v>
      </c>
      <c r="B119" s="66" t="s">
        <v>170</v>
      </c>
      <c r="C119" s="28" t="s">
        <v>95</v>
      </c>
      <c r="D119" s="34">
        <f>0.1*D112</f>
        <v>0.32117999999999985</v>
      </c>
      <c r="E119" s="67"/>
      <c r="F119" s="67">
        <f>Материал!I77</f>
        <v>48.8</v>
      </c>
      <c r="G119" s="67"/>
      <c r="H119" s="67"/>
      <c r="I119" s="30">
        <f t="shared" si="10"/>
        <v>15.673583999999993</v>
      </c>
      <c r="J119" s="67"/>
      <c r="M119" s="241"/>
    </row>
    <row r="120" spans="1:13" ht="15.75" outlineLevel="1">
      <c r="A120" s="100" t="s">
        <v>181</v>
      </c>
      <c r="B120" s="66" t="s">
        <v>171</v>
      </c>
      <c r="C120" s="28" t="s">
        <v>95</v>
      </c>
      <c r="D120" s="34">
        <f>D112*0.77</f>
        <v>2.473085999999999</v>
      </c>
      <c r="E120" s="67"/>
      <c r="F120" s="67">
        <f>Материал!I78</f>
        <v>15</v>
      </c>
      <c r="G120" s="67"/>
      <c r="H120" s="67"/>
      <c r="I120" s="30">
        <f t="shared" si="10"/>
        <v>37.096289999999982</v>
      </c>
      <c r="J120" s="67"/>
      <c r="M120" s="241"/>
    </row>
    <row r="121" spans="1:13" ht="15.75" outlineLevel="1">
      <c r="A121" s="100" t="s">
        <v>181</v>
      </c>
      <c r="B121" s="66" t="s">
        <v>96</v>
      </c>
      <c r="C121" s="28" t="s">
        <v>29</v>
      </c>
      <c r="D121" s="34">
        <f>D112*1.77</f>
        <v>5.684885999999997</v>
      </c>
      <c r="E121" s="67"/>
      <c r="F121" s="67">
        <f>Материал!I65</f>
        <v>0.71</v>
      </c>
      <c r="G121" s="67"/>
      <c r="H121" s="67"/>
      <c r="I121" s="30">
        <f t="shared" si="10"/>
        <v>4.0362690599999977</v>
      </c>
      <c r="J121" s="67"/>
      <c r="M121" s="241"/>
    </row>
    <row r="122" spans="1:13" ht="15.75" outlineLevel="1">
      <c r="A122" s="100" t="s">
        <v>181</v>
      </c>
      <c r="B122" s="66" t="s">
        <v>97</v>
      </c>
      <c r="C122" s="28" t="s">
        <v>29</v>
      </c>
      <c r="D122" s="34">
        <f>D112*1.2</f>
        <v>3.854159999999998</v>
      </c>
      <c r="E122" s="67"/>
      <c r="F122" s="67">
        <f>Материал!I12</f>
        <v>8.3000000000000007</v>
      </c>
      <c r="G122" s="67"/>
      <c r="H122" s="67"/>
      <c r="I122" s="30">
        <f t="shared" si="10"/>
        <v>31.989527999999986</v>
      </c>
      <c r="J122" s="67"/>
      <c r="M122" s="241"/>
    </row>
    <row r="123" spans="1:13" ht="15.75" outlineLevel="1">
      <c r="A123" s="100" t="s">
        <v>181</v>
      </c>
      <c r="B123" s="66" t="s">
        <v>98</v>
      </c>
      <c r="C123" s="28" t="s">
        <v>99</v>
      </c>
      <c r="D123" s="34">
        <f>D112*0.2</f>
        <v>0.64235999999999971</v>
      </c>
      <c r="E123" s="67"/>
      <c r="F123" s="67">
        <f>Материал!I8</f>
        <v>55.6</v>
      </c>
      <c r="G123" s="67"/>
      <c r="H123" s="67"/>
      <c r="I123" s="30">
        <f t="shared" si="10"/>
        <v>35.715215999999984</v>
      </c>
      <c r="J123" s="67"/>
      <c r="M123" s="241"/>
    </row>
    <row r="124" spans="1:13" ht="30" outlineLevel="1">
      <c r="A124" s="100" t="s">
        <v>181</v>
      </c>
      <c r="B124" s="66" t="s">
        <v>105</v>
      </c>
      <c r="C124" s="28" t="s">
        <v>0</v>
      </c>
      <c r="D124" s="37">
        <f>D112*1.02</f>
        <v>3.2760359999999986</v>
      </c>
      <c r="E124" s="67"/>
      <c r="F124" s="67">
        <f>Материал!I48</f>
        <v>174.93</v>
      </c>
      <c r="G124" s="67"/>
      <c r="H124" s="67"/>
      <c r="I124" s="30">
        <f t="shared" si="10"/>
        <v>573.07697747999975</v>
      </c>
      <c r="J124" s="67"/>
      <c r="M124" s="242"/>
    </row>
    <row r="125" spans="1:13" ht="15.75" customHeight="1">
      <c r="A125" s="222" t="s">
        <v>116</v>
      </c>
      <c r="B125" s="223"/>
      <c r="C125" s="223"/>
      <c r="D125" s="223"/>
      <c r="E125" s="223"/>
      <c r="F125" s="223"/>
      <c r="G125" s="224"/>
      <c r="H125" s="67">
        <f t="shared" ref="H125:I125" si="11">H112+H111+H98+H84+H71+H57+H52+H48+H43+H36+H35+H34+H33+H32+H31+H30+H29+H41</f>
        <v>113947.231208</v>
      </c>
      <c r="I125" s="67">
        <f t="shared" si="11"/>
        <v>128910.0168109448</v>
      </c>
      <c r="J125" s="67">
        <f>J112+J111+J98+J84+J71+J57+J52+J48+J43+J36+J35+J34+J33+J32+J31+J30+J29+J41</f>
        <v>242857.24801894484</v>
      </c>
      <c r="M125" s="156"/>
    </row>
    <row r="126" spans="1:13" ht="21" customHeight="1">
      <c r="A126" s="225" t="s">
        <v>21</v>
      </c>
      <c r="B126" s="226"/>
      <c r="C126" s="226"/>
      <c r="D126" s="226"/>
      <c r="E126" s="226"/>
      <c r="F126" s="226"/>
      <c r="G126" s="226"/>
      <c r="H126" s="226"/>
      <c r="I126" s="226"/>
      <c r="J126" s="227"/>
      <c r="M126" s="156"/>
    </row>
    <row r="127" spans="1:13" ht="30">
      <c r="A127" s="71">
        <v>19</v>
      </c>
      <c r="B127" s="70" t="s">
        <v>42</v>
      </c>
      <c r="C127" s="8" t="s">
        <v>22</v>
      </c>
      <c r="D127" s="69">
        <f>Дефектовка!D23</f>
        <v>2</v>
      </c>
      <c r="E127" s="32">
        <v>370</v>
      </c>
      <c r="F127" s="33">
        <f t="shared" ref="F127:F130" si="12">I127/D127</f>
        <v>0</v>
      </c>
      <c r="G127" s="33">
        <f>F127+E127</f>
        <v>370</v>
      </c>
      <c r="H127" s="33">
        <f>E127*D127</f>
        <v>740</v>
      </c>
      <c r="I127" s="33">
        <v>0</v>
      </c>
      <c r="J127" s="31">
        <f>I127+H127</f>
        <v>740</v>
      </c>
      <c r="K127" s="235">
        <f>I127+I128+I129</f>
        <v>0</v>
      </c>
      <c r="L127" s="235">
        <f>J127+J128+J129</f>
        <v>5182.7413000000006</v>
      </c>
      <c r="M127" s="240">
        <v>1</v>
      </c>
    </row>
    <row r="128" spans="1:13" ht="24" customHeight="1">
      <c r="A128" s="71">
        <v>20</v>
      </c>
      <c r="B128" s="70" t="s">
        <v>44</v>
      </c>
      <c r="C128" s="8" t="s">
        <v>0</v>
      </c>
      <c r="D128" s="69">
        <f>Дефектовка!D24</f>
        <v>19.774250000000002</v>
      </c>
      <c r="E128" s="32">
        <v>178</v>
      </c>
      <c r="F128" s="33">
        <f t="shared" si="12"/>
        <v>0</v>
      </c>
      <c r="G128" s="33">
        <f>F128+E128</f>
        <v>178</v>
      </c>
      <c r="H128" s="33">
        <f>E128*D128</f>
        <v>3519.8165000000004</v>
      </c>
      <c r="I128" s="33">
        <v>0</v>
      </c>
      <c r="J128" s="31">
        <f>I128+H128</f>
        <v>3519.8165000000004</v>
      </c>
      <c r="K128" s="236"/>
      <c r="L128" s="236"/>
      <c r="M128" s="241"/>
    </row>
    <row r="129" spans="1:13" ht="30">
      <c r="A129" s="71">
        <v>21</v>
      </c>
      <c r="B129" s="70" t="s">
        <v>209</v>
      </c>
      <c r="C129" s="8" t="s">
        <v>29</v>
      </c>
      <c r="D129" s="69">
        <f>Дефектовка!D25</f>
        <v>9.81</v>
      </c>
      <c r="E129" s="32">
        <v>94.08</v>
      </c>
      <c r="F129" s="33">
        <f t="shared" ref="F129" si="13">I129/D129</f>
        <v>0</v>
      </c>
      <c r="G129" s="33">
        <f>F129+E129</f>
        <v>94.08</v>
      </c>
      <c r="H129" s="33">
        <f>E129*D129</f>
        <v>922.9248</v>
      </c>
      <c r="I129" s="33">
        <v>0</v>
      </c>
      <c r="J129" s="31">
        <f>I129+H129</f>
        <v>922.9248</v>
      </c>
      <c r="K129" s="236"/>
      <c r="L129" s="236"/>
      <c r="M129" s="241"/>
    </row>
    <row r="130" spans="1:13" ht="30">
      <c r="A130" s="71">
        <v>22</v>
      </c>
      <c r="B130" s="70" t="s">
        <v>263</v>
      </c>
      <c r="C130" s="8" t="s">
        <v>22</v>
      </c>
      <c r="D130" s="69">
        <f>Дефектовка!D26</f>
        <v>1</v>
      </c>
      <c r="E130" s="32">
        <v>1490</v>
      </c>
      <c r="F130" s="33">
        <f t="shared" si="12"/>
        <v>28705.98</v>
      </c>
      <c r="G130" s="33">
        <f>F130+E130</f>
        <v>30195.98</v>
      </c>
      <c r="H130" s="33">
        <f>E130*D130</f>
        <v>1490</v>
      </c>
      <c r="I130" s="33">
        <f>SUM(I131:I133)</f>
        <v>28705.98</v>
      </c>
      <c r="J130" s="31">
        <f>I130+H130</f>
        <v>30195.98</v>
      </c>
      <c r="K130" s="235">
        <f>I154+I150+I147+I144+I140+I136+I134+I130</f>
        <v>224716.13994999998</v>
      </c>
      <c r="L130" s="235">
        <f>J154+J150+J147+J144+J140+J136+J134+J130</f>
        <v>266518.06474999996</v>
      </c>
      <c r="M130" s="241"/>
    </row>
    <row r="131" spans="1:13" ht="15.75" customHeight="1" outlineLevel="1">
      <c r="A131" s="100" t="s">
        <v>181</v>
      </c>
      <c r="B131" s="66" t="s">
        <v>115</v>
      </c>
      <c r="C131" s="28" t="s">
        <v>22</v>
      </c>
      <c r="D131" s="34">
        <f>D130</f>
        <v>1</v>
      </c>
      <c r="E131" s="67"/>
      <c r="F131" s="67">
        <v>28230</v>
      </c>
      <c r="G131" s="67"/>
      <c r="H131" s="67"/>
      <c r="I131" s="30">
        <f>F131*D131</f>
        <v>28230</v>
      </c>
      <c r="J131" s="67"/>
      <c r="K131" s="236"/>
      <c r="L131" s="236"/>
      <c r="M131" s="241"/>
    </row>
    <row r="132" spans="1:13" s="101" customFormat="1" ht="15.75" customHeight="1" outlineLevel="1">
      <c r="A132" s="100" t="s">
        <v>181</v>
      </c>
      <c r="B132" s="66" t="s">
        <v>119</v>
      </c>
      <c r="C132" s="28" t="s">
        <v>22</v>
      </c>
      <c r="D132" s="37">
        <f>6*D130</f>
        <v>6</v>
      </c>
      <c r="E132" s="67"/>
      <c r="F132" s="67">
        <f>Материал!I60</f>
        <v>14</v>
      </c>
      <c r="G132" s="67"/>
      <c r="H132" s="67"/>
      <c r="I132" s="30">
        <f>F132*D132</f>
        <v>84</v>
      </c>
      <c r="J132" s="67"/>
      <c r="K132" s="236"/>
      <c r="L132" s="236"/>
      <c r="M132" s="241"/>
    </row>
    <row r="133" spans="1:13" ht="15.75" customHeight="1" outlineLevel="1">
      <c r="A133" s="100" t="s">
        <v>181</v>
      </c>
      <c r="B133" s="66" t="s">
        <v>118</v>
      </c>
      <c r="C133" s="28" t="s">
        <v>117</v>
      </c>
      <c r="D133" s="34">
        <f>D130*1</f>
        <v>1</v>
      </c>
      <c r="E133" s="67"/>
      <c r="F133" s="67">
        <f>Материал!I40</f>
        <v>391.98</v>
      </c>
      <c r="G133" s="67"/>
      <c r="H133" s="67"/>
      <c r="I133" s="30">
        <f>F133*D133</f>
        <v>391.98</v>
      </c>
      <c r="J133" s="67"/>
      <c r="K133" s="236"/>
      <c r="L133" s="236"/>
      <c r="M133" s="241"/>
    </row>
    <row r="134" spans="1:13" ht="17.25" customHeight="1">
      <c r="A134" s="71">
        <v>23</v>
      </c>
      <c r="B134" s="70" t="s">
        <v>113</v>
      </c>
      <c r="C134" s="8" t="s">
        <v>22</v>
      </c>
      <c r="D134" s="69">
        <f>Дефектовка!D27</f>
        <v>3</v>
      </c>
      <c r="E134" s="32">
        <v>300</v>
      </c>
      <c r="F134" s="33">
        <f>I134/D134</f>
        <v>1500</v>
      </c>
      <c r="G134" s="33">
        <f t="shared" ref="G134" si="14">F134+E134</f>
        <v>1800</v>
      </c>
      <c r="H134" s="33">
        <f t="shared" ref="H134" si="15">E134*D134</f>
        <v>900</v>
      </c>
      <c r="I134" s="33">
        <f>SUM(I135)</f>
        <v>4500</v>
      </c>
      <c r="J134" s="31">
        <f t="shared" ref="J134" si="16">I134+H134</f>
        <v>5400</v>
      </c>
      <c r="K134" s="236"/>
      <c r="L134" s="236"/>
      <c r="M134" s="241"/>
    </row>
    <row r="135" spans="1:13" ht="15.75" customHeight="1" outlineLevel="1">
      <c r="A135" s="100" t="s">
        <v>181</v>
      </c>
      <c r="B135" s="66" t="s">
        <v>114</v>
      </c>
      <c r="C135" s="28" t="s">
        <v>22</v>
      </c>
      <c r="D135" s="34">
        <f>D134</f>
        <v>3</v>
      </c>
      <c r="E135" s="67"/>
      <c r="F135" s="67">
        <f>Материал!I13</f>
        <v>1500</v>
      </c>
      <c r="G135" s="67"/>
      <c r="H135" s="67"/>
      <c r="I135" s="30">
        <f>F135*D135</f>
        <v>4500</v>
      </c>
      <c r="J135" s="67"/>
      <c r="K135" s="236"/>
      <c r="L135" s="236"/>
      <c r="M135" s="241"/>
    </row>
    <row r="136" spans="1:13" ht="45">
      <c r="A136" s="71">
        <v>24</v>
      </c>
      <c r="B136" s="70" t="s">
        <v>70</v>
      </c>
      <c r="C136" s="8" t="s">
        <v>22</v>
      </c>
      <c r="D136" s="69">
        <f>Дефектовка!D28</f>
        <v>2</v>
      </c>
      <c r="E136" s="32">
        <v>1490</v>
      </c>
      <c r="F136" s="33">
        <f>I136/D136</f>
        <v>19435.98</v>
      </c>
      <c r="G136" s="33">
        <f t="shared" ref="G136" si="17">F136+E136</f>
        <v>20925.98</v>
      </c>
      <c r="H136" s="33">
        <f t="shared" ref="H136" si="18">E136*D136</f>
        <v>2980</v>
      </c>
      <c r="I136" s="33">
        <f>SUM(I137:I139)</f>
        <v>38871.96</v>
      </c>
      <c r="J136" s="31">
        <f t="shared" ref="J136" si="19">I136+H136</f>
        <v>41851.96</v>
      </c>
      <c r="K136" s="236"/>
      <c r="L136" s="236"/>
      <c r="M136" s="241"/>
    </row>
    <row r="137" spans="1:13" s="101" customFormat="1" ht="30" customHeight="1" outlineLevel="1">
      <c r="A137" s="100" t="s">
        <v>181</v>
      </c>
      <c r="B137" s="66" t="s">
        <v>124</v>
      </c>
      <c r="C137" s="28" t="s">
        <v>22</v>
      </c>
      <c r="D137" s="37">
        <f>D136</f>
        <v>2</v>
      </c>
      <c r="E137" s="67"/>
      <c r="F137" s="67">
        <v>18960</v>
      </c>
      <c r="G137" s="67"/>
      <c r="H137" s="67"/>
      <c r="I137" s="30">
        <f>F137*D137</f>
        <v>37920</v>
      </c>
      <c r="J137" s="67"/>
      <c r="K137" s="236"/>
      <c r="L137" s="236"/>
      <c r="M137" s="241"/>
    </row>
    <row r="138" spans="1:13" s="101" customFormat="1" ht="15.75" customHeight="1" outlineLevel="1">
      <c r="A138" s="100" t="s">
        <v>181</v>
      </c>
      <c r="B138" s="66" t="s">
        <v>119</v>
      </c>
      <c r="C138" s="28" t="s">
        <v>22</v>
      </c>
      <c r="D138" s="37">
        <f>6*D136</f>
        <v>12</v>
      </c>
      <c r="E138" s="67"/>
      <c r="F138" s="67">
        <f>Материал!I60</f>
        <v>14</v>
      </c>
      <c r="G138" s="67"/>
      <c r="H138" s="67"/>
      <c r="I138" s="30">
        <f>F138*D138</f>
        <v>168</v>
      </c>
      <c r="J138" s="67"/>
      <c r="K138" s="236"/>
      <c r="L138" s="236"/>
      <c r="M138" s="241"/>
    </row>
    <row r="139" spans="1:13" ht="15.75" customHeight="1" outlineLevel="1">
      <c r="A139" s="100" t="s">
        <v>181</v>
      </c>
      <c r="B139" s="66" t="s">
        <v>118</v>
      </c>
      <c r="C139" s="28" t="s">
        <v>117</v>
      </c>
      <c r="D139" s="34">
        <f>D136*1</f>
        <v>2</v>
      </c>
      <c r="E139" s="67"/>
      <c r="F139" s="67">
        <f>Материал!I40</f>
        <v>391.98</v>
      </c>
      <c r="G139" s="67"/>
      <c r="H139" s="67"/>
      <c r="I139" s="30">
        <f>F139*D139</f>
        <v>783.96</v>
      </c>
      <c r="J139" s="67"/>
      <c r="K139" s="236"/>
      <c r="L139" s="236"/>
      <c r="M139" s="241"/>
    </row>
    <row r="140" spans="1:13" ht="30">
      <c r="A140" s="71">
        <v>25</v>
      </c>
      <c r="B140" s="70" t="s">
        <v>71</v>
      </c>
      <c r="C140" s="8" t="s">
        <v>22</v>
      </c>
      <c r="D140" s="69">
        <f>Дефектовка!D29</f>
        <v>8</v>
      </c>
      <c r="E140" s="32">
        <v>1940</v>
      </c>
      <c r="F140" s="33">
        <f>I140/D140</f>
        <v>9239</v>
      </c>
      <c r="G140" s="33">
        <f t="shared" ref="G140" si="20">F140+E140</f>
        <v>11179</v>
      </c>
      <c r="H140" s="33">
        <f t="shared" ref="H140" si="21">E140*D140</f>
        <v>15520</v>
      </c>
      <c r="I140" s="33">
        <f>SUM(I141:I143)</f>
        <v>73912</v>
      </c>
      <c r="J140" s="31">
        <f t="shared" ref="J140" si="22">I140+H140</f>
        <v>89432</v>
      </c>
      <c r="K140" s="236"/>
      <c r="L140" s="236"/>
      <c r="M140" s="241"/>
    </row>
    <row r="141" spans="1:13" s="101" customFormat="1" ht="15.75" customHeight="1" outlineLevel="1">
      <c r="A141" s="100" t="s">
        <v>181</v>
      </c>
      <c r="B141" s="66" t="s">
        <v>120</v>
      </c>
      <c r="C141" s="28" t="s">
        <v>22</v>
      </c>
      <c r="D141" s="37">
        <f>D140</f>
        <v>8</v>
      </c>
      <c r="E141" s="67"/>
      <c r="F141" s="67">
        <f>Материал!I9</f>
        <v>8960</v>
      </c>
      <c r="G141" s="67"/>
      <c r="H141" s="67"/>
      <c r="I141" s="30">
        <f>F141*D141</f>
        <v>71680</v>
      </c>
      <c r="J141" s="67"/>
      <c r="K141" s="236"/>
      <c r="L141" s="236"/>
      <c r="M141" s="241"/>
    </row>
    <row r="142" spans="1:13" s="101" customFormat="1" ht="15.75" customHeight="1" outlineLevel="1">
      <c r="A142" s="100" t="s">
        <v>181</v>
      </c>
      <c r="B142" s="66" t="s">
        <v>119</v>
      </c>
      <c r="C142" s="28" t="s">
        <v>22</v>
      </c>
      <c r="D142" s="37">
        <f>6*D140</f>
        <v>48</v>
      </c>
      <c r="E142" s="67"/>
      <c r="F142" s="67">
        <f>Материал!I60</f>
        <v>14</v>
      </c>
      <c r="G142" s="67"/>
      <c r="H142" s="67"/>
      <c r="I142" s="30">
        <f>F142*D142</f>
        <v>672</v>
      </c>
      <c r="J142" s="67"/>
      <c r="K142" s="236"/>
      <c r="L142" s="236"/>
      <c r="M142" s="241"/>
    </row>
    <row r="143" spans="1:13" ht="15.75" customHeight="1" outlineLevel="1">
      <c r="A143" s="100" t="s">
        <v>181</v>
      </c>
      <c r="B143" s="66" t="s">
        <v>328</v>
      </c>
      <c r="C143" s="28" t="s">
        <v>117</v>
      </c>
      <c r="D143" s="34">
        <f>D140*1</f>
        <v>8</v>
      </c>
      <c r="E143" s="67"/>
      <c r="F143" s="67">
        <f>Материал!G41</f>
        <v>195</v>
      </c>
      <c r="G143" s="67"/>
      <c r="H143" s="67"/>
      <c r="I143" s="30">
        <f>F143*D143</f>
        <v>1560</v>
      </c>
      <c r="J143" s="67"/>
      <c r="K143" s="236"/>
      <c r="L143" s="236"/>
      <c r="M143" s="241"/>
    </row>
    <row r="144" spans="1:13">
      <c r="A144" s="71">
        <v>26</v>
      </c>
      <c r="B144" s="70" t="s">
        <v>123</v>
      </c>
      <c r="C144" s="8" t="s">
        <v>29</v>
      </c>
      <c r="D144" s="8">
        <f>5.4*(D136+D130)</f>
        <v>16.200000000000003</v>
      </c>
      <c r="E144" s="32">
        <v>69.12</v>
      </c>
      <c r="F144" s="33">
        <f>I144/D144</f>
        <v>230.99399999999997</v>
      </c>
      <c r="G144" s="33">
        <f t="shared" ref="G144" si="23">F144+E144</f>
        <v>300.11399999999998</v>
      </c>
      <c r="H144" s="33">
        <f t="shared" ref="H144" si="24">E144*D144</f>
        <v>1119.7440000000004</v>
      </c>
      <c r="I144" s="33">
        <f>SUM(I145:I146)</f>
        <v>3742.1028000000001</v>
      </c>
      <c r="J144" s="31">
        <f t="shared" ref="J144" si="25">I144+H144</f>
        <v>4861.8468000000003</v>
      </c>
      <c r="K144" s="236"/>
      <c r="L144" s="236"/>
      <c r="M144" s="241"/>
    </row>
    <row r="145" spans="1:13" s="101" customFormat="1" ht="15.75" customHeight="1" outlineLevel="1">
      <c r="A145" s="100" t="s">
        <v>181</v>
      </c>
      <c r="B145" s="66" t="s">
        <v>188</v>
      </c>
      <c r="C145" s="28" t="s">
        <v>29</v>
      </c>
      <c r="D145" s="37">
        <f>D144*1.07</f>
        <v>17.334000000000003</v>
      </c>
      <c r="E145" s="67"/>
      <c r="F145" s="67">
        <v>214.2</v>
      </c>
      <c r="G145" s="67"/>
      <c r="H145" s="67"/>
      <c r="I145" s="30">
        <f>F145*D145</f>
        <v>3712.9428000000003</v>
      </c>
      <c r="J145" s="67"/>
      <c r="K145" s="236"/>
      <c r="L145" s="236"/>
      <c r="M145" s="241"/>
    </row>
    <row r="146" spans="1:13" s="101" customFormat="1" ht="15.75" customHeight="1" outlineLevel="1">
      <c r="A146" s="100" t="s">
        <v>181</v>
      </c>
      <c r="B146" s="66" t="s">
        <v>87</v>
      </c>
      <c r="C146" s="28" t="s">
        <v>22</v>
      </c>
      <c r="D146" s="38">
        <f>3*D144</f>
        <v>48.600000000000009</v>
      </c>
      <c r="E146" s="67"/>
      <c r="F146" s="67">
        <f>Материал!I15</f>
        <v>0.6</v>
      </c>
      <c r="G146" s="67"/>
      <c r="H146" s="67"/>
      <c r="I146" s="30">
        <f>F146*D146</f>
        <v>29.160000000000004</v>
      </c>
      <c r="J146" s="67"/>
      <c r="K146" s="236"/>
      <c r="L146" s="236"/>
      <c r="M146" s="241"/>
    </row>
    <row r="147" spans="1:13">
      <c r="A147" s="71">
        <v>27</v>
      </c>
      <c r="B147" s="70" t="s">
        <v>121</v>
      </c>
      <c r="C147" s="8" t="s">
        <v>29</v>
      </c>
      <c r="D147" s="8">
        <f>(D140)*5.4</f>
        <v>43.2</v>
      </c>
      <c r="E147" s="32">
        <v>69.12</v>
      </c>
      <c r="F147" s="33">
        <f>I147/D147</f>
        <v>142.44</v>
      </c>
      <c r="G147" s="33">
        <f t="shared" ref="G147" si="26">F147+E147</f>
        <v>211.56</v>
      </c>
      <c r="H147" s="33">
        <f t="shared" ref="H147" si="27">E147*D147</f>
        <v>2985.9840000000004</v>
      </c>
      <c r="I147" s="33">
        <f>SUM(I148:I149)</f>
        <v>6153.4080000000004</v>
      </c>
      <c r="J147" s="31">
        <f t="shared" ref="J147" si="28">I147+H147</f>
        <v>9139.3919999999998</v>
      </c>
      <c r="K147" s="236"/>
      <c r="L147" s="236"/>
      <c r="M147" s="241"/>
    </row>
    <row r="148" spans="1:13" s="101" customFormat="1" ht="15.75" customHeight="1" outlineLevel="1">
      <c r="A148" s="100" t="s">
        <v>181</v>
      </c>
      <c r="B148" s="66" t="s">
        <v>122</v>
      </c>
      <c r="C148" s="28" t="s">
        <v>29</v>
      </c>
      <c r="D148" s="37">
        <f>D147*1.07</f>
        <v>46.224000000000004</v>
      </c>
      <c r="E148" s="67"/>
      <c r="F148" s="67">
        <f>Материал!I36</f>
        <v>132</v>
      </c>
      <c r="G148" s="67"/>
      <c r="H148" s="67"/>
      <c r="I148" s="30">
        <f>F148*D148</f>
        <v>6101.5680000000002</v>
      </c>
      <c r="J148" s="67"/>
      <c r="K148" s="236"/>
      <c r="L148" s="236"/>
      <c r="M148" s="241"/>
    </row>
    <row r="149" spans="1:13" s="101" customFormat="1" ht="15.75" customHeight="1" outlineLevel="1">
      <c r="A149" s="100" t="s">
        <v>181</v>
      </c>
      <c r="B149" s="66" t="s">
        <v>87</v>
      </c>
      <c r="C149" s="28" t="s">
        <v>22</v>
      </c>
      <c r="D149" s="38">
        <f>2*D147</f>
        <v>86.4</v>
      </c>
      <c r="E149" s="67"/>
      <c r="F149" s="67">
        <f>Материал!I15</f>
        <v>0.6</v>
      </c>
      <c r="G149" s="67"/>
      <c r="H149" s="67"/>
      <c r="I149" s="30">
        <f>F149*D149</f>
        <v>51.84</v>
      </c>
      <c r="J149" s="67"/>
      <c r="K149" s="236"/>
      <c r="L149" s="236"/>
      <c r="M149" s="241"/>
    </row>
    <row r="150" spans="1:13">
      <c r="A150" s="71">
        <v>28</v>
      </c>
      <c r="B150" s="70" t="s">
        <v>43</v>
      </c>
      <c r="C150" s="8" t="s">
        <v>0</v>
      </c>
      <c r="D150" s="69">
        <f>Дефектовка!D30</f>
        <v>18.597750000000001</v>
      </c>
      <c r="E150" s="32">
        <v>787.2</v>
      </c>
      <c r="F150" s="33">
        <f>SUM(F151:F153)</f>
        <v>3389</v>
      </c>
      <c r="G150" s="33">
        <f t="shared" ref="G150" si="29">F150+E150</f>
        <v>4176.2</v>
      </c>
      <c r="H150" s="33">
        <f t="shared" ref="H150" si="30">E150*D150</f>
        <v>14640.148800000003</v>
      </c>
      <c r="I150" s="33">
        <f>SUM(I151:I153)</f>
        <v>60451.845000000001</v>
      </c>
      <c r="J150" s="31">
        <f t="shared" ref="J150" si="31">I150+H150</f>
        <v>75091.993799999997</v>
      </c>
      <c r="K150" s="236"/>
      <c r="L150" s="236"/>
      <c r="M150" s="241"/>
    </row>
    <row r="151" spans="1:13" s="101" customFormat="1" ht="15.75" customHeight="1" outlineLevel="1">
      <c r="A151" s="100" t="s">
        <v>181</v>
      </c>
      <c r="B151" s="66" t="s">
        <v>125</v>
      </c>
      <c r="C151" s="28" t="s">
        <v>0</v>
      </c>
      <c r="D151" s="37">
        <f>D150</f>
        <v>18.597750000000001</v>
      </c>
      <c r="E151" s="67"/>
      <c r="F151" s="67">
        <f>Материал!I38</f>
        <v>3180</v>
      </c>
      <c r="G151" s="67"/>
      <c r="H151" s="67"/>
      <c r="I151" s="30">
        <f>F151*D151</f>
        <v>59140.845000000001</v>
      </c>
      <c r="J151" s="67"/>
      <c r="K151" s="236"/>
      <c r="L151" s="236"/>
      <c r="M151" s="241"/>
    </row>
    <row r="152" spans="1:13" s="101" customFormat="1" ht="15.75" customHeight="1" outlineLevel="1">
      <c r="A152" s="100" t="s">
        <v>181</v>
      </c>
      <c r="B152" s="66" t="s">
        <v>119</v>
      </c>
      <c r="C152" s="28" t="s">
        <v>22</v>
      </c>
      <c r="D152" s="37">
        <v>24</v>
      </c>
      <c r="E152" s="67"/>
      <c r="F152" s="67">
        <f>Материал!I60</f>
        <v>14</v>
      </c>
      <c r="G152" s="67"/>
      <c r="H152" s="67"/>
      <c r="I152" s="30">
        <f>F152*D152</f>
        <v>336</v>
      </c>
      <c r="J152" s="67"/>
      <c r="K152" s="236"/>
      <c r="L152" s="236"/>
      <c r="M152" s="241"/>
    </row>
    <row r="153" spans="1:13" ht="15.75" customHeight="1" outlineLevel="1">
      <c r="A153" s="100" t="s">
        <v>181</v>
      </c>
      <c r="B153" s="66" t="s">
        <v>328</v>
      </c>
      <c r="C153" s="28" t="s">
        <v>117</v>
      </c>
      <c r="D153" s="37">
        <v>5</v>
      </c>
      <c r="E153" s="67"/>
      <c r="F153" s="67">
        <f>Материал!G41</f>
        <v>195</v>
      </c>
      <c r="G153" s="67"/>
      <c r="H153" s="67"/>
      <c r="I153" s="30">
        <f>F153*D153</f>
        <v>975</v>
      </c>
      <c r="J153" s="67"/>
      <c r="K153" s="236"/>
      <c r="L153" s="236"/>
      <c r="M153" s="241"/>
    </row>
    <row r="154" spans="1:13" ht="30">
      <c r="A154" s="71">
        <v>29</v>
      </c>
      <c r="B154" s="70" t="s">
        <v>45</v>
      </c>
      <c r="C154" s="8" t="s">
        <v>29</v>
      </c>
      <c r="D154" s="69">
        <f>Дефектовка!D31</f>
        <v>9.81</v>
      </c>
      <c r="E154" s="32">
        <v>220.8</v>
      </c>
      <c r="F154" s="33">
        <f>I154/D154</f>
        <v>854.11255351681962</v>
      </c>
      <c r="G154" s="33">
        <f t="shared" ref="G154" si="32">F154+E154</f>
        <v>1074.9125535168196</v>
      </c>
      <c r="H154" s="33">
        <f t="shared" ref="H154" si="33">E154*D154</f>
        <v>2166.0480000000002</v>
      </c>
      <c r="I154" s="33">
        <f>SUM(I155:I158)</f>
        <v>8378.8441500000008</v>
      </c>
      <c r="J154" s="31">
        <f t="shared" ref="J154" si="34">I154+H154</f>
        <v>10544.892150000001</v>
      </c>
      <c r="K154" s="236"/>
      <c r="L154" s="236"/>
      <c r="M154" s="241"/>
    </row>
    <row r="155" spans="1:13" s="101" customFormat="1" ht="15.75" outlineLevel="1">
      <c r="A155" s="100" t="s">
        <v>181</v>
      </c>
      <c r="B155" s="66" t="s">
        <v>264</v>
      </c>
      <c r="C155" s="28" t="s">
        <v>29</v>
      </c>
      <c r="D155" s="37">
        <f>D154*1.03</f>
        <v>10.1043</v>
      </c>
      <c r="E155" s="67"/>
      <c r="F155" s="67">
        <f>Материал!I54</f>
        <v>695.5</v>
      </c>
      <c r="G155" s="67"/>
      <c r="H155" s="67"/>
      <c r="I155" s="30">
        <f>F155*D155</f>
        <v>7027.5406499999999</v>
      </c>
      <c r="J155" s="67"/>
      <c r="K155" s="146"/>
      <c r="M155" s="241"/>
    </row>
    <row r="156" spans="1:13" s="101" customFormat="1" ht="15.75" outlineLevel="1">
      <c r="A156" s="100" t="s">
        <v>181</v>
      </c>
      <c r="B156" s="66" t="s">
        <v>127</v>
      </c>
      <c r="C156" s="28" t="s">
        <v>22</v>
      </c>
      <c r="D156" s="37">
        <v>3</v>
      </c>
      <c r="E156" s="67"/>
      <c r="F156" s="67">
        <f>Материал!I19</f>
        <v>34</v>
      </c>
      <c r="G156" s="67"/>
      <c r="H156" s="67"/>
      <c r="I156" s="30">
        <f>F156*D156</f>
        <v>102</v>
      </c>
      <c r="J156" s="67"/>
      <c r="M156" s="241"/>
    </row>
    <row r="157" spans="1:13" s="101" customFormat="1" ht="15.75" outlineLevel="1">
      <c r="A157" s="100" t="s">
        <v>181</v>
      </c>
      <c r="B157" s="66" t="s">
        <v>328</v>
      </c>
      <c r="C157" s="28" t="s">
        <v>22</v>
      </c>
      <c r="D157" s="37">
        <f>D154*0.33</f>
        <v>3.2373000000000003</v>
      </c>
      <c r="E157" s="67"/>
      <c r="F157" s="67">
        <f>F153</f>
        <v>195</v>
      </c>
      <c r="G157" s="67"/>
      <c r="H157" s="67"/>
      <c r="I157" s="30">
        <f>F157*D157</f>
        <v>631.27350000000001</v>
      </c>
      <c r="J157" s="67"/>
      <c r="M157" s="241"/>
    </row>
    <row r="158" spans="1:13" ht="15.75" customHeight="1" outlineLevel="1">
      <c r="A158" s="100" t="s">
        <v>181</v>
      </c>
      <c r="B158" s="66" t="s">
        <v>126</v>
      </c>
      <c r="C158" s="28" t="s">
        <v>117</v>
      </c>
      <c r="D158" s="38">
        <f>0.3*D154</f>
        <v>2.9430000000000001</v>
      </c>
      <c r="E158" s="67"/>
      <c r="F158" s="67">
        <f>Материал!I25</f>
        <v>210</v>
      </c>
      <c r="G158" s="67"/>
      <c r="H158" s="67"/>
      <c r="I158" s="30">
        <f>F158*D158</f>
        <v>618.03</v>
      </c>
      <c r="J158" s="67"/>
      <c r="K158" s="147"/>
      <c r="L158" s="148"/>
      <c r="M158" s="242"/>
    </row>
    <row r="159" spans="1:13" ht="15.75" customHeight="1">
      <c r="A159" s="222" t="s">
        <v>116</v>
      </c>
      <c r="B159" s="223"/>
      <c r="C159" s="223"/>
      <c r="D159" s="223"/>
      <c r="E159" s="223"/>
      <c r="F159" s="223"/>
      <c r="G159" s="224"/>
      <c r="H159" s="67">
        <f t="shared" ref="H159:I159" si="35">H154+H150+H147+H144+H140+H136+H134+H130+H129+H128+H127</f>
        <v>46984.666100000002</v>
      </c>
      <c r="I159" s="67">
        <f t="shared" si="35"/>
        <v>224716.13994999998</v>
      </c>
      <c r="J159" s="67">
        <f>J154+J150+J147+J144+J140+J136+J134+J130+J129+J128+J127</f>
        <v>271700.80604999996</v>
      </c>
      <c r="K159" s="147"/>
      <c r="L159" s="148"/>
      <c r="M159" s="158"/>
    </row>
    <row r="160" spans="1:13" ht="21" customHeight="1">
      <c r="A160" s="225" t="s">
        <v>27</v>
      </c>
      <c r="B160" s="226"/>
      <c r="C160" s="226"/>
      <c r="D160" s="226"/>
      <c r="E160" s="226"/>
      <c r="F160" s="226"/>
      <c r="G160" s="226"/>
      <c r="H160" s="226"/>
      <c r="I160" s="226"/>
      <c r="J160" s="227"/>
      <c r="M160" s="156"/>
    </row>
    <row r="161" spans="1:13">
      <c r="A161" s="71">
        <v>30</v>
      </c>
      <c r="B161" s="70" t="str">
        <f>Дефектовка!B33</f>
        <v>Демонтаж старой плитки со стен</v>
      </c>
      <c r="C161" s="8" t="s">
        <v>0</v>
      </c>
      <c r="D161" s="69">
        <f>Дефектовка!D33</f>
        <v>29.630000000000003</v>
      </c>
      <c r="E161" s="32">
        <v>78.72</v>
      </c>
      <c r="F161" s="33">
        <f>I161/D161</f>
        <v>0</v>
      </c>
      <c r="G161" s="33">
        <f t="shared" ref="G161" si="36">F161+E161</f>
        <v>78.72</v>
      </c>
      <c r="H161" s="33">
        <f t="shared" ref="H161" si="37">E161*D161</f>
        <v>2332.4736000000003</v>
      </c>
      <c r="I161" s="33">
        <v>0</v>
      </c>
      <c r="J161" s="31">
        <f t="shared" ref="J161" si="38">I161+H161</f>
        <v>2332.4736000000003</v>
      </c>
      <c r="K161" s="235">
        <f>I161+I162</f>
        <v>0</v>
      </c>
      <c r="L161" s="235">
        <f>J161+J162</f>
        <v>12194.745600000002</v>
      </c>
      <c r="M161" s="240">
        <v>1</v>
      </c>
    </row>
    <row r="162" spans="1:13">
      <c r="A162" s="71">
        <v>31</v>
      </c>
      <c r="B162" s="70" t="str">
        <f>Дефектовка!B34</f>
        <v>Демонтаж старой штукатурки со стен</v>
      </c>
      <c r="C162" s="8" t="s">
        <v>0</v>
      </c>
      <c r="D162" s="69">
        <f>Дефектовка!D34</f>
        <v>183.45000000000002</v>
      </c>
      <c r="E162" s="32">
        <v>53.76</v>
      </c>
      <c r="F162" s="33">
        <f>I162/D162</f>
        <v>0</v>
      </c>
      <c r="G162" s="33">
        <f t="shared" ref="G162" si="39">F162+E162</f>
        <v>53.76</v>
      </c>
      <c r="H162" s="33">
        <f t="shared" ref="H162" si="40">E162*D162</f>
        <v>9862.2720000000008</v>
      </c>
      <c r="I162" s="33">
        <v>0</v>
      </c>
      <c r="J162" s="31">
        <f t="shared" ref="J162" si="41">I162+H162</f>
        <v>9862.2720000000008</v>
      </c>
      <c r="K162" s="236"/>
      <c r="L162" s="236"/>
      <c r="M162" s="241"/>
    </row>
    <row r="163" spans="1:13">
      <c r="A163" s="71">
        <v>32</v>
      </c>
      <c r="B163" s="70" t="s">
        <v>46</v>
      </c>
      <c r="C163" s="8" t="s">
        <v>0</v>
      </c>
      <c r="D163" s="69">
        <f>Дефектовка!D35</f>
        <v>12.309750000000001</v>
      </c>
      <c r="E163" s="32">
        <v>480</v>
      </c>
      <c r="F163" s="33">
        <f>I163/D163</f>
        <v>202.32072031316639</v>
      </c>
      <c r="G163" s="33">
        <f t="shared" ref="G163" si="42">F163+E163</f>
        <v>682.32072031316636</v>
      </c>
      <c r="H163" s="33">
        <f t="shared" ref="H163" si="43">E163*D163</f>
        <v>5908.68</v>
      </c>
      <c r="I163" s="33">
        <f>SUM(I164:I168)</f>
        <v>2490.517486875</v>
      </c>
      <c r="J163" s="31">
        <f t="shared" ref="J163" si="44">I163+H163</f>
        <v>8399.1974868750003</v>
      </c>
      <c r="K163" s="235">
        <f>I175+I173+I171+I169+I163</f>
        <v>74724.052986875002</v>
      </c>
      <c r="L163" s="235">
        <f>J175+J173+J171+J169+J163</f>
        <v>152777.23298687499</v>
      </c>
      <c r="M163" s="241"/>
    </row>
    <row r="164" spans="1:13" s="101" customFormat="1" ht="15.75" customHeight="1" outlineLevel="1">
      <c r="A164" s="100" t="s">
        <v>181</v>
      </c>
      <c r="B164" s="66" t="s">
        <v>100</v>
      </c>
      <c r="C164" s="28" t="s">
        <v>0</v>
      </c>
      <c r="D164" s="37">
        <f>1.25*D163</f>
        <v>15.387187500000001</v>
      </c>
      <c r="E164" s="67"/>
      <c r="F164" s="67">
        <f>Материал!I4</f>
        <v>124.62</v>
      </c>
      <c r="G164" s="67"/>
      <c r="H164" s="67"/>
      <c r="I164" s="30">
        <f t="shared" ref="I164:I168" si="45">F164*D164</f>
        <v>1917.5513062500002</v>
      </c>
      <c r="J164" s="67"/>
      <c r="K164" s="236"/>
      <c r="L164" s="236"/>
      <c r="M164" s="241"/>
    </row>
    <row r="165" spans="1:13" s="101" customFormat="1" ht="15.75" customHeight="1" outlineLevel="1">
      <c r="A165" s="100" t="s">
        <v>181</v>
      </c>
      <c r="B165" s="66" t="s">
        <v>94</v>
      </c>
      <c r="C165" s="28" t="s">
        <v>95</v>
      </c>
      <c r="D165" s="37">
        <f>D163*0.25</f>
        <v>3.0774375000000003</v>
      </c>
      <c r="E165" s="67"/>
      <c r="F165" s="67">
        <f>Материал!I78</f>
        <v>15</v>
      </c>
      <c r="G165" s="67"/>
      <c r="H165" s="67"/>
      <c r="I165" s="30">
        <f t="shared" si="45"/>
        <v>46.161562500000002</v>
      </c>
      <c r="J165" s="67"/>
      <c r="K165" s="236"/>
      <c r="L165" s="236"/>
      <c r="M165" s="241"/>
    </row>
    <row r="166" spans="1:13" s="101" customFormat="1" ht="15.75" customHeight="1" outlineLevel="1">
      <c r="A166" s="100" t="s">
        <v>181</v>
      </c>
      <c r="B166" s="66" t="s">
        <v>96</v>
      </c>
      <c r="C166" s="28" t="s">
        <v>29</v>
      </c>
      <c r="D166" s="37">
        <f>0.75*D163</f>
        <v>9.2323125000000008</v>
      </c>
      <c r="E166" s="67"/>
      <c r="F166" s="67">
        <f>Материал!I65</f>
        <v>0.71</v>
      </c>
      <c r="G166" s="67"/>
      <c r="H166" s="67"/>
      <c r="I166" s="30">
        <f t="shared" si="45"/>
        <v>6.5549418749999999</v>
      </c>
      <c r="J166" s="67"/>
      <c r="K166" s="236"/>
      <c r="L166" s="236"/>
      <c r="M166" s="241"/>
    </row>
    <row r="167" spans="1:13" s="101" customFormat="1" ht="15.75" customHeight="1" outlineLevel="1">
      <c r="A167" s="100" t="s">
        <v>181</v>
      </c>
      <c r="B167" s="66" t="s">
        <v>128</v>
      </c>
      <c r="C167" s="28" t="s">
        <v>95</v>
      </c>
      <c r="D167" s="37">
        <f>3.5*D163</f>
        <v>43.084125</v>
      </c>
      <c r="E167" s="67"/>
      <c r="F167" s="67">
        <f>Материал!I26</f>
        <v>11.17</v>
      </c>
      <c r="G167" s="67"/>
      <c r="H167" s="67"/>
      <c r="I167" s="30">
        <f t="shared" si="45"/>
        <v>481.24967624999999</v>
      </c>
      <c r="J167" s="67"/>
      <c r="K167" s="236"/>
      <c r="L167" s="236"/>
      <c r="M167" s="241"/>
    </row>
    <row r="168" spans="1:13" s="101" customFormat="1" ht="15.75" customHeight="1" outlineLevel="1">
      <c r="A168" s="100" t="s">
        <v>181</v>
      </c>
      <c r="B168" s="66" t="s">
        <v>328</v>
      </c>
      <c r="C168" s="28" t="s">
        <v>117</v>
      </c>
      <c r="D168" s="37">
        <f>0.2</f>
        <v>0.2</v>
      </c>
      <c r="E168" s="67"/>
      <c r="F168" s="67">
        <f>Материал!G41</f>
        <v>195</v>
      </c>
      <c r="G168" s="67"/>
      <c r="H168" s="67"/>
      <c r="I168" s="30">
        <f t="shared" si="45"/>
        <v>39</v>
      </c>
      <c r="J168" s="67"/>
      <c r="K168" s="236"/>
      <c r="L168" s="236"/>
      <c r="M168" s="241"/>
    </row>
    <row r="169" spans="1:13" ht="30">
      <c r="A169" s="71">
        <v>33</v>
      </c>
      <c r="B169" s="70" t="s">
        <v>50</v>
      </c>
      <c r="C169" s="8" t="s">
        <v>0</v>
      </c>
      <c r="D169" s="69">
        <f>Дефектовка!D36</f>
        <v>183.45000000000002</v>
      </c>
      <c r="E169" s="32">
        <v>24</v>
      </c>
      <c r="F169" s="33">
        <f>I169/D169</f>
        <v>19.949999999999996</v>
      </c>
      <c r="G169" s="33">
        <f t="shared" ref="G169" si="46">F169+E169</f>
        <v>43.949999999999996</v>
      </c>
      <c r="H169" s="33">
        <f t="shared" ref="H169" si="47">E169*D169</f>
        <v>4402.8</v>
      </c>
      <c r="I169" s="33">
        <f>SUM(I170)</f>
        <v>3659.8274999999999</v>
      </c>
      <c r="J169" s="31">
        <f t="shared" ref="J169" si="48">I169+H169</f>
        <v>8062.6275000000005</v>
      </c>
      <c r="K169" s="236"/>
      <c r="L169" s="236"/>
      <c r="M169" s="241"/>
    </row>
    <row r="170" spans="1:13" ht="15.75" customHeight="1" outlineLevel="1">
      <c r="A170" s="100" t="s">
        <v>181</v>
      </c>
      <c r="B170" s="66" t="s">
        <v>129</v>
      </c>
      <c r="C170" s="28" t="s">
        <v>95</v>
      </c>
      <c r="D170" s="34">
        <f>D169*0.35</f>
        <v>64.207499999999996</v>
      </c>
      <c r="E170" s="67"/>
      <c r="F170" s="67">
        <f>Материал!I7</f>
        <v>57</v>
      </c>
      <c r="G170" s="67"/>
      <c r="H170" s="67"/>
      <c r="I170" s="30">
        <f>F170*D170</f>
        <v>3659.8274999999999</v>
      </c>
      <c r="J170" s="67"/>
      <c r="K170" s="236"/>
      <c r="L170" s="236"/>
      <c r="M170" s="241"/>
    </row>
    <row r="171" spans="1:13" ht="30">
      <c r="A171" s="71">
        <v>34</v>
      </c>
      <c r="B171" s="70" t="s">
        <v>368</v>
      </c>
      <c r="C171" s="8" t="s">
        <v>0</v>
      </c>
      <c r="D171" s="69">
        <f>Дефектовка!D37</f>
        <v>183.45000000000002</v>
      </c>
      <c r="E171" s="32">
        <v>340</v>
      </c>
      <c r="F171" s="33">
        <f>I171/D171</f>
        <v>369.59999999999997</v>
      </c>
      <c r="G171" s="33">
        <f t="shared" ref="G171" si="49">F171+E171</f>
        <v>709.59999999999991</v>
      </c>
      <c r="H171" s="33">
        <f t="shared" ref="H171" si="50">E171*D171</f>
        <v>62373.000000000007</v>
      </c>
      <c r="I171" s="33">
        <f>SUM(I172:I172)</f>
        <v>67803.12</v>
      </c>
      <c r="J171" s="31">
        <f t="shared" ref="J171" si="51">I171+H171</f>
        <v>130176.12</v>
      </c>
      <c r="K171" s="236"/>
      <c r="L171" s="236"/>
      <c r="M171" s="241"/>
    </row>
    <row r="172" spans="1:13" s="101" customFormat="1" ht="15.75" customHeight="1" outlineLevel="1">
      <c r="A172" s="100" t="s">
        <v>181</v>
      </c>
      <c r="B172" s="66" t="s">
        <v>139</v>
      </c>
      <c r="C172" s="28" t="s">
        <v>95</v>
      </c>
      <c r="D172" s="37">
        <f>33*D171</f>
        <v>6053.85</v>
      </c>
      <c r="E172" s="67"/>
      <c r="F172" s="67">
        <f>Материал!G79</f>
        <v>11.2</v>
      </c>
      <c r="G172" s="67"/>
      <c r="H172" s="67"/>
      <c r="I172" s="30">
        <f t="shared" ref="I172" si="52">F172*D172</f>
        <v>67803.12</v>
      </c>
      <c r="J172" s="67"/>
      <c r="K172" s="236"/>
      <c r="L172" s="236"/>
      <c r="M172" s="241"/>
    </row>
    <row r="173" spans="1:13" ht="30">
      <c r="A173" s="71">
        <v>35</v>
      </c>
      <c r="B173" s="70" t="s">
        <v>369</v>
      </c>
      <c r="C173" s="8" t="s">
        <v>0</v>
      </c>
      <c r="D173" s="69">
        <f>Дефектовка!D38</f>
        <v>1.2925</v>
      </c>
      <c r="E173" s="32">
        <v>440</v>
      </c>
      <c r="F173" s="33">
        <f>I173/D173</f>
        <v>145.59999999999997</v>
      </c>
      <c r="G173" s="33">
        <f t="shared" ref="G173" si="53">F173+E173</f>
        <v>585.59999999999991</v>
      </c>
      <c r="H173" s="33">
        <f t="shared" ref="H173" si="54">E173*D173</f>
        <v>568.70000000000005</v>
      </c>
      <c r="I173" s="33">
        <f>SUM(I174:I174)</f>
        <v>188.18799999999996</v>
      </c>
      <c r="J173" s="31">
        <f t="shared" ref="J173" si="55">I173+H173</f>
        <v>756.88800000000003</v>
      </c>
      <c r="K173" s="236"/>
      <c r="L173" s="236"/>
      <c r="M173" s="241"/>
    </row>
    <row r="174" spans="1:13" s="101" customFormat="1" ht="15.75" customHeight="1" outlineLevel="1">
      <c r="A174" s="100" t="s">
        <v>181</v>
      </c>
      <c r="B174" s="66" t="s">
        <v>139</v>
      </c>
      <c r="C174" s="28" t="s">
        <v>95</v>
      </c>
      <c r="D174" s="37">
        <f>13*D173</f>
        <v>16.802499999999998</v>
      </c>
      <c r="E174" s="67"/>
      <c r="F174" s="67">
        <f>Материал!G79</f>
        <v>11.2</v>
      </c>
      <c r="G174" s="67"/>
      <c r="H174" s="67"/>
      <c r="I174" s="30">
        <f t="shared" ref="I174" si="56">F174*D174</f>
        <v>188.18799999999996</v>
      </c>
      <c r="J174" s="67"/>
      <c r="K174" s="236"/>
      <c r="L174" s="236"/>
      <c r="M174" s="241"/>
    </row>
    <row r="175" spans="1:13" ht="30">
      <c r="A175" s="71">
        <v>36</v>
      </c>
      <c r="B175" s="70" t="s">
        <v>370</v>
      </c>
      <c r="C175" s="8" t="s">
        <v>29</v>
      </c>
      <c r="D175" s="69">
        <f>Дефектовка!D39</f>
        <v>40</v>
      </c>
      <c r="E175" s="32">
        <v>120</v>
      </c>
      <c r="F175" s="33">
        <f>I175/D175</f>
        <v>14.559999999999999</v>
      </c>
      <c r="G175" s="33">
        <f t="shared" ref="G175" si="57">F175+E175</f>
        <v>134.56</v>
      </c>
      <c r="H175" s="33">
        <f t="shared" ref="H175" si="58">E175*D175</f>
        <v>4800</v>
      </c>
      <c r="I175" s="33">
        <f>SUM(I176:I176)</f>
        <v>582.4</v>
      </c>
      <c r="J175" s="31">
        <f t="shared" ref="J175" si="59">I175+H175</f>
        <v>5382.4</v>
      </c>
      <c r="K175" s="236"/>
      <c r="L175" s="236"/>
      <c r="M175" s="241"/>
    </row>
    <row r="176" spans="1:13" s="101" customFormat="1" ht="15.75" outlineLevel="1">
      <c r="A176" s="100" t="s">
        <v>181</v>
      </c>
      <c r="B176" s="66" t="s">
        <v>139</v>
      </c>
      <c r="C176" s="28" t="s">
        <v>95</v>
      </c>
      <c r="D176" s="37">
        <f>1.3*D175</f>
        <v>52</v>
      </c>
      <c r="E176" s="67"/>
      <c r="F176" s="67">
        <f>Материал!G79</f>
        <v>11.2</v>
      </c>
      <c r="G176" s="67"/>
      <c r="H176" s="67"/>
      <c r="I176" s="30">
        <f t="shared" ref="I176" si="60">F176*D176</f>
        <v>582.4</v>
      </c>
      <c r="J176" s="67"/>
      <c r="M176" s="242"/>
    </row>
    <row r="177" spans="1:13" ht="45" customHeight="1">
      <c r="A177" s="71">
        <v>37</v>
      </c>
      <c r="B177" s="70" t="s">
        <v>49</v>
      </c>
      <c r="C177" s="8" t="s">
        <v>0</v>
      </c>
      <c r="D177" s="69">
        <f>Дефектовка!D40</f>
        <v>305.3734</v>
      </c>
      <c r="E177" s="32">
        <v>24</v>
      </c>
      <c r="F177" s="33">
        <f>I177/D177</f>
        <v>11.120000000000001</v>
      </c>
      <c r="G177" s="33">
        <f t="shared" ref="G177" si="61">F177+E177</f>
        <v>35.120000000000005</v>
      </c>
      <c r="H177" s="33">
        <f t="shared" ref="H177" si="62">E177*D177</f>
        <v>7328.9616000000005</v>
      </c>
      <c r="I177" s="33">
        <f>SUM(I178:I178)</f>
        <v>3395.7522080000003</v>
      </c>
      <c r="J177" s="31">
        <f t="shared" ref="J177" si="63">I177+H177</f>
        <v>10724.713808</v>
      </c>
      <c r="K177" s="235">
        <f>I191+I185+I179+I177</f>
        <v>88776.897652000014</v>
      </c>
      <c r="L177" s="235">
        <f>J191+J185+J179+J177</f>
        <v>137905.959252</v>
      </c>
      <c r="M177" s="240">
        <v>2</v>
      </c>
    </row>
    <row r="178" spans="1:13" ht="15.75" customHeight="1" outlineLevel="1">
      <c r="A178" s="100" t="s">
        <v>181</v>
      </c>
      <c r="B178" s="66" t="s">
        <v>98</v>
      </c>
      <c r="C178" s="28" t="s">
        <v>95</v>
      </c>
      <c r="D178" s="34">
        <f>D177*0.2</f>
        <v>61.074680000000001</v>
      </c>
      <c r="E178" s="67"/>
      <c r="F178" s="67">
        <f>Материал!I8</f>
        <v>55.6</v>
      </c>
      <c r="G178" s="67"/>
      <c r="H178" s="67"/>
      <c r="I178" s="30">
        <f>F178*D178</f>
        <v>3395.7522080000003</v>
      </c>
      <c r="J178" s="67"/>
      <c r="K178" s="236"/>
      <c r="L178" s="236"/>
      <c r="M178" s="241"/>
    </row>
    <row r="179" spans="1:13" ht="30" customHeight="1">
      <c r="A179" s="71">
        <v>38</v>
      </c>
      <c r="B179" s="70" t="s">
        <v>132</v>
      </c>
      <c r="C179" s="8" t="s">
        <v>0</v>
      </c>
      <c r="D179" s="69">
        <f>Дефектовка!D41</f>
        <v>25.78</v>
      </c>
      <c r="E179" s="32">
        <v>470</v>
      </c>
      <c r="F179" s="33">
        <f>I179/D179</f>
        <v>413.90440000000007</v>
      </c>
      <c r="G179" s="33">
        <f t="shared" ref="G179" si="64">F179+E179</f>
        <v>883.90440000000012</v>
      </c>
      <c r="H179" s="33">
        <f t="shared" ref="H179" si="65">E179*D179</f>
        <v>12116.6</v>
      </c>
      <c r="I179" s="33">
        <f>SUM(I180:I184)</f>
        <v>10670.455432000002</v>
      </c>
      <c r="J179" s="31">
        <f t="shared" ref="J179" si="66">I179+H179</f>
        <v>22787.055432000001</v>
      </c>
      <c r="K179" s="236"/>
      <c r="L179" s="236"/>
      <c r="M179" s="241"/>
    </row>
    <row r="180" spans="1:13" s="101" customFormat="1" ht="15.75" customHeight="1" outlineLevel="1">
      <c r="A180" s="100" t="s">
        <v>181</v>
      </c>
      <c r="B180" s="66" t="s">
        <v>130</v>
      </c>
      <c r="C180" s="28" t="s">
        <v>72</v>
      </c>
      <c r="D180" s="68">
        <f>D179*0.01</f>
        <v>0.25780000000000003</v>
      </c>
      <c r="E180" s="67"/>
      <c r="F180" s="67">
        <f>Материал!I27</f>
        <v>10680</v>
      </c>
      <c r="G180" s="67"/>
      <c r="H180" s="67"/>
      <c r="I180" s="30">
        <f>F180*D180</f>
        <v>2753.3040000000001</v>
      </c>
      <c r="J180" s="67"/>
      <c r="K180" s="236"/>
      <c r="L180" s="236"/>
      <c r="M180" s="241"/>
    </row>
    <row r="181" spans="1:13" s="101" customFormat="1" ht="15.75" customHeight="1" outlineLevel="1">
      <c r="A181" s="100" t="s">
        <v>181</v>
      </c>
      <c r="B181" s="66" t="s">
        <v>148</v>
      </c>
      <c r="C181" s="28" t="s">
        <v>95</v>
      </c>
      <c r="D181" s="39">
        <f>0.0001*D179</f>
        <v>2.5780000000000004E-3</v>
      </c>
      <c r="E181" s="67"/>
      <c r="F181" s="67">
        <f>Материал!I3</f>
        <v>44</v>
      </c>
      <c r="G181" s="67"/>
      <c r="H181" s="67"/>
      <c r="I181" s="30">
        <f>F181*D181</f>
        <v>0.11343200000000002</v>
      </c>
      <c r="J181" s="67"/>
      <c r="K181" s="236"/>
      <c r="L181" s="236"/>
      <c r="M181" s="241"/>
    </row>
    <row r="182" spans="1:13" s="101" customFormat="1" ht="30" customHeight="1" outlineLevel="1">
      <c r="A182" s="100" t="s">
        <v>181</v>
      </c>
      <c r="B182" s="66" t="s">
        <v>133</v>
      </c>
      <c r="C182" s="28" t="s">
        <v>0</v>
      </c>
      <c r="D182" s="37">
        <f>D179*1.1</f>
        <v>28.358000000000004</v>
      </c>
      <c r="E182" s="67"/>
      <c r="F182" s="67">
        <f>Материал!I43</f>
        <v>249</v>
      </c>
      <c r="G182" s="67"/>
      <c r="H182" s="67"/>
      <c r="I182" s="30">
        <f>F182*D182</f>
        <v>7061.1420000000007</v>
      </c>
      <c r="J182" s="67"/>
      <c r="K182" s="236"/>
      <c r="L182" s="236"/>
      <c r="M182" s="241"/>
    </row>
    <row r="183" spans="1:13" s="101" customFormat="1" ht="15.75" customHeight="1" outlineLevel="1">
      <c r="A183" s="100" t="s">
        <v>181</v>
      </c>
      <c r="B183" s="66" t="s">
        <v>131</v>
      </c>
      <c r="C183" s="28" t="s">
        <v>22</v>
      </c>
      <c r="D183" s="37">
        <f>15*D179</f>
        <v>386.70000000000005</v>
      </c>
      <c r="E183" s="67"/>
      <c r="F183" s="67">
        <f>Материал!I29</f>
        <v>0.1</v>
      </c>
      <c r="G183" s="67"/>
      <c r="H183" s="67"/>
      <c r="I183" s="30">
        <f>F183*D183</f>
        <v>38.670000000000009</v>
      </c>
      <c r="J183" s="67"/>
      <c r="K183" s="236"/>
      <c r="L183" s="236"/>
      <c r="M183" s="241"/>
    </row>
    <row r="184" spans="1:13" ht="15.75" customHeight="1" outlineLevel="1">
      <c r="A184" s="100" t="s">
        <v>181</v>
      </c>
      <c r="B184" s="66" t="s">
        <v>153</v>
      </c>
      <c r="C184" s="28" t="s">
        <v>95</v>
      </c>
      <c r="D184" s="38">
        <f>0.5*D179</f>
        <v>12.89</v>
      </c>
      <c r="E184" s="67"/>
      <c r="F184" s="67">
        <f>Материал!I20</f>
        <v>63.4</v>
      </c>
      <c r="G184" s="67"/>
      <c r="H184" s="67"/>
      <c r="I184" s="30">
        <f>F184*D184</f>
        <v>817.226</v>
      </c>
      <c r="J184" s="67"/>
      <c r="K184" s="236"/>
      <c r="L184" s="236"/>
      <c r="M184" s="241"/>
    </row>
    <row r="185" spans="1:13" ht="45.75" customHeight="1">
      <c r="A185" s="71">
        <v>39</v>
      </c>
      <c r="B185" s="70" t="s">
        <v>371</v>
      </c>
      <c r="C185" s="8" t="s">
        <v>0</v>
      </c>
      <c r="D185" s="69">
        <f>Дефектовка!D42</f>
        <v>24.15</v>
      </c>
      <c r="E185" s="32">
        <v>470</v>
      </c>
      <c r="F185" s="33">
        <f>I185/D185</f>
        <v>1552.4044000000001</v>
      </c>
      <c r="G185" s="33">
        <f t="shared" ref="G185" si="67">F185+E185</f>
        <v>2022.4044000000001</v>
      </c>
      <c r="H185" s="33">
        <f t="shared" ref="H185" si="68">E185*D185</f>
        <v>11350.5</v>
      </c>
      <c r="I185" s="33">
        <f>SUM(I186:I190)</f>
        <v>37490.56626</v>
      </c>
      <c r="J185" s="31">
        <f t="shared" ref="J185" si="69">I185+H185</f>
        <v>48841.06626</v>
      </c>
      <c r="K185" s="236"/>
      <c r="L185" s="236"/>
      <c r="M185" s="241"/>
    </row>
    <row r="186" spans="1:13" s="101" customFormat="1" ht="15.75" customHeight="1" outlineLevel="1">
      <c r="A186" s="100" t="s">
        <v>181</v>
      </c>
      <c r="B186" s="66" t="s">
        <v>130</v>
      </c>
      <c r="C186" s="28" t="s">
        <v>72</v>
      </c>
      <c r="D186" s="37">
        <f>D185*0.01</f>
        <v>0.24149999999999999</v>
      </c>
      <c r="E186" s="67"/>
      <c r="F186" s="67">
        <f>Материал!I27</f>
        <v>10680</v>
      </c>
      <c r="G186" s="67"/>
      <c r="H186" s="67"/>
      <c r="I186" s="30">
        <f>F186*D186</f>
        <v>2579.2199999999998</v>
      </c>
      <c r="J186" s="67"/>
      <c r="K186" s="236"/>
      <c r="L186" s="236"/>
      <c r="M186" s="241"/>
    </row>
    <row r="187" spans="1:13" s="101" customFormat="1" ht="15.75" customHeight="1" outlineLevel="1">
      <c r="A187" s="100" t="s">
        <v>181</v>
      </c>
      <c r="B187" s="66" t="s">
        <v>148</v>
      </c>
      <c r="C187" s="28" t="s">
        <v>95</v>
      </c>
      <c r="D187" s="39">
        <f>0.0001*D185</f>
        <v>2.415E-3</v>
      </c>
      <c r="E187" s="67"/>
      <c r="F187" s="67">
        <f>Материал!I3</f>
        <v>44</v>
      </c>
      <c r="G187" s="67"/>
      <c r="H187" s="67"/>
      <c r="I187" s="30">
        <f>F187*D187</f>
        <v>0.10626000000000001</v>
      </c>
      <c r="J187" s="67"/>
      <c r="K187" s="236"/>
      <c r="L187" s="236"/>
      <c r="M187" s="241"/>
    </row>
    <row r="188" spans="1:13" s="101" customFormat="1" ht="20.25" customHeight="1" outlineLevel="1">
      <c r="A188" s="100" t="s">
        <v>181</v>
      </c>
      <c r="B188" s="66" t="s">
        <v>372</v>
      </c>
      <c r="C188" s="28" t="s">
        <v>0</v>
      </c>
      <c r="D188" s="37">
        <f>D185*1.07</f>
        <v>25.840499999999999</v>
      </c>
      <c r="E188" s="67"/>
      <c r="F188" s="67">
        <f>Материал!G44</f>
        <v>1320</v>
      </c>
      <c r="G188" s="67"/>
      <c r="H188" s="67"/>
      <c r="I188" s="30">
        <f>F188*D188</f>
        <v>34109.46</v>
      </c>
      <c r="J188" s="67"/>
      <c r="K188" s="236"/>
      <c r="L188" s="236"/>
      <c r="M188" s="241"/>
    </row>
    <row r="189" spans="1:13" s="101" customFormat="1" ht="15.75" customHeight="1" outlineLevel="1">
      <c r="A189" s="100" t="s">
        <v>181</v>
      </c>
      <c r="B189" s="66" t="s">
        <v>131</v>
      </c>
      <c r="C189" s="28" t="s">
        <v>22</v>
      </c>
      <c r="D189" s="37">
        <f>15*D185</f>
        <v>362.25</v>
      </c>
      <c r="E189" s="67"/>
      <c r="F189" s="67">
        <f>Материал!I29</f>
        <v>0.1</v>
      </c>
      <c r="G189" s="67"/>
      <c r="H189" s="67"/>
      <c r="I189" s="30">
        <f>F189*D189</f>
        <v>36.225000000000001</v>
      </c>
      <c r="J189" s="67"/>
      <c r="K189" s="236"/>
      <c r="L189" s="236"/>
      <c r="M189" s="241"/>
    </row>
    <row r="190" spans="1:13" ht="15.75" customHeight="1" outlineLevel="1">
      <c r="A190" s="100" t="s">
        <v>181</v>
      </c>
      <c r="B190" s="66" t="s">
        <v>153</v>
      </c>
      <c r="C190" s="28" t="s">
        <v>95</v>
      </c>
      <c r="D190" s="38">
        <f>0.5*D185</f>
        <v>12.074999999999999</v>
      </c>
      <c r="E190" s="67"/>
      <c r="F190" s="67">
        <f>Материал!I20</f>
        <v>63.4</v>
      </c>
      <c r="G190" s="67"/>
      <c r="H190" s="67"/>
      <c r="I190" s="30">
        <f>F190*D190</f>
        <v>765.55499999999995</v>
      </c>
      <c r="J190" s="67"/>
      <c r="K190" s="236"/>
      <c r="L190" s="236"/>
      <c r="M190" s="241"/>
    </row>
    <row r="191" spans="1:13">
      <c r="A191" s="71">
        <v>40</v>
      </c>
      <c r="B191" s="70" t="s">
        <v>374</v>
      </c>
      <c r="C191" s="8" t="s">
        <v>0</v>
      </c>
      <c r="D191" s="69">
        <f>Дефектовка!D43</f>
        <v>13.580000000000002</v>
      </c>
      <c r="E191" s="32">
        <v>1350</v>
      </c>
      <c r="F191" s="33">
        <f>I191/D191</f>
        <v>2740.8044</v>
      </c>
      <c r="G191" s="33">
        <f t="shared" ref="G191" si="70">F191+E191</f>
        <v>4090.8044</v>
      </c>
      <c r="H191" s="33">
        <f t="shared" ref="H191" si="71">E191*D191</f>
        <v>18333.000000000004</v>
      </c>
      <c r="I191" s="33">
        <f>SUM(I192:I194)</f>
        <v>37220.123752000007</v>
      </c>
      <c r="J191" s="31">
        <f t="shared" ref="J191" si="72">I191+H191</f>
        <v>55553.123752000014</v>
      </c>
      <c r="K191" s="236"/>
      <c r="L191" s="236"/>
      <c r="M191" s="241"/>
    </row>
    <row r="192" spans="1:13" s="101" customFormat="1" ht="15.75" customHeight="1" outlineLevel="1">
      <c r="A192" s="100" t="s">
        <v>181</v>
      </c>
      <c r="B192" s="66" t="s">
        <v>137</v>
      </c>
      <c r="C192" s="28" t="s">
        <v>95</v>
      </c>
      <c r="D192" s="37">
        <f>4.2*D191</f>
        <v>57.036000000000008</v>
      </c>
      <c r="E192" s="67"/>
      <c r="F192" s="67">
        <f>Материал!I23</f>
        <v>24</v>
      </c>
      <c r="G192" s="67"/>
      <c r="H192" s="67"/>
      <c r="I192" s="30">
        <f>F192*D192</f>
        <v>1368.8640000000003</v>
      </c>
      <c r="J192" s="67"/>
      <c r="M192" s="241"/>
    </row>
    <row r="193" spans="1:13" s="101" customFormat="1" ht="15.75" customHeight="1" outlineLevel="1">
      <c r="A193" s="100" t="s">
        <v>181</v>
      </c>
      <c r="B193" s="66" t="s">
        <v>148</v>
      </c>
      <c r="C193" s="28" t="s">
        <v>95</v>
      </c>
      <c r="D193" s="39">
        <f>0.0001*D191</f>
        <v>1.3580000000000003E-3</v>
      </c>
      <c r="E193" s="67"/>
      <c r="F193" s="67">
        <f>Материал!I3</f>
        <v>44</v>
      </c>
      <c r="G193" s="67"/>
      <c r="H193" s="67"/>
      <c r="I193" s="30">
        <f>F193*D193</f>
        <v>5.9752000000000013E-2</v>
      </c>
      <c r="J193" s="67"/>
      <c r="M193" s="241"/>
    </row>
    <row r="194" spans="1:13" s="101" customFormat="1" ht="15.75" customHeight="1" outlineLevel="1">
      <c r="A194" s="100" t="s">
        <v>181</v>
      </c>
      <c r="B194" s="66" t="s">
        <v>373</v>
      </c>
      <c r="C194" s="28" t="s">
        <v>0</v>
      </c>
      <c r="D194" s="37">
        <f>D191*1.1</f>
        <v>14.938000000000002</v>
      </c>
      <c r="E194" s="67"/>
      <c r="F194" s="67">
        <f>Материал!I33</f>
        <v>2400</v>
      </c>
      <c r="G194" s="67"/>
      <c r="H194" s="67"/>
      <c r="I194" s="30">
        <f>F194*D194</f>
        <v>35851.200000000004</v>
      </c>
      <c r="J194" s="67"/>
      <c r="M194" s="241"/>
    </row>
    <row r="195" spans="1:13" ht="30" customHeight="1">
      <c r="A195" s="71">
        <v>41</v>
      </c>
      <c r="B195" s="70" t="s">
        <v>51</v>
      </c>
      <c r="C195" s="8" t="s">
        <v>29</v>
      </c>
      <c r="D195" s="69">
        <f>Дефектовка!D44</f>
        <v>78.84</v>
      </c>
      <c r="E195" s="32">
        <v>48</v>
      </c>
      <c r="F195" s="33">
        <f>I195/D195</f>
        <v>10.879</v>
      </c>
      <c r="G195" s="33">
        <f t="shared" ref="G195" si="73">F195+E195</f>
        <v>58.878999999999998</v>
      </c>
      <c r="H195" s="33">
        <f t="shared" ref="H195" si="74">E195*D195</f>
        <v>3784.32</v>
      </c>
      <c r="I195" s="33">
        <f>SUM(I196:I197)</f>
        <v>857.70036000000005</v>
      </c>
      <c r="J195" s="31">
        <f t="shared" ref="J195" si="75">I195+H195</f>
        <v>4642.0203600000004</v>
      </c>
      <c r="K195" s="149">
        <f>I195</f>
        <v>857.70036000000005</v>
      </c>
      <c r="L195" s="149">
        <f>J195</f>
        <v>4642.0203600000004</v>
      </c>
      <c r="M195" s="241"/>
    </row>
    <row r="196" spans="1:13" s="101" customFormat="1" ht="15.75" customHeight="1" outlineLevel="1">
      <c r="A196" s="100" t="s">
        <v>181</v>
      </c>
      <c r="B196" s="66" t="s">
        <v>138</v>
      </c>
      <c r="C196" s="28" t="s">
        <v>95</v>
      </c>
      <c r="D196" s="37">
        <f>D195*1.03</f>
        <v>81.205200000000005</v>
      </c>
      <c r="E196" s="67"/>
      <c r="F196" s="67">
        <f>Материал!I73</f>
        <v>7.3</v>
      </c>
      <c r="G196" s="67"/>
      <c r="H196" s="67"/>
      <c r="I196" s="30">
        <f>F196*D196</f>
        <v>592.79795999999999</v>
      </c>
      <c r="J196" s="67"/>
      <c r="M196" s="241"/>
    </row>
    <row r="197" spans="1:13" s="101" customFormat="1" ht="15.75" customHeight="1" outlineLevel="1">
      <c r="A197" s="100" t="s">
        <v>181</v>
      </c>
      <c r="B197" s="66" t="s">
        <v>139</v>
      </c>
      <c r="C197" s="28" t="s">
        <v>95</v>
      </c>
      <c r="D197" s="37">
        <f>D195*0.3</f>
        <v>23.652000000000001</v>
      </c>
      <c r="E197" s="67"/>
      <c r="F197" s="67">
        <f>Материал!I79</f>
        <v>11.2</v>
      </c>
      <c r="G197" s="67"/>
      <c r="H197" s="67"/>
      <c r="I197" s="30">
        <f>F197*D197</f>
        <v>264.9024</v>
      </c>
      <c r="J197" s="67"/>
      <c r="M197" s="241"/>
    </row>
    <row r="198" spans="1:13" ht="30">
      <c r="A198" s="71">
        <v>42</v>
      </c>
      <c r="B198" s="70" t="s">
        <v>52</v>
      </c>
      <c r="C198" s="8" t="s">
        <v>29</v>
      </c>
      <c r="D198" s="69">
        <f>Дефектовка!D45</f>
        <v>24.164999999999999</v>
      </c>
      <c r="E198" s="32">
        <v>48</v>
      </c>
      <c r="F198" s="33">
        <f>I198/D198</f>
        <v>43.344999999999999</v>
      </c>
      <c r="G198" s="33">
        <f t="shared" ref="G198" si="76">F198+E198</f>
        <v>91.344999999999999</v>
      </c>
      <c r="H198" s="33">
        <f t="shared" ref="H198" si="77">E198*D198</f>
        <v>1159.92</v>
      </c>
      <c r="I198" s="33">
        <f>SUM(I199:I200)</f>
        <v>1047.4319249999999</v>
      </c>
      <c r="J198" s="31">
        <f t="shared" ref="J198" si="78">I198+H198</f>
        <v>2207.3519249999999</v>
      </c>
      <c r="K198" s="235">
        <f>I205+I201+I198</f>
        <v>13781.526485100003</v>
      </c>
      <c r="L198" s="235">
        <f>J205+J201+J198</f>
        <v>82673.192735100005</v>
      </c>
      <c r="M198" s="241"/>
    </row>
    <row r="199" spans="1:13" s="101" customFormat="1" ht="15.75" customHeight="1" outlineLevel="1">
      <c r="A199" s="100" t="s">
        <v>181</v>
      </c>
      <c r="B199" s="66" t="s">
        <v>140</v>
      </c>
      <c r="C199" s="28" t="s">
        <v>29</v>
      </c>
      <c r="D199" s="37">
        <f>D198*1.03</f>
        <v>24.889949999999999</v>
      </c>
      <c r="E199" s="67"/>
      <c r="F199" s="67">
        <f>Материал!I72</f>
        <v>11.5</v>
      </c>
      <c r="G199" s="67"/>
      <c r="H199" s="67"/>
      <c r="I199" s="30">
        <f>F199*D199</f>
        <v>286.23442499999999</v>
      </c>
      <c r="J199" s="67"/>
      <c r="K199" s="236"/>
      <c r="L199" s="236"/>
      <c r="M199" s="241"/>
    </row>
    <row r="200" spans="1:13" s="101" customFormat="1" ht="15.75" customHeight="1" outlineLevel="1">
      <c r="A200" s="100" t="s">
        <v>181</v>
      </c>
      <c r="B200" s="66" t="s">
        <v>126</v>
      </c>
      <c r="C200" s="28" t="s">
        <v>117</v>
      </c>
      <c r="D200" s="38">
        <f>0.15*D198</f>
        <v>3.6247499999999997</v>
      </c>
      <c r="E200" s="67"/>
      <c r="F200" s="67">
        <f>Материал!I25</f>
        <v>210</v>
      </c>
      <c r="G200" s="67"/>
      <c r="H200" s="67"/>
      <c r="I200" s="30">
        <f>F200*D200</f>
        <v>761.19749999999999</v>
      </c>
      <c r="J200" s="67"/>
      <c r="K200" s="236"/>
      <c r="L200" s="236"/>
      <c r="M200" s="241"/>
    </row>
    <row r="201" spans="1:13" ht="30" customHeight="1">
      <c r="A201" s="71">
        <v>43</v>
      </c>
      <c r="B201" s="70" t="s">
        <v>144</v>
      </c>
      <c r="C201" s="8" t="s">
        <v>0</v>
      </c>
      <c r="D201" s="69">
        <f>Дефектовка!D46</f>
        <v>254.40900000000002</v>
      </c>
      <c r="E201" s="32">
        <v>245</v>
      </c>
      <c r="F201" s="33">
        <f>I201/D201</f>
        <v>47.296400000000006</v>
      </c>
      <c r="G201" s="33">
        <f t="shared" ref="G201" si="79">F201+E201</f>
        <v>292.29640000000001</v>
      </c>
      <c r="H201" s="33">
        <f t="shared" ref="H201" si="80">E201*D201</f>
        <v>62330.205000000002</v>
      </c>
      <c r="I201" s="33">
        <f>SUM(I202:I204)</f>
        <v>12032.629827600002</v>
      </c>
      <c r="J201" s="31">
        <f t="shared" ref="J201" si="81">I201+H201</f>
        <v>74362.834827600003</v>
      </c>
      <c r="K201" s="236"/>
      <c r="L201" s="236"/>
      <c r="M201" s="241"/>
    </row>
    <row r="202" spans="1:13" s="101" customFormat="1" ht="15.75" customHeight="1" outlineLevel="1">
      <c r="A202" s="100" t="s">
        <v>181</v>
      </c>
      <c r="B202" s="66" t="s">
        <v>141</v>
      </c>
      <c r="C202" s="28" t="s">
        <v>142</v>
      </c>
      <c r="D202" s="37">
        <f>2*D201</f>
        <v>508.81800000000004</v>
      </c>
      <c r="E202" s="67"/>
      <c r="F202" s="67">
        <f>Материал!I76</f>
        <v>22.56</v>
      </c>
      <c r="G202" s="67"/>
      <c r="H202" s="67"/>
      <c r="I202" s="30">
        <f>F202*D202</f>
        <v>11478.934080000001</v>
      </c>
      <c r="J202" s="67"/>
      <c r="K202" s="236"/>
      <c r="L202" s="236"/>
      <c r="M202" s="241"/>
    </row>
    <row r="203" spans="1:13" s="101" customFormat="1" ht="15.75" customHeight="1" outlineLevel="1">
      <c r="A203" s="100" t="s">
        <v>181</v>
      </c>
      <c r="B203" s="66" t="s">
        <v>148</v>
      </c>
      <c r="C203" s="28" t="s">
        <v>95</v>
      </c>
      <c r="D203" s="39">
        <f>0.0001*D201</f>
        <v>2.5440900000000002E-2</v>
      </c>
      <c r="E203" s="67"/>
      <c r="F203" s="67">
        <f>Материал!I3</f>
        <v>44</v>
      </c>
      <c r="G203" s="67"/>
      <c r="H203" s="67"/>
      <c r="I203" s="30">
        <f>F203*D203</f>
        <v>1.1193996000000002</v>
      </c>
      <c r="J203" s="67"/>
      <c r="K203" s="236"/>
      <c r="L203" s="236"/>
      <c r="M203" s="241"/>
    </row>
    <row r="204" spans="1:13" s="101" customFormat="1" ht="15.75" customHeight="1" outlineLevel="1">
      <c r="A204" s="100" t="s">
        <v>181</v>
      </c>
      <c r="B204" s="66" t="s">
        <v>143</v>
      </c>
      <c r="C204" s="28" t="s">
        <v>0</v>
      </c>
      <c r="D204" s="37">
        <f>0.03*D201</f>
        <v>7.6322700000000001</v>
      </c>
      <c r="E204" s="67"/>
      <c r="F204" s="67">
        <f>Материал!I67</f>
        <v>72.400000000000006</v>
      </c>
      <c r="G204" s="67"/>
      <c r="H204" s="67"/>
      <c r="I204" s="30">
        <f>F204*D204</f>
        <v>552.57634800000005</v>
      </c>
      <c r="J204" s="67"/>
      <c r="K204" s="236"/>
      <c r="L204" s="236"/>
      <c r="M204" s="241"/>
    </row>
    <row r="205" spans="1:13" ht="30" customHeight="1">
      <c r="A205" s="71">
        <v>44</v>
      </c>
      <c r="B205" s="70" t="s">
        <v>145</v>
      </c>
      <c r="C205" s="8" t="s">
        <v>0</v>
      </c>
      <c r="D205" s="69">
        <f>Дефектовка!D47</f>
        <v>14.831250000000001</v>
      </c>
      <c r="E205" s="32">
        <v>364.2</v>
      </c>
      <c r="F205" s="33">
        <f>I205/D205</f>
        <v>47.296400000000006</v>
      </c>
      <c r="G205" s="33">
        <f t="shared" ref="G205" si="82">F205+E205</f>
        <v>411.49639999999999</v>
      </c>
      <c r="H205" s="33">
        <f t="shared" ref="H205" si="83">E205*D205</f>
        <v>5401.5412500000002</v>
      </c>
      <c r="I205" s="33">
        <f>SUM(I206:I208)</f>
        <v>701.46473250000008</v>
      </c>
      <c r="J205" s="31">
        <f t="shared" ref="J205" si="84">I205+H205</f>
        <v>6103.0059825000008</v>
      </c>
      <c r="K205" s="236"/>
      <c r="L205" s="236"/>
      <c r="M205" s="241"/>
    </row>
    <row r="206" spans="1:13" s="101" customFormat="1" ht="15.75" customHeight="1" outlineLevel="1">
      <c r="A206" s="100" t="s">
        <v>181</v>
      </c>
      <c r="B206" s="66" t="s">
        <v>141</v>
      </c>
      <c r="C206" s="28" t="s">
        <v>142</v>
      </c>
      <c r="D206" s="37">
        <f>2*D205</f>
        <v>29.662500000000001</v>
      </c>
      <c r="E206" s="67"/>
      <c r="F206" s="67">
        <f>Материал!I76</f>
        <v>22.56</v>
      </c>
      <c r="G206" s="67"/>
      <c r="H206" s="67"/>
      <c r="I206" s="30">
        <f>F206*D206</f>
        <v>669.18600000000004</v>
      </c>
      <c r="J206" s="67"/>
      <c r="M206" s="241"/>
    </row>
    <row r="207" spans="1:13" s="101" customFormat="1" ht="15.75" customHeight="1" outlineLevel="1">
      <c r="A207" s="100" t="s">
        <v>181</v>
      </c>
      <c r="B207" s="66" t="s">
        <v>148</v>
      </c>
      <c r="C207" s="28" t="s">
        <v>95</v>
      </c>
      <c r="D207" s="39">
        <f>0.0001*D205</f>
        <v>1.4831250000000001E-3</v>
      </c>
      <c r="E207" s="67"/>
      <c r="F207" s="67">
        <f>Материал!I3</f>
        <v>44</v>
      </c>
      <c r="G207" s="67"/>
      <c r="H207" s="67"/>
      <c r="I207" s="30">
        <f>F207*D207</f>
        <v>6.5257499999999996E-2</v>
      </c>
      <c r="J207" s="67"/>
      <c r="M207" s="241"/>
    </row>
    <row r="208" spans="1:13" s="101" customFormat="1" ht="15.75" customHeight="1" outlineLevel="1">
      <c r="A208" s="100" t="s">
        <v>181</v>
      </c>
      <c r="B208" s="66" t="s">
        <v>143</v>
      </c>
      <c r="C208" s="28" t="s">
        <v>0</v>
      </c>
      <c r="D208" s="37">
        <f>0.03*D205</f>
        <v>0.44493749999999999</v>
      </c>
      <c r="E208" s="67"/>
      <c r="F208" s="67">
        <f>Материал!I67</f>
        <v>72.400000000000006</v>
      </c>
      <c r="G208" s="67"/>
      <c r="H208" s="67"/>
      <c r="I208" s="30">
        <f>F208*D208</f>
        <v>32.213475000000003</v>
      </c>
      <c r="J208" s="67"/>
      <c r="M208" s="241"/>
    </row>
    <row r="209" spans="1:13">
      <c r="A209" s="71">
        <v>45</v>
      </c>
      <c r="B209" s="70" t="s">
        <v>36</v>
      </c>
      <c r="C209" s="8" t="s">
        <v>0</v>
      </c>
      <c r="D209" s="69">
        <f>Дефектовка!D48</f>
        <v>23.36</v>
      </c>
      <c r="E209" s="32">
        <v>145</v>
      </c>
      <c r="F209" s="33">
        <f>I209/D209</f>
        <v>153.45439999999999</v>
      </c>
      <c r="G209" s="33">
        <f t="shared" ref="G209" si="85">F209+E209</f>
        <v>298.45439999999996</v>
      </c>
      <c r="H209" s="33">
        <f t="shared" ref="H209" si="86">E209*D209</f>
        <v>3387.2</v>
      </c>
      <c r="I209" s="33">
        <f>SUM(I210:I212)</f>
        <v>3584.6947839999998</v>
      </c>
      <c r="J209" s="31">
        <f t="shared" ref="J209" si="87">I209+H209</f>
        <v>6971.8947840000001</v>
      </c>
      <c r="K209" s="149">
        <f>I209</f>
        <v>3584.6947839999998</v>
      </c>
      <c r="L209" s="149">
        <f>J209</f>
        <v>6971.8947840000001</v>
      </c>
      <c r="M209" s="241"/>
    </row>
    <row r="210" spans="1:13" s="101" customFormat="1" ht="15.75" outlineLevel="1">
      <c r="A210" s="100" t="s">
        <v>181</v>
      </c>
      <c r="B210" s="66" t="s">
        <v>146</v>
      </c>
      <c r="C210" s="28" t="s">
        <v>0</v>
      </c>
      <c r="D210" s="37">
        <f>1.15*D209</f>
        <v>26.863999999999997</v>
      </c>
      <c r="E210" s="67"/>
      <c r="F210" s="67">
        <f>Материал!I37</f>
        <v>124</v>
      </c>
      <c r="G210" s="67"/>
      <c r="H210" s="67"/>
      <c r="I210" s="30">
        <f>F210*D210</f>
        <v>3331.1359999999995</v>
      </c>
      <c r="J210" s="67"/>
      <c r="L210" s="238"/>
      <c r="M210" s="241"/>
    </row>
    <row r="211" spans="1:13" s="101" customFormat="1" ht="15.75" outlineLevel="1">
      <c r="A211" s="100" t="s">
        <v>181</v>
      </c>
      <c r="B211" s="66" t="s">
        <v>147</v>
      </c>
      <c r="C211" s="28" t="s">
        <v>95</v>
      </c>
      <c r="D211" s="37">
        <f>0.035*D209</f>
        <v>0.8176000000000001</v>
      </c>
      <c r="E211" s="67"/>
      <c r="F211" s="67">
        <f>Материал!I24</f>
        <v>310</v>
      </c>
      <c r="G211" s="67"/>
      <c r="H211" s="67"/>
      <c r="I211" s="30">
        <f>F211*D211</f>
        <v>253.45600000000005</v>
      </c>
      <c r="J211" s="67"/>
      <c r="L211" s="238"/>
      <c r="M211" s="241"/>
    </row>
    <row r="212" spans="1:13" s="101" customFormat="1" ht="15.75" outlineLevel="1">
      <c r="A212" s="100" t="s">
        <v>181</v>
      </c>
      <c r="B212" s="66" t="s">
        <v>148</v>
      </c>
      <c r="C212" s="28" t="s">
        <v>95</v>
      </c>
      <c r="D212" s="39">
        <f>0.0001*D209</f>
        <v>2.336E-3</v>
      </c>
      <c r="E212" s="67"/>
      <c r="F212" s="67">
        <f>Материал!I3</f>
        <v>44</v>
      </c>
      <c r="G212" s="67"/>
      <c r="H212" s="67"/>
      <c r="I212" s="30">
        <f>F212*D212</f>
        <v>0.102784</v>
      </c>
      <c r="J212" s="67"/>
      <c r="M212" s="242"/>
    </row>
    <row r="213" spans="1:13" ht="30">
      <c r="A213" s="71">
        <v>46</v>
      </c>
      <c r="B213" s="70" t="s">
        <v>47</v>
      </c>
      <c r="C213" s="8" t="s">
        <v>0</v>
      </c>
      <c r="D213" s="69">
        <f>Дефектовка!D49</f>
        <v>222.68025</v>
      </c>
      <c r="E213" s="32">
        <v>115</v>
      </c>
      <c r="F213" s="33">
        <f>I213/D213</f>
        <v>218.1104</v>
      </c>
      <c r="G213" s="33">
        <f t="shared" ref="G213" si="88">F213+E213</f>
        <v>333.11040000000003</v>
      </c>
      <c r="H213" s="33">
        <f t="shared" ref="H213" si="89">E213*D213</f>
        <v>25608.228749999998</v>
      </c>
      <c r="I213" s="33">
        <f>SUM(I214:I216)</f>
        <v>48568.878399599998</v>
      </c>
      <c r="J213" s="31">
        <f t="shared" ref="J213" si="90">I213+H213</f>
        <v>74177.107149599993</v>
      </c>
      <c r="K213" s="235">
        <f>I220+I217+I213</f>
        <v>78918.822399600002</v>
      </c>
      <c r="L213" s="235">
        <f>J220+J217+J213</f>
        <v>110165.0591496</v>
      </c>
      <c r="M213" s="240">
        <v>3</v>
      </c>
    </row>
    <row r="214" spans="1:13" s="101" customFormat="1" ht="30" customHeight="1" outlineLevel="1">
      <c r="A214" s="100" t="s">
        <v>181</v>
      </c>
      <c r="B214" s="66" t="s">
        <v>152</v>
      </c>
      <c r="C214" s="28" t="s">
        <v>149</v>
      </c>
      <c r="D214" s="37">
        <f>0.63*D213</f>
        <v>140.2885575</v>
      </c>
      <c r="E214" s="67"/>
      <c r="F214" s="67">
        <f>Материал!I28</f>
        <v>339.62</v>
      </c>
      <c r="G214" s="67"/>
      <c r="H214" s="67"/>
      <c r="I214" s="30">
        <f>F214*D214</f>
        <v>47644.799898149999</v>
      </c>
      <c r="J214" s="67"/>
      <c r="K214" s="236"/>
      <c r="L214" s="236"/>
      <c r="M214" s="241"/>
    </row>
    <row r="215" spans="1:13" s="101" customFormat="1" ht="15.75" customHeight="1" outlineLevel="1">
      <c r="A215" s="100" t="s">
        <v>181</v>
      </c>
      <c r="B215" s="66" t="s">
        <v>172</v>
      </c>
      <c r="C215" s="28" t="s">
        <v>173</v>
      </c>
      <c r="D215" s="38">
        <f>0.1*D214</f>
        <v>14.02885575</v>
      </c>
      <c r="E215" s="67"/>
      <c r="F215" s="67">
        <f>Материал!I68</f>
        <v>65.8</v>
      </c>
      <c r="G215" s="67"/>
      <c r="H215" s="67"/>
      <c r="I215" s="30">
        <f>F215*D215</f>
        <v>923.09870834999992</v>
      </c>
      <c r="J215" s="67"/>
      <c r="K215" s="236"/>
      <c r="L215" s="236"/>
      <c r="M215" s="241"/>
    </row>
    <row r="216" spans="1:13" s="101" customFormat="1" ht="15.75" customHeight="1" outlineLevel="1">
      <c r="A216" s="100" t="s">
        <v>181</v>
      </c>
      <c r="B216" s="66" t="s">
        <v>148</v>
      </c>
      <c r="C216" s="28" t="s">
        <v>95</v>
      </c>
      <c r="D216" s="39">
        <f>0.0001*D213</f>
        <v>2.2268025E-2</v>
      </c>
      <c r="E216" s="67"/>
      <c r="F216" s="67">
        <f>Материал!I3</f>
        <v>44</v>
      </c>
      <c r="G216" s="67"/>
      <c r="H216" s="67"/>
      <c r="I216" s="30">
        <f>F216*D216</f>
        <v>0.97979309999999997</v>
      </c>
      <c r="J216" s="67"/>
      <c r="K216" s="236"/>
      <c r="L216" s="236"/>
      <c r="M216" s="241"/>
    </row>
    <row r="217" spans="1:13" ht="30">
      <c r="A217" s="71">
        <v>47</v>
      </c>
      <c r="B217" s="70" t="s">
        <v>54</v>
      </c>
      <c r="C217" s="8" t="s">
        <v>22</v>
      </c>
      <c r="D217" s="69">
        <f>Дефектовка!D50</f>
        <v>4</v>
      </c>
      <c r="E217" s="32">
        <v>76.8</v>
      </c>
      <c r="F217" s="33">
        <f>I217/D217</f>
        <v>433.8</v>
      </c>
      <c r="G217" s="33">
        <f t="shared" ref="G217" si="91">F217+E217</f>
        <v>510.6</v>
      </c>
      <c r="H217" s="33">
        <f t="shared" ref="H217" si="92">E217*D217</f>
        <v>307.2</v>
      </c>
      <c r="I217" s="33">
        <f>SUM(I218:I219)</f>
        <v>1735.2</v>
      </c>
      <c r="J217" s="31">
        <f t="shared" ref="J217" si="93">I217+H217</f>
        <v>2042.4</v>
      </c>
      <c r="K217" s="236"/>
      <c r="L217" s="236"/>
      <c r="M217" s="241"/>
    </row>
    <row r="218" spans="1:13" s="101" customFormat="1" ht="30" customHeight="1" outlineLevel="1">
      <c r="A218" s="100" t="s">
        <v>181</v>
      </c>
      <c r="B218" s="66" t="s">
        <v>150</v>
      </c>
      <c r="C218" s="28" t="s">
        <v>22</v>
      </c>
      <c r="D218" s="37">
        <f>D217</f>
        <v>4</v>
      </c>
      <c r="E218" s="67"/>
      <c r="F218" s="67">
        <f>Материал!I61</f>
        <v>430</v>
      </c>
      <c r="G218" s="67"/>
      <c r="H218" s="67"/>
      <c r="I218" s="30">
        <f>F218*D218</f>
        <v>1720</v>
      </c>
      <c r="J218" s="67"/>
      <c r="K218" s="236"/>
      <c r="L218" s="236"/>
      <c r="M218" s="241"/>
    </row>
    <row r="219" spans="1:13" s="101" customFormat="1" ht="15.75" customHeight="1" outlineLevel="1">
      <c r="A219" s="100" t="s">
        <v>181</v>
      </c>
      <c r="B219" s="66" t="s">
        <v>151</v>
      </c>
      <c r="C219" s="28" t="s">
        <v>22</v>
      </c>
      <c r="D219" s="37">
        <f>20*D218</f>
        <v>80</v>
      </c>
      <c r="E219" s="67"/>
      <c r="F219" s="67">
        <f>Материал!I62</f>
        <v>0.19</v>
      </c>
      <c r="G219" s="67"/>
      <c r="H219" s="67"/>
      <c r="I219" s="30">
        <f>F219*D219</f>
        <v>15.2</v>
      </c>
      <c r="J219" s="67"/>
      <c r="K219" s="236"/>
      <c r="L219" s="236"/>
      <c r="M219" s="241"/>
    </row>
    <row r="220" spans="1:13">
      <c r="A220" s="71">
        <v>48</v>
      </c>
      <c r="B220" s="70" t="s">
        <v>268</v>
      </c>
      <c r="C220" s="8" t="s">
        <v>0</v>
      </c>
      <c r="D220" s="69">
        <f>2.31*1.16*2+0.9*1+1.4*0.55*6</f>
        <v>10.879200000000001</v>
      </c>
      <c r="E220" s="32">
        <v>490</v>
      </c>
      <c r="F220" s="33">
        <f>I220/D220</f>
        <v>2630.2250165453343</v>
      </c>
      <c r="G220" s="33">
        <f t="shared" ref="G220" si="94">F220+E220</f>
        <v>3120.2250165453343</v>
      </c>
      <c r="H220" s="33">
        <f t="shared" ref="H220" si="95">E220*D220</f>
        <v>5330.808</v>
      </c>
      <c r="I220" s="33">
        <f>SUM(I221:I222)</f>
        <v>28614.744000000002</v>
      </c>
      <c r="J220" s="31">
        <f t="shared" ref="J220" si="96">I220+H220</f>
        <v>33945.552000000003</v>
      </c>
      <c r="K220" s="236"/>
      <c r="L220" s="236"/>
      <c r="M220" s="241"/>
    </row>
    <row r="221" spans="1:13" s="101" customFormat="1" ht="15.75" outlineLevel="1">
      <c r="A221" s="100" t="s">
        <v>181</v>
      </c>
      <c r="B221" s="66" t="s">
        <v>267</v>
      </c>
      <c r="C221" s="28" t="s">
        <v>0</v>
      </c>
      <c r="D221" s="37">
        <f>D220</f>
        <v>10.879200000000001</v>
      </c>
      <c r="E221" s="67"/>
      <c r="F221" s="67">
        <v>2320</v>
      </c>
      <c r="G221" s="67"/>
      <c r="H221" s="67"/>
      <c r="I221" s="30">
        <f>F221*D221</f>
        <v>25239.744000000002</v>
      </c>
      <c r="J221" s="67"/>
      <c r="M221" s="241"/>
    </row>
    <row r="222" spans="1:13" s="101" customFormat="1" ht="15.75" outlineLevel="1">
      <c r="A222" s="100" t="s">
        <v>181</v>
      </c>
      <c r="B222" s="66" t="s">
        <v>269</v>
      </c>
      <c r="C222" s="28" t="s">
        <v>22</v>
      </c>
      <c r="D222" s="37">
        <v>9</v>
      </c>
      <c r="E222" s="67"/>
      <c r="F222" s="67">
        <v>375</v>
      </c>
      <c r="G222" s="67"/>
      <c r="H222" s="67"/>
      <c r="I222" s="30">
        <f>F222*D222</f>
        <v>3375</v>
      </c>
      <c r="J222" s="67"/>
      <c r="M222" s="242"/>
    </row>
    <row r="223" spans="1:13" ht="15.75" customHeight="1">
      <c r="A223" s="222" t="s">
        <v>116</v>
      </c>
      <c r="B223" s="223"/>
      <c r="C223" s="223"/>
      <c r="D223" s="223"/>
      <c r="E223" s="223"/>
      <c r="F223" s="223"/>
      <c r="G223" s="224"/>
      <c r="H223" s="67">
        <f t="shared" ref="H223:I223" si="97">H220+H217+H213+H209+H205+H201+H198+H195+H191+H185+H179+H177+H175+H173+H171+H169+H163+H162+H161</f>
        <v>246686.41020000001</v>
      </c>
      <c r="I223" s="67">
        <f t="shared" si="97"/>
        <v>260643.69466757501</v>
      </c>
      <c r="J223" s="67">
        <f>J220+J217+J213+J209+J205+J201+J198+J195+J191+J185+J179+J177+J175+J173+J171+J169+J163+J162+J161</f>
        <v>507330.10486757511</v>
      </c>
      <c r="M223" s="156"/>
    </row>
    <row r="224" spans="1:13" ht="21" customHeight="1">
      <c r="A224" s="225" t="s">
        <v>30</v>
      </c>
      <c r="B224" s="226"/>
      <c r="C224" s="226"/>
      <c r="D224" s="226"/>
      <c r="E224" s="226"/>
      <c r="F224" s="226"/>
      <c r="G224" s="226"/>
      <c r="H224" s="226"/>
      <c r="I224" s="226"/>
      <c r="J224" s="227"/>
      <c r="M224" s="156"/>
    </row>
    <row r="225" spans="1:13" ht="30">
      <c r="A225" s="71">
        <v>49</v>
      </c>
      <c r="B225" s="70" t="s">
        <v>28</v>
      </c>
      <c r="C225" s="8" t="s">
        <v>29</v>
      </c>
      <c r="D225" s="69">
        <f>Дефектовка!D52</f>
        <v>37</v>
      </c>
      <c r="E225" s="32">
        <v>99.52</v>
      </c>
      <c r="F225" s="33">
        <f>I225/D225</f>
        <v>352.75920000000002</v>
      </c>
      <c r="G225" s="33">
        <f t="shared" ref="G225" si="98">F225+E225</f>
        <v>452.2792</v>
      </c>
      <c r="H225" s="33">
        <f t="shared" ref="H225" si="99">E225*D225</f>
        <v>3682.24</v>
      </c>
      <c r="I225" s="33">
        <f>SUM(I226:I227)</f>
        <v>13052.090400000001</v>
      </c>
      <c r="J225" s="31">
        <f t="shared" ref="J225" si="100">I225+H225</f>
        <v>16734.330399999999</v>
      </c>
      <c r="K225" s="235">
        <f>I229+I228+I225</f>
        <v>41032.802459999992</v>
      </c>
      <c r="L225" s="235">
        <f>J229+J228+J225</f>
        <v>62755.972459999997</v>
      </c>
      <c r="M225" s="240">
        <v>1</v>
      </c>
    </row>
    <row r="226" spans="1:13" s="101" customFormat="1" ht="15.75" customHeight="1" outlineLevel="1">
      <c r="A226" s="100" t="s">
        <v>181</v>
      </c>
      <c r="B226" s="66" t="s">
        <v>89</v>
      </c>
      <c r="C226" s="28" t="s">
        <v>72</v>
      </c>
      <c r="D226" s="39">
        <f>D225*0.4*3.6*0.001</f>
        <v>5.3280000000000001E-2</v>
      </c>
      <c r="E226" s="67"/>
      <c r="F226" s="67">
        <f>Материал!I66</f>
        <v>57680</v>
      </c>
      <c r="G226" s="67"/>
      <c r="H226" s="67"/>
      <c r="I226" s="30">
        <f>F226*D226</f>
        <v>3073.1904</v>
      </c>
      <c r="J226" s="67"/>
      <c r="K226" s="236"/>
      <c r="L226" s="236"/>
      <c r="M226" s="241"/>
    </row>
    <row r="227" spans="1:13" s="101" customFormat="1" ht="15.75" customHeight="1" outlineLevel="1">
      <c r="A227" s="100" t="s">
        <v>181</v>
      </c>
      <c r="B227" s="66" t="s">
        <v>88</v>
      </c>
      <c r="C227" s="28" t="s">
        <v>72</v>
      </c>
      <c r="D227" s="39">
        <f>0.025*1.86*D225</f>
        <v>1.7205000000000001</v>
      </c>
      <c r="E227" s="67"/>
      <c r="F227" s="67">
        <f>Материал!I75</f>
        <v>5800</v>
      </c>
      <c r="G227" s="67"/>
      <c r="H227" s="67"/>
      <c r="I227" s="30">
        <f>F227*D227</f>
        <v>9978.9000000000015</v>
      </c>
      <c r="J227" s="67"/>
      <c r="K227" s="236"/>
      <c r="L227" s="236"/>
      <c r="M227" s="241"/>
    </row>
    <row r="228" spans="1:13">
      <c r="A228" s="71">
        <v>50</v>
      </c>
      <c r="B228" s="70" t="s">
        <v>218</v>
      </c>
      <c r="C228" s="8" t="s">
        <v>0</v>
      </c>
      <c r="D228" s="69">
        <f>Дефектовка!D53</f>
        <v>3.75</v>
      </c>
      <c r="E228" s="32">
        <v>86.4</v>
      </c>
      <c r="F228" s="33">
        <f>I228/D228</f>
        <v>0</v>
      </c>
      <c r="G228" s="33">
        <f t="shared" ref="G228" si="101">F228+E228</f>
        <v>86.4</v>
      </c>
      <c r="H228" s="33">
        <f t="shared" ref="H228" si="102">E228*D228</f>
        <v>324</v>
      </c>
      <c r="I228" s="33">
        <v>0</v>
      </c>
      <c r="J228" s="31">
        <f t="shared" ref="J228" si="103">I228+H228</f>
        <v>324</v>
      </c>
      <c r="K228" s="236"/>
      <c r="L228" s="236"/>
      <c r="M228" s="241"/>
    </row>
    <row r="229" spans="1:13" ht="30">
      <c r="A229" s="71">
        <v>51</v>
      </c>
      <c r="B229" s="70" t="s">
        <v>215</v>
      </c>
      <c r="C229" s="8" t="s">
        <v>0</v>
      </c>
      <c r="D229" s="69">
        <f>Дефектовка!D54</f>
        <v>84.77</v>
      </c>
      <c r="E229" s="32">
        <v>209</v>
      </c>
      <c r="F229" s="33">
        <f>I229/D229</f>
        <v>330.07799999999997</v>
      </c>
      <c r="G229" s="33">
        <f t="shared" ref="G229" si="104">F229+E229</f>
        <v>539.07799999999997</v>
      </c>
      <c r="H229" s="33">
        <f t="shared" ref="H229" si="105">E229*D229</f>
        <v>17716.93</v>
      </c>
      <c r="I229" s="33">
        <f>SUM(I230)</f>
        <v>27980.712059999994</v>
      </c>
      <c r="J229" s="31">
        <f t="shared" ref="J229" si="106">I229+H229</f>
        <v>45697.642059999998</v>
      </c>
      <c r="K229" s="236"/>
      <c r="L229" s="236"/>
      <c r="M229" s="241"/>
    </row>
    <row r="230" spans="1:13" s="101" customFormat="1" ht="15.75" outlineLevel="1">
      <c r="A230" s="100" t="s">
        <v>181</v>
      </c>
      <c r="B230" s="66" t="s">
        <v>88</v>
      </c>
      <c r="C230" s="28" t="s">
        <v>72</v>
      </c>
      <c r="D230" s="39">
        <f>18.97*D229*0.003</f>
        <v>4.8242606999999991</v>
      </c>
      <c r="E230" s="67"/>
      <c r="F230" s="67">
        <f>Материал!I75</f>
        <v>5800</v>
      </c>
      <c r="G230" s="67"/>
      <c r="H230" s="67"/>
      <c r="I230" s="30">
        <f>F230*D230</f>
        <v>27980.712059999994</v>
      </c>
      <c r="J230" s="67"/>
      <c r="M230" s="242"/>
    </row>
    <row r="231" spans="1:13" ht="45" customHeight="1">
      <c r="A231" s="71">
        <v>52</v>
      </c>
      <c r="B231" s="70" t="s">
        <v>39</v>
      </c>
      <c r="C231" s="8" t="s">
        <v>0</v>
      </c>
      <c r="D231" s="69">
        <f>Дефектовка!D55</f>
        <v>84.77</v>
      </c>
      <c r="E231" s="32">
        <v>24</v>
      </c>
      <c r="F231" s="33">
        <f>I231/D231</f>
        <v>11.120000000000001</v>
      </c>
      <c r="G231" s="33">
        <f t="shared" ref="G231" si="107">F231+E231</f>
        <v>35.120000000000005</v>
      </c>
      <c r="H231" s="33">
        <f t="shared" ref="H231" si="108">E231*D231</f>
        <v>2034.48</v>
      </c>
      <c r="I231" s="33">
        <f>SUM(I232)</f>
        <v>942.64240000000007</v>
      </c>
      <c r="J231" s="31">
        <f t="shared" ref="J231" si="109">I231+H231</f>
        <v>2977.1224000000002</v>
      </c>
      <c r="K231" s="235">
        <f>I242+I239+I233+I231</f>
        <v>159982.808388</v>
      </c>
      <c r="L231" s="235">
        <f>J242+J239+J233+J231</f>
        <v>203863.60838799996</v>
      </c>
      <c r="M231" s="240">
        <v>2</v>
      </c>
    </row>
    <row r="232" spans="1:13" s="101" customFormat="1" ht="15.75" customHeight="1" outlineLevel="1">
      <c r="A232" s="100" t="s">
        <v>181</v>
      </c>
      <c r="B232" s="66" t="s">
        <v>98</v>
      </c>
      <c r="C232" s="28" t="s">
        <v>95</v>
      </c>
      <c r="D232" s="34">
        <f>D231*0.2</f>
        <v>16.954000000000001</v>
      </c>
      <c r="E232" s="67"/>
      <c r="F232" s="67">
        <f>Материал!I8</f>
        <v>55.6</v>
      </c>
      <c r="G232" s="67"/>
      <c r="H232" s="67"/>
      <c r="I232" s="30">
        <f>F232*D232</f>
        <v>942.64240000000007</v>
      </c>
      <c r="J232" s="67"/>
      <c r="K232" s="236"/>
      <c r="L232" s="236"/>
      <c r="M232" s="241"/>
    </row>
    <row r="233" spans="1:13" ht="45" customHeight="1">
      <c r="A233" s="71">
        <v>53</v>
      </c>
      <c r="B233" s="70" t="s">
        <v>376</v>
      </c>
      <c r="C233" s="8" t="s">
        <v>0</v>
      </c>
      <c r="D233" s="69">
        <f>Дефектовка!D57</f>
        <v>77.47</v>
      </c>
      <c r="E233" s="32">
        <v>470</v>
      </c>
      <c r="F233" s="33">
        <f>I233/D233</f>
        <v>1969.7043999999999</v>
      </c>
      <c r="G233" s="33">
        <f t="shared" ref="G233" si="110">F233+E233</f>
        <v>2439.7043999999996</v>
      </c>
      <c r="H233" s="33">
        <f t="shared" ref="H233" si="111">E233*D233</f>
        <v>36410.9</v>
      </c>
      <c r="I233" s="33">
        <f>SUM(I234:I238)</f>
        <v>152592.99986799998</v>
      </c>
      <c r="J233" s="31">
        <f t="shared" ref="J233" si="112">I233+H233</f>
        <v>189003.89986799998</v>
      </c>
      <c r="K233" s="236"/>
      <c r="L233" s="236"/>
      <c r="M233" s="241"/>
    </row>
    <row r="234" spans="1:13" s="101" customFormat="1" ht="15.75" customHeight="1" outlineLevel="1">
      <c r="A234" s="100" t="s">
        <v>181</v>
      </c>
      <c r="B234" s="66" t="s">
        <v>130</v>
      </c>
      <c r="C234" s="28" t="s">
        <v>72</v>
      </c>
      <c r="D234" s="37">
        <f>D233*0.01</f>
        <v>0.77470000000000006</v>
      </c>
      <c r="E234" s="67"/>
      <c r="F234" s="67">
        <f>Материал!I27</f>
        <v>10680</v>
      </c>
      <c r="G234" s="67"/>
      <c r="H234" s="67"/>
      <c r="I234" s="30">
        <f>F234*D234</f>
        <v>8273.7960000000003</v>
      </c>
      <c r="J234" s="67"/>
      <c r="K234" s="236"/>
      <c r="L234" s="236"/>
      <c r="M234" s="241"/>
    </row>
    <row r="235" spans="1:13" s="101" customFormat="1" ht="15.75" customHeight="1" outlineLevel="1">
      <c r="A235" s="100" t="s">
        <v>181</v>
      </c>
      <c r="B235" s="66" t="s">
        <v>148</v>
      </c>
      <c r="C235" s="28" t="s">
        <v>95</v>
      </c>
      <c r="D235" s="39">
        <f>0.0001*D233</f>
        <v>7.7470000000000004E-3</v>
      </c>
      <c r="E235" s="67"/>
      <c r="F235" s="67">
        <f>Материал!I3</f>
        <v>44</v>
      </c>
      <c r="G235" s="67"/>
      <c r="H235" s="67"/>
      <c r="I235" s="30">
        <f>F235*D235</f>
        <v>0.340868</v>
      </c>
      <c r="J235" s="67"/>
      <c r="K235" s="236"/>
      <c r="L235" s="236"/>
      <c r="M235" s="241"/>
    </row>
    <row r="236" spans="1:13" s="101" customFormat="1" ht="18" customHeight="1" outlineLevel="1">
      <c r="A236" s="100" t="s">
        <v>181</v>
      </c>
      <c r="B236" s="66" t="s">
        <v>372</v>
      </c>
      <c r="C236" s="28" t="s">
        <v>0</v>
      </c>
      <c r="D236" s="37">
        <f>D233*1.07</f>
        <v>82.892899999999997</v>
      </c>
      <c r="E236" s="67"/>
      <c r="F236" s="67">
        <f>Материал!I46</f>
        <v>1710</v>
      </c>
      <c r="G236" s="67"/>
      <c r="H236" s="67"/>
      <c r="I236" s="30">
        <f>F236*D236</f>
        <v>141746.859</v>
      </c>
      <c r="J236" s="67"/>
      <c r="K236" s="236"/>
      <c r="L236" s="236"/>
      <c r="M236" s="241"/>
    </row>
    <row r="237" spans="1:13" s="101" customFormat="1" ht="15.75" customHeight="1" outlineLevel="1">
      <c r="A237" s="100" t="s">
        <v>181</v>
      </c>
      <c r="B237" s="66" t="s">
        <v>131</v>
      </c>
      <c r="C237" s="28" t="s">
        <v>22</v>
      </c>
      <c r="D237" s="37">
        <f>15*D233</f>
        <v>1162.05</v>
      </c>
      <c r="E237" s="67"/>
      <c r="F237" s="67">
        <f>Материал!I29</f>
        <v>0.1</v>
      </c>
      <c r="G237" s="67"/>
      <c r="H237" s="67"/>
      <c r="I237" s="30">
        <f>F237*D237</f>
        <v>116.205</v>
      </c>
      <c r="J237" s="67"/>
      <c r="K237" s="236"/>
      <c r="L237" s="236"/>
      <c r="M237" s="241"/>
    </row>
    <row r="238" spans="1:13" ht="15.75" customHeight="1" outlineLevel="1">
      <c r="A238" s="100" t="s">
        <v>181</v>
      </c>
      <c r="B238" s="66" t="s">
        <v>153</v>
      </c>
      <c r="C238" s="28" t="s">
        <v>95</v>
      </c>
      <c r="D238" s="38">
        <f>0.5*D233</f>
        <v>38.734999999999999</v>
      </c>
      <c r="E238" s="67"/>
      <c r="F238" s="67">
        <f>Материал!I20</f>
        <v>63.4</v>
      </c>
      <c r="G238" s="67"/>
      <c r="H238" s="67"/>
      <c r="I238" s="30">
        <f>F238*D238</f>
        <v>2455.799</v>
      </c>
      <c r="J238" s="67"/>
      <c r="K238" s="236"/>
      <c r="L238" s="236"/>
      <c r="M238" s="241"/>
    </row>
    <row r="239" spans="1:13">
      <c r="A239" s="71">
        <v>54</v>
      </c>
      <c r="B239" s="70" t="s">
        <v>220</v>
      </c>
      <c r="C239" s="8" t="s">
        <v>22</v>
      </c>
      <c r="D239" s="69">
        <f>Дефектовка!D58</f>
        <v>1</v>
      </c>
      <c r="E239" s="32">
        <v>241.92</v>
      </c>
      <c r="F239" s="33">
        <f>I239/D239</f>
        <v>642</v>
      </c>
      <c r="G239" s="33">
        <f t="shared" ref="G239" si="113">F239+E239</f>
        <v>883.92</v>
      </c>
      <c r="H239" s="33">
        <f t="shared" ref="H239" si="114">E239*D239</f>
        <v>241.92</v>
      </c>
      <c r="I239" s="33">
        <f>SUM(I240:I241)</f>
        <v>642</v>
      </c>
      <c r="J239" s="31">
        <f t="shared" ref="J239" si="115">I239+H239</f>
        <v>883.92</v>
      </c>
      <c r="K239" s="236"/>
      <c r="L239" s="236"/>
      <c r="M239" s="241"/>
    </row>
    <row r="240" spans="1:13" s="101" customFormat="1" ht="15.75" customHeight="1" outlineLevel="1">
      <c r="A240" s="100"/>
      <c r="B240" s="66" t="s">
        <v>221</v>
      </c>
      <c r="C240" s="28" t="s">
        <v>22</v>
      </c>
      <c r="D240" s="37">
        <f>D239</f>
        <v>1</v>
      </c>
      <c r="E240" s="67"/>
      <c r="F240" s="67">
        <f>Материал!I31</f>
        <v>600</v>
      </c>
      <c r="G240" s="67"/>
      <c r="H240" s="67"/>
      <c r="I240" s="30">
        <f t="shared" ref="I240:I241" si="116">F240*D240</f>
        <v>600</v>
      </c>
      <c r="J240" s="67"/>
      <c r="K240" s="236"/>
      <c r="L240" s="236"/>
      <c r="M240" s="241"/>
    </row>
    <row r="241" spans="1:13" ht="15.75" customHeight="1" outlineLevel="1">
      <c r="A241" s="100"/>
      <c r="B241" s="66" t="s">
        <v>126</v>
      </c>
      <c r="C241" s="28" t="s">
        <v>117</v>
      </c>
      <c r="D241" s="37">
        <f>0.2*D239</f>
        <v>0.2</v>
      </c>
      <c r="E241" s="67"/>
      <c r="F241" s="67">
        <f>Материал!I25</f>
        <v>210</v>
      </c>
      <c r="G241" s="67"/>
      <c r="H241" s="67"/>
      <c r="I241" s="30">
        <f t="shared" si="116"/>
        <v>42</v>
      </c>
      <c r="J241" s="67"/>
      <c r="K241" s="236"/>
      <c r="L241" s="236"/>
      <c r="M241" s="241"/>
    </row>
    <row r="242" spans="1:13" ht="30">
      <c r="A242" s="71">
        <v>55</v>
      </c>
      <c r="B242" s="70" t="s">
        <v>33</v>
      </c>
      <c r="C242" s="8" t="s">
        <v>0</v>
      </c>
      <c r="D242" s="69">
        <f>Дефектовка!D56</f>
        <v>11.05</v>
      </c>
      <c r="E242" s="32">
        <v>470</v>
      </c>
      <c r="F242" s="33">
        <f>I242/D242</f>
        <v>525.35439999999994</v>
      </c>
      <c r="G242" s="33">
        <f t="shared" ref="G242" si="117">F242+E242</f>
        <v>995.35439999999994</v>
      </c>
      <c r="H242" s="33">
        <f t="shared" ref="H242" si="118">E242*D242</f>
        <v>5193.5</v>
      </c>
      <c r="I242" s="33">
        <f>SUM(I243:I247)</f>
        <v>5805.1661199999999</v>
      </c>
      <c r="J242" s="31">
        <f t="shared" ref="J242" si="119">I242+H242</f>
        <v>10998.66612</v>
      </c>
      <c r="K242" s="236"/>
      <c r="L242" s="236"/>
      <c r="M242" s="241"/>
    </row>
    <row r="243" spans="1:13" s="101" customFormat="1" ht="15.75" customHeight="1" outlineLevel="1">
      <c r="A243" s="100" t="s">
        <v>181</v>
      </c>
      <c r="B243" s="66" t="s">
        <v>130</v>
      </c>
      <c r="C243" s="28" t="s">
        <v>72</v>
      </c>
      <c r="D243" s="37">
        <f>D242*0.01</f>
        <v>0.11050000000000001</v>
      </c>
      <c r="E243" s="67"/>
      <c r="F243" s="67">
        <f>Материал!I27</f>
        <v>10680</v>
      </c>
      <c r="G243" s="67"/>
      <c r="H243" s="67"/>
      <c r="I243" s="30">
        <f>F243*D243</f>
        <v>1180.1400000000001</v>
      </c>
      <c r="J243" s="67"/>
      <c r="L243" s="99"/>
      <c r="M243" s="241"/>
    </row>
    <row r="244" spans="1:13" s="101" customFormat="1" ht="15.75" customHeight="1" outlineLevel="1">
      <c r="A244" s="100" t="s">
        <v>181</v>
      </c>
      <c r="B244" s="66" t="s">
        <v>148</v>
      </c>
      <c r="C244" s="28" t="s">
        <v>95</v>
      </c>
      <c r="D244" s="39">
        <f>0.0001*D242</f>
        <v>1.1050000000000001E-3</v>
      </c>
      <c r="E244" s="67"/>
      <c r="F244" s="67">
        <f>Материал!I3</f>
        <v>44</v>
      </c>
      <c r="G244" s="67"/>
      <c r="H244" s="67"/>
      <c r="I244" s="30">
        <f>F244*D244</f>
        <v>4.8620000000000003E-2</v>
      </c>
      <c r="J244" s="67"/>
      <c r="M244" s="241"/>
    </row>
    <row r="245" spans="1:13" s="101" customFormat="1" ht="15.75" customHeight="1" outlineLevel="1">
      <c r="A245" s="100" t="s">
        <v>181</v>
      </c>
      <c r="B245" s="66" t="s">
        <v>154</v>
      </c>
      <c r="C245" s="28" t="s">
        <v>0</v>
      </c>
      <c r="D245" s="37">
        <f>D242*1.05</f>
        <v>11.602500000000001</v>
      </c>
      <c r="E245" s="67"/>
      <c r="F245" s="67">
        <f>Материал!I47</f>
        <v>367</v>
      </c>
      <c r="G245" s="67"/>
      <c r="H245" s="67"/>
      <c r="I245" s="30">
        <f>F245*D245</f>
        <v>4258.1175000000003</v>
      </c>
      <c r="J245" s="67"/>
      <c r="M245" s="241"/>
    </row>
    <row r="246" spans="1:13" s="101" customFormat="1" ht="15.75" customHeight="1" outlineLevel="1">
      <c r="A246" s="100" t="s">
        <v>181</v>
      </c>
      <c r="B246" s="66" t="s">
        <v>131</v>
      </c>
      <c r="C246" s="28" t="s">
        <v>22</v>
      </c>
      <c r="D246" s="37">
        <f>15*D242</f>
        <v>165.75</v>
      </c>
      <c r="E246" s="67"/>
      <c r="F246" s="67">
        <f>Материал!I29</f>
        <v>0.1</v>
      </c>
      <c r="G246" s="67"/>
      <c r="H246" s="67"/>
      <c r="I246" s="30">
        <f>F246*D246</f>
        <v>16.574999999999999</v>
      </c>
      <c r="J246" s="67"/>
      <c r="M246" s="241"/>
    </row>
    <row r="247" spans="1:13" ht="15.75" customHeight="1" outlineLevel="1">
      <c r="A247" s="100" t="s">
        <v>181</v>
      </c>
      <c r="B247" s="66" t="s">
        <v>153</v>
      </c>
      <c r="C247" s="28" t="s">
        <v>95</v>
      </c>
      <c r="D247" s="38">
        <f>0.5*D242</f>
        <v>5.5250000000000004</v>
      </c>
      <c r="E247" s="67"/>
      <c r="F247" s="67">
        <f>Материал!I20</f>
        <v>63.4</v>
      </c>
      <c r="G247" s="67"/>
      <c r="H247" s="67"/>
      <c r="I247" s="30">
        <f>F247*D247</f>
        <v>350.28500000000003</v>
      </c>
      <c r="J247" s="67"/>
      <c r="M247" s="241"/>
    </row>
    <row r="248" spans="1:13">
      <c r="A248" s="71">
        <v>56</v>
      </c>
      <c r="B248" s="70" t="s">
        <v>37</v>
      </c>
      <c r="C248" s="8" t="s">
        <v>0</v>
      </c>
      <c r="D248" s="69">
        <f>Дефектовка!D59</f>
        <v>5.94</v>
      </c>
      <c r="E248" s="32">
        <v>105.6</v>
      </c>
      <c r="F248" s="33">
        <f>I248/D248</f>
        <v>261.11999999999995</v>
      </c>
      <c r="G248" s="33">
        <f t="shared" ref="G248" si="120">F248+E248</f>
        <v>366.71999999999991</v>
      </c>
      <c r="H248" s="33">
        <f t="shared" ref="H248" si="121">E248*D248</f>
        <v>627.26400000000001</v>
      </c>
      <c r="I248" s="33">
        <f>SUM(I249)</f>
        <v>1551.0527999999999</v>
      </c>
      <c r="J248" s="31">
        <f t="shared" ref="J248" si="122">I248+H248</f>
        <v>2178.3168000000001</v>
      </c>
      <c r="K248" s="235">
        <f>I250+I248</f>
        <v>5310.7309530000002</v>
      </c>
      <c r="L248" s="235">
        <f>J250+J248</f>
        <v>6451.2109530000016</v>
      </c>
      <c r="M248" s="241"/>
    </row>
    <row r="249" spans="1:13" s="101" customFormat="1" ht="15.75" customHeight="1" outlineLevel="1">
      <c r="A249" s="100" t="s">
        <v>181</v>
      </c>
      <c r="B249" s="66" t="s">
        <v>155</v>
      </c>
      <c r="C249" s="28" t="s">
        <v>95</v>
      </c>
      <c r="D249" s="34">
        <f>17*D248</f>
        <v>100.98</v>
      </c>
      <c r="E249" s="67"/>
      <c r="F249" s="67">
        <f>Материал!I34</f>
        <v>15.36</v>
      </c>
      <c r="G249" s="67"/>
      <c r="H249" s="67"/>
      <c r="I249" s="30">
        <f>F249*D249</f>
        <v>1551.0527999999999</v>
      </c>
      <c r="J249" s="67"/>
      <c r="K249" s="236"/>
      <c r="L249" s="236"/>
      <c r="M249" s="241"/>
    </row>
    <row r="250" spans="1:13" ht="30">
      <c r="A250" s="71">
        <v>57</v>
      </c>
      <c r="B250" s="70" t="s">
        <v>156</v>
      </c>
      <c r="C250" s="8" t="s">
        <v>0</v>
      </c>
      <c r="D250" s="69">
        <f>Дефектовка!D60</f>
        <v>5.94</v>
      </c>
      <c r="E250" s="32">
        <v>86.4</v>
      </c>
      <c r="F250" s="33">
        <f>I250/D250</f>
        <v>632.94245000000012</v>
      </c>
      <c r="G250" s="33">
        <f t="shared" ref="G250" si="123">F250+E250</f>
        <v>719.3424500000001</v>
      </c>
      <c r="H250" s="33">
        <f t="shared" ref="H250" si="124">E250*D250</f>
        <v>513.21600000000012</v>
      </c>
      <c r="I250" s="33">
        <f>SUM(I251:I252)</f>
        <v>3759.6781530000007</v>
      </c>
      <c r="J250" s="31">
        <f t="shared" ref="J250" si="125">I250+H250</f>
        <v>4272.8941530000011</v>
      </c>
      <c r="K250" s="236"/>
      <c r="L250" s="236"/>
      <c r="M250" s="241"/>
    </row>
    <row r="251" spans="1:13" s="101" customFormat="1" ht="15.75" customHeight="1" outlineLevel="1">
      <c r="A251" s="100" t="s">
        <v>181</v>
      </c>
      <c r="B251" s="66" t="s">
        <v>157</v>
      </c>
      <c r="C251" s="28" t="s">
        <v>0</v>
      </c>
      <c r="D251" s="37">
        <f>D250*1.07</f>
        <v>6.3558000000000012</v>
      </c>
      <c r="E251" s="67"/>
      <c r="F251" s="67">
        <f>Материал!I30</f>
        <v>532</v>
      </c>
      <c r="G251" s="67"/>
      <c r="H251" s="67"/>
      <c r="I251" s="30">
        <f>F251*D251</f>
        <v>3381.2856000000006</v>
      </c>
      <c r="J251" s="67"/>
      <c r="M251" s="241"/>
    </row>
    <row r="252" spans="1:13" s="101" customFormat="1" ht="15.75" customHeight="1" outlineLevel="1">
      <c r="A252" s="100" t="s">
        <v>181</v>
      </c>
      <c r="B252" s="66" t="s">
        <v>158</v>
      </c>
      <c r="C252" s="28" t="s">
        <v>95</v>
      </c>
      <c r="D252" s="37">
        <f>0.5*D251</f>
        <v>3.1779000000000006</v>
      </c>
      <c r="E252" s="67"/>
      <c r="F252" s="67">
        <f>Материал!I22</f>
        <v>119.07</v>
      </c>
      <c r="G252" s="67"/>
      <c r="H252" s="67"/>
      <c r="I252" s="30">
        <f>F252*D252</f>
        <v>378.39255300000008</v>
      </c>
      <c r="J252" s="67"/>
      <c r="M252" s="241"/>
    </row>
    <row r="253" spans="1:13">
      <c r="A253" s="71">
        <v>58</v>
      </c>
      <c r="B253" s="70" t="s">
        <v>38</v>
      </c>
      <c r="C253" s="8" t="s">
        <v>29</v>
      </c>
      <c r="D253" s="69">
        <f>Дефектовка!D61</f>
        <v>0.88</v>
      </c>
      <c r="E253" s="32">
        <v>89</v>
      </c>
      <c r="F253" s="33">
        <f>I253/D253</f>
        <v>129.80000000000001</v>
      </c>
      <c r="G253" s="33">
        <f t="shared" ref="G253" si="126">F253+E253</f>
        <v>218.8</v>
      </c>
      <c r="H253" s="33">
        <f t="shared" ref="H253" si="127">E253*D253</f>
        <v>78.320000000000007</v>
      </c>
      <c r="I253" s="33">
        <f>SUM(I254:I255)</f>
        <v>114.22400000000002</v>
      </c>
      <c r="J253" s="31">
        <f t="shared" ref="J253" si="128">I253+H253</f>
        <v>192.54400000000004</v>
      </c>
      <c r="K253" s="149">
        <f>I253</f>
        <v>114.22400000000002</v>
      </c>
      <c r="L253" s="149">
        <f>J253</f>
        <v>192.54400000000004</v>
      </c>
      <c r="M253" s="241"/>
    </row>
    <row r="254" spans="1:13" s="101" customFormat="1" ht="15.75" customHeight="1" outlineLevel="1">
      <c r="A254" s="100" t="s">
        <v>181</v>
      </c>
      <c r="B254" s="66" t="s">
        <v>159</v>
      </c>
      <c r="C254" s="28" t="s">
        <v>0</v>
      </c>
      <c r="D254" s="37">
        <f>D253*1.07</f>
        <v>0.9416000000000001</v>
      </c>
      <c r="E254" s="67"/>
      <c r="F254" s="67">
        <f>Материал!I55</f>
        <v>120</v>
      </c>
      <c r="G254" s="67"/>
      <c r="H254" s="67"/>
      <c r="I254" s="30">
        <f>F254*D254</f>
        <v>112.99200000000002</v>
      </c>
      <c r="J254" s="67"/>
      <c r="M254" s="241"/>
    </row>
    <row r="255" spans="1:13" s="101" customFormat="1" ht="15.75" customHeight="1" outlineLevel="1">
      <c r="A255" s="100" t="s">
        <v>181</v>
      </c>
      <c r="B255" s="66" t="s">
        <v>161</v>
      </c>
      <c r="C255" s="28" t="s">
        <v>22</v>
      </c>
      <c r="D255" s="38">
        <f>D253*4</f>
        <v>3.52</v>
      </c>
      <c r="E255" s="67"/>
      <c r="F255" s="67">
        <f>Материал!I14</f>
        <v>0.35</v>
      </c>
      <c r="G255" s="67"/>
      <c r="H255" s="67"/>
      <c r="I255" s="30">
        <f>F255*D255</f>
        <v>1.232</v>
      </c>
      <c r="J255" s="67"/>
      <c r="M255" s="241"/>
    </row>
    <row r="256" spans="1:13">
      <c r="A256" s="71">
        <v>59</v>
      </c>
      <c r="B256" s="70" t="s">
        <v>56</v>
      </c>
      <c r="C256" s="8" t="s">
        <v>29</v>
      </c>
      <c r="D256" s="69">
        <f>Дефектовка!D62</f>
        <v>8.8000000000000007</v>
      </c>
      <c r="E256" s="32">
        <v>44.16</v>
      </c>
      <c r="F256" s="33">
        <f>I256/D256</f>
        <v>85.767909090909114</v>
      </c>
      <c r="G256" s="33">
        <f t="shared" ref="G256" si="129">F256+E256</f>
        <v>129.92790909090911</v>
      </c>
      <c r="H256" s="33">
        <f t="shared" ref="H256" si="130">E256*D256</f>
        <v>388.608</v>
      </c>
      <c r="I256" s="33">
        <f>SUM(I257:I262)</f>
        <v>754.75760000000025</v>
      </c>
      <c r="J256" s="31">
        <f t="shared" ref="J256" si="131">I256+H256</f>
        <v>1143.3656000000003</v>
      </c>
      <c r="K256" s="149">
        <f>I256</f>
        <v>754.75760000000025</v>
      </c>
      <c r="L256" s="149">
        <f t="shared" ref="L256" si="132">J256</f>
        <v>1143.3656000000003</v>
      </c>
      <c r="M256" s="241"/>
    </row>
    <row r="257" spans="1:13" s="101" customFormat="1" ht="15.75" customHeight="1" outlineLevel="1">
      <c r="A257" s="100" t="s">
        <v>181</v>
      </c>
      <c r="B257" s="66" t="s">
        <v>160</v>
      </c>
      <c r="C257" s="28" t="s">
        <v>29</v>
      </c>
      <c r="D257" s="37">
        <f>D256*1.07</f>
        <v>9.4160000000000021</v>
      </c>
      <c r="E257" s="67"/>
      <c r="F257" s="67">
        <f>Материал!I42</f>
        <v>66.099999999999994</v>
      </c>
      <c r="G257" s="67"/>
      <c r="H257" s="67"/>
      <c r="I257" s="30">
        <f>F257*D257</f>
        <v>622.39760000000012</v>
      </c>
      <c r="J257" s="67"/>
      <c r="M257" s="241"/>
    </row>
    <row r="258" spans="1:13" s="101" customFormat="1" ht="15.75" customHeight="1" outlineLevel="1">
      <c r="A258" s="100" t="s">
        <v>181</v>
      </c>
      <c r="B258" s="66" t="s">
        <v>162</v>
      </c>
      <c r="C258" s="28" t="s">
        <v>22</v>
      </c>
      <c r="D258" s="37">
        <v>1</v>
      </c>
      <c r="E258" s="67"/>
      <c r="F258" s="67">
        <f>Материал!I17</f>
        <v>7.2</v>
      </c>
      <c r="G258" s="67"/>
      <c r="H258" s="67"/>
      <c r="I258" s="30">
        <f t="shared" ref="I258:I261" si="133">F258*D258</f>
        <v>7.2</v>
      </c>
      <c r="J258" s="67"/>
      <c r="M258" s="241"/>
    </row>
    <row r="259" spans="1:13" s="101" customFormat="1" ht="15.75" customHeight="1" outlineLevel="1">
      <c r="A259" s="100" t="s">
        <v>181</v>
      </c>
      <c r="B259" s="66" t="s">
        <v>163</v>
      </c>
      <c r="C259" s="28" t="s">
        <v>22</v>
      </c>
      <c r="D259" s="37">
        <v>1</v>
      </c>
      <c r="E259" s="67"/>
      <c r="F259" s="67">
        <f>Материал!I18</f>
        <v>7.2</v>
      </c>
      <c r="G259" s="67"/>
      <c r="H259" s="67"/>
      <c r="I259" s="30">
        <f t="shared" si="133"/>
        <v>7.2</v>
      </c>
      <c r="J259" s="67"/>
      <c r="M259" s="241"/>
    </row>
    <row r="260" spans="1:13" s="101" customFormat="1" ht="15.75" customHeight="1" outlineLevel="1">
      <c r="A260" s="100" t="s">
        <v>181</v>
      </c>
      <c r="B260" s="66" t="s">
        <v>197</v>
      </c>
      <c r="C260" s="28" t="s">
        <v>22</v>
      </c>
      <c r="D260" s="38">
        <f>D256/2</f>
        <v>4.4000000000000004</v>
      </c>
      <c r="E260" s="67"/>
      <c r="F260" s="67">
        <f>Материал!I69</f>
        <v>11.1</v>
      </c>
      <c r="G260" s="67"/>
      <c r="H260" s="67"/>
      <c r="I260" s="30">
        <f t="shared" si="133"/>
        <v>48.84</v>
      </c>
      <c r="J260" s="67"/>
      <c r="M260" s="241"/>
    </row>
    <row r="261" spans="1:13" s="101" customFormat="1" ht="15.75" customHeight="1" outlineLevel="1">
      <c r="A261" s="100" t="s">
        <v>181</v>
      </c>
      <c r="B261" s="66" t="s">
        <v>164</v>
      </c>
      <c r="C261" s="28" t="s">
        <v>22</v>
      </c>
      <c r="D261" s="37">
        <v>4</v>
      </c>
      <c r="E261" s="67"/>
      <c r="F261" s="67">
        <f>Материал!I70</f>
        <v>12</v>
      </c>
      <c r="G261" s="67"/>
      <c r="H261" s="67"/>
      <c r="I261" s="30">
        <f t="shared" si="133"/>
        <v>48</v>
      </c>
      <c r="J261" s="67"/>
      <c r="M261" s="241"/>
    </row>
    <row r="262" spans="1:13" s="101" customFormat="1" ht="15.75" customHeight="1" outlineLevel="1">
      <c r="A262" s="100" t="s">
        <v>181</v>
      </c>
      <c r="B262" s="66" t="s">
        <v>87</v>
      </c>
      <c r="C262" s="28" t="s">
        <v>22</v>
      </c>
      <c r="D262" s="38">
        <f>D256*4</f>
        <v>35.200000000000003</v>
      </c>
      <c r="E262" s="67"/>
      <c r="F262" s="67">
        <f>Материал!I15</f>
        <v>0.6</v>
      </c>
      <c r="G262" s="67"/>
      <c r="H262" s="67"/>
      <c r="I262" s="30">
        <f>F262*D262</f>
        <v>21.12</v>
      </c>
      <c r="J262" s="67"/>
      <c r="M262" s="241"/>
    </row>
    <row r="263" spans="1:13" ht="30">
      <c r="A263" s="71">
        <v>60</v>
      </c>
      <c r="B263" s="70" t="s">
        <v>165</v>
      </c>
      <c r="C263" s="8" t="s">
        <v>29</v>
      </c>
      <c r="D263" s="69">
        <f>Дефектовка!D63</f>
        <v>11.620000000000001</v>
      </c>
      <c r="E263" s="32">
        <v>86.4</v>
      </c>
      <c r="F263" s="33">
        <f>I263/D263</f>
        <v>68.574400000000011</v>
      </c>
      <c r="G263" s="33">
        <f t="shared" ref="G263" si="134">F263+E263</f>
        <v>154.9744</v>
      </c>
      <c r="H263" s="33">
        <f t="shared" ref="H263" si="135">E263*D263</f>
        <v>1003.9680000000002</v>
      </c>
      <c r="I263" s="33">
        <f>SUM(I264:I267)</f>
        <v>796.8345280000002</v>
      </c>
      <c r="J263" s="31">
        <f t="shared" ref="J263" si="136">I263+H263</f>
        <v>1800.8025280000004</v>
      </c>
      <c r="K263" s="235">
        <f>I273+I268+I263</f>
        <v>18641.251012000001</v>
      </c>
      <c r="L263" s="235">
        <f>J273+J268+J263</f>
        <v>27370.723012000002</v>
      </c>
      <c r="M263" s="241"/>
    </row>
    <row r="264" spans="1:13" s="101" customFormat="1" ht="15.75" customHeight="1" outlineLevel="1">
      <c r="A264" s="100" t="s">
        <v>181</v>
      </c>
      <c r="B264" s="66" t="s">
        <v>130</v>
      </c>
      <c r="C264" s="28" t="s">
        <v>72</v>
      </c>
      <c r="D264" s="37">
        <f>D263*0.002</f>
        <v>2.3240000000000004E-2</v>
      </c>
      <c r="E264" s="67"/>
      <c r="F264" s="67">
        <f>Материал!I27</f>
        <v>10680</v>
      </c>
      <c r="G264" s="67"/>
      <c r="H264" s="67"/>
      <c r="I264" s="30">
        <f>F264*D264</f>
        <v>248.20320000000004</v>
      </c>
      <c r="J264" s="67"/>
      <c r="K264" s="236"/>
      <c r="L264" s="236"/>
      <c r="M264" s="241"/>
    </row>
    <row r="265" spans="1:13" s="101" customFormat="1" ht="15.75" customHeight="1" outlineLevel="1">
      <c r="A265" s="100" t="s">
        <v>181</v>
      </c>
      <c r="B265" s="66" t="s">
        <v>148</v>
      </c>
      <c r="C265" s="28" t="s">
        <v>95</v>
      </c>
      <c r="D265" s="39">
        <f>0.0001*D263</f>
        <v>1.1620000000000001E-3</v>
      </c>
      <c r="E265" s="67"/>
      <c r="F265" s="67">
        <f>Материал!I3</f>
        <v>44</v>
      </c>
      <c r="G265" s="67"/>
      <c r="H265" s="67"/>
      <c r="I265" s="30">
        <f>F265*D265</f>
        <v>5.1128E-2</v>
      </c>
      <c r="J265" s="67"/>
      <c r="K265" s="236"/>
      <c r="L265" s="236"/>
      <c r="M265" s="241"/>
    </row>
    <row r="266" spans="1:13" s="101" customFormat="1" ht="15.75" customHeight="1" outlineLevel="1">
      <c r="A266" s="100" t="s">
        <v>181</v>
      </c>
      <c r="B266" s="66" t="s">
        <v>154</v>
      </c>
      <c r="C266" s="28" t="s">
        <v>0</v>
      </c>
      <c r="D266" s="37">
        <f>D263*0.12</f>
        <v>1.3944000000000001</v>
      </c>
      <c r="E266" s="67"/>
      <c r="F266" s="67">
        <f>Материал!I47</f>
        <v>367</v>
      </c>
      <c r="G266" s="67"/>
      <c r="H266" s="67"/>
      <c r="I266" s="30">
        <f>F266*D266</f>
        <v>511.74480000000005</v>
      </c>
      <c r="J266" s="67"/>
      <c r="K266" s="236"/>
      <c r="L266" s="236"/>
      <c r="M266" s="241"/>
    </row>
    <row r="267" spans="1:13" ht="15.75" customHeight="1" outlineLevel="1">
      <c r="A267" s="100" t="s">
        <v>181</v>
      </c>
      <c r="B267" s="66" t="s">
        <v>153</v>
      </c>
      <c r="C267" s="28" t="s">
        <v>95</v>
      </c>
      <c r="D267" s="38">
        <f>0.5*D263*0.1</f>
        <v>0.58100000000000007</v>
      </c>
      <c r="E267" s="67"/>
      <c r="F267" s="67">
        <f>Материал!I20</f>
        <v>63.4</v>
      </c>
      <c r="G267" s="67"/>
      <c r="H267" s="67"/>
      <c r="I267" s="30">
        <f>F267*D267</f>
        <v>36.835400000000007</v>
      </c>
      <c r="J267" s="67"/>
      <c r="K267" s="236"/>
      <c r="L267" s="236"/>
      <c r="M267" s="241"/>
    </row>
    <row r="268" spans="1:13" ht="30">
      <c r="A268" s="71">
        <v>61</v>
      </c>
      <c r="B268" s="70" t="s">
        <v>375</v>
      </c>
      <c r="C268" s="8" t="s">
        <v>29</v>
      </c>
      <c r="D268" s="69">
        <f>Дефектовка!D65</f>
        <v>77.61</v>
      </c>
      <c r="E268" s="32">
        <v>86.4</v>
      </c>
      <c r="F268" s="33">
        <f>I268/D268</f>
        <v>207.5044</v>
      </c>
      <c r="G268" s="33">
        <f t="shared" ref="G268" si="137">F268+E268</f>
        <v>293.90440000000001</v>
      </c>
      <c r="H268" s="33">
        <f t="shared" ref="H268" si="138">E268*D268</f>
        <v>6705.5040000000008</v>
      </c>
      <c r="I268" s="33">
        <f>SUM(I269:I272)</f>
        <v>16104.416484000001</v>
      </c>
      <c r="J268" s="31">
        <f t="shared" ref="J268" si="139">I268+H268</f>
        <v>22809.920484000002</v>
      </c>
      <c r="K268" s="236"/>
      <c r="L268" s="236"/>
      <c r="M268" s="241"/>
    </row>
    <row r="269" spans="1:13" s="101" customFormat="1" ht="15.75" customHeight="1" outlineLevel="1">
      <c r="A269" s="100" t="s">
        <v>181</v>
      </c>
      <c r="B269" s="66" t="s">
        <v>130</v>
      </c>
      <c r="C269" s="28" t="s">
        <v>72</v>
      </c>
      <c r="D269" s="37">
        <f>D268*0.002</f>
        <v>0.15522</v>
      </c>
      <c r="E269" s="67"/>
      <c r="F269" s="67">
        <f>Материал!I27</f>
        <v>10680</v>
      </c>
      <c r="G269" s="67"/>
      <c r="H269" s="67"/>
      <c r="I269" s="30">
        <f>F269*D269</f>
        <v>1657.7495999999999</v>
      </c>
      <c r="J269" s="67"/>
      <c r="K269" s="236"/>
      <c r="L269" s="236"/>
      <c r="M269" s="241"/>
    </row>
    <row r="270" spans="1:13" s="101" customFormat="1" ht="15.75" customHeight="1" outlineLevel="1">
      <c r="A270" s="100" t="s">
        <v>181</v>
      </c>
      <c r="B270" s="66" t="s">
        <v>148</v>
      </c>
      <c r="C270" s="28" t="s">
        <v>95</v>
      </c>
      <c r="D270" s="39">
        <f>0.0001*D268</f>
        <v>7.7610000000000005E-3</v>
      </c>
      <c r="E270" s="67"/>
      <c r="F270" s="67">
        <f>Материал!I3</f>
        <v>44</v>
      </c>
      <c r="G270" s="67"/>
      <c r="H270" s="67"/>
      <c r="I270" s="30">
        <f>F270*D270</f>
        <v>0.34148400000000001</v>
      </c>
      <c r="J270" s="67"/>
      <c r="K270" s="236"/>
      <c r="L270" s="236"/>
      <c r="M270" s="241"/>
    </row>
    <row r="271" spans="1:13" s="101" customFormat="1" ht="19.5" customHeight="1" outlineLevel="1">
      <c r="A271" s="100" t="s">
        <v>181</v>
      </c>
      <c r="B271" s="66" t="s">
        <v>372</v>
      </c>
      <c r="C271" s="28" t="s">
        <v>0</v>
      </c>
      <c r="D271" s="37">
        <f>D268*0.1*1.07</f>
        <v>8.3042700000000007</v>
      </c>
      <c r="E271" s="67"/>
      <c r="F271" s="67">
        <f>Материал!I45</f>
        <v>1710</v>
      </c>
      <c r="G271" s="67"/>
      <c r="H271" s="67"/>
      <c r="I271" s="30">
        <f>F271*D271</f>
        <v>14200.301700000002</v>
      </c>
      <c r="J271" s="67"/>
      <c r="K271" s="236"/>
      <c r="L271" s="236"/>
      <c r="M271" s="241"/>
    </row>
    <row r="272" spans="1:13" ht="15.75" customHeight="1" outlineLevel="1">
      <c r="A272" s="100" t="s">
        <v>181</v>
      </c>
      <c r="B272" s="66" t="s">
        <v>153</v>
      </c>
      <c r="C272" s="28" t="s">
        <v>95</v>
      </c>
      <c r="D272" s="38">
        <f>0.5*D268*0.1</f>
        <v>3.8805000000000001</v>
      </c>
      <c r="E272" s="67"/>
      <c r="F272" s="67">
        <f>Материал!I20</f>
        <v>63.4</v>
      </c>
      <c r="G272" s="67"/>
      <c r="H272" s="67"/>
      <c r="I272" s="30">
        <f>F272*D272</f>
        <v>246.02369999999999</v>
      </c>
      <c r="J272" s="67"/>
      <c r="K272" s="236"/>
      <c r="L272" s="236"/>
      <c r="M272" s="241"/>
    </row>
    <row r="273" spans="1:13">
      <c r="A273" s="71">
        <v>62</v>
      </c>
      <c r="B273" s="70" t="s">
        <v>167</v>
      </c>
      <c r="C273" s="8" t="s">
        <v>22</v>
      </c>
      <c r="D273" s="69">
        <f>Дефектовка!D64</f>
        <v>12</v>
      </c>
      <c r="E273" s="32">
        <v>85</v>
      </c>
      <c r="F273" s="33">
        <f>I273/D273</f>
        <v>145</v>
      </c>
      <c r="G273" s="33">
        <f t="shared" ref="G273" si="140">F273+E273</f>
        <v>230</v>
      </c>
      <c r="H273" s="33">
        <f t="shared" ref="H273" si="141">E273*D273</f>
        <v>1020</v>
      </c>
      <c r="I273" s="33">
        <f>SUM(I274)</f>
        <v>1740</v>
      </c>
      <c r="J273" s="31">
        <f t="shared" ref="J273" si="142">I273+H273</f>
        <v>2760</v>
      </c>
      <c r="K273" s="236"/>
      <c r="L273" s="236"/>
      <c r="M273" s="241"/>
    </row>
    <row r="274" spans="1:13" s="101" customFormat="1" ht="30" outlineLevel="1">
      <c r="A274" s="100" t="s">
        <v>181</v>
      </c>
      <c r="B274" s="66" t="s">
        <v>168</v>
      </c>
      <c r="C274" s="28" t="s">
        <v>22</v>
      </c>
      <c r="D274" s="37">
        <f>D273</f>
        <v>12</v>
      </c>
      <c r="E274" s="67"/>
      <c r="F274" s="67">
        <f>Материал!I39</f>
        <v>145</v>
      </c>
      <c r="G274" s="67"/>
      <c r="H274" s="67"/>
      <c r="I274" s="30">
        <f>F274*D274</f>
        <v>1740</v>
      </c>
      <c r="J274" s="67"/>
      <c r="M274" s="242"/>
    </row>
    <row r="275" spans="1:13" ht="15.75" customHeight="1">
      <c r="A275" s="222" t="s">
        <v>116</v>
      </c>
      <c r="B275" s="223"/>
      <c r="C275" s="223"/>
      <c r="D275" s="223"/>
      <c r="E275" s="223"/>
      <c r="F275" s="223"/>
      <c r="G275" s="224"/>
      <c r="H275" s="67">
        <f t="shared" ref="H275:I275" si="143">H273+H268+H263+H256+H253+H250+H248+H242+H239+H233+H231+H229+H228+H225</f>
        <v>75940.85000000002</v>
      </c>
      <c r="I275" s="67">
        <f t="shared" si="143"/>
        <v>225836.57441299997</v>
      </c>
      <c r="J275" s="67">
        <f>J273+J268+J263+J256+J253+J250+J248+J242+J239+J233+J231+J229+J228+J225</f>
        <v>301777.42441299994</v>
      </c>
      <c r="M275" s="156"/>
    </row>
    <row r="276" spans="1:13" ht="21" customHeight="1">
      <c r="A276" s="225" t="s">
        <v>31</v>
      </c>
      <c r="B276" s="226" t="s">
        <v>31</v>
      </c>
      <c r="C276" s="226"/>
      <c r="D276" s="226"/>
      <c r="E276" s="226"/>
      <c r="F276" s="226"/>
      <c r="G276" s="226"/>
      <c r="H276" s="226"/>
      <c r="I276" s="226"/>
      <c r="J276" s="227"/>
      <c r="M276" s="156"/>
    </row>
    <row r="277" spans="1:13">
      <c r="A277" s="71">
        <v>63</v>
      </c>
      <c r="B277" s="70" t="str">
        <f>Дефектовка!B67</f>
        <v>Удаление старой побелки с потолка</v>
      </c>
      <c r="C277" s="8" t="s">
        <v>0</v>
      </c>
      <c r="D277" s="69">
        <f>Дефектовка!D67</f>
        <v>29.678000000000004</v>
      </c>
      <c r="E277" s="32">
        <v>92.3</v>
      </c>
      <c r="F277" s="33">
        <f>I277/D277</f>
        <v>0</v>
      </c>
      <c r="G277" s="33">
        <f t="shared" ref="G277" si="144">F277+E277</f>
        <v>92.3</v>
      </c>
      <c r="H277" s="33">
        <f t="shared" ref="H277" si="145">E277*D277</f>
        <v>2739.2794000000004</v>
      </c>
      <c r="I277" s="33">
        <v>0</v>
      </c>
      <c r="J277" s="31">
        <f t="shared" ref="J277" si="146">I277+H277</f>
        <v>2739.2794000000004</v>
      </c>
      <c r="K277" s="149">
        <f>I277</f>
        <v>0</v>
      </c>
      <c r="L277" s="149">
        <f>J277</f>
        <v>2739.2794000000004</v>
      </c>
      <c r="M277" s="162">
        <v>1</v>
      </c>
    </row>
    <row r="278" spans="1:13" ht="30">
      <c r="A278" s="71">
        <v>64</v>
      </c>
      <c r="B278" s="70" t="s">
        <v>59</v>
      </c>
      <c r="C278" s="8" t="s">
        <v>0</v>
      </c>
      <c r="D278" s="69">
        <f>Дефектовка!D68</f>
        <v>23.919000000000004</v>
      </c>
      <c r="E278" s="32">
        <v>423.3</v>
      </c>
      <c r="F278" s="33">
        <f>I278/D278</f>
        <v>275.34585000000004</v>
      </c>
      <c r="G278" s="33">
        <f t="shared" ref="G278" si="147">F278+E278</f>
        <v>698.64585000000011</v>
      </c>
      <c r="H278" s="33">
        <f t="shared" ref="H278" si="148">E278*D278</f>
        <v>10124.912700000003</v>
      </c>
      <c r="I278" s="33">
        <f>SUM(I279:I290)</f>
        <v>6585.9973861500021</v>
      </c>
      <c r="J278" s="31">
        <f t="shared" ref="J278" si="149">I278+H278</f>
        <v>16710.910086150005</v>
      </c>
      <c r="K278" s="235">
        <f>I311+I308+I306+I293+I291+I278</f>
        <v>16187.435040950002</v>
      </c>
      <c r="L278" s="235">
        <f>J311+J308+J306+J293+J291+J278</f>
        <v>39520.417340950007</v>
      </c>
      <c r="M278" s="240">
        <v>2</v>
      </c>
    </row>
    <row r="279" spans="1:13" ht="15.75" customHeight="1" outlineLevel="1">
      <c r="A279" s="100" t="s">
        <v>181</v>
      </c>
      <c r="B279" s="66" t="s">
        <v>169</v>
      </c>
      <c r="C279" s="28" t="s">
        <v>0</v>
      </c>
      <c r="D279" s="34">
        <f>D278*1.07</f>
        <v>25.593330000000005</v>
      </c>
      <c r="E279" s="67"/>
      <c r="F279" s="67">
        <f>Материал!I6</f>
        <v>101</v>
      </c>
      <c r="G279" s="67"/>
      <c r="H279" s="67"/>
      <c r="I279" s="30">
        <f t="shared" ref="I279:I290" si="150">F279*D279</f>
        <v>2584.9263300000007</v>
      </c>
      <c r="J279" s="67"/>
      <c r="K279" s="236"/>
      <c r="L279" s="236"/>
      <c r="M279" s="241"/>
    </row>
    <row r="280" spans="1:13" ht="15.75" customHeight="1" outlineLevel="1">
      <c r="A280" s="100" t="s">
        <v>181</v>
      </c>
      <c r="B280" s="66" t="s">
        <v>111</v>
      </c>
      <c r="C280" s="28" t="s">
        <v>29</v>
      </c>
      <c r="D280" s="34">
        <f>D278*(1.3+1.36)</f>
        <v>63.624540000000017</v>
      </c>
      <c r="E280" s="67"/>
      <c r="F280" s="67">
        <f>Материал!I50</f>
        <v>14.7</v>
      </c>
      <c r="G280" s="67"/>
      <c r="H280" s="67"/>
      <c r="I280" s="30">
        <f t="shared" si="150"/>
        <v>935.28073800000016</v>
      </c>
      <c r="J280" s="67"/>
      <c r="K280" s="236"/>
      <c r="L280" s="236"/>
      <c r="M280" s="241"/>
    </row>
    <row r="281" spans="1:13" ht="15.75" customHeight="1" outlineLevel="1">
      <c r="A281" s="100" t="s">
        <v>181</v>
      </c>
      <c r="B281" s="66" t="s">
        <v>112</v>
      </c>
      <c r="C281" s="28" t="s">
        <v>29</v>
      </c>
      <c r="D281" s="34">
        <f>D278*(0.81+2.54)</f>
        <v>80.128650000000022</v>
      </c>
      <c r="E281" s="67"/>
      <c r="F281" s="67">
        <f>Материал!I56</f>
        <v>26.33</v>
      </c>
      <c r="G281" s="67"/>
      <c r="H281" s="67"/>
      <c r="I281" s="30">
        <f t="shared" si="150"/>
        <v>2109.7873545000002</v>
      </c>
      <c r="J281" s="67"/>
      <c r="K281" s="236"/>
      <c r="L281" s="236"/>
      <c r="M281" s="241"/>
    </row>
    <row r="282" spans="1:13" ht="15.75" customHeight="1" outlineLevel="1">
      <c r="A282" s="100" t="s">
        <v>181</v>
      </c>
      <c r="B282" s="66" t="s">
        <v>104</v>
      </c>
      <c r="C282" s="28" t="s">
        <v>22</v>
      </c>
      <c r="D282" s="34">
        <f>D278*23</f>
        <v>550.13700000000006</v>
      </c>
      <c r="E282" s="67"/>
      <c r="F282" s="67">
        <f>Материал!I63</f>
        <v>0.24</v>
      </c>
      <c r="G282" s="67"/>
      <c r="H282" s="67"/>
      <c r="I282" s="30">
        <f t="shared" si="150"/>
        <v>132.03288000000001</v>
      </c>
      <c r="J282" s="67"/>
      <c r="K282" s="236"/>
      <c r="L282" s="236"/>
      <c r="M282" s="241"/>
    </row>
    <row r="283" spans="1:13" ht="15.75" customHeight="1" outlineLevel="1">
      <c r="A283" s="100" t="s">
        <v>181</v>
      </c>
      <c r="B283" s="66" t="s">
        <v>87</v>
      </c>
      <c r="C283" s="28" t="s">
        <v>22</v>
      </c>
      <c r="D283" s="34">
        <f>D278*3.22</f>
        <v>77.01918000000002</v>
      </c>
      <c r="E283" s="67"/>
      <c r="F283" s="67">
        <f>Материал!I15</f>
        <v>0.6</v>
      </c>
      <c r="G283" s="67"/>
      <c r="H283" s="67"/>
      <c r="I283" s="30">
        <f t="shared" si="150"/>
        <v>46.211508000000009</v>
      </c>
      <c r="J283" s="67"/>
      <c r="K283" s="236"/>
      <c r="L283" s="236"/>
      <c r="M283" s="241"/>
    </row>
    <row r="284" spans="1:13" ht="15.75" customHeight="1" outlineLevel="1">
      <c r="A284" s="100" t="s">
        <v>181</v>
      </c>
      <c r="B284" s="66" t="s">
        <v>109</v>
      </c>
      <c r="C284" s="28" t="s">
        <v>22</v>
      </c>
      <c r="D284" s="34">
        <f>4.7*D278</f>
        <v>112.41930000000002</v>
      </c>
      <c r="E284" s="67"/>
      <c r="F284" s="67">
        <f>Материал!I57</f>
        <v>0.23</v>
      </c>
      <c r="G284" s="67"/>
      <c r="H284" s="67"/>
      <c r="I284" s="30">
        <f t="shared" si="150"/>
        <v>25.856439000000005</v>
      </c>
      <c r="J284" s="67"/>
      <c r="K284" s="236"/>
      <c r="L284" s="236"/>
      <c r="M284" s="241"/>
    </row>
    <row r="285" spans="1:13" ht="15.75" customHeight="1" outlineLevel="1">
      <c r="A285" s="100" t="s">
        <v>181</v>
      </c>
      <c r="B285" s="66" t="s">
        <v>170</v>
      </c>
      <c r="C285" s="28" t="s">
        <v>95</v>
      </c>
      <c r="D285" s="34">
        <f>0.04*D278</f>
        <v>0.95676000000000017</v>
      </c>
      <c r="E285" s="67"/>
      <c r="F285" s="67">
        <f>Материал!I77</f>
        <v>48.8</v>
      </c>
      <c r="G285" s="67"/>
      <c r="H285" s="67"/>
      <c r="I285" s="30">
        <f t="shared" si="150"/>
        <v>46.689888000000003</v>
      </c>
      <c r="J285" s="67"/>
      <c r="K285" s="236"/>
      <c r="L285" s="236"/>
      <c r="M285" s="241"/>
    </row>
    <row r="286" spans="1:13" ht="15.75" customHeight="1" outlineLevel="1">
      <c r="A286" s="100" t="s">
        <v>181</v>
      </c>
      <c r="B286" s="66" t="s">
        <v>94</v>
      </c>
      <c r="C286" s="28" t="s">
        <v>95</v>
      </c>
      <c r="D286" s="34">
        <f>D278*0.7</f>
        <v>16.743300000000001</v>
      </c>
      <c r="E286" s="67"/>
      <c r="F286" s="67">
        <f>Материал!I78</f>
        <v>15</v>
      </c>
      <c r="G286" s="67"/>
      <c r="H286" s="67"/>
      <c r="I286" s="30">
        <f t="shared" si="150"/>
        <v>251.14950000000002</v>
      </c>
      <c r="J286" s="67"/>
      <c r="K286" s="236"/>
      <c r="L286" s="236"/>
      <c r="M286" s="241"/>
    </row>
    <row r="287" spans="1:13" ht="15.75" customHeight="1" outlineLevel="1">
      <c r="A287" s="100" t="s">
        <v>181</v>
      </c>
      <c r="B287" s="66" t="s">
        <v>96</v>
      </c>
      <c r="C287" s="28" t="s">
        <v>29</v>
      </c>
      <c r="D287" s="34">
        <f>D278*0.885</f>
        <v>21.168315000000003</v>
      </c>
      <c r="E287" s="67"/>
      <c r="F287" s="67">
        <f>Материал!I65</f>
        <v>0.71</v>
      </c>
      <c r="G287" s="67"/>
      <c r="H287" s="67"/>
      <c r="I287" s="30">
        <f t="shared" si="150"/>
        <v>15.029503650000002</v>
      </c>
      <c r="J287" s="67"/>
      <c r="K287" s="236"/>
      <c r="L287" s="236"/>
      <c r="M287" s="241"/>
    </row>
    <row r="288" spans="1:13" ht="15.75" customHeight="1" outlineLevel="1">
      <c r="A288" s="100" t="s">
        <v>181</v>
      </c>
      <c r="B288" s="66" t="s">
        <v>97</v>
      </c>
      <c r="C288" s="28" t="s">
        <v>29</v>
      </c>
      <c r="D288" s="34">
        <f>D278*1.2</f>
        <v>28.702800000000003</v>
      </c>
      <c r="E288" s="67"/>
      <c r="F288" s="67">
        <f>Материал!I12</f>
        <v>8.3000000000000007</v>
      </c>
      <c r="G288" s="67"/>
      <c r="H288" s="67"/>
      <c r="I288" s="30">
        <f t="shared" si="150"/>
        <v>238.23324000000005</v>
      </c>
      <c r="J288" s="67"/>
      <c r="K288" s="236"/>
      <c r="L288" s="236"/>
      <c r="M288" s="241"/>
    </row>
    <row r="289" spans="1:13" ht="15.75" customHeight="1" outlineLevel="1">
      <c r="A289" s="100" t="s">
        <v>181</v>
      </c>
      <c r="B289" s="66" t="s">
        <v>108</v>
      </c>
      <c r="C289" s="28" t="s">
        <v>22</v>
      </c>
      <c r="D289" s="40">
        <f>0.81*D278</f>
        <v>19.374390000000005</v>
      </c>
      <c r="E289" s="67"/>
      <c r="F289" s="67">
        <f>Материал!I52</f>
        <v>3.5</v>
      </c>
      <c r="G289" s="67"/>
      <c r="H289" s="67"/>
      <c r="I289" s="30">
        <f t="shared" si="150"/>
        <v>67.810365000000019</v>
      </c>
      <c r="J289" s="67"/>
      <c r="K289" s="236"/>
      <c r="L289" s="236"/>
      <c r="M289" s="241"/>
    </row>
    <row r="290" spans="1:13" ht="15.75" customHeight="1" outlineLevel="1">
      <c r="A290" s="100" t="s">
        <v>181</v>
      </c>
      <c r="B290" s="66" t="s">
        <v>98</v>
      </c>
      <c r="C290" s="28" t="s">
        <v>99</v>
      </c>
      <c r="D290" s="34">
        <f>D278*0.1</f>
        <v>2.3919000000000006</v>
      </c>
      <c r="E290" s="67"/>
      <c r="F290" s="67">
        <f>Материал!I8</f>
        <v>55.6</v>
      </c>
      <c r="G290" s="67"/>
      <c r="H290" s="67"/>
      <c r="I290" s="30">
        <f t="shared" si="150"/>
        <v>132.98964000000004</v>
      </c>
      <c r="J290" s="67"/>
      <c r="K290" s="236"/>
      <c r="L290" s="236"/>
      <c r="M290" s="241"/>
    </row>
    <row r="291" spans="1:13" ht="30">
      <c r="A291" s="71">
        <v>65</v>
      </c>
      <c r="B291" s="70" t="s">
        <v>75</v>
      </c>
      <c r="C291" s="8" t="s">
        <v>0</v>
      </c>
      <c r="D291" s="69">
        <f>Дефектовка!D69</f>
        <v>11.003</v>
      </c>
      <c r="E291" s="32">
        <v>91.2</v>
      </c>
      <c r="F291" s="33">
        <f>I291/D291</f>
        <v>178.42860000000002</v>
      </c>
      <c r="G291" s="33">
        <f t="shared" ref="G291" si="151">F291+E291</f>
        <v>269.62860000000001</v>
      </c>
      <c r="H291" s="33">
        <f t="shared" ref="H291" si="152">E291*D291</f>
        <v>1003.4736</v>
      </c>
      <c r="I291" s="33">
        <f>SUM(I292)</f>
        <v>1963.2498858000001</v>
      </c>
      <c r="J291" s="31">
        <f t="shared" ref="J291" si="153">I291+H291</f>
        <v>2966.7234858000002</v>
      </c>
      <c r="K291" s="236"/>
      <c r="L291" s="236"/>
      <c r="M291" s="241"/>
    </row>
    <row r="292" spans="1:13" ht="30" customHeight="1" outlineLevel="1">
      <c r="A292" s="100" t="s">
        <v>181</v>
      </c>
      <c r="B292" s="66" t="s">
        <v>105</v>
      </c>
      <c r="C292" s="28" t="s">
        <v>0</v>
      </c>
      <c r="D292" s="37">
        <f>D291*1.02</f>
        <v>11.22306</v>
      </c>
      <c r="E292" s="67"/>
      <c r="F292" s="67">
        <f>Материал!I48</f>
        <v>174.93</v>
      </c>
      <c r="G292" s="67"/>
      <c r="H292" s="67"/>
      <c r="I292" s="30">
        <f>F292*D292</f>
        <v>1963.2498858000001</v>
      </c>
      <c r="J292" s="67"/>
      <c r="K292" s="236"/>
      <c r="L292" s="236"/>
      <c r="M292" s="241"/>
    </row>
    <row r="293" spans="1:13" ht="30">
      <c r="A293" s="71">
        <v>66</v>
      </c>
      <c r="B293" s="70" t="s">
        <v>61</v>
      </c>
      <c r="C293" s="8" t="s">
        <v>0</v>
      </c>
      <c r="D293" s="69">
        <f>Дефектовка!D70</f>
        <v>23.74</v>
      </c>
      <c r="E293" s="32">
        <v>378.6</v>
      </c>
      <c r="F293" s="33">
        <f>I293/D293</f>
        <v>274.19584999999995</v>
      </c>
      <c r="G293" s="33">
        <f t="shared" ref="G293" si="154">F293+E293</f>
        <v>652.79584999999997</v>
      </c>
      <c r="H293" s="33">
        <f t="shared" ref="H293" si="155">E293*D293</f>
        <v>8987.9639999999999</v>
      </c>
      <c r="I293" s="33">
        <f>SUM(I294:I305)</f>
        <v>6509.409478999999</v>
      </c>
      <c r="J293" s="31">
        <f t="shared" ref="J293" si="156">I293+H293</f>
        <v>15497.373478999998</v>
      </c>
      <c r="K293" s="236"/>
      <c r="L293" s="236"/>
      <c r="M293" s="241"/>
    </row>
    <row r="294" spans="1:13" ht="15.75" customHeight="1" outlineLevel="1">
      <c r="A294" s="100" t="s">
        <v>181</v>
      </c>
      <c r="B294" s="66" t="s">
        <v>169</v>
      </c>
      <c r="C294" s="28" t="s">
        <v>0</v>
      </c>
      <c r="D294" s="34">
        <f>D293*1.07</f>
        <v>25.401800000000001</v>
      </c>
      <c r="E294" s="67"/>
      <c r="F294" s="67">
        <f>Материал!I6</f>
        <v>101</v>
      </c>
      <c r="G294" s="67"/>
      <c r="H294" s="67"/>
      <c r="I294" s="30">
        <f t="shared" ref="I294:I305" si="157">F294*D294</f>
        <v>2565.5817999999999</v>
      </c>
      <c r="J294" s="67"/>
      <c r="K294" s="236"/>
      <c r="L294" s="236"/>
      <c r="M294" s="241"/>
    </row>
    <row r="295" spans="1:13" ht="15.75" customHeight="1" outlineLevel="1">
      <c r="A295" s="100" t="s">
        <v>181</v>
      </c>
      <c r="B295" s="66" t="s">
        <v>111</v>
      </c>
      <c r="C295" s="28" t="s">
        <v>29</v>
      </c>
      <c r="D295" s="34">
        <f>D293*(1.3+1.36)</f>
        <v>63.148400000000002</v>
      </c>
      <c r="E295" s="67"/>
      <c r="F295" s="67">
        <f>Материал!I50</f>
        <v>14.7</v>
      </c>
      <c r="G295" s="67"/>
      <c r="H295" s="67"/>
      <c r="I295" s="30">
        <f t="shared" si="157"/>
        <v>928.28147999999999</v>
      </c>
      <c r="J295" s="67"/>
      <c r="K295" s="236"/>
      <c r="L295" s="236"/>
      <c r="M295" s="241"/>
    </row>
    <row r="296" spans="1:13" ht="15.75" customHeight="1" outlineLevel="1">
      <c r="A296" s="100" t="s">
        <v>181</v>
      </c>
      <c r="B296" s="66" t="s">
        <v>112</v>
      </c>
      <c r="C296" s="28" t="s">
        <v>29</v>
      </c>
      <c r="D296" s="34">
        <f>D293*(0.81+2.54)</f>
        <v>79.528999999999996</v>
      </c>
      <c r="E296" s="67"/>
      <c r="F296" s="67">
        <f>Материал!I56</f>
        <v>26.33</v>
      </c>
      <c r="G296" s="67"/>
      <c r="H296" s="67"/>
      <c r="I296" s="30">
        <f t="shared" si="157"/>
        <v>2093.9985699999997</v>
      </c>
      <c r="J296" s="67"/>
      <c r="K296" s="236"/>
      <c r="L296" s="236"/>
      <c r="M296" s="241"/>
    </row>
    <row r="297" spans="1:13" ht="15.75" customHeight="1" outlineLevel="1">
      <c r="A297" s="100" t="s">
        <v>181</v>
      </c>
      <c r="B297" s="66" t="s">
        <v>104</v>
      </c>
      <c r="C297" s="28" t="s">
        <v>22</v>
      </c>
      <c r="D297" s="34">
        <f>D293*23</f>
        <v>546.02</v>
      </c>
      <c r="E297" s="67"/>
      <c r="F297" s="67">
        <f>Материал!I62</f>
        <v>0.19</v>
      </c>
      <c r="G297" s="67"/>
      <c r="H297" s="67"/>
      <c r="I297" s="30">
        <f t="shared" si="157"/>
        <v>103.74379999999999</v>
      </c>
      <c r="J297" s="67"/>
      <c r="K297" s="236"/>
      <c r="L297" s="236"/>
      <c r="M297" s="241"/>
    </row>
    <row r="298" spans="1:13" ht="15.75" customHeight="1" outlineLevel="1">
      <c r="A298" s="100" t="s">
        <v>181</v>
      </c>
      <c r="B298" s="66" t="s">
        <v>87</v>
      </c>
      <c r="C298" s="28" t="s">
        <v>22</v>
      </c>
      <c r="D298" s="34">
        <f>D293*3.22</f>
        <v>76.442800000000005</v>
      </c>
      <c r="E298" s="67"/>
      <c r="F298" s="67">
        <f>Материал!I15</f>
        <v>0.6</v>
      </c>
      <c r="G298" s="67"/>
      <c r="H298" s="67"/>
      <c r="I298" s="30">
        <f t="shared" si="157"/>
        <v>45.865680000000005</v>
      </c>
      <c r="J298" s="67"/>
      <c r="K298" s="236"/>
      <c r="L298" s="236"/>
      <c r="M298" s="241"/>
    </row>
    <row r="299" spans="1:13" ht="15.75" customHeight="1" outlineLevel="1">
      <c r="A299" s="100" t="s">
        <v>181</v>
      </c>
      <c r="B299" s="66" t="s">
        <v>109</v>
      </c>
      <c r="C299" s="28" t="s">
        <v>22</v>
      </c>
      <c r="D299" s="34">
        <f>4.7*D293</f>
        <v>111.578</v>
      </c>
      <c r="E299" s="67"/>
      <c r="F299" s="67">
        <f>Материал!I57</f>
        <v>0.23</v>
      </c>
      <c r="G299" s="67"/>
      <c r="H299" s="67"/>
      <c r="I299" s="30">
        <f t="shared" si="157"/>
        <v>25.662940000000003</v>
      </c>
      <c r="J299" s="67"/>
      <c r="K299" s="236"/>
      <c r="L299" s="236"/>
      <c r="M299" s="241"/>
    </row>
    <row r="300" spans="1:13" ht="15.75" customHeight="1" outlineLevel="1">
      <c r="A300" s="100" t="s">
        <v>181</v>
      </c>
      <c r="B300" s="66" t="s">
        <v>170</v>
      </c>
      <c r="C300" s="28" t="s">
        <v>95</v>
      </c>
      <c r="D300" s="34">
        <f>0.04*D293</f>
        <v>0.9496</v>
      </c>
      <c r="E300" s="67"/>
      <c r="F300" s="67">
        <f>Материал!I77</f>
        <v>48.8</v>
      </c>
      <c r="G300" s="67"/>
      <c r="H300" s="67"/>
      <c r="I300" s="30">
        <f t="shared" si="157"/>
        <v>46.340479999999999</v>
      </c>
      <c r="J300" s="67"/>
      <c r="K300" s="236"/>
      <c r="L300" s="236"/>
      <c r="M300" s="241"/>
    </row>
    <row r="301" spans="1:13" ht="15.75" customHeight="1" outlineLevel="1">
      <c r="A301" s="100" t="s">
        <v>181</v>
      </c>
      <c r="B301" s="66" t="s">
        <v>94</v>
      </c>
      <c r="C301" s="28" t="s">
        <v>95</v>
      </c>
      <c r="D301" s="34">
        <f>D293*0.7</f>
        <v>16.617999999999999</v>
      </c>
      <c r="E301" s="67"/>
      <c r="F301" s="67">
        <f>Материал!I78</f>
        <v>15</v>
      </c>
      <c r="G301" s="67"/>
      <c r="H301" s="67"/>
      <c r="I301" s="30">
        <f t="shared" si="157"/>
        <v>249.26999999999998</v>
      </c>
      <c r="J301" s="67"/>
      <c r="K301" s="236"/>
      <c r="L301" s="236"/>
      <c r="M301" s="241"/>
    </row>
    <row r="302" spans="1:13" ht="15.75" customHeight="1" outlineLevel="1">
      <c r="A302" s="100" t="s">
        <v>181</v>
      </c>
      <c r="B302" s="66" t="s">
        <v>96</v>
      </c>
      <c r="C302" s="28" t="s">
        <v>29</v>
      </c>
      <c r="D302" s="34">
        <f>D293*0.885</f>
        <v>21.009899999999998</v>
      </c>
      <c r="E302" s="67"/>
      <c r="F302" s="67">
        <f>Материал!I65</f>
        <v>0.71</v>
      </c>
      <c r="G302" s="67"/>
      <c r="H302" s="67"/>
      <c r="I302" s="30">
        <f t="shared" si="157"/>
        <v>14.917028999999998</v>
      </c>
      <c r="J302" s="67"/>
      <c r="K302" s="236"/>
      <c r="L302" s="236"/>
      <c r="M302" s="241"/>
    </row>
    <row r="303" spans="1:13" ht="15.75" customHeight="1" outlineLevel="1">
      <c r="A303" s="100" t="s">
        <v>181</v>
      </c>
      <c r="B303" s="66" t="s">
        <v>97</v>
      </c>
      <c r="C303" s="28" t="s">
        <v>29</v>
      </c>
      <c r="D303" s="34">
        <f>D293*1.2</f>
        <v>28.487999999999996</v>
      </c>
      <c r="E303" s="67"/>
      <c r="F303" s="67">
        <f>Материал!I12</f>
        <v>8.3000000000000007</v>
      </c>
      <c r="G303" s="67"/>
      <c r="H303" s="67"/>
      <c r="I303" s="30">
        <f t="shared" si="157"/>
        <v>236.45039999999997</v>
      </c>
      <c r="J303" s="67"/>
      <c r="K303" s="236"/>
      <c r="L303" s="236"/>
      <c r="M303" s="241"/>
    </row>
    <row r="304" spans="1:13" ht="15.75" customHeight="1" outlineLevel="1">
      <c r="A304" s="100" t="s">
        <v>181</v>
      </c>
      <c r="B304" s="66" t="s">
        <v>108</v>
      </c>
      <c r="C304" s="28" t="s">
        <v>22</v>
      </c>
      <c r="D304" s="40">
        <f>0.81*D293</f>
        <v>19.229399999999998</v>
      </c>
      <c r="E304" s="67"/>
      <c r="F304" s="67">
        <f>Материал!I52</f>
        <v>3.5</v>
      </c>
      <c r="G304" s="67"/>
      <c r="H304" s="67"/>
      <c r="I304" s="30">
        <f t="shared" si="157"/>
        <v>67.302899999999994</v>
      </c>
      <c r="J304" s="67"/>
      <c r="K304" s="236"/>
      <c r="L304" s="236"/>
      <c r="M304" s="241"/>
    </row>
    <row r="305" spans="1:13" ht="15.75" customHeight="1" outlineLevel="1">
      <c r="A305" s="100" t="s">
        <v>181</v>
      </c>
      <c r="B305" s="66" t="s">
        <v>98</v>
      </c>
      <c r="C305" s="28" t="s">
        <v>99</v>
      </c>
      <c r="D305" s="34">
        <f>D293*0.1</f>
        <v>2.3740000000000001</v>
      </c>
      <c r="E305" s="67"/>
      <c r="F305" s="67">
        <f>Материал!I8</f>
        <v>55.6</v>
      </c>
      <c r="G305" s="67"/>
      <c r="H305" s="67"/>
      <c r="I305" s="30">
        <f t="shared" si="157"/>
        <v>131.99440000000001</v>
      </c>
      <c r="J305" s="67"/>
      <c r="K305" s="236"/>
      <c r="L305" s="236"/>
      <c r="M305" s="241"/>
    </row>
    <row r="306" spans="1:13" s="152" customFormat="1" ht="45" customHeight="1">
      <c r="A306" s="8">
        <v>67</v>
      </c>
      <c r="B306" s="70" t="s">
        <v>40</v>
      </c>
      <c r="C306" s="8" t="s">
        <v>0</v>
      </c>
      <c r="D306" s="69">
        <f>Дефектовка!D71</f>
        <v>20.428000000000001</v>
      </c>
      <c r="E306" s="151">
        <v>24</v>
      </c>
      <c r="F306" s="33">
        <f>I306/D306</f>
        <v>11.120000000000001</v>
      </c>
      <c r="G306" s="33">
        <f t="shared" ref="G306" si="158">F306+E306</f>
        <v>35.120000000000005</v>
      </c>
      <c r="H306" s="33">
        <f t="shared" ref="H306" si="159">E306*D306</f>
        <v>490.27200000000005</v>
      </c>
      <c r="I306" s="33">
        <f>SUM(I307)</f>
        <v>227.15936000000002</v>
      </c>
      <c r="J306" s="31">
        <f t="shared" ref="J306" si="160">I306+H306</f>
        <v>717.43136000000004</v>
      </c>
      <c r="K306" s="236"/>
      <c r="L306" s="236"/>
      <c r="M306" s="241"/>
    </row>
    <row r="307" spans="1:13" s="101" customFormat="1" ht="15.75" customHeight="1" outlineLevel="1">
      <c r="A307" s="100" t="s">
        <v>181</v>
      </c>
      <c r="B307" s="66" t="s">
        <v>98</v>
      </c>
      <c r="C307" s="28" t="s">
        <v>95</v>
      </c>
      <c r="D307" s="34">
        <f>D306*0.2</f>
        <v>4.0856000000000003</v>
      </c>
      <c r="E307" s="67"/>
      <c r="F307" s="67">
        <f>Материал!I8</f>
        <v>55.6</v>
      </c>
      <c r="G307" s="67"/>
      <c r="H307" s="67"/>
      <c r="I307" s="30">
        <f>F307*D307</f>
        <v>227.15936000000002</v>
      </c>
      <c r="J307" s="67"/>
      <c r="K307" s="236"/>
      <c r="L307" s="236"/>
      <c r="M307" s="241"/>
    </row>
    <row r="308" spans="1:13" ht="30" customHeight="1">
      <c r="A308" s="71">
        <v>68</v>
      </c>
      <c r="B308" s="70" t="s">
        <v>51</v>
      </c>
      <c r="C308" s="8" t="s">
        <v>29</v>
      </c>
      <c r="D308" s="69">
        <f>Дефектовка!D72</f>
        <v>38.67</v>
      </c>
      <c r="E308" s="32">
        <v>48</v>
      </c>
      <c r="F308" s="33">
        <f>I308/D308</f>
        <v>10.879</v>
      </c>
      <c r="G308" s="33">
        <f t="shared" ref="G308" si="161">F308+E308</f>
        <v>58.878999999999998</v>
      </c>
      <c r="H308" s="33">
        <f t="shared" ref="H308" si="162">E308*D308</f>
        <v>1856.16</v>
      </c>
      <c r="I308" s="33">
        <f>SUM(I309:I310)</f>
        <v>420.69092999999998</v>
      </c>
      <c r="J308" s="31">
        <f t="shared" ref="J308" si="163">I308+H308</f>
        <v>2276.8509300000001</v>
      </c>
      <c r="K308" s="236"/>
      <c r="L308" s="236"/>
      <c r="M308" s="241"/>
    </row>
    <row r="309" spans="1:13" s="101" customFormat="1" ht="15.75" customHeight="1" outlineLevel="1">
      <c r="A309" s="100" t="s">
        <v>181</v>
      </c>
      <c r="B309" s="66" t="s">
        <v>138</v>
      </c>
      <c r="C309" s="28" t="s">
        <v>95</v>
      </c>
      <c r="D309" s="37">
        <f>D308*1.03</f>
        <v>39.830100000000002</v>
      </c>
      <c r="E309" s="67"/>
      <c r="F309" s="67">
        <f>Материал!I73</f>
        <v>7.3</v>
      </c>
      <c r="G309" s="67"/>
      <c r="H309" s="67"/>
      <c r="I309" s="30">
        <f>F309*D309</f>
        <v>290.75972999999999</v>
      </c>
      <c r="J309" s="67"/>
      <c r="K309" s="236"/>
      <c r="L309" s="236"/>
      <c r="M309" s="241"/>
    </row>
    <row r="310" spans="1:13" s="101" customFormat="1" ht="15.75" customHeight="1" outlineLevel="1">
      <c r="A310" s="100" t="s">
        <v>181</v>
      </c>
      <c r="B310" s="66" t="s">
        <v>139</v>
      </c>
      <c r="C310" s="28" t="s">
        <v>95</v>
      </c>
      <c r="D310" s="37">
        <f>D308*0.3</f>
        <v>11.601000000000001</v>
      </c>
      <c r="E310" s="67"/>
      <c r="F310" s="67">
        <f>Материал!I79</f>
        <v>11.2</v>
      </c>
      <c r="G310" s="67"/>
      <c r="H310" s="67"/>
      <c r="I310" s="30">
        <f>F310*D310</f>
        <v>129.93119999999999</v>
      </c>
      <c r="J310" s="67"/>
      <c r="K310" s="236"/>
      <c r="L310" s="236"/>
      <c r="M310" s="241"/>
    </row>
    <row r="311" spans="1:13" ht="30">
      <c r="A311" s="71">
        <v>69</v>
      </c>
      <c r="B311" s="70" t="s">
        <v>174</v>
      </c>
      <c r="C311" s="8" t="s">
        <v>0</v>
      </c>
      <c r="D311" s="69">
        <f>Дефектовка!D73</f>
        <v>3.8</v>
      </c>
      <c r="E311" s="32">
        <v>229</v>
      </c>
      <c r="F311" s="33">
        <f>I311/D311</f>
        <v>126.55999999999999</v>
      </c>
      <c r="G311" s="33">
        <f t="shared" ref="G311" si="164">F311+E311</f>
        <v>355.56</v>
      </c>
      <c r="H311" s="33">
        <f t="shared" ref="H311" si="165">E311*D311</f>
        <v>870.19999999999993</v>
      </c>
      <c r="I311" s="33">
        <f>SUM(I312)</f>
        <v>480.92799999999994</v>
      </c>
      <c r="J311" s="31">
        <f t="shared" ref="J311" si="166">I311+H311</f>
        <v>1351.1279999999999</v>
      </c>
      <c r="K311" s="236"/>
      <c r="L311" s="236"/>
      <c r="M311" s="241"/>
    </row>
    <row r="312" spans="1:13" s="101" customFormat="1" ht="15.75" outlineLevel="1">
      <c r="A312" s="100" t="s">
        <v>181</v>
      </c>
      <c r="B312" s="66" t="s">
        <v>139</v>
      </c>
      <c r="C312" s="28" t="s">
        <v>95</v>
      </c>
      <c r="D312" s="34">
        <f>D311*11.3</f>
        <v>42.94</v>
      </c>
      <c r="E312" s="67"/>
      <c r="F312" s="67">
        <f>Материал!I79</f>
        <v>11.2</v>
      </c>
      <c r="G312" s="67"/>
      <c r="H312" s="67"/>
      <c r="I312" s="30">
        <f>F312*D312</f>
        <v>480.92799999999994</v>
      </c>
      <c r="J312" s="67"/>
      <c r="L312" s="99"/>
      <c r="M312" s="242"/>
    </row>
    <row r="313" spans="1:13">
      <c r="A313" s="71">
        <v>70</v>
      </c>
      <c r="B313" s="70" t="s">
        <v>41</v>
      </c>
      <c r="C313" s="8" t="s">
        <v>0</v>
      </c>
      <c r="D313" s="69">
        <f>Дефектовка!D74</f>
        <v>30.552000000000003</v>
      </c>
      <c r="E313" s="32">
        <v>268</v>
      </c>
      <c r="F313" s="33">
        <f>I313/D313</f>
        <v>47.296400000000006</v>
      </c>
      <c r="G313" s="33">
        <f t="shared" ref="G313" si="167">F313+E313</f>
        <v>315.29640000000001</v>
      </c>
      <c r="H313" s="33">
        <f t="shared" ref="H313" si="168">E313*D313</f>
        <v>8187.9360000000006</v>
      </c>
      <c r="I313" s="33">
        <f>SUM(I314:I316)</f>
        <v>1444.9996128000002</v>
      </c>
      <c r="J313" s="31">
        <f t="shared" ref="J313" si="169">I313+H313</f>
        <v>9632.9356127999999</v>
      </c>
      <c r="K313" s="235">
        <f>I327+I321+I317+I313</f>
        <v>37843.681228600006</v>
      </c>
      <c r="L313" s="235">
        <f>J327+J321+J317+J313</f>
        <v>70786.60922860002</v>
      </c>
      <c r="M313" s="204">
        <v>3</v>
      </c>
    </row>
    <row r="314" spans="1:13" s="101" customFormat="1" ht="15.75" customHeight="1" outlineLevel="1">
      <c r="A314" s="100" t="s">
        <v>181</v>
      </c>
      <c r="B314" s="66" t="s">
        <v>141</v>
      </c>
      <c r="C314" s="28" t="s">
        <v>142</v>
      </c>
      <c r="D314" s="37">
        <f>2*D313</f>
        <v>61.104000000000006</v>
      </c>
      <c r="E314" s="67"/>
      <c r="F314" s="67">
        <f>Материал!I76</f>
        <v>22.56</v>
      </c>
      <c r="G314" s="67"/>
      <c r="H314" s="67"/>
      <c r="I314" s="30">
        <f>F314*D314</f>
        <v>1378.5062400000002</v>
      </c>
      <c r="J314" s="67"/>
      <c r="K314" s="235"/>
      <c r="L314" s="235"/>
      <c r="M314" s="204"/>
    </row>
    <row r="315" spans="1:13" s="101" customFormat="1" ht="15.75" customHeight="1" outlineLevel="1">
      <c r="A315" s="100" t="s">
        <v>181</v>
      </c>
      <c r="B315" s="66" t="s">
        <v>148</v>
      </c>
      <c r="C315" s="28" t="s">
        <v>95</v>
      </c>
      <c r="D315" s="39">
        <f>0.0001*D313</f>
        <v>3.0552000000000005E-3</v>
      </c>
      <c r="E315" s="67"/>
      <c r="F315" s="67">
        <f>Материал!I3</f>
        <v>44</v>
      </c>
      <c r="G315" s="67"/>
      <c r="H315" s="67"/>
      <c r="I315" s="30">
        <f>F315*D315</f>
        <v>0.13442880000000001</v>
      </c>
      <c r="J315" s="67"/>
      <c r="K315" s="235"/>
      <c r="L315" s="235"/>
      <c r="M315" s="204"/>
    </row>
    <row r="316" spans="1:13" s="101" customFormat="1" ht="15.75" customHeight="1" outlineLevel="1">
      <c r="A316" s="100" t="s">
        <v>181</v>
      </c>
      <c r="B316" s="66" t="s">
        <v>143</v>
      </c>
      <c r="C316" s="28" t="s">
        <v>0</v>
      </c>
      <c r="D316" s="37">
        <f>0.03*D313</f>
        <v>0.91656000000000004</v>
      </c>
      <c r="E316" s="67"/>
      <c r="F316" s="67">
        <f>Материал!I67</f>
        <v>72.400000000000006</v>
      </c>
      <c r="G316" s="67"/>
      <c r="H316" s="67"/>
      <c r="I316" s="30">
        <f>F316*D316</f>
        <v>66.358944000000008</v>
      </c>
      <c r="J316" s="67"/>
      <c r="K316" s="235"/>
      <c r="L316" s="235"/>
      <c r="M316" s="204"/>
    </row>
    <row r="317" spans="1:13">
      <c r="A317" s="71">
        <v>71</v>
      </c>
      <c r="B317" s="70" t="s">
        <v>32</v>
      </c>
      <c r="C317" s="8" t="s">
        <v>0</v>
      </c>
      <c r="D317" s="69">
        <f>Дефектовка!D75</f>
        <v>30.552000000000003</v>
      </c>
      <c r="E317" s="32">
        <v>125</v>
      </c>
      <c r="F317" s="33">
        <f>I317/D317</f>
        <v>218.1104</v>
      </c>
      <c r="G317" s="33">
        <f t="shared" ref="G317" si="170">F317+E317</f>
        <v>343.11040000000003</v>
      </c>
      <c r="H317" s="33">
        <f t="shared" ref="H317" si="171">E317*D317</f>
        <v>3819.0000000000005</v>
      </c>
      <c r="I317" s="33">
        <f>SUM(I318:I320)</f>
        <v>6663.7089408000011</v>
      </c>
      <c r="J317" s="31">
        <f t="shared" ref="J317" si="172">I317+H317</f>
        <v>10482.708940800001</v>
      </c>
      <c r="K317" s="235"/>
      <c r="L317" s="235"/>
      <c r="M317" s="204"/>
    </row>
    <row r="318" spans="1:13" s="101" customFormat="1" ht="30" customHeight="1" outlineLevel="1">
      <c r="A318" s="100" t="s">
        <v>181</v>
      </c>
      <c r="B318" s="66" t="s">
        <v>152</v>
      </c>
      <c r="C318" s="28" t="s">
        <v>149</v>
      </c>
      <c r="D318" s="37">
        <f>0.63*D317</f>
        <v>19.247760000000003</v>
      </c>
      <c r="E318" s="67"/>
      <c r="F318" s="67">
        <f>Материал!I28</f>
        <v>339.62</v>
      </c>
      <c r="G318" s="67"/>
      <c r="H318" s="67"/>
      <c r="I318" s="30">
        <f>F318*D318</f>
        <v>6536.924251200001</v>
      </c>
      <c r="J318" s="67"/>
      <c r="K318" s="235"/>
      <c r="L318" s="235"/>
      <c r="M318" s="204"/>
    </row>
    <row r="319" spans="1:13" s="101" customFormat="1" ht="15.75" customHeight="1" outlineLevel="1">
      <c r="A319" s="100" t="s">
        <v>181</v>
      </c>
      <c r="B319" s="66" t="s">
        <v>172</v>
      </c>
      <c r="C319" s="28" t="s">
        <v>173</v>
      </c>
      <c r="D319" s="38">
        <f>0.1*D318</f>
        <v>1.9247760000000005</v>
      </c>
      <c r="E319" s="67"/>
      <c r="F319" s="67">
        <f>Материал!I68</f>
        <v>65.8</v>
      </c>
      <c r="G319" s="67"/>
      <c r="H319" s="67"/>
      <c r="I319" s="30">
        <f>F319*D319</f>
        <v>126.65026080000003</v>
      </c>
      <c r="J319" s="67"/>
      <c r="K319" s="235"/>
      <c r="L319" s="235"/>
      <c r="M319" s="204"/>
    </row>
    <row r="320" spans="1:13" s="101" customFormat="1" ht="15.75" customHeight="1" outlineLevel="1">
      <c r="A320" s="100" t="s">
        <v>181</v>
      </c>
      <c r="B320" s="66" t="s">
        <v>148</v>
      </c>
      <c r="C320" s="28" t="s">
        <v>95</v>
      </c>
      <c r="D320" s="39">
        <f>0.0001*D317</f>
        <v>3.0552000000000005E-3</v>
      </c>
      <c r="E320" s="67"/>
      <c r="F320" s="67">
        <f>Материал!I3</f>
        <v>44</v>
      </c>
      <c r="G320" s="67"/>
      <c r="H320" s="67"/>
      <c r="I320" s="30">
        <f>F320*D320</f>
        <v>0.13442880000000001</v>
      </c>
      <c r="J320" s="67"/>
      <c r="K320" s="235"/>
      <c r="L320" s="235"/>
      <c r="M320" s="204"/>
    </row>
    <row r="321" spans="1:13" ht="30">
      <c r="A321" s="71">
        <v>72</v>
      </c>
      <c r="B321" s="70" t="s">
        <v>55</v>
      </c>
      <c r="C321" s="8" t="s">
        <v>0</v>
      </c>
      <c r="D321" s="69">
        <f>Дефектовка!D76</f>
        <v>40.11</v>
      </c>
      <c r="E321" s="32">
        <v>211.2</v>
      </c>
      <c r="F321" s="33">
        <f>I321/D321</f>
        <v>238.19328534031411</v>
      </c>
      <c r="G321" s="33">
        <f t="shared" ref="G321" si="173">F321+E321</f>
        <v>449.39328534031409</v>
      </c>
      <c r="H321" s="33">
        <f t="shared" ref="H321" si="174">E321*D321</f>
        <v>8471.232</v>
      </c>
      <c r="I321" s="33">
        <f>SUM(I322:I326)</f>
        <v>9553.9326749999982</v>
      </c>
      <c r="J321" s="31">
        <f t="shared" ref="J321" si="175">I321+H321</f>
        <v>18025.164675</v>
      </c>
      <c r="K321" s="235"/>
      <c r="L321" s="235"/>
      <c r="M321" s="204"/>
    </row>
    <row r="322" spans="1:13" s="101" customFormat="1" ht="30" customHeight="1" outlineLevel="1">
      <c r="A322" s="100" t="s">
        <v>181</v>
      </c>
      <c r="B322" s="66" t="s">
        <v>175</v>
      </c>
      <c r="C322" s="28" t="s">
        <v>0</v>
      </c>
      <c r="D322" s="37">
        <f>0.79*D321</f>
        <v>31.686900000000001</v>
      </c>
      <c r="E322" s="67"/>
      <c r="F322" s="67">
        <f>Материал!I53</f>
        <v>270</v>
      </c>
      <c r="G322" s="67"/>
      <c r="H322" s="67"/>
      <c r="I322" s="30">
        <f>F322*D322</f>
        <v>8555.4629999999997</v>
      </c>
      <c r="J322" s="67"/>
      <c r="K322" s="235"/>
      <c r="L322" s="235"/>
      <c r="M322" s="204"/>
    </row>
    <row r="323" spans="1:13" s="101" customFormat="1" ht="15.75" customHeight="1" outlineLevel="1">
      <c r="A323" s="100" t="s">
        <v>181</v>
      </c>
      <c r="B323" s="66" t="s">
        <v>176</v>
      </c>
      <c r="C323" s="28" t="s">
        <v>29</v>
      </c>
      <c r="D323" s="37">
        <f>(2.2*2+2.7*2+8.78+9.94+8.78+8+1)*1.05</f>
        <v>48.615000000000002</v>
      </c>
      <c r="E323" s="67"/>
      <c r="F323" s="67">
        <f>Материал!I74</f>
        <v>14.7</v>
      </c>
      <c r="G323" s="67"/>
      <c r="H323" s="67"/>
      <c r="I323" s="30">
        <f>F323*D323</f>
        <v>714.64049999999997</v>
      </c>
      <c r="J323" s="67"/>
      <c r="K323" s="235"/>
      <c r="L323" s="235"/>
      <c r="M323" s="204"/>
    </row>
    <row r="324" spans="1:13" s="101" customFormat="1" ht="15.75" customHeight="1" outlineLevel="1">
      <c r="A324" s="100" t="s">
        <v>181</v>
      </c>
      <c r="B324" s="66" t="s">
        <v>177</v>
      </c>
      <c r="C324" s="28" t="s">
        <v>22</v>
      </c>
      <c r="D324" s="38">
        <f>0.6*D321</f>
        <v>24.065999999999999</v>
      </c>
      <c r="E324" s="67"/>
      <c r="F324" s="67">
        <f>Материал!I16</f>
        <v>8.5</v>
      </c>
      <c r="G324" s="67"/>
      <c r="H324" s="67"/>
      <c r="I324" s="30">
        <f>F324*D324</f>
        <v>204.56099999999998</v>
      </c>
      <c r="J324" s="67"/>
      <c r="K324" s="235"/>
      <c r="L324" s="235"/>
      <c r="M324" s="204"/>
    </row>
    <row r="325" spans="1:13" s="101" customFormat="1" ht="15.75" customHeight="1" outlineLevel="1">
      <c r="A325" s="100" t="s">
        <v>181</v>
      </c>
      <c r="B325" s="66" t="s">
        <v>151</v>
      </c>
      <c r="C325" s="28" t="s">
        <v>22</v>
      </c>
      <c r="D325" s="38">
        <f>D323*3/2</f>
        <v>72.922499999999999</v>
      </c>
      <c r="E325" s="67"/>
      <c r="F325" s="67">
        <f>Материал!I62</f>
        <v>0.19</v>
      </c>
      <c r="G325" s="67"/>
      <c r="H325" s="67"/>
      <c r="I325" s="30">
        <f t="shared" ref="I325:I326" si="176">F325*D325</f>
        <v>13.855275000000001</v>
      </c>
      <c r="J325" s="67"/>
      <c r="K325" s="235"/>
      <c r="L325" s="235"/>
      <c r="M325" s="204"/>
    </row>
    <row r="326" spans="1:13" s="101" customFormat="1" ht="15.75" customHeight="1" outlineLevel="1">
      <c r="A326" s="100" t="s">
        <v>181</v>
      </c>
      <c r="B326" s="66" t="s">
        <v>87</v>
      </c>
      <c r="C326" s="28" t="s">
        <v>22</v>
      </c>
      <c r="D326" s="38">
        <f>D324*3/2+D323*3/2</f>
        <v>109.0215</v>
      </c>
      <c r="E326" s="67"/>
      <c r="F326" s="67">
        <f>Материал!I15</f>
        <v>0.6</v>
      </c>
      <c r="G326" s="67"/>
      <c r="H326" s="67"/>
      <c r="I326" s="30">
        <f t="shared" si="176"/>
        <v>65.412899999999993</v>
      </c>
      <c r="J326" s="67"/>
      <c r="K326" s="235"/>
      <c r="L326" s="235"/>
      <c r="M326" s="204"/>
    </row>
    <row r="327" spans="1:13" ht="30">
      <c r="A327" s="71">
        <v>73</v>
      </c>
      <c r="B327" s="70" t="s">
        <v>60</v>
      </c>
      <c r="C327" s="8" t="s">
        <v>0</v>
      </c>
      <c r="D327" s="69">
        <f>Дефектовка!D77</f>
        <v>29.678000000000004</v>
      </c>
      <c r="E327" s="32">
        <v>420</v>
      </c>
      <c r="F327" s="33">
        <v>680</v>
      </c>
      <c r="G327" s="33">
        <f>F327+E327</f>
        <v>1100</v>
      </c>
      <c r="H327" s="33">
        <f t="shared" ref="H327" si="177">E327*D327</f>
        <v>12464.760000000002</v>
      </c>
      <c r="I327" s="33">
        <f>D327*F327</f>
        <v>20181.040000000005</v>
      </c>
      <c r="J327" s="31">
        <f t="shared" ref="J327" si="178">I327+H327</f>
        <v>32645.800000000007</v>
      </c>
      <c r="K327" s="235"/>
      <c r="L327" s="235"/>
      <c r="M327" s="204"/>
    </row>
    <row r="328" spans="1:13" ht="15.75" customHeight="1">
      <c r="A328" s="222" t="s">
        <v>116</v>
      </c>
      <c r="B328" s="223"/>
      <c r="C328" s="223"/>
      <c r="D328" s="223"/>
      <c r="E328" s="223"/>
      <c r="F328" s="223"/>
      <c r="G328" s="224"/>
      <c r="H328" s="67">
        <f t="shared" ref="H328:I328" si="179">H327+H321+H317+H313+H311+H308+H306+H293+H291+H278+H277</f>
        <v>59015.189699999995</v>
      </c>
      <c r="I328" s="67">
        <f t="shared" si="179"/>
        <v>54031.11626955001</v>
      </c>
      <c r="J328" s="67">
        <f>J327+J321+J317+J313+J311+J308+J306+J293+J291+J278+J277</f>
        <v>113046.30596955003</v>
      </c>
      <c r="M328" s="156"/>
    </row>
    <row r="329" spans="1:13" ht="15.75" customHeight="1">
      <c r="A329" s="222" t="s">
        <v>341</v>
      </c>
      <c r="B329" s="223"/>
      <c r="C329" s="223"/>
      <c r="D329" s="223"/>
      <c r="E329" s="223"/>
      <c r="F329" s="223"/>
      <c r="G329" s="224"/>
      <c r="H329" s="67">
        <f t="shared" ref="H329:I329" si="180">H328+H275+H223+H159+H125</f>
        <v>542574.34720800002</v>
      </c>
      <c r="I329" s="67">
        <f t="shared" si="180"/>
        <v>894137.54211106966</v>
      </c>
      <c r="J329" s="67">
        <f>J328+J275+J223+J159+J125</f>
        <v>1436711.8893190699</v>
      </c>
      <c r="M329" s="156"/>
    </row>
    <row r="330" spans="1:13" ht="21" customHeight="1">
      <c r="A330" s="225" t="s">
        <v>76</v>
      </c>
      <c r="B330" s="226" t="s">
        <v>31</v>
      </c>
      <c r="C330" s="226"/>
      <c r="D330" s="226"/>
      <c r="E330" s="226"/>
      <c r="F330" s="226"/>
      <c r="G330" s="226"/>
      <c r="H330" s="226"/>
      <c r="I330" s="226"/>
      <c r="J330" s="227"/>
      <c r="M330" s="156"/>
    </row>
    <row r="331" spans="1:13">
      <c r="A331" s="71">
        <v>74</v>
      </c>
      <c r="B331" s="70" t="s">
        <v>225</v>
      </c>
      <c r="C331" s="8" t="s">
        <v>22</v>
      </c>
      <c r="D331" s="69">
        <v>1</v>
      </c>
      <c r="E331" s="32">
        <v>624</v>
      </c>
      <c r="F331" s="33">
        <f>I331/D331</f>
        <v>1287.8030000000001</v>
      </c>
      <c r="G331" s="33">
        <f t="shared" ref="G331" si="181">F331+E331</f>
        <v>1911.8030000000001</v>
      </c>
      <c r="H331" s="33">
        <f t="shared" ref="H331" si="182">E331*D331</f>
        <v>624</v>
      </c>
      <c r="I331" s="33">
        <f>SUM(I332)</f>
        <v>1287.8030000000001</v>
      </c>
      <c r="J331" s="31">
        <f t="shared" ref="J331" si="183">I331+H331</f>
        <v>1911.8030000000001</v>
      </c>
      <c r="K331" s="235">
        <f>I356+I354+I350+I347+I341+I339+I336+I333+I331</f>
        <v>57258.993000000002</v>
      </c>
      <c r="L331" s="235">
        <f>J356+J354+J350+J347+J341+J339+J336+J333+J331</f>
        <v>153206.39299999998</v>
      </c>
      <c r="M331" s="240">
        <v>1</v>
      </c>
    </row>
    <row r="332" spans="1:13" s="101" customFormat="1" ht="15.75" customHeight="1" outlineLevel="1">
      <c r="A332" s="100" t="s">
        <v>181</v>
      </c>
      <c r="B332" s="66" t="s">
        <v>226</v>
      </c>
      <c r="C332" s="28" t="s">
        <v>22</v>
      </c>
      <c r="D332" s="38">
        <f>D331</f>
        <v>1</v>
      </c>
      <c r="E332" s="67"/>
      <c r="F332" s="67">
        <f>1170.73*1.1</f>
        <v>1287.8030000000001</v>
      </c>
      <c r="G332" s="67"/>
      <c r="H332" s="67"/>
      <c r="I332" s="30">
        <f>F332*D332</f>
        <v>1287.8030000000001</v>
      </c>
      <c r="J332" s="67"/>
      <c r="K332" s="236"/>
      <c r="L332" s="236"/>
      <c r="M332" s="241"/>
    </row>
    <row r="333" spans="1:13" ht="30">
      <c r="A333" s="71">
        <v>75</v>
      </c>
      <c r="B333" s="70" t="s">
        <v>222</v>
      </c>
      <c r="C333" s="8" t="s">
        <v>22</v>
      </c>
      <c r="D333" s="69">
        <v>1</v>
      </c>
      <c r="E333" s="32">
        <v>960</v>
      </c>
      <c r="F333" s="33">
        <f>I333/D333</f>
        <v>2886.4</v>
      </c>
      <c r="G333" s="33">
        <f t="shared" ref="G333" si="184">F333+E333</f>
        <v>3846.4</v>
      </c>
      <c r="H333" s="33">
        <f t="shared" ref="H333" si="185">E333*D333</f>
        <v>960</v>
      </c>
      <c r="I333" s="33">
        <f>SUM(I334:I335)</f>
        <v>2886.4</v>
      </c>
      <c r="J333" s="31">
        <f t="shared" ref="J333" si="186">I333+H333</f>
        <v>3846.4</v>
      </c>
      <c r="K333" s="236"/>
      <c r="L333" s="236"/>
      <c r="M333" s="241"/>
    </row>
    <row r="334" spans="1:13" s="101" customFormat="1" ht="30" customHeight="1" outlineLevel="1">
      <c r="A334" s="100" t="s">
        <v>181</v>
      </c>
      <c r="B334" s="66" t="s">
        <v>224</v>
      </c>
      <c r="C334" s="28" t="s">
        <v>22</v>
      </c>
      <c r="D334" s="37">
        <f>D333</f>
        <v>1</v>
      </c>
      <c r="E334" s="67"/>
      <c r="F334" s="67">
        <v>2884</v>
      </c>
      <c r="G334" s="67"/>
      <c r="H334" s="67"/>
      <c r="I334" s="30">
        <f>F334*D334</f>
        <v>2884</v>
      </c>
      <c r="J334" s="67"/>
      <c r="K334" s="236"/>
      <c r="L334" s="236"/>
      <c r="M334" s="241"/>
    </row>
    <row r="335" spans="1:13" s="101" customFormat="1" ht="15.75" customHeight="1" outlineLevel="1">
      <c r="A335" s="100" t="s">
        <v>181</v>
      </c>
      <c r="B335" s="66" t="s">
        <v>87</v>
      </c>
      <c r="C335" s="28" t="s">
        <v>22</v>
      </c>
      <c r="D335" s="38">
        <f>4*D333</f>
        <v>4</v>
      </c>
      <c r="E335" s="67"/>
      <c r="F335" s="67">
        <f>F346</f>
        <v>0.6</v>
      </c>
      <c r="G335" s="67"/>
      <c r="H335" s="67"/>
      <c r="I335" s="30">
        <f>F335*D335</f>
        <v>2.4</v>
      </c>
      <c r="J335" s="67"/>
      <c r="K335" s="236"/>
      <c r="L335" s="236"/>
      <c r="M335" s="241"/>
    </row>
    <row r="336" spans="1:13">
      <c r="A336" s="71">
        <v>76</v>
      </c>
      <c r="B336" s="70" t="s">
        <v>223</v>
      </c>
      <c r="C336" s="8" t="s">
        <v>22</v>
      </c>
      <c r="D336" s="69">
        <v>5</v>
      </c>
      <c r="E336" s="32">
        <v>182.4</v>
      </c>
      <c r="F336" s="33">
        <f>I336/D336</f>
        <v>287.947</v>
      </c>
      <c r="G336" s="33">
        <f t="shared" ref="G336" si="187">F336+E336</f>
        <v>470.34699999999998</v>
      </c>
      <c r="H336" s="33">
        <f t="shared" ref="H336" si="188">E336*D336</f>
        <v>912</v>
      </c>
      <c r="I336" s="33">
        <f>SUM(I337:I338)</f>
        <v>1439.7350000000001</v>
      </c>
      <c r="J336" s="31">
        <f t="shared" ref="J336" si="189">I336+H336</f>
        <v>2351.7350000000001</v>
      </c>
      <c r="K336" s="236"/>
      <c r="L336" s="236"/>
      <c r="M336" s="241"/>
    </row>
    <row r="337" spans="1:13" s="101" customFormat="1" ht="15.75" customHeight="1" outlineLevel="1">
      <c r="A337" s="100" t="s">
        <v>181</v>
      </c>
      <c r="B337" s="66" t="s">
        <v>227</v>
      </c>
      <c r="C337" s="28" t="s">
        <v>22</v>
      </c>
      <c r="D337" s="38">
        <f>4</f>
        <v>4</v>
      </c>
      <c r="E337" s="67"/>
      <c r="F337" s="67">
        <f>175.32*1.1</f>
        <v>192.852</v>
      </c>
      <c r="G337" s="67"/>
      <c r="H337" s="67"/>
      <c r="I337" s="30">
        <f t="shared" ref="I337:I338" si="190">F337*D337</f>
        <v>771.40800000000002</v>
      </c>
      <c r="J337" s="67"/>
      <c r="K337" s="236"/>
      <c r="L337" s="236"/>
      <c r="M337" s="241"/>
    </row>
    <row r="338" spans="1:13" s="101" customFormat="1" ht="15.75" customHeight="1" outlineLevel="1">
      <c r="A338" s="100" t="s">
        <v>181</v>
      </c>
      <c r="B338" s="66" t="s">
        <v>229</v>
      </c>
      <c r="C338" s="28" t="s">
        <v>22</v>
      </c>
      <c r="D338" s="38">
        <f>1</f>
        <v>1</v>
      </c>
      <c r="E338" s="67"/>
      <c r="F338" s="67">
        <f>607.57*1.1</f>
        <v>668.32700000000011</v>
      </c>
      <c r="G338" s="67"/>
      <c r="H338" s="67"/>
      <c r="I338" s="30">
        <f t="shared" si="190"/>
        <v>668.32700000000011</v>
      </c>
      <c r="J338" s="67"/>
      <c r="K338" s="236"/>
      <c r="L338" s="236"/>
      <c r="M338" s="241"/>
    </row>
    <row r="339" spans="1:13">
      <c r="A339" s="71">
        <v>77</v>
      </c>
      <c r="B339" s="70" t="s">
        <v>266</v>
      </c>
      <c r="C339" s="8" t="s">
        <v>22</v>
      </c>
      <c r="D339" s="69">
        <v>10</v>
      </c>
      <c r="E339" s="32">
        <v>259.2</v>
      </c>
      <c r="F339" s="33">
        <f>I339/D339</f>
        <v>1973.4</v>
      </c>
      <c r="G339" s="33">
        <f t="shared" ref="G339" si="191">F339+E339</f>
        <v>2232.6</v>
      </c>
      <c r="H339" s="33">
        <f t="shared" ref="H339" si="192">E339*D339</f>
        <v>2592</v>
      </c>
      <c r="I339" s="33">
        <f>SUM(I340)</f>
        <v>19734</v>
      </c>
      <c r="J339" s="31">
        <f t="shared" ref="J339" si="193">I339+H339</f>
        <v>22326</v>
      </c>
      <c r="K339" s="236"/>
      <c r="L339" s="236"/>
      <c r="M339" s="241"/>
    </row>
    <row r="340" spans="1:13" s="101" customFormat="1" ht="15.75" customHeight="1" outlineLevel="1">
      <c r="A340" s="100" t="s">
        <v>181</v>
      </c>
      <c r="B340" s="66" t="s">
        <v>228</v>
      </c>
      <c r="C340" s="28" t="s">
        <v>22</v>
      </c>
      <c r="D340" s="38">
        <f>D339</f>
        <v>10</v>
      </c>
      <c r="E340" s="67"/>
      <c r="F340" s="67">
        <f>1794*1.1</f>
        <v>1973.4</v>
      </c>
      <c r="G340" s="67"/>
      <c r="H340" s="67"/>
      <c r="I340" s="30">
        <f>F340*D340</f>
        <v>19734</v>
      </c>
      <c r="J340" s="67"/>
      <c r="K340" s="236"/>
      <c r="L340" s="236"/>
      <c r="M340" s="241"/>
    </row>
    <row r="341" spans="1:13">
      <c r="A341" s="71">
        <v>78</v>
      </c>
      <c r="B341" s="70" t="s">
        <v>230</v>
      </c>
      <c r="C341" s="8" t="s">
        <v>29</v>
      </c>
      <c r="D341" s="69">
        <f>50+365+50</f>
        <v>465</v>
      </c>
      <c r="E341" s="32">
        <v>105</v>
      </c>
      <c r="F341" s="33">
        <f>I341/D341</f>
        <v>8.1688172043010745</v>
      </c>
      <c r="G341" s="33">
        <f t="shared" ref="G341" si="194">F341+E341</f>
        <v>113.16881720430108</v>
      </c>
      <c r="H341" s="33">
        <f t="shared" ref="H341" si="195">E341*D341</f>
        <v>48825</v>
      </c>
      <c r="I341" s="33">
        <f>SUM(I342:I346)</f>
        <v>3798.5</v>
      </c>
      <c r="J341" s="31">
        <f t="shared" ref="J341" si="196">I341+H341</f>
        <v>52623.5</v>
      </c>
      <c r="K341" s="236"/>
      <c r="L341" s="236"/>
      <c r="M341" s="241"/>
    </row>
    <row r="342" spans="1:13" s="101" customFormat="1" ht="15.75" customHeight="1" outlineLevel="1">
      <c r="A342" s="100" t="s">
        <v>181</v>
      </c>
      <c r="B342" s="66" t="s">
        <v>232</v>
      </c>
      <c r="C342" s="28" t="s">
        <v>0</v>
      </c>
      <c r="D342" s="38">
        <f>365+50</f>
        <v>415</v>
      </c>
      <c r="E342" s="67"/>
      <c r="F342" s="67">
        <f>4.92*1.1</f>
        <v>5.4119999999999999</v>
      </c>
      <c r="G342" s="67"/>
      <c r="H342" s="67"/>
      <c r="I342" s="30">
        <f>F342*D342</f>
        <v>2245.98</v>
      </c>
      <c r="J342" s="67"/>
      <c r="K342" s="236"/>
      <c r="L342" s="236"/>
      <c r="M342" s="241"/>
    </row>
    <row r="343" spans="1:13" s="101" customFormat="1" ht="15.75" customHeight="1" outlineLevel="1">
      <c r="A343" s="100" t="s">
        <v>181</v>
      </c>
      <c r="B343" s="66" t="s">
        <v>233</v>
      </c>
      <c r="C343" s="28" t="s">
        <v>29</v>
      </c>
      <c r="D343" s="38">
        <v>50</v>
      </c>
      <c r="E343" s="67"/>
      <c r="F343" s="67">
        <f>8.28*1.1</f>
        <v>9.1080000000000005</v>
      </c>
      <c r="G343" s="67"/>
      <c r="H343" s="67"/>
      <c r="I343" s="30">
        <f>F343*D343</f>
        <v>455.40000000000003</v>
      </c>
      <c r="J343" s="67"/>
      <c r="K343" s="236"/>
      <c r="L343" s="236"/>
      <c r="M343" s="241"/>
    </row>
    <row r="344" spans="1:13" s="101" customFormat="1" ht="15.75" customHeight="1" outlineLevel="1">
      <c r="A344" s="100" t="s">
        <v>181</v>
      </c>
      <c r="B344" s="66" t="s">
        <v>234</v>
      </c>
      <c r="C344" s="28" t="s">
        <v>22</v>
      </c>
      <c r="D344" s="38">
        <v>400</v>
      </c>
      <c r="E344" s="67"/>
      <c r="F344" s="67">
        <f>1.56*1.1</f>
        <v>1.7160000000000002</v>
      </c>
      <c r="G344" s="67"/>
      <c r="H344" s="67"/>
      <c r="I344" s="30">
        <f>F344*D344</f>
        <v>686.40000000000009</v>
      </c>
      <c r="J344" s="67"/>
      <c r="K344" s="236"/>
      <c r="L344" s="236"/>
      <c r="M344" s="241"/>
    </row>
    <row r="345" spans="1:13" s="101" customFormat="1" ht="15.75" customHeight="1" outlineLevel="1">
      <c r="A345" s="100" t="s">
        <v>181</v>
      </c>
      <c r="B345" s="66" t="s">
        <v>235</v>
      </c>
      <c r="C345" s="28" t="s">
        <v>22</v>
      </c>
      <c r="D345" s="38">
        <v>80</v>
      </c>
      <c r="E345" s="67"/>
      <c r="F345" s="67">
        <f>1.94*1.1</f>
        <v>2.1339999999999999</v>
      </c>
      <c r="G345" s="67"/>
      <c r="H345" s="67"/>
      <c r="I345" s="30">
        <f t="shared" ref="I345:I355" si="197">F345*D345</f>
        <v>170.72</v>
      </c>
      <c r="J345" s="67"/>
      <c r="K345" s="236"/>
      <c r="L345" s="236"/>
      <c r="M345" s="241"/>
    </row>
    <row r="346" spans="1:13" s="101" customFormat="1" ht="15.75" customHeight="1" outlineLevel="1">
      <c r="A346" s="100" t="s">
        <v>181</v>
      </c>
      <c r="B346" s="66" t="s">
        <v>87</v>
      </c>
      <c r="C346" s="28" t="s">
        <v>22</v>
      </c>
      <c r="D346" s="38">
        <v>400</v>
      </c>
      <c r="E346" s="67"/>
      <c r="F346" s="67">
        <f>Материал!G15</f>
        <v>0.6</v>
      </c>
      <c r="G346" s="67"/>
      <c r="H346" s="67"/>
      <c r="I346" s="30">
        <f t="shared" si="197"/>
        <v>240</v>
      </c>
      <c r="J346" s="67"/>
      <c r="K346" s="236"/>
      <c r="L346" s="236"/>
      <c r="M346" s="241"/>
    </row>
    <row r="347" spans="1:13">
      <c r="A347" s="71">
        <v>79</v>
      </c>
      <c r="B347" s="70" t="s">
        <v>239</v>
      </c>
      <c r="C347" s="8" t="s">
        <v>29</v>
      </c>
      <c r="D347" s="69">
        <v>9</v>
      </c>
      <c r="E347" s="32">
        <v>167.2</v>
      </c>
      <c r="F347" s="33">
        <f>I347/D347</f>
        <v>289.03722222222223</v>
      </c>
      <c r="G347" s="33">
        <f t="shared" ref="G347" si="198">F347+E347</f>
        <v>456.23722222222221</v>
      </c>
      <c r="H347" s="33">
        <f t="shared" ref="H347" si="199">E347*D347</f>
        <v>1504.8</v>
      </c>
      <c r="I347" s="33">
        <f>SUM(I348:I349)</f>
        <v>2601.335</v>
      </c>
      <c r="J347" s="31">
        <f t="shared" ref="J347" si="200">I347+H347</f>
        <v>4106.1350000000002</v>
      </c>
      <c r="K347" s="236"/>
      <c r="L347" s="236"/>
      <c r="M347" s="241"/>
    </row>
    <row r="348" spans="1:13" s="101" customFormat="1" ht="15.75" customHeight="1" outlineLevel="1">
      <c r="A348" s="100" t="s">
        <v>181</v>
      </c>
      <c r="B348" s="66" t="s">
        <v>240</v>
      </c>
      <c r="C348" s="28" t="s">
        <v>29</v>
      </c>
      <c r="D348" s="38">
        <f>D347*1.15</f>
        <v>10.35</v>
      </c>
      <c r="E348" s="67"/>
      <c r="F348" s="67">
        <f>220.8*1.1</f>
        <v>242.88000000000002</v>
      </c>
      <c r="G348" s="67"/>
      <c r="H348" s="67"/>
      <c r="I348" s="30">
        <f t="shared" ref="I348:I349" si="201">F348*D348</f>
        <v>2513.808</v>
      </c>
      <c r="J348" s="67"/>
      <c r="K348" s="236"/>
      <c r="L348" s="236"/>
      <c r="M348" s="241"/>
    </row>
    <row r="349" spans="1:13" s="101" customFormat="1" ht="15.75" customHeight="1" outlineLevel="1">
      <c r="A349" s="100" t="s">
        <v>181</v>
      </c>
      <c r="B349" s="66" t="s">
        <v>241</v>
      </c>
      <c r="C349" s="28" t="s">
        <v>22</v>
      </c>
      <c r="D349" s="38">
        <f>100</f>
        <v>100</v>
      </c>
      <c r="E349" s="67"/>
      <c r="F349" s="67">
        <f>79.57*1.1/100</f>
        <v>0.87526999999999999</v>
      </c>
      <c r="G349" s="67"/>
      <c r="H349" s="67"/>
      <c r="I349" s="30">
        <f t="shared" si="201"/>
        <v>87.527000000000001</v>
      </c>
      <c r="J349" s="67"/>
      <c r="K349" s="236"/>
      <c r="L349" s="236"/>
      <c r="M349" s="241"/>
    </row>
    <row r="350" spans="1:13" ht="30">
      <c r="A350" s="71">
        <v>80</v>
      </c>
      <c r="B350" s="70" t="s">
        <v>231</v>
      </c>
      <c r="C350" s="8" t="s">
        <v>29</v>
      </c>
      <c r="D350" s="69">
        <f>170+160+35+50</f>
        <v>415</v>
      </c>
      <c r="E350" s="32">
        <v>56.48</v>
      </c>
      <c r="F350" s="33">
        <f>I350/D350</f>
        <v>35.842572289156628</v>
      </c>
      <c r="G350" s="33">
        <f t="shared" ref="G350" si="202">F350+E350</f>
        <v>92.322572289156625</v>
      </c>
      <c r="H350" s="33">
        <f t="shared" ref="H350" si="203">E350*D350</f>
        <v>23439.199999999997</v>
      </c>
      <c r="I350" s="33">
        <f>SUM(I351:I353)</f>
        <v>14874.6675</v>
      </c>
      <c r="J350" s="31">
        <f t="shared" ref="J350" si="204">I350+H350</f>
        <v>38313.867499999993</v>
      </c>
      <c r="K350" s="236"/>
      <c r="L350" s="236"/>
      <c r="M350" s="241"/>
    </row>
    <row r="351" spans="1:13" s="101" customFormat="1" ht="15.75" customHeight="1" outlineLevel="1">
      <c r="A351" s="100" t="s">
        <v>181</v>
      </c>
      <c r="B351" s="66" t="s">
        <v>237</v>
      </c>
      <c r="C351" s="28" t="s">
        <v>29</v>
      </c>
      <c r="D351" s="38">
        <f>170*1.05</f>
        <v>178.5</v>
      </c>
      <c r="E351" s="67"/>
      <c r="F351" s="67">
        <f>21.49*1.1</f>
        <v>23.638999999999999</v>
      </c>
      <c r="G351" s="67"/>
      <c r="H351" s="67"/>
      <c r="I351" s="30">
        <f t="shared" si="197"/>
        <v>4219.5614999999998</v>
      </c>
      <c r="J351" s="67"/>
      <c r="K351" s="236"/>
      <c r="L351" s="236"/>
      <c r="M351" s="241"/>
    </row>
    <row r="352" spans="1:13" s="101" customFormat="1" ht="15.75" customHeight="1" outlineLevel="1">
      <c r="A352" s="100" t="s">
        <v>181</v>
      </c>
      <c r="B352" s="66" t="s">
        <v>236</v>
      </c>
      <c r="C352" s="28" t="s">
        <v>29</v>
      </c>
      <c r="D352" s="38">
        <f>160*1.05+50</f>
        <v>218</v>
      </c>
      <c r="E352" s="67"/>
      <c r="F352" s="67">
        <f>34.44*1.1</f>
        <v>37.884</v>
      </c>
      <c r="G352" s="67"/>
      <c r="H352" s="67"/>
      <c r="I352" s="30">
        <f t="shared" si="197"/>
        <v>8258.7119999999995</v>
      </c>
      <c r="J352" s="67"/>
      <c r="K352" s="236"/>
      <c r="L352" s="236"/>
      <c r="M352" s="241"/>
    </row>
    <row r="353" spans="1:13" s="101" customFormat="1" ht="15.75" customHeight="1" outlineLevel="1">
      <c r="A353" s="100" t="s">
        <v>181</v>
      </c>
      <c r="B353" s="66" t="s">
        <v>238</v>
      </c>
      <c r="C353" s="28" t="s">
        <v>29</v>
      </c>
      <c r="D353" s="38">
        <f>35*1.05</f>
        <v>36.75</v>
      </c>
      <c r="E353" s="67"/>
      <c r="F353" s="67">
        <f>59.28*1.1</f>
        <v>65.208000000000013</v>
      </c>
      <c r="G353" s="67"/>
      <c r="H353" s="67"/>
      <c r="I353" s="30">
        <f t="shared" si="197"/>
        <v>2396.3940000000007</v>
      </c>
      <c r="J353" s="67"/>
      <c r="K353" s="236"/>
      <c r="L353" s="236"/>
      <c r="M353" s="241"/>
    </row>
    <row r="354" spans="1:13">
      <c r="A354" s="71">
        <v>81</v>
      </c>
      <c r="B354" s="70" t="s">
        <v>242</v>
      </c>
      <c r="C354" s="8" t="s">
        <v>29</v>
      </c>
      <c r="D354" s="69">
        <f>50</f>
        <v>50</v>
      </c>
      <c r="E354" s="32">
        <v>144</v>
      </c>
      <c r="F354" s="33">
        <f>I354/D354</f>
        <v>165.63855000000001</v>
      </c>
      <c r="G354" s="33">
        <f t="shared" ref="G354" si="205">F354+E354</f>
        <v>309.63855000000001</v>
      </c>
      <c r="H354" s="33">
        <f t="shared" ref="H354" si="206">E354*D354</f>
        <v>7200</v>
      </c>
      <c r="I354" s="33">
        <f>SUM(I355)</f>
        <v>8281.9274999999998</v>
      </c>
      <c r="J354" s="31">
        <f t="shared" ref="J354" si="207">I354+H354</f>
        <v>15481.9275</v>
      </c>
      <c r="K354" s="236"/>
      <c r="L354" s="236"/>
      <c r="M354" s="241"/>
    </row>
    <row r="355" spans="1:13" s="101" customFormat="1" ht="15.75" customHeight="1" outlineLevel="1">
      <c r="A355" s="100" t="s">
        <v>181</v>
      </c>
      <c r="B355" s="66" t="s">
        <v>243</v>
      </c>
      <c r="C355" s="28" t="s">
        <v>29</v>
      </c>
      <c r="D355" s="38">
        <f>D354*1.05</f>
        <v>52.5</v>
      </c>
      <c r="E355" s="67"/>
      <c r="F355" s="67">
        <f>143.41*1.1</f>
        <v>157.751</v>
      </c>
      <c r="G355" s="67"/>
      <c r="H355" s="67"/>
      <c r="I355" s="30">
        <f t="shared" si="197"/>
        <v>8281.9274999999998</v>
      </c>
      <c r="J355" s="67"/>
      <c r="K355" s="236"/>
      <c r="L355" s="236"/>
      <c r="M355" s="241"/>
    </row>
    <row r="356" spans="1:13">
      <c r="A356" s="71">
        <v>82</v>
      </c>
      <c r="B356" s="70" t="s">
        <v>339</v>
      </c>
      <c r="C356" s="8" t="s">
        <v>29</v>
      </c>
      <c r="D356" s="69">
        <v>195</v>
      </c>
      <c r="E356" s="32">
        <v>50.72</v>
      </c>
      <c r="F356" s="33">
        <f>I356/D356</f>
        <v>12.074999999999999</v>
      </c>
      <c r="G356" s="33">
        <f t="shared" ref="G356" si="208">F356+E356</f>
        <v>62.795000000000002</v>
      </c>
      <c r="H356" s="33">
        <f t="shared" ref="H356" si="209">E356*D356</f>
        <v>9890.4</v>
      </c>
      <c r="I356" s="33">
        <f>SUM(I357)</f>
        <v>2354.625</v>
      </c>
      <c r="J356" s="31">
        <f t="shared" ref="J356" si="210">I356+H356</f>
        <v>12245.025</v>
      </c>
      <c r="K356" s="236"/>
      <c r="L356" s="236"/>
      <c r="M356" s="241"/>
    </row>
    <row r="357" spans="1:13" s="101" customFormat="1" ht="15.75" outlineLevel="1">
      <c r="A357" s="100" t="s">
        <v>181</v>
      </c>
      <c r="B357" s="66" t="s">
        <v>340</v>
      </c>
      <c r="C357" s="28" t="s">
        <v>29</v>
      </c>
      <c r="D357" s="38">
        <f>D356*1.05</f>
        <v>204.75</v>
      </c>
      <c r="E357" s="67"/>
      <c r="F357" s="67">
        <v>11.5</v>
      </c>
      <c r="G357" s="67"/>
      <c r="H357" s="67"/>
      <c r="I357" s="30">
        <f t="shared" ref="I357" si="211">F357*D357</f>
        <v>2354.625</v>
      </c>
      <c r="J357" s="67"/>
      <c r="M357" s="241"/>
    </row>
    <row r="358" spans="1:13" ht="30">
      <c r="A358" s="71">
        <v>83</v>
      </c>
      <c r="B358" s="181" t="s">
        <v>244</v>
      </c>
      <c r="C358" s="8" t="s">
        <v>22</v>
      </c>
      <c r="D358" s="69">
        <v>7</v>
      </c>
      <c r="E358" s="69">
        <v>40.32</v>
      </c>
      <c r="F358" s="33">
        <f t="shared" ref="F358:F359" si="212">I358/D358</f>
        <v>0</v>
      </c>
      <c r="G358" s="33">
        <f t="shared" ref="G358:G360" si="213">F358+E358</f>
        <v>40.32</v>
      </c>
      <c r="H358" s="33">
        <f t="shared" ref="H358:H360" si="214">E358*D358</f>
        <v>282.24</v>
      </c>
      <c r="I358" s="33">
        <v>0</v>
      </c>
      <c r="J358" s="31">
        <f t="shared" ref="J358:J360" si="215">I358+H358</f>
        <v>282.24</v>
      </c>
      <c r="K358" s="235">
        <f>I364+I360+I359+I358</f>
        <v>7306.8380000000016</v>
      </c>
      <c r="L358" s="235">
        <f>J364+J360+J359+J358</f>
        <v>14006.678000000002</v>
      </c>
      <c r="M358" s="241"/>
    </row>
    <row r="359" spans="1:13" ht="30">
      <c r="A359" s="71">
        <v>84</v>
      </c>
      <c r="B359" s="181" t="s">
        <v>245</v>
      </c>
      <c r="C359" s="8" t="s">
        <v>22</v>
      </c>
      <c r="D359" s="69">
        <v>28</v>
      </c>
      <c r="E359" s="69">
        <v>115.2</v>
      </c>
      <c r="F359" s="33">
        <f t="shared" si="212"/>
        <v>0</v>
      </c>
      <c r="G359" s="33">
        <f t="shared" si="213"/>
        <v>115.2</v>
      </c>
      <c r="H359" s="33">
        <f t="shared" si="214"/>
        <v>3225.6</v>
      </c>
      <c r="I359" s="33">
        <v>0</v>
      </c>
      <c r="J359" s="31">
        <f t="shared" si="215"/>
        <v>3225.6</v>
      </c>
      <c r="K359" s="236"/>
      <c r="L359" s="236"/>
      <c r="M359" s="242"/>
    </row>
    <row r="360" spans="1:13">
      <c r="A360" s="71">
        <v>85</v>
      </c>
      <c r="B360" s="70" t="s">
        <v>246</v>
      </c>
      <c r="C360" s="8" t="s">
        <v>22</v>
      </c>
      <c r="D360" s="69">
        <f>18+4</f>
        <v>22</v>
      </c>
      <c r="E360" s="32">
        <v>91.2</v>
      </c>
      <c r="F360" s="33">
        <f>I360/D360</f>
        <v>207.39400000000006</v>
      </c>
      <c r="G360" s="33">
        <f t="shared" si="213"/>
        <v>298.59400000000005</v>
      </c>
      <c r="H360" s="33">
        <f t="shared" si="214"/>
        <v>2006.4</v>
      </c>
      <c r="I360" s="33">
        <f>SUM(I361:I363)</f>
        <v>4562.6680000000015</v>
      </c>
      <c r="J360" s="31">
        <f t="shared" si="215"/>
        <v>6569.0680000000011</v>
      </c>
      <c r="K360" s="236"/>
      <c r="L360" s="236"/>
      <c r="M360" s="204">
        <v>2</v>
      </c>
    </row>
    <row r="361" spans="1:13" s="101" customFormat="1" ht="15.75" customHeight="1" outlineLevel="1">
      <c r="A361" s="100" t="s">
        <v>181</v>
      </c>
      <c r="B361" s="66" t="s">
        <v>248</v>
      </c>
      <c r="C361" s="28" t="s">
        <v>22</v>
      </c>
      <c r="D361" s="38">
        <f>D360</f>
        <v>22</v>
      </c>
      <c r="E361" s="67"/>
      <c r="F361" s="67">
        <f>6.25*1.1</f>
        <v>6.8750000000000009</v>
      </c>
      <c r="G361" s="67"/>
      <c r="H361" s="67"/>
      <c r="I361" s="30">
        <f t="shared" ref="I361:I362" si="216">F361*D361</f>
        <v>151.25000000000003</v>
      </c>
      <c r="J361" s="67"/>
      <c r="K361" s="236"/>
      <c r="L361" s="236"/>
      <c r="M361" s="204"/>
    </row>
    <row r="362" spans="1:13" s="101" customFormat="1" ht="15.75" customHeight="1" outlineLevel="1">
      <c r="A362" s="100" t="s">
        <v>181</v>
      </c>
      <c r="B362" s="66" t="s">
        <v>251</v>
      </c>
      <c r="C362" s="28" t="s">
        <v>22</v>
      </c>
      <c r="D362" s="38">
        <f>D360</f>
        <v>22</v>
      </c>
      <c r="E362" s="67"/>
      <c r="F362" s="67">
        <f>140.77*1.1</f>
        <v>154.84700000000004</v>
      </c>
      <c r="G362" s="67"/>
      <c r="H362" s="67"/>
      <c r="I362" s="30">
        <f t="shared" si="216"/>
        <v>3406.6340000000009</v>
      </c>
      <c r="J362" s="67"/>
      <c r="K362" s="236"/>
      <c r="L362" s="236"/>
      <c r="M362" s="204"/>
    </row>
    <row r="363" spans="1:13" s="101" customFormat="1" ht="15.75" customHeight="1" outlineLevel="1">
      <c r="A363" s="100" t="s">
        <v>181</v>
      </c>
      <c r="B363" s="66" t="s">
        <v>249</v>
      </c>
      <c r="C363" s="28" t="s">
        <v>22</v>
      </c>
      <c r="D363" s="38">
        <f>D360</f>
        <v>22</v>
      </c>
      <c r="E363" s="67"/>
      <c r="F363" s="67">
        <f>41.52*1.1</f>
        <v>45.672000000000004</v>
      </c>
      <c r="G363" s="67"/>
      <c r="H363" s="67"/>
      <c r="I363" s="30">
        <f t="shared" ref="I363" si="217">F363*D363</f>
        <v>1004.7840000000001</v>
      </c>
      <c r="J363" s="67"/>
      <c r="K363" s="236"/>
      <c r="L363" s="236"/>
      <c r="M363" s="204"/>
    </row>
    <row r="364" spans="1:13">
      <c r="A364" s="71">
        <v>86</v>
      </c>
      <c r="B364" s="70" t="s">
        <v>247</v>
      </c>
      <c r="C364" s="8" t="s">
        <v>22</v>
      </c>
      <c r="D364" s="69">
        <v>13</v>
      </c>
      <c r="E364" s="32">
        <v>91.2</v>
      </c>
      <c r="F364" s="33">
        <f>I364/D364</f>
        <v>211.09</v>
      </c>
      <c r="G364" s="33">
        <f t="shared" ref="G364" si="218">F364+E364</f>
        <v>302.29000000000002</v>
      </c>
      <c r="H364" s="33">
        <f t="shared" ref="H364" si="219">E364*D364</f>
        <v>1185.6000000000001</v>
      </c>
      <c r="I364" s="33">
        <f>SUM(I365:I367)</f>
        <v>2744.17</v>
      </c>
      <c r="J364" s="31">
        <f t="shared" ref="J364" si="220">I364+H364</f>
        <v>3929.7700000000004</v>
      </c>
      <c r="K364" s="236"/>
      <c r="L364" s="236"/>
      <c r="M364" s="204"/>
    </row>
    <row r="365" spans="1:13" s="101" customFormat="1" ht="15.75" outlineLevel="1">
      <c r="A365" s="100" t="s">
        <v>181</v>
      </c>
      <c r="B365" s="66" t="s">
        <v>248</v>
      </c>
      <c r="C365" s="28" t="s">
        <v>22</v>
      </c>
      <c r="D365" s="38">
        <f>D364</f>
        <v>13</v>
      </c>
      <c r="E365" s="67"/>
      <c r="F365" s="67">
        <f>F361</f>
        <v>6.8750000000000009</v>
      </c>
      <c r="G365" s="67"/>
      <c r="H365" s="67"/>
      <c r="I365" s="30">
        <f t="shared" ref="I365:I366" si="221">F365*D365</f>
        <v>89.375000000000014</v>
      </c>
      <c r="J365" s="67"/>
      <c r="M365" s="204"/>
    </row>
    <row r="366" spans="1:13" s="101" customFormat="1" ht="15.75" outlineLevel="1">
      <c r="A366" s="100" t="s">
        <v>181</v>
      </c>
      <c r="B366" s="66" t="s">
        <v>250</v>
      </c>
      <c r="C366" s="28" t="s">
        <v>22</v>
      </c>
      <c r="D366" s="38">
        <f>D364</f>
        <v>13</v>
      </c>
      <c r="E366" s="67"/>
      <c r="F366" s="67">
        <f>144.13*1.1</f>
        <v>158.54300000000001</v>
      </c>
      <c r="G366" s="67"/>
      <c r="H366" s="67"/>
      <c r="I366" s="30">
        <f t="shared" si="221"/>
        <v>2061.0590000000002</v>
      </c>
      <c r="J366" s="67"/>
      <c r="M366" s="204"/>
    </row>
    <row r="367" spans="1:13" s="101" customFormat="1" ht="15.75" outlineLevel="1">
      <c r="A367" s="100" t="s">
        <v>181</v>
      </c>
      <c r="B367" s="66" t="s">
        <v>249</v>
      </c>
      <c r="C367" s="28" t="s">
        <v>22</v>
      </c>
      <c r="D367" s="38">
        <f>D364</f>
        <v>13</v>
      </c>
      <c r="E367" s="67"/>
      <c r="F367" s="67">
        <f>F363</f>
        <v>45.672000000000004</v>
      </c>
      <c r="G367" s="67"/>
      <c r="H367" s="67"/>
      <c r="I367" s="30">
        <f t="shared" ref="I367" si="222">F367*D367</f>
        <v>593.7360000000001</v>
      </c>
      <c r="J367" s="67"/>
      <c r="M367" s="204"/>
    </row>
    <row r="368" spans="1:13" ht="30">
      <c r="A368" s="71">
        <v>87</v>
      </c>
      <c r="B368" s="70" t="s">
        <v>252</v>
      </c>
      <c r="C368" s="8" t="s">
        <v>22</v>
      </c>
      <c r="D368" s="69">
        <v>42</v>
      </c>
      <c r="E368" s="32">
        <v>364.8</v>
      </c>
      <c r="F368" s="33">
        <f>I368/D368</f>
        <v>3700</v>
      </c>
      <c r="G368" s="33">
        <f t="shared" ref="G368" si="223">F368+E368</f>
        <v>4064.8</v>
      </c>
      <c r="H368" s="33">
        <f t="shared" ref="H368" si="224">E368*D368</f>
        <v>15321.6</v>
      </c>
      <c r="I368" s="33">
        <f>SUM(I369)</f>
        <v>155400</v>
      </c>
      <c r="J368" s="31">
        <f t="shared" ref="J368" si="225">I368+H368</f>
        <v>170721.6</v>
      </c>
      <c r="K368" s="149">
        <f>I368</f>
        <v>155400</v>
      </c>
      <c r="L368" s="149">
        <f>J368</f>
        <v>170721.6</v>
      </c>
      <c r="M368" s="240">
        <v>3</v>
      </c>
    </row>
    <row r="369" spans="1:13" s="101" customFormat="1" ht="45" customHeight="1" outlineLevel="1">
      <c r="A369" s="100" t="s">
        <v>181</v>
      </c>
      <c r="B369" s="66" t="s">
        <v>257</v>
      </c>
      <c r="C369" s="28" t="s">
        <v>22</v>
      </c>
      <c r="D369" s="38">
        <f>D368</f>
        <v>42</v>
      </c>
      <c r="E369" s="67"/>
      <c r="F369" s="67">
        <v>3700</v>
      </c>
      <c r="G369" s="67"/>
      <c r="H369" s="67"/>
      <c r="I369" s="30">
        <f t="shared" ref="I369" si="226">F369*D369</f>
        <v>155400</v>
      </c>
      <c r="J369" s="67"/>
      <c r="M369" s="241"/>
    </row>
    <row r="370" spans="1:13" ht="30">
      <c r="A370" s="71">
        <v>88</v>
      </c>
      <c r="B370" s="70" t="s">
        <v>253</v>
      </c>
      <c r="C370" s="8" t="s">
        <v>22</v>
      </c>
      <c r="D370" s="69">
        <f>16+2</f>
        <v>18</v>
      </c>
      <c r="E370" s="32">
        <v>241.2</v>
      </c>
      <c r="F370" s="33">
        <f>I370/D370</f>
        <v>834.23767777777778</v>
      </c>
      <c r="G370" s="33">
        <f t="shared" ref="G370" si="227">F370+E370</f>
        <v>1075.4376777777777</v>
      </c>
      <c r="H370" s="33">
        <f t="shared" ref="H370" si="228">E370*D370</f>
        <v>4341.5999999999995</v>
      </c>
      <c r="I370" s="33">
        <f>SUM(I371:I373)</f>
        <v>15016.278200000001</v>
      </c>
      <c r="J370" s="31">
        <f t="shared" ref="J370" si="229">I370+H370</f>
        <v>19357.878199999999</v>
      </c>
      <c r="K370" s="149">
        <f>I370</f>
        <v>15016.278200000001</v>
      </c>
      <c r="L370" s="149">
        <f>J370</f>
        <v>19357.878199999999</v>
      </c>
      <c r="M370" s="241"/>
    </row>
    <row r="371" spans="1:13" s="101" customFormat="1" ht="30" customHeight="1" outlineLevel="1">
      <c r="A371" s="100" t="s">
        <v>181</v>
      </c>
      <c r="B371" s="66" t="s">
        <v>254</v>
      </c>
      <c r="C371" s="28" t="s">
        <v>22</v>
      </c>
      <c r="D371" s="38">
        <v>16</v>
      </c>
      <c r="E371" s="67"/>
      <c r="F371" s="67">
        <f>620.04*1.1</f>
        <v>682.04399999999998</v>
      </c>
      <c r="G371" s="67"/>
      <c r="H371" s="67"/>
      <c r="I371" s="30">
        <f t="shared" ref="I371:I375" si="230">F371*D371</f>
        <v>10912.704</v>
      </c>
      <c r="J371" s="67"/>
      <c r="M371" s="241"/>
    </row>
    <row r="372" spans="1:13" s="101" customFormat="1" ht="30" customHeight="1" outlineLevel="1">
      <c r="A372" s="100" t="s">
        <v>181</v>
      </c>
      <c r="B372" s="66" t="s">
        <v>256</v>
      </c>
      <c r="C372" s="28" t="s">
        <v>22</v>
      </c>
      <c r="D372" s="38">
        <v>2</v>
      </c>
      <c r="E372" s="67"/>
      <c r="F372" s="67">
        <f>930.01*1.1/2</f>
        <v>511.50550000000004</v>
      </c>
      <c r="G372" s="67"/>
      <c r="H372" s="67"/>
      <c r="I372" s="30">
        <f t="shared" ref="I372" si="231">F372*D372</f>
        <v>1023.0110000000001</v>
      </c>
      <c r="J372" s="67"/>
      <c r="M372" s="241"/>
    </row>
    <row r="373" spans="1:13" s="101" customFormat="1" ht="15.75" customHeight="1" outlineLevel="1">
      <c r="A373" s="100" t="s">
        <v>181</v>
      </c>
      <c r="B373" s="66" t="s">
        <v>255</v>
      </c>
      <c r="C373" s="28" t="s">
        <v>22</v>
      </c>
      <c r="D373" s="38">
        <f>(D371*4+D372*2)*1.1</f>
        <v>74.800000000000011</v>
      </c>
      <c r="E373" s="67"/>
      <c r="F373" s="67">
        <f>37.44*1.1</f>
        <v>41.183999999999997</v>
      </c>
      <c r="G373" s="67"/>
      <c r="H373" s="67"/>
      <c r="I373" s="30">
        <f t="shared" si="230"/>
        <v>3080.5632000000005</v>
      </c>
      <c r="J373" s="67"/>
      <c r="K373" s="153"/>
      <c r="M373" s="241"/>
    </row>
    <row r="374" spans="1:13">
      <c r="A374" s="71">
        <v>89</v>
      </c>
      <c r="B374" s="70" t="s">
        <v>258</v>
      </c>
      <c r="C374" s="8" t="s">
        <v>22</v>
      </c>
      <c r="D374" s="69">
        <v>22</v>
      </c>
      <c r="E374" s="32">
        <v>254.4</v>
      </c>
      <c r="F374" s="33">
        <f>I374/D374</f>
        <v>1498</v>
      </c>
      <c r="G374" s="33">
        <f t="shared" ref="G374" si="232">F374+E374</f>
        <v>1752.4</v>
      </c>
      <c r="H374" s="33">
        <f t="shared" ref="H374" si="233">E374*D374</f>
        <v>5596.8</v>
      </c>
      <c r="I374" s="33">
        <f>SUM(I375)</f>
        <v>32956</v>
      </c>
      <c r="J374" s="31">
        <f t="shared" ref="J374" si="234">I374+H374</f>
        <v>38552.800000000003</v>
      </c>
      <c r="K374" s="149">
        <f>I374</f>
        <v>32956</v>
      </c>
      <c r="L374" s="149">
        <f>J374</f>
        <v>38552.800000000003</v>
      </c>
      <c r="M374" s="241"/>
    </row>
    <row r="375" spans="1:13" s="101" customFormat="1" ht="15.75" outlineLevel="1">
      <c r="A375" s="100" t="s">
        <v>181</v>
      </c>
      <c r="B375" s="66" t="s">
        <v>259</v>
      </c>
      <c r="C375" s="28" t="s">
        <v>22</v>
      </c>
      <c r="D375" s="38">
        <f>D374</f>
        <v>22</v>
      </c>
      <c r="E375" s="67"/>
      <c r="F375" s="67">
        <v>1498</v>
      </c>
      <c r="G375" s="67"/>
      <c r="H375" s="67"/>
      <c r="I375" s="30">
        <f t="shared" si="230"/>
        <v>32956</v>
      </c>
      <c r="J375" s="67"/>
      <c r="M375" s="242"/>
    </row>
    <row r="376" spans="1:13" ht="30">
      <c r="A376" s="71">
        <v>90</v>
      </c>
      <c r="B376" s="70" t="s">
        <v>265</v>
      </c>
      <c r="C376" s="8" t="s">
        <v>22</v>
      </c>
      <c r="D376" s="69">
        <v>23</v>
      </c>
      <c r="E376" s="32">
        <v>55</v>
      </c>
      <c r="F376" s="33">
        <f>I376/D376</f>
        <v>0</v>
      </c>
      <c r="G376" s="33">
        <f>F376+E376</f>
        <v>55</v>
      </c>
      <c r="H376" s="33">
        <f t="shared" ref="H376" si="235">E376*D376</f>
        <v>1265</v>
      </c>
      <c r="I376" s="33">
        <v>0</v>
      </c>
      <c r="J376" s="31">
        <f t="shared" ref="J376" si="236">I376+H376</f>
        <v>1265</v>
      </c>
      <c r="K376" s="149">
        <f>I376</f>
        <v>0</v>
      </c>
      <c r="L376" s="149">
        <f>J376</f>
        <v>1265</v>
      </c>
      <c r="M376" s="71">
        <v>1</v>
      </c>
    </row>
    <row r="377" spans="1:13">
      <c r="A377" s="71">
        <v>91</v>
      </c>
      <c r="B377" s="70" t="s">
        <v>277</v>
      </c>
      <c r="C377" s="8" t="s">
        <v>22</v>
      </c>
      <c r="D377" s="69">
        <v>2</v>
      </c>
      <c r="E377" s="32">
        <v>680</v>
      </c>
      <c r="F377" s="33">
        <f>I377/D377</f>
        <v>4800</v>
      </c>
      <c r="G377" s="33">
        <f t="shared" ref="G377" si="237">F377+E377</f>
        <v>5480</v>
      </c>
      <c r="H377" s="33">
        <f t="shared" ref="H377" si="238">E377*D377</f>
        <v>1360</v>
      </c>
      <c r="I377" s="33">
        <f>SUM(I378:I378)</f>
        <v>9600</v>
      </c>
      <c r="J377" s="31">
        <f t="shared" ref="J377" si="239">I377+H377</f>
        <v>10960</v>
      </c>
      <c r="K377" s="235">
        <f>I379+I377</f>
        <v>21100</v>
      </c>
      <c r="L377" s="235">
        <f>J379+J377</f>
        <v>23820</v>
      </c>
      <c r="M377" s="240">
        <v>3</v>
      </c>
    </row>
    <row r="378" spans="1:13" s="101" customFormat="1" ht="15.75" customHeight="1" outlineLevel="1">
      <c r="A378" s="100" t="s">
        <v>181</v>
      </c>
      <c r="B378" s="66" t="s">
        <v>278</v>
      </c>
      <c r="C378" s="28" t="s">
        <v>22</v>
      </c>
      <c r="D378" s="38">
        <f>D377</f>
        <v>2</v>
      </c>
      <c r="E378" s="67"/>
      <c r="F378" s="67">
        <v>4800</v>
      </c>
      <c r="G378" s="67"/>
      <c r="H378" s="67"/>
      <c r="I378" s="30">
        <f t="shared" ref="I378" si="240">F378*D378</f>
        <v>9600</v>
      </c>
      <c r="J378" s="67"/>
      <c r="K378" s="236"/>
      <c r="L378" s="236"/>
      <c r="M378" s="241"/>
    </row>
    <row r="379" spans="1:13" ht="30">
      <c r="A379" s="71">
        <v>92</v>
      </c>
      <c r="B379" s="70" t="s">
        <v>279</v>
      </c>
      <c r="C379" s="8" t="s">
        <v>22</v>
      </c>
      <c r="D379" s="69">
        <v>2</v>
      </c>
      <c r="E379" s="32">
        <v>680</v>
      </c>
      <c r="F379" s="33">
        <f>I379/D379</f>
        <v>5750</v>
      </c>
      <c r="G379" s="33">
        <f t="shared" ref="G379" si="241">F379+E379</f>
        <v>6430</v>
      </c>
      <c r="H379" s="33">
        <f t="shared" ref="H379" si="242">E379*D379</f>
        <v>1360</v>
      </c>
      <c r="I379" s="33">
        <f>SUM(I380:I380)</f>
        <v>11500</v>
      </c>
      <c r="J379" s="31">
        <f t="shared" ref="J379" si="243">I379+H379</f>
        <v>12860</v>
      </c>
      <c r="K379" s="236"/>
      <c r="L379" s="236"/>
      <c r="M379" s="241"/>
    </row>
    <row r="380" spans="1:13" s="101" customFormat="1" ht="15.75" outlineLevel="1">
      <c r="A380" s="100" t="s">
        <v>181</v>
      </c>
      <c r="B380" s="66" t="s">
        <v>280</v>
      </c>
      <c r="C380" s="28" t="s">
        <v>22</v>
      </c>
      <c r="D380" s="38">
        <f>D379</f>
        <v>2</v>
      </c>
      <c r="E380" s="67"/>
      <c r="F380" s="67">
        <v>5750</v>
      </c>
      <c r="G380" s="67"/>
      <c r="H380" s="67"/>
      <c r="I380" s="30">
        <f t="shared" ref="I380" si="244">F380*D380</f>
        <v>11500</v>
      </c>
      <c r="J380" s="67"/>
      <c r="M380" s="242"/>
    </row>
    <row r="381" spans="1:13" ht="15.75" customHeight="1">
      <c r="A381" s="222" t="s">
        <v>116</v>
      </c>
      <c r="B381" s="223"/>
      <c r="C381" s="223"/>
      <c r="D381" s="223"/>
      <c r="E381" s="223"/>
      <c r="F381" s="223"/>
      <c r="G381" s="224"/>
      <c r="H381" s="67">
        <f t="shared" ref="H381:I381" si="245">H376+H374+H370+H368+H364+H360+H359+H358+H354+H350+H347+H341+H339+H336+H333+H331+H377+H379+H356</f>
        <v>131892.24</v>
      </c>
      <c r="I381" s="67">
        <f t="shared" si="245"/>
        <v>289038.10920000001</v>
      </c>
      <c r="J381" s="67">
        <f>J376+J374+J370+J368+J364+J360+J359+J358+J354+J350+J347+J341+J339+J336+J333+J331+J377+J379+J356</f>
        <v>420930.3492</v>
      </c>
      <c r="M381" s="156"/>
    </row>
    <row r="382" spans="1:13" ht="21" customHeight="1">
      <c r="A382" s="225" t="s">
        <v>272</v>
      </c>
      <c r="B382" s="226" t="s">
        <v>31</v>
      </c>
      <c r="C382" s="226"/>
      <c r="D382" s="226"/>
      <c r="E382" s="226"/>
      <c r="F382" s="226"/>
      <c r="G382" s="226"/>
      <c r="H382" s="226"/>
      <c r="I382" s="226"/>
      <c r="J382" s="227"/>
      <c r="M382" s="156"/>
    </row>
    <row r="383" spans="1:13">
      <c r="A383" s="71">
        <v>93</v>
      </c>
      <c r="B383" s="70" t="s">
        <v>270</v>
      </c>
      <c r="C383" s="8" t="s">
        <v>22</v>
      </c>
      <c r="D383" s="69">
        <v>1</v>
      </c>
      <c r="E383" s="32">
        <v>1600</v>
      </c>
      <c r="F383" s="33">
        <f>I383/D383</f>
        <v>4250</v>
      </c>
      <c r="G383" s="33">
        <f t="shared" ref="G383" si="246">F383+E383</f>
        <v>5850</v>
      </c>
      <c r="H383" s="33">
        <f t="shared" ref="H383" si="247">E383*D383</f>
        <v>1600</v>
      </c>
      <c r="I383" s="33">
        <f>SUM(I384:I385)</f>
        <v>4250</v>
      </c>
      <c r="J383" s="31">
        <f t="shared" ref="J383" si="248">I383+H383</f>
        <v>5850</v>
      </c>
      <c r="K383" s="235">
        <f>I396+I394+I392+I390+I386+I383</f>
        <v>39187</v>
      </c>
      <c r="L383" s="235">
        <f>J396+J394+J392+J390+J386+J383</f>
        <v>47907</v>
      </c>
      <c r="M383" s="240">
        <v>3</v>
      </c>
    </row>
    <row r="384" spans="1:13" s="101" customFormat="1" ht="15.75" customHeight="1" outlineLevel="1">
      <c r="A384" s="100" t="s">
        <v>181</v>
      </c>
      <c r="B384" s="66" t="s">
        <v>271</v>
      </c>
      <c r="C384" s="28" t="s">
        <v>22</v>
      </c>
      <c r="D384" s="38">
        <f>D383</f>
        <v>1</v>
      </c>
      <c r="E384" s="67"/>
      <c r="F384" s="67">
        <v>3900</v>
      </c>
      <c r="G384" s="67"/>
      <c r="H384" s="67"/>
      <c r="I384" s="30">
        <f t="shared" ref="I384" si="249">F384*D384</f>
        <v>3900</v>
      </c>
      <c r="J384" s="67"/>
      <c r="K384" s="236"/>
      <c r="L384" s="236"/>
      <c r="M384" s="241"/>
    </row>
    <row r="385" spans="1:13" s="101" customFormat="1" ht="15.75" customHeight="1" outlineLevel="1">
      <c r="A385" s="100" t="s">
        <v>181</v>
      </c>
      <c r="B385" s="66" t="s">
        <v>274</v>
      </c>
      <c r="C385" s="28" t="s">
        <v>22</v>
      </c>
      <c r="D385" s="38">
        <f>D384</f>
        <v>1</v>
      </c>
      <c r="E385" s="67"/>
      <c r="F385" s="67">
        <v>350</v>
      </c>
      <c r="G385" s="67"/>
      <c r="H385" s="67"/>
      <c r="I385" s="30">
        <f t="shared" ref="I385" si="250">F385*D385</f>
        <v>350</v>
      </c>
      <c r="J385" s="67"/>
      <c r="K385" s="236"/>
      <c r="L385" s="236"/>
      <c r="M385" s="241"/>
    </row>
    <row r="386" spans="1:13" ht="30">
      <c r="A386" s="71">
        <v>94</v>
      </c>
      <c r="B386" s="70" t="s">
        <v>275</v>
      </c>
      <c r="C386" s="8" t="s">
        <v>22</v>
      </c>
      <c r="D386" s="69">
        <v>3</v>
      </c>
      <c r="E386" s="32">
        <v>1300</v>
      </c>
      <c r="F386" s="33">
        <f>I386/D386</f>
        <v>5200</v>
      </c>
      <c r="G386" s="33">
        <f t="shared" ref="G386" si="251">F386+E386</f>
        <v>6500</v>
      </c>
      <c r="H386" s="33">
        <f t="shared" ref="H386" si="252">E386*D386</f>
        <v>3900</v>
      </c>
      <c r="I386" s="33">
        <f>SUM(I387:I389)</f>
        <v>15600</v>
      </c>
      <c r="J386" s="31">
        <f t="shared" ref="J386" si="253">I386+H386</f>
        <v>19500</v>
      </c>
      <c r="K386" s="236"/>
      <c r="L386" s="236"/>
      <c r="M386" s="241"/>
    </row>
    <row r="387" spans="1:13" s="101" customFormat="1" ht="15.75" customHeight="1" outlineLevel="1">
      <c r="A387" s="100" t="s">
        <v>181</v>
      </c>
      <c r="B387" s="66" t="s">
        <v>273</v>
      </c>
      <c r="C387" s="28" t="s">
        <v>22</v>
      </c>
      <c r="D387" s="38">
        <f>D386</f>
        <v>3</v>
      </c>
      <c r="E387" s="67"/>
      <c r="F387" s="67">
        <v>2300</v>
      </c>
      <c r="G387" s="67"/>
      <c r="H387" s="67"/>
      <c r="I387" s="30">
        <f t="shared" ref="I387" si="254">F387*D387</f>
        <v>6900</v>
      </c>
      <c r="J387" s="67"/>
      <c r="K387" s="236"/>
      <c r="L387" s="236"/>
      <c r="M387" s="241"/>
    </row>
    <row r="388" spans="1:13" s="101" customFormat="1" ht="15.75" customHeight="1" outlineLevel="1">
      <c r="A388" s="100" t="s">
        <v>181</v>
      </c>
      <c r="B388" s="66" t="s">
        <v>276</v>
      </c>
      <c r="C388" s="28" t="s">
        <v>22</v>
      </c>
      <c r="D388" s="38">
        <f>D387</f>
        <v>3</v>
      </c>
      <c r="E388" s="67"/>
      <c r="F388" s="67">
        <v>2600</v>
      </c>
      <c r="G388" s="67"/>
      <c r="H388" s="67"/>
      <c r="I388" s="30">
        <f t="shared" ref="I388" si="255">F388*D388</f>
        <v>7800</v>
      </c>
      <c r="J388" s="67"/>
      <c r="K388" s="236"/>
      <c r="L388" s="236"/>
      <c r="M388" s="241"/>
    </row>
    <row r="389" spans="1:13" s="101" customFormat="1" ht="15.75" customHeight="1" outlineLevel="1">
      <c r="A389" s="100" t="s">
        <v>181</v>
      </c>
      <c r="B389" s="66" t="s">
        <v>486</v>
      </c>
      <c r="C389" s="28" t="s">
        <v>22</v>
      </c>
      <c r="D389" s="38">
        <f>D387</f>
        <v>3</v>
      </c>
      <c r="E389" s="67"/>
      <c r="F389" s="67">
        <v>300</v>
      </c>
      <c r="G389" s="67"/>
      <c r="H389" s="67"/>
      <c r="I389" s="30">
        <f t="shared" ref="I389" si="256">F389*D389</f>
        <v>900</v>
      </c>
      <c r="J389" s="67"/>
      <c r="K389" s="236"/>
      <c r="L389" s="236"/>
      <c r="M389" s="241"/>
    </row>
    <row r="390" spans="1:13">
      <c r="A390" s="71">
        <v>95</v>
      </c>
      <c r="B390" s="70" t="s">
        <v>281</v>
      </c>
      <c r="C390" s="8" t="s">
        <v>22</v>
      </c>
      <c r="D390" s="69">
        <v>3</v>
      </c>
      <c r="E390" s="32">
        <v>230</v>
      </c>
      <c r="F390" s="33">
        <f>I390/D390</f>
        <v>759.00000000000011</v>
      </c>
      <c r="G390" s="33">
        <f t="shared" ref="G390" si="257">F390+E390</f>
        <v>989.00000000000011</v>
      </c>
      <c r="H390" s="33">
        <f t="shared" ref="H390" si="258">E390*D390</f>
        <v>690</v>
      </c>
      <c r="I390" s="33">
        <f>SUM(I391:I391)</f>
        <v>2277.0000000000005</v>
      </c>
      <c r="J390" s="31">
        <f t="shared" ref="J390" si="259">I390+H390</f>
        <v>2967.0000000000005</v>
      </c>
      <c r="K390" s="236"/>
      <c r="L390" s="236"/>
      <c r="M390" s="241"/>
    </row>
    <row r="391" spans="1:13" s="101" customFormat="1" ht="15.75" customHeight="1" outlineLevel="1">
      <c r="A391" s="100" t="s">
        <v>181</v>
      </c>
      <c r="B391" s="66" t="s">
        <v>282</v>
      </c>
      <c r="C391" s="28" t="s">
        <v>22</v>
      </c>
      <c r="D391" s="38">
        <f>D390</f>
        <v>3</v>
      </c>
      <c r="E391" s="67"/>
      <c r="F391" s="67">
        <f>690*1.1</f>
        <v>759.00000000000011</v>
      </c>
      <c r="G391" s="67"/>
      <c r="H391" s="67"/>
      <c r="I391" s="30">
        <f t="shared" ref="I391" si="260">F391*D391</f>
        <v>2277.0000000000005</v>
      </c>
      <c r="J391" s="67"/>
      <c r="K391" s="236"/>
      <c r="L391" s="236"/>
      <c r="M391" s="241"/>
    </row>
    <row r="392" spans="1:13">
      <c r="A392" s="71">
        <v>96</v>
      </c>
      <c r="B392" s="70" t="s">
        <v>283</v>
      </c>
      <c r="C392" s="8" t="s">
        <v>22</v>
      </c>
      <c r="D392" s="69">
        <v>1</v>
      </c>
      <c r="E392" s="32">
        <v>230</v>
      </c>
      <c r="F392" s="33">
        <f>I392/D392</f>
        <v>3200</v>
      </c>
      <c r="G392" s="33">
        <f t="shared" ref="G392" si="261">F392+E392</f>
        <v>3430</v>
      </c>
      <c r="H392" s="33">
        <f t="shared" ref="H392" si="262">E392*D392</f>
        <v>230</v>
      </c>
      <c r="I392" s="33">
        <f>SUM(I393:I393)</f>
        <v>3200</v>
      </c>
      <c r="J392" s="31">
        <f t="shared" ref="J392" si="263">I392+H392</f>
        <v>3430</v>
      </c>
      <c r="K392" s="236"/>
      <c r="L392" s="236"/>
      <c r="M392" s="241"/>
    </row>
    <row r="393" spans="1:13" s="101" customFormat="1" ht="30" customHeight="1" outlineLevel="1">
      <c r="A393" s="100" t="s">
        <v>181</v>
      </c>
      <c r="B393" s="66" t="s">
        <v>284</v>
      </c>
      <c r="C393" s="28" t="s">
        <v>22</v>
      </c>
      <c r="D393" s="38">
        <f>D392</f>
        <v>1</v>
      </c>
      <c r="E393" s="67"/>
      <c r="F393" s="67">
        <v>3200</v>
      </c>
      <c r="G393" s="67"/>
      <c r="H393" s="67"/>
      <c r="I393" s="30">
        <f t="shared" ref="I393" si="264">F393*D393</f>
        <v>3200</v>
      </c>
      <c r="J393" s="67"/>
      <c r="K393" s="236"/>
      <c r="L393" s="236"/>
      <c r="M393" s="241"/>
    </row>
    <row r="394" spans="1:13" ht="30">
      <c r="A394" s="71">
        <v>97</v>
      </c>
      <c r="B394" s="70" t="s">
        <v>285</v>
      </c>
      <c r="C394" s="8" t="s">
        <v>22</v>
      </c>
      <c r="D394" s="69">
        <v>1</v>
      </c>
      <c r="E394" s="32">
        <v>230</v>
      </c>
      <c r="F394" s="33">
        <f>I394/D394</f>
        <v>3150</v>
      </c>
      <c r="G394" s="33">
        <f t="shared" ref="G394" si="265">F394+E394</f>
        <v>3380</v>
      </c>
      <c r="H394" s="33">
        <f t="shared" ref="H394" si="266">E394*D394</f>
        <v>230</v>
      </c>
      <c r="I394" s="33">
        <f>SUM(I395:I395)</f>
        <v>3150</v>
      </c>
      <c r="J394" s="31">
        <f t="shared" ref="J394" si="267">I394+H394</f>
        <v>3380</v>
      </c>
      <c r="K394" s="236"/>
      <c r="L394" s="236"/>
      <c r="M394" s="241"/>
    </row>
    <row r="395" spans="1:13" s="101" customFormat="1" ht="15.75" customHeight="1" outlineLevel="1">
      <c r="A395" s="100" t="s">
        <v>181</v>
      </c>
      <c r="B395" s="66" t="s">
        <v>286</v>
      </c>
      <c r="C395" s="28" t="s">
        <v>22</v>
      </c>
      <c r="D395" s="38">
        <f>D394</f>
        <v>1</v>
      </c>
      <c r="E395" s="67"/>
      <c r="F395" s="67">
        <v>3150</v>
      </c>
      <c r="G395" s="67"/>
      <c r="H395" s="67"/>
      <c r="I395" s="30">
        <f t="shared" ref="I395" si="268">F395*D395</f>
        <v>3150</v>
      </c>
      <c r="J395" s="67"/>
      <c r="K395" s="236"/>
      <c r="L395" s="236"/>
      <c r="M395" s="241"/>
    </row>
    <row r="396" spans="1:13">
      <c r="A396" s="71">
        <v>98</v>
      </c>
      <c r="B396" s="70" t="s">
        <v>287</v>
      </c>
      <c r="C396" s="8" t="s">
        <v>22</v>
      </c>
      <c r="D396" s="69">
        <v>3</v>
      </c>
      <c r="E396" s="32">
        <v>690</v>
      </c>
      <c r="F396" s="33">
        <f>I396/D396</f>
        <v>3570</v>
      </c>
      <c r="G396" s="33">
        <f t="shared" ref="G396" si="269">F396+E396</f>
        <v>4260</v>
      </c>
      <c r="H396" s="33">
        <f t="shared" ref="H396" si="270">E396*D396</f>
        <v>2070</v>
      </c>
      <c r="I396" s="33">
        <f>SUM(I397:I397)</f>
        <v>10710</v>
      </c>
      <c r="J396" s="31">
        <f t="shared" ref="J396" si="271">I396+H396</f>
        <v>12780</v>
      </c>
      <c r="K396" s="236"/>
      <c r="L396" s="236"/>
      <c r="M396" s="241"/>
    </row>
    <row r="397" spans="1:13" s="101" customFormat="1" ht="15.75" outlineLevel="1">
      <c r="A397" s="100" t="s">
        <v>181</v>
      </c>
      <c r="B397" s="66" t="s">
        <v>288</v>
      </c>
      <c r="C397" s="28" t="s">
        <v>22</v>
      </c>
      <c r="D397" s="38">
        <f>D396</f>
        <v>3</v>
      </c>
      <c r="E397" s="67"/>
      <c r="F397" s="67">
        <v>3570</v>
      </c>
      <c r="G397" s="67"/>
      <c r="H397" s="67"/>
      <c r="I397" s="30">
        <f t="shared" ref="I397" si="272">F397*D397</f>
        <v>10710</v>
      </c>
      <c r="J397" s="67"/>
      <c r="M397" s="242"/>
    </row>
    <row r="398" spans="1:13" ht="15.75" customHeight="1">
      <c r="A398" s="222" t="s">
        <v>116</v>
      </c>
      <c r="B398" s="223"/>
      <c r="C398" s="223"/>
      <c r="D398" s="223"/>
      <c r="E398" s="223"/>
      <c r="F398" s="223"/>
      <c r="G398" s="224"/>
      <c r="H398" s="67">
        <f t="shared" ref="H398:I398" si="273">H396+H394+H392+H390+H386+H383</f>
        <v>8720</v>
      </c>
      <c r="I398" s="67">
        <f t="shared" si="273"/>
        <v>39187</v>
      </c>
      <c r="J398" s="67">
        <f>J396+J394+J392+J390+J386+J383</f>
        <v>47907</v>
      </c>
      <c r="M398" s="156"/>
    </row>
    <row r="399" spans="1:13" ht="21" customHeight="1">
      <c r="A399" s="225" t="s">
        <v>260</v>
      </c>
      <c r="B399" s="226" t="s">
        <v>31</v>
      </c>
      <c r="C399" s="226"/>
      <c r="D399" s="226"/>
      <c r="E399" s="226"/>
      <c r="F399" s="226"/>
      <c r="G399" s="226"/>
      <c r="H399" s="226"/>
      <c r="I399" s="226"/>
      <c r="J399" s="227"/>
      <c r="M399" s="156"/>
    </row>
    <row r="400" spans="1:13" ht="30">
      <c r="A400" s="71">
        <v>99</v>
      </c>
      <c r="B400" s="70" t="s">
        <v>261</v>
      </c>
      <c r="C400" s="8" t="s">
        <v>22</v>
      </c>
      <c r="D400" s="69">
        <v>1</v>
      </c>
      <c r="E400" s="32">
        <v>108664</v>
      </c>
      <c r="F400" s="33">
        <f>I400/D400</f>
        <v>581677.22399999993</v>
      </c>
      <c r="G400" s="33">
        <f t="shared" ref="G400" si="274">F400+E400</f>
        <v>690341.22399999993</v>
      </c>
      <c r="H400" s="33">
        <f t="shared" ref="H400" si="275">E400*D400</f>
        <v>108664</v>
      </c>
      <c r="I400" s="33">
        <f>SUM(I401:I417)</f>
        <v>581677.22399999993</v>
      </c>
      <c r="J400" s="31">
        <f t="shared" ref="J400" si="276">I400+H400</f>
        <v>690341.22399999993</v>
      </c>
      <c r="K400" s="149">
        <f>I400</f>
        <v>581677.22399999993</v>
      </c>
      <c r="L400" s="149">
        <f>J400</f>
        <v>690341.22399999993</v>
      </c>
      <c r="M400" s="243">
        <v>1</v>
      </c>
    </row>
    <row r="401" spans="1:13" s="101" customFormat="1" ht="15.75" outlineLevel="1">
      <c r="A401" s="100" t="s">
        <v>181</v>
      </c>
      <c r="B401" s="66" t="s">
        <v>289</v>
      </c>
      <c r="C401" s="28" t="s">
        <v>22</v>
      </c>
      <c r="D401" s="38">
        <v>1</v>
      </c>
      <c r="E401" s="67"/>
      <c r="F401" s="67">
        <f>132881*1.18</f>
        <v>156799.57999999999</v>
      </c>
      <c r="G401" s="67"/>
      <c r="H401" s="67"/>
      <c r="I401" s="30">
        <f t="shared" ref="I401" si="277">F401*D401</f>
        <v>156799.57999999999</v>
      </c>
      <c r="J401" s="67"/>
      <c r="M401" s="244"/>
    </row>
    <row r="402" spans="1:13" s="101" customFormat="1" ht="15.75" outlineLevel="1">
      <c r="A402" s="100" t="s">
        <v>181</v>
      </c>
      <c r="B402" s="66" t="s">
        <v>290</v>
      </c>
      <c r="C402" s="28" t="s">
        <v>22</v>
      </c>
      <c r="D402" s="38">
        <v>1</v>
      </c>
      <c r="E402" s="67"/>
      <c r="F402" s="67">
        <f>46043*1.18</f>
        <v>54330.74</v>
      </c>
      <c r="G402" s="67"/>
      <c r="H402" s="67"/>
      <c r="I402" s="30">
        <f t="shared" ref="I402" si="278">F402*D402</f>
        <v>54330.74</v>
      </c>
      <c r="J402" s="67"/>
      <c r="M402" s="244"/>
    </row>
    <row r="403" spans="1:13" s="101" customFormat="1" ht="15.75" outlineLevel="1">
      <c r="A403" s="100" t="s">
        <v>181</v>
      </c>
      <c r="B403" s="66" t="s">
        <v>291</v>
      </c>
      <c r="C403" s="28" t="s">
        <v>22</v>
      </c>
      <c r="D403" s="38">
        <v>2</v>
      </c>
      <c r="E403" s="67"/>
      <c r="F403" s="67">
        <f>2500*1.18</f>
        <v>2950</v>
      </c>
      <c r="G403" s="67"/>
      <c r="H403" s="67"/>
      <c r="I403" s="30">
        <f t="shared" ref="I403:I413" si="279">F403*D403</f>
        <v>5900</v>
      </c>
      <c r="J403" s="67"/>
      <c r="M403" s="244"/>
    </row>
    <row r="404" spans="1:13" s="101" customFormat="1" ht="15.75" outlineLevel="1">
      <c r="A404" s="100" t="s">
        <v>181</v>
      </c>
      <c r="B404" s="66" t="s">
        <v>292</v>
      </c>
      <c r="C404" s="28" t="s">
        <v>22</v>
      </c>
      <c r="D404" s="38">
        <v>1</v>
      </c>
      <c r="E404" s="67"/>
      <c r="F404" s="67">
        <f>1980*1.18</f>
        <v>2336.4</v>
      </c>
      <c r="G404" s="67"/>
      <c r="H404" s="67"/>
      <c r="I404" s="30">
        <f t="shared" si="279"/>
        <v>2336.4</v>
      </c>
      <c r="J404" s="67"/>
      <c r="M404" s="244"/>
    </row>
    <row r="405" spans="1:13" s="101" customFormat="1" ht="15.75" outlineLevel="1">
      <c r="A405" s="100" t="s">
        <v>181</v>
      </c>
      <c r="B405" s="66" t="s">
        <v>293</v>
      </c>
      <c r="C405" s="28" t="s">
        <v>22</v>
      </c>
      <c r="D405" s="38">
        <v>5</v>
      </c>
      <c r="E405" s="67"/>
      <c r="F405" s="67">
        <f>265.5*1.18</f>
        <v>313.28999999999996</v>
      </c>
      <c r="G405" s="67"/>
      <c r="H405" s="67"/>
      <c r="I405" s="30">
        <f t="shared" si="279"/>
        <v>1566.4499999999998</v>
      </c>
      <c r="J405" s="67"/>
      <c r="M405" s="244"/>
    </row>
    <row r="406" spans="1:13" s="101" customFormat="1" ht="15.75" outlineLevel="1">
      <c r="A406" s="100" t="s">
        <v>181</v>
      </c>
      <c r="B406" s="66" t="s">
        <v>294</v>
      </c>
      <c r="C406" s="28" t="s">
        <v>22</v>
      </c>
      <c r="D406" s="38">
        <v>1</v>
      </c>
      <c r="E406" s="67"/>
      <c r="F406" s="67">
        <f>381.3*1.18</f>
        <v>449.93399999999997</v>
      </c>
      <c r="G406" s="67"/>
      <c r="H406" s="67"/>
      <c r="I406" s="30">
        <f t="shared" ref="I406:I411" si="280">F406*D406</f>
        <v>449.93399999999997</v>
      </c>
      <c r="J406" s="67"/>
      <c r="M406" s="244"/>
    </row>
    <row r="407" spans="1:13" s="101" customFormat="1" ht="15.75" outlineLevel="1">
      <c r="A407" s="100" t="s">
        <v>181</v>
      </c>
      <c r="B407" s="66" t="s">
        <v>295</v>
      </c>
      <c r="C407" s="28" t="s">
        <v>22</v>
      </c>
      <c r="D407" s="38">
        <v>6</v>
      </c>
      <c r="E407" s="67"/>
      <c r="F407" s="67">
        <f>265.5*1.18</f>
        <v>313.28999999999996</v>
      </c>
      <c r="G407" s="67"/>
      <c r="H407" s="67"/>
      <c r="I407" s="30">
        <f t="shared" si="280"/>
        <v>1879.7399999999998</v>
      </c>
      <c r="J407" s="67"/>
      <c r="M407" s="244"/>
    </row>
    <row r="408" spans="1:13" s="101" customFormat="1" ht="15.75" outlineLevel="1">
      <c r="A408" s="100" t="s">
        <v>181</v>
      </c>
      <c r="B408" s="66" t="s">
        <v>296</v>
      </c>
      <c r="C408" s="28" t="s">
        <v>22</v>
      </c>
      <c r="D408" s="38">
        <v>1</v>
      </c>
      <c r="E408" s="67"/>
      <c r="F408" s="67">
        <f>471.5*1.18</f>
        <v>556.37</v>
      </c>
      <c r="G408" s="67"/>
      <c r="H408" s="67"/>
      <c r="I408" s="30">
        <f t="shared" si="280"/>
        <v>556.37</v>
      </c>
      <c r="J408" s="67"/>
      <c r="M408" s="244"/>
    </row>
    <row r="409" spans="1:13" s="101" customFormat="1" ht="15.75" outlineLevel="1">
      <c r="A409" s="100" t="s">
        <v>181</v>
      </c>
      <c r="B409" s="66" t="s">
        <v>297</v>
      </c>
      <c r="C409" s="28" t="s">
        <v>22</v>
      </c>
      <c r="D409" s="38">
        <v>1</v>
      </c>
      <c r="E409" s="67"/>
      <c r="F409" s="67">
        <f>1200*1.18</f>
        <v>1416</v>
      </c>
      <c r="G409" s="67"/>
      <c r="H409" s="67"/>
      <c r="I409" s="30">
        <f t="shared" si="280"/>
        <v>1416</v>
      </c>
      <c r="J409" s="67"/>
      <c r="M409" s="244"/>
    </row>
    <row r="410" spans="1:13" s="101" customFormat="1" ht="15.75" outlineLevel="1">
      <c r="A410" s="100" t="s">
        <v>181</v>
      </c>
      <c r="B410" s="66" t="s">
        <v>298</v>
      </c>
      <c r="C410" s="28" t="s">
        <v>22</v>
      </c>
      <c r="D410" s="38">
        <v>1</v>
      </c>
      <c r="E410" s="67"/>
      <c r="F410" s="67">
        <f>4920*1.18</f>
        <v>5805.5999999999995</v>
      </c>
      <c r="G410" s="67"/>
      <c r="H410" s="67"/>
      <c r="I410" s="30">
        <f t="shared" si="280"/>
        <v>5805.5999999999995</v>
      </c>
      <c r="J410" s="67"/>
      <c r="M410" s="244"/>
    </row>
    <row r="411" spans="1:13" s="101" customFormat="1" ht="15.75" outlineLevel="1">
      <c r="A411" s="100" t="s">
        <v>181</v>
      </c>
      <c r="B411" s="66" t="s">
        <v>299</v>
      </c>
      <c r="C411" s="28" t="s">
        <v>22</v>
      </c>
      <c r="D411" s="38">
        <v>1</v>
      </c>
      <c r="E411" s="67"/>
      <c r="F411" s="67">
        <f>5740*1.18</f>
        <v>6773.2</v>
      </c>
      <c r="G411" s="67"/>
      <c r="H411" s="67"/>
      <c r="I411" s="30">
        <f t="shared" si="280"/>
        <v>6773.2</v>
      </c>
      <c r="J411" s="67"/>
      <c r="M411" s="244"/>
    </row>
    <row r="412" spans="1:13" s="101" customFormat="1" ht="30" outlineLevel="1">
      <c r="A412" s="100" t="s">
        <v>181</v>
      </c>
      <c r="B412" s="66" t="s">
        <v>300</v>
      </c>
      <c r="C412" s="28" t="s">
        <v>22</v>
      </c>
      <c r="D412" s="38">
        <v>3</v>
      </c>
      <c r="E412" s="67"/>
      <c r="F412" s="67">
        <f>45000*1.18</f>
        <v>53100</v>
      </c>
      <c r="G412" s="67"/>
      <c r="H412" s="67"/>
      <c r="I412" s="30">
        <f t="shared" si="279"/>
        <v>159300</v>
      </c>
      <c r="J412" s="67"/>
      <c r="M412" s="244"/>
    </row>
    <row r="413" spans="1:13" s="101" customFormat="1" ht="30" outlineLevel="1">
      <c r="A413" s="100" t="s">
        <v>181</v>
      </c>
      <c r="B413" s="66" t="s">
        <v>301</v>
      </c>
      <c r="C413" s="28" t="s">
        <v>22</v>
      </c>
      <c r="D413" s="38">
        <v>3</v>
      </c>
      <c r="E413" s="67"/>
      <c r="F413" s="67">
        <f>42000*1.18</f>
        <v>49560</v>
      </c>
      <c r="G413" s="67"/>
      <c r="H413" s="67"/>
      <c r="I413" s="30">
        <f t="shared" si="279"/>
        <v>148680</v>
      </c>
      <c r="J413" s="67"/>
      <c r="M413" s="244"/>
    </row>
    <row r="414" spans="1:13" s="101" customFormat="1" ht="15.75" outlineLevel="1">
      <c r="A414" s="100" t="s">
        <v>181</v>
      </c>
      <c r="B414" s="66" t="s">
        <v>302</v>
      </c>
      <c r="C414" s="28" t="s">
        <v>29</v>
      </c>
      <c r="D414" s="38">
        <v>18</v>
      </c>
      <c r="E414" s="67"/>
      <c r="F414" s="67">
        <f>70.93*1.18</f>
        <v>83.697400000000002</v>
      </c>
      <c r="G414" s="67"/>
      <c r="H414" s="67"/>
      <c r="I414" s="30">
        <f t="shared" ref="I414:I416" si="281">F414*D414</f>
        <v>1506.5532000000001</v>
      </c>
      <c r="J414" s="67"/>
      <c r="M414" s="244"/>
    </row>
    <row r="415" spans="1:13" s="101" customFormat="1" ht="15.75" outlineLevel="1">
      <c r="A415" s="100" t="s">
        <v>181</v>
      </c>
      <c r="B415" s="66" t="s">
        <v>303</v>
      </c>
      <c r="C415" s="28" t="s">
        <v>29</v>
      </c>
      <c r="D415" s="38">
        <v>2</v>
      </c>
      <c r="E415" s="67"/>
      <c r="F415" s="67">
        <f>136.53*1.18</f>
        <v>161.1054</v>
      </c>
      <c r="G415" s="67"/>
      <c r="H415" s="67"/>
      <c r="I415" s="30">
        <f t="shared" si="281"/>
        <v>322.21080000000001</v>
      </c>
      <c r="J415" s="67"/>
      <c r="M415" s="244"/>
    </row>
    <row r="416" spans="1:13" s="101" customFormat="1" ht="15.75" outlineLevel="1">
      <c r="A416" s="100" t="s">
        <v>181</v>
      </c>
      <c r="B416" s="66" t="s">
        <v>304</v>
      </c>
      <c r="C416" s="28" t="s">
        <v>0</v>
      </c>
      <c r="D416" s="38">
        <v>8</v>
      </c>
      <c r="E416" s="67"/>
      <c r="F416" s="67">
        <f>330*1.18</f>
        <v>389.4</v>
      </c>
      <c r="G416" s="67"/>
      <c r="H416" s="67"/>
      <c r="I416" s="30">
        <f t="shared" si="281"/>
        <v>3115.2</v>
      </c>
      <c r="J416" s="67"/>
      <c r="M416" s="244"/>
    </row>
    <row r="417" spans="1:13" s="101" customFormat="1" ht="15.75" outlineLevel="1">
      <c r="A417" s="100" t="s">
        <v>181</v>
      </c>
      <c r="B417" s="66" t="s">
        <v>305</v>
      </c>
      <c r="C417" s="28" t="s">
        <v>0</v>
      </c>
      <c r="D417" s="38">
        <v>24.9</v>
      </c>
      <c r="E417" s="67"/>
      <c r="F417" s="67">
        <f>1053*1.18</f>
        <v>1242.54</v>
      </c>
      <c r="G417" s="67"/>
      <c r="H417" s="67"/>
      <c r="I417" s="30">
        <f t="shared" ref="I417" si="282">F417*D417</f>
        <v>30939.245999999996</v>
      </c>
      <c r="J417" s="67"/>
      <c r="M417" s="245"/>
    </row>
    <row r="418" spans="1:13" ht="15.75" customHeight="1">
      <c r="A418" s="222" t="s">
        <v>116</v>
      </c>
      <c r="B418" s="223"/>
      <c r="C418" s="223"/>
      <c r="D418" s="223"/>
      <c r="E418" s="223"/>
      <c r="F418" s="223"/>
      <c r="G418" s="224"/>
      <c r="H418" s="67">
        <f>H400</f>
        <v>108664</v>
      </c>
      <c r="I418" s="67">
        <f>I400</f>
        <v>581677.22399999993</v>
      </c>
      <c r="J418" s="67">
        <f>J400</f>
        <v>690341.22399999993</v>
      </c>
      <c r="M418" s="156"/>
    </row>
    <row r="419" spans="1:13" ht="21" customHeight="1">
      <c r="A419" s="225" t="s">
        <v>345</v>
      </c>
      <c r="B419" s="226" t="s">
        <v>31</v>
      </c>
      <c r="C419" s="226"/>
      <c r="D419" s="226"/>
      <c r="E419" s="226"/>
      <c r="F419" s="226"/>
      <c r="G419" s="226"/>
      <c r="H419" s="226"/>
      <c r="I419" s="226"/>
      <c r="J419" s="227"/>
      <c r="M419" s="156"/>
    </row>
    <row r="420" spans="1:13">
      <c r="A420" s="71">
        <v>100</v>
      </c>
      <c r="B420" s="70" t="s">
        <v>346</v>
      </c>
      <c r="C420" s="8" t="s">
        <v>29</v>
      </c>
      <c r="D420" s="69">
        <f>5+4.5+4.5+4.5</f>
        <v>18.5</v>
      </c>
      <c r="E420" s="32">
        <v>45</v>
      </c>
      <c r="F420" s="33">
        <f>I420/D420</f>
        <v>0</v>
      </c>
      <c r="G420" s="33">
        <f t="shared" ref="G420" si="283">F420+E420</f>
        <v>45</v>
      </c>
      <c r="H420" s="33">
        <f t="shared" ref="H420" si="284">E420*D420</f>
        <v>832.5</v>
      </c>
      <c r="I420" s="33">
        <v>0</v>
      </c>
      <c r="J420" s="31">
        <f t="shared" ref="J420" si="285">I420+H420</f>
        <v>832.5</v>
      </c>
      <c r="K420" s="235">
        <f>I421+I420</f>
        <v>0</v>
      </c>
      <c r="L420" s="235">
        <f>J421+J420</f>
        <v>2032.5</v>
      </c>
      <c r="M420" s="204">
        <v>1</v>
      </c>
    </row>
    <row r="421" spans="1:13">
      <c r="A421" s="71">
        <v>101</v>
      </c>
      <c r="B421" s="70" t="s">
        <v>347</v>
      </c>
      <c r="C421" s="8" t="s">
        <v>22</v>
      </c>
      <c r="D421" s="69">
        <v>5</v>
      </c>
      <c r="E421" s="32">
        <v>240</v>
      </c>
      <c r="F421" s="33">
        <f>I421/D421</f>
        <v>0</v>
      </c>
      <c r="G421" s="33">
        <f t="shared" ref="G421" si="286">F421+E421</f>
        <v>240</v>
      </c>
      <c r="H421" s="33">
        <f t="shared" ref="H421" si="287">E421*D421</f>
        <v>1200</v>
      </c>
      <c r="I421" s="33">
        <v>0</v>
      </c>
      <c r="J421" s="31">
        <f t="shared" ref="J421" si="288">I421+H421</f>
        <v>1200</v>
      </c>
      <c r="K421" s="236"/>
      <c r="L421" s="236"/>
      <c r="M421" s="204"/>
    </row>
    <row r="422" spans="1:13">
      <c r="A422" s="71">
        <v>102</v>
      </c>
      <c r="B422" s="70" t="s">
        <v>348</v>
      </c>
      <c r="C422" s="8" t="s">
        <v>29</v>
      </c>
      <c r="D422" s="69">
        <v>27.2</v>
      </c>
      <c r="E422" s="32">
        <v>240</v>
      </c>
      <c r="F422" s="33">
        <f>I422/D422</f>
        <v>275.67258823529414</v>
      </c>
      <c r="G422" s="33">
        <f t="shared" ref="G422" si="289">F422+E422</f>
        <v>515.67258823529414</v>
      </c>
      <c r="H422" s="33">
        <f t="shared" ref="H422" si="290">E422*D422</f>
        <v>6528</v>
      </c>
      <c r="I422" s="33">
        <f>SUM(I423:I426)</f>
        <v>7498.2944000000007</v>
      </c>
      <c r="J422" s="31">
        <f t="shared" ref="J422" si="291">I422+H422</f>
        <v>14026.294400000001</v>
      </c>
      <c r="K422" s="235">
        <f>I427+I422</f>
        <v>35005.1944</v>
      </c>
      <c r="L422" s="235">
        <f>J427+J422</f>
        <v>46133.1944</v>
      </c>
      <c r="M422" s="240">
        <v>2</v>
      </c>
    </row>
    <row r="423" spans="1:13" s="101" customFormat="1" ht="30" customHeight="1" outlineLevel="1">
      <c r="A423" s="100" t="s">
        <v>181</v>
      </c>
      <c r="B423" s="66" t="s">
        <v>364</v>
      </c>
      <c r="C423" s="28" t="s">
        <v>29</v>
      </c>
      <c r="D423" s="38">
        <f>D422*1.07</f>
        <v>29.103999999999999</v>
      </c>
      <c r="E423" s="67"/>
      <c r="F423" s="67">
        <v>108.6</v>
      </c>
      <c r="G423" s="67"/>
      <c r="H423" s="67"/>
      <c r="I423" s="30">
        <f t="shared" ref="I423:I426" si="292">F423*D423</f>
        <v>3160.6943999999999</v>
      </c>
      <c r="J423" s="67"/>
      <c r="K423" s="236"/>
      <c r="L423" s="236"/>
      <c r="M423" s="241"/>
    </row>
    <row r="424" spans="1:13" s="101" customFormat="1" ht="15.75" customHeight="1" outlineLevel="1">
      <c r="A424" s="100" t="s">
        <v>181</v>
      </c>
      <c r="B424" s="66" t="s">
        <v>365</v>
      </c>
      <c r="C424" s="28" t="s">
        <v>22</v>
      </c>
      <c r="D424" s="38">
        <v>10</v>
      </c>
      <c r="E424" s="67"/>
      <c r="F424" s="67">
        <v>246.3</v>
      </c>
      <c r="G424" s="67"/>
      <c r="H424" s="67"/>
      <c r="I424" s="30">
        <f t="shared" si="292"/>
        <v>2463</v>
      </c>
      <c r="J424" s="67"/>
      <c r="K424" s="236"/>
      <c r="L424" s="236"/>
      <c r="M424" s="241"/>
    </row>
    <row r="425" spans="1:13" s="101" customFormat="1" ht="15.75" customHeight="1" outlineLevel="1">
      <c r="A425" s="100" t="s">
        <v>181</v>
      </c>
      <c r="B425" s="66" t="s">
        <v>366</v>
      </c>
      <c r="C425" s="28" t="s">
        <v>22</v>
      </c>
      <c r="D425" s="38">
        <v>46</v>
      </c>
      <c r="E425" s="67"/>
      <c r="F425" s="67">
        <v>4.0999999999999996</v>
      </c>
      <c r="G425" s="67"/>
      <c r="H425" s="67"/>
      <c r="I425" s="30">
        <f t="shared" si="292"/>
        <v>188.6</v>
      </c>
      <c r="J425" s="67"/>
      <c r="K425" s="236"/>
      <c r="L425" s="236"/>
      <c r="M425" s="241"/>
    </row>
    <row r="426" spans="1:13" s="101" customFormat="1" ht="15.75" customHeight="1" outlineLevel="1">
      <c r="A426" s="100" t="s">
        <v>181</v>
      </c>
      <c r="B426" s="66" t="s">
        <v>367</v>
      </c>
      <c r="C426" s="28" t="s">
        <v>22</v>
      </c>
      <c r="D426" s="38">
        <v>20</v>
      </c>
      <c r="E426" s="67"/>
      <c r="F426" s="67">
        <v>84.3</v>
      </c>
      <c r="G426" s="67"/>
      <c r="H426" s="67"/>
      <c r="I426" s="30">
        <f t="shared" si="292"/>
        <v>1686</v>
      </c>
      <c r="J426" s="67"/>
      <c r="K426" s="236"/>
      <c r="L426" s="236"/>
      <c r="M426" s="241"/>
    </row>
    <row r="427" spans="1:13">
      <c r="A427" s="71">
        <v>103</v>
      </c>
      <c r="B427" s="70" t="s">
        <v>349</v>
      </c>
      <c r="C427" s="8" t="s">
        <v>22</v>
      </c>
      <c r="D427" s="69">
        <v>5</v>
      </c>
      <c r="E427" s="32">
        <v>920</v>
      </c>
      <c r="F427" s="33">
        <f>I427/D427</f>
        <v>5501.38</v>
      </c>
      <c r="G427" s="33">
        <f t="shared" ref="G427" si="293">F427+E427</f>
        <v>6421.38</v>
      </c>
      <c r="H427" s="33">
        <f t="shared" ref="H427" si="294">E427*D427</f>
        <v>4600</v>
      </c>
      <c r="I427" s="33">
        <f>SUM(I428:I432)</f>
        <v>27506.9</v>
      </c>
      <c r="J427" s="31">
        <f t="shared" ref="J427" si="295">I427+H427</f>
        <v>32106.9</v>
      </c>
      <c r="K427" s="236"/>
      <c r="L427" s="236"/>
      <c r="M427" s="241"/>
    </row>
    <row r="428" spans="1:13" s="101" customFormat="1" ht="15.75" outlineLevel="1">
      <c r="A428" s="100" t="s">
        <v>181</v>
      </c>
      <c r="B428" s="66" t="s">
        <v>350</v>
      </c>
      <c r="C428" s="28" t="s">
        <v>22</v>
      </c>
      <c r="D428" s="38">
        <f>D427*2</f>
        <v>10</v>
      </c>
      <c r="E428" s="67"/>
      <c r="F428" s="67">
        <v>43.6</v>
      </c>
      <c r="G428" s="67"/>
      <c r="H428" s="67"/>
      <c r="I428" s="30">
        <f t="shared" ref="I428:I432" si="296">F428*D428</f>
        <v>436</v>
      </c>
      <c r="J428" s="67"/>
      <c r="M428" s="241"/>
    </row>
    <row r="429" spans="1:13" s="101" customFormat="1" ht="15.75" outlineLevel="1">
      <c r="A429" s="100" t="s">
        <v>181</v>
      </c>
      <c r="B429" s="66" t="s">
        <v>351</v>
      </c>
      <c r="C429" s="28" t="s">
        <v>22</v>
      </c>
      <c r="D429" s="38">
        <f>D430</f>
        <v>5</v>
      </c>
      <c r="E429" s="67"/>
      <c r="F429" s="67">
        <v>92.3</v>
      </c>
      <c r="G429" s="67"/>
      <c r="H429" s="67"/>
      <c r="I429" s="30">
        <f t="shared" si="296"/>
        <v>461.5</v>
      </c>
      <c r="J429" s="67"/>
      <c r="M429" s="241"/>
    </row>
    <row r="430" spans="1:13" s="101" customFormat="1" ht="15.75" outlineLevel="1">
      <c r="A430" s="100" t="s">
        <v>181</v>
      </c>
      <c r="B430" s="66" t="s">
        <v>353</v>
      </c>
      <c r="C430" s="28" t="s">
        <v>22</v>
      </c>
      <c r="D430" s="38">
        <f>D427</f>
        <v>5</v>
      </c>
      <c r="E430" s="67"/>
      <c r="F430" s="67">
        <v>4420</v>
      </c>
      <c r="G430" s="67"/>
      <c r="H430" s="67"/>
      <c r="I430" s="30">
        <f t="shared" si="296"/>
        <v>22100</v>
      </c>
      <c r="J430" s="67"/>
      <c r="M430" s="241"/>
    </row>
    <row r="431" spans="1:13" s="101" customFormat="1" ht="15.75" outlineLevel="1">
      <c r="A431" s="143" t="s">
        <v>181</v>
      </c>
      <c r="B431" s="66" t="s">
        <v>354</v>
      </c>
      <c r="C431" s="28" t="s">
        <v>22</v>
      </c>
      <c r="D431" s="38">
        <f>D430*2</f>
        <v>10</v>
      </c>
      <c r="E431" s="67"/>
      <c r="F431" s="67">
        <v>446.3</v>
      </c>
      <c r="G431" s="67"/>
      <c r="H431" s="67"/>
      <c r="I431" s="30">
        <f t="shared" si="296"/>
        <v>4463</v>
      </c>
      <c r="J431" s="67"/>
      <c r="M431" s="241"/>
    </row>
    <row r="432" spans="1:13" s="101" customFormat="1" ht="15.75" outlineLevel="1">
      <c r="A432" s="100" t="s">
        <v>181</v>
      </c>
      <c r="B432" s="66" t="s">
        <v>352</v>
      </c>
      <c r="C432" s="28" t="s">
        <v>22</v>
      </c>
      <c r="D432" s="38">
        <f>D430</f>
        <v>5</v>
      </c>
      <c r="E432" s="67"/>
      <c r="F432" s="67">
        <v>9.2799999999999994</v>
      </c>
      <c r="G432" s="67"/>
      <c r="H432" s="67"/>
      <c r="I432" s="30">
        <f t="shared" si="296"/>
        <v>46.4</v>
      </c>
      <c r="J432" s="67"/>
      <c r="M432" s="242"/>
    </row>
    <row r="433" spans="1:13" ht="15.75" customHeight="1">
      <c r="A433" s="222" t="s">
        <v>116</v>
      </c>
      <c r="B433" s="223"/>
      <c r="C433" s="223"/>
      <c r="D433" s="223"/>
      <c r="E433" s="223"/>
      <c r="F433" s="223"/>
      <c r="G433" s="224"/>
      <c r="H433" s="67">
        <f>H427+H422+H421+H420</f>
        <v>13160.5</v>
      </c>
      <c r="I433" s="67">
        <f>I427+I422+I421+I420</f>
        <v>35005.1944</v>
      </c>
      <c r="J433" s="67">
        <f>J427+J422+J421+J420</f>
        <v>48165.6944</v>
      </c>
      <c r="M433" s="156"/>
    </row>
    <row r="434" spans="1:13" ht="21" customHeight="1">
      <c r="A434" s="225" t="s">
        <v>26</v>
      </c>
      <c r="B434" s="226" t="s">
        <v>31</v>
      </c>
      <c r="C434" s="226"/>
      <c r="D434" s="226"/>
      <c r="E434" s="226"/>
      <c r="F434" s="226"/>
      <c r="G434" s="226"/>
      <c r="H434" s="226"/>
      <c r="I434" s="226"/>
      <c r="J434" s="227"/>
      <c r="M434" s="156"/>
    </row>
    <row r="435" spans="1:13" ht="30">
      <c r="A435" s="71">
        <v>104</v>
      </c>
      <c r="B435" s="70" t="s">
        <v>322</v>
      </c>
      <c r="C435" s="8" t="s">
        <v>22</v>
      </c>
      <c r="D435" s="69">
        <v>1</v>
      </c>
      <c r="E435" s="32">
        <v>4200</v>
      </c>
      <c r="F435" s="33">
        <f>I435/D435</f>
        <v>27284.080000000002</v>
      </c>
      <c r="G435" s="33">
        <f t="shared" ref="G435" si="297">F435+E435</f>
        <v>31484.080000000002</v>
      </c>
      <c r="H435" s="33">
        <f t="shared" ref="H435" si="298">E435*D435</f>
        <v>4200</v>
      </c>
      <c r="I435" s="33">
        <f>SUM(I436:I437)</f>
        <v>27284.080000000002</v>
      </c>
      <c r="J435" s="31">
        <f t="shared" ref="J435" si="299">I435+H435</f>
        <v>31484.080000000002</v>
      </c>
      <c r="K435" s="235">
        <f>I442+I438+I435</f>
        <v>58088.92</v>
      </c>
      <c r="L435" s="235">
        <f>J442+J438+J435</f>
        <v>71448.92</v>
      </c>
      <c r="M435" s="204">
        <v>3</v>
      </c>
    </row>
    <row r="436" spans="1:13" s="101" customFormat="1" ht="30" customHeight="1" outlineLevel="1">
      <c r="A436" s="100" t="s">
        <v>181</v>
      </c>
      <c r="B436" s="66" t="s">
        <v>323</v>
      </c>
      <c r="C436" s="28" t="s">
        <v>22</v>
      </c>
      <c r="D436" s="38">
        <f>D435</f>
        <v>1</v>
      </c>
      <c r="E436" s="67"/>
      <c r="F436" s="67">
        <f>9360*2.48*1.1</f>
        <v>25534.080000000002</v>
      </c>
      <c r="G436" s="67"/>
      <c r="H436" s="67"/>
      <c r="I436" s="30">
        <f t="shared" ref="I436" si="300">F436*D436</f>
        <v>25534.080000000002</v>
      </c>
      <c r="J436" s="67"/>
      <c r="K436" s="236"/>
      <c r="L436" s="236"/>
      <c r="M436" s="204"/>
    </row>
    <row r="437" spans="1:13" s="101" customFormat="1" ht="30" customHeight="1" outlineLevel="1">
      <c r="A437" s="100" t="s">
        <v>181</v>
      </c>
      <c r="B437" s="66" t="s">
        <v>490</v>
      </c>
      <c r="C437" s="28" t="s">
        <v>319</v>
      </c>
      <c r="D437" s="38">
        <f>D436</f>
        <v>1</v>
      </c>
      <c r="E437" s="67"/>
      <c r="F437" s="67">
        <v>1750</v>
      </c>
      <c r="G437" s="67"/>
      <c r="H437" s="67"/>
      <c r="I437" s="30">
        <f t="shared" ref="I437" si="301">F437*D437</f>
        <v>1750</v>
      </c>
      <c r="J437" s="67"/>
      <c r="K437" s="236"/>
      <c r="L437" s="236"/>
      <c r="M437" s="204"/>
    </row>
    <row r="438" spans="1:13" ht="45">
      <c r="A438" s="71">
        <v>105</v>
      </c>
      <c r="B438" s="70" t="s">
        <v>324</v>
      </c>
      <c r="C438" s="8" t="s">
        <v>22</v>
      </c>
      <c r="D438" s="69">
        <v>1</v>
      </c>
      <c r="E438" s="32">
        <v>5960</v>
      </c>
      <c r="F438" s="33">
        <f>I438/D438</f>
        <v>20347.32</v>
      </c>
      <c r="G438" s="33">
        <f t="shared" ref="G438" si="302">F438+E438</f>
        <v>26307.32</v>
      </c>
      <c r="H438" s="33">
        <f t="shared" ref="H438" si="303">E438*D438</f>
        <v>5960</v>
      </c>
      <c r="I438" s="33">
        <f>SUM(I439:I441)</f>
        <v>20347.32</v>
      </c>
      <c r="J438" s="31">
        <f t="shared" ref="J438" si="304">I438+H438</f>
        <v>26307.32</v>
      </c>
      <c r="K438" s="236"/>
      <c r="L438" s="236"/>
      <c r="M438" s="204"/>
    </row>
    <row r="439" spans="1:13" s="101" customFormat="1" ht="15.75" customHeight="1" outlineLevel="1">
      <c r="A439" s="100" t="s">
        <v>181</v>
      </c>
      <c r="B439" s="66" t="s">
        <v>326</v>
      </c>
      <c r="C439" s="28" t="s">
        <v>22</v>
      </c>
      <c r="D439" s="38">
        <f>D438</f>
        <v>1</v>
      </c>
      <c r="E439" s="67"/>
      <c r="F439" s="67">
        <f>8690*1.48*1.1</f>
        <v>14147.320000000002</v>
      </c>
      <c r="G439" s="67"/>
      <c r="H439" s="67"/>
      <c r="I439" s="30">
        <f t="shared" ref="I439" si="305">F439*D439</f>
        <v>14147.320000000002</v>
      </c>
      <c r="J439" s="67"/>
      <c r="K439" s="236"/>
      <c r="L439" s="236"/>
      <c r="M439" s="204"/>
    </row>
    <row r="440" spans="1:13" s="101" customFormat="1" ht="30" customHeight="1" outlineLevel="1">
      <c r="A440" s="100" t="s">
        <v>181</v>
      </c>
      <c r="B440" s="66" t="s">
        <v>318</v>
      </c>
      <c r="C440" s="28" t="s">
        <v>22</v>
      </c>
      <c r="D440" s="38">
        <f>D439</f>
        <v>1</v>
      </c>
      <c r="E440" s="67"/>
      <c r="F440" s="67">
        <v>5700</v>
      </c>
      <c r="G440" s="67"/>
      <c r="H440" s="67"/>
      <c r="I440" s="30">
        <f t="shared" ref="I440:I441" si="306">F440*D440</f>
        <v>5700</v>
      </c>
      <c r="J440" s="67"/>
      <c r="K440" s="236"/>
      <c r="L440" s="236"/>
      <c r="M440" s="204"/>
    </row>
    <row r="441" spans="1:13" s="101" customFormat="1" ht="30" customHeight="1" outlineLevel="1">
      <c r="A441" s="100" t="s">
        <v>181</v>
      </c>
      <c r="B441" s="66" t="s">
        <v>489</v>
      </c>
      <c r="C441" s="28" t="s">
        <v>319</v>
      </c>
      <c r="D441" s="38">
        <f>D440</f>
        <v>1</v>
      </c>
      <c r="E441" s="67"/>
      <c r="F441" s="67">
        <v>500</v>
      </c>
      <c r="G441" s="67"/>
      <c r="H441" s="67"/>
      <c r="I441" s="30">
        <f t="shared" si="306"/>
        <v>500</v>
      </c>
      <c r="J441" s="67"/>
      <c r="K441" s="236"/>
      <c r="L441" s="236"/>
      <c r="M441" s="204"/>
    </row>
    <row r="442" spans="1:13" ht="30">
      <c r="A442" s="71">
        <v>106</v>
      </c>
      <c r="B442" s="70" t="s">
        <v>325</v>
      </c>
      <c r="C442" s="8" t="s">
        <v>22</v>
      </c>
      <c r="D442" s="69">
        <v>1</v>
      </c>
      <c r="E442" s="32">
        <v>3200</v>
      </c>
      <c r="F442" s="33">
        <f>I442/D442</f>
        <v>10457.52</v>
      </c>
      <c r="G442" s="33">
        <f t="shared" ref="G442" si="307">F442+E442</f>
        <v>13657.52</v>
      </c>
      <c r="H442" s="33">
        <f t="shared" ref="H442" si="308">E442*D442</f>
        <v>3200</v>
      </c>
      <c r="I442" s="33">
        <f>SUM(I443:I444)</f>
        <v>10457.52</v>
      </c>
      <c r="J442" s="31">
        <f t="shared" ref="J442" si="309">I442+H442</f>
        <v>13657.52</v>
      </c>
      <c r="K442" s="236"/>
      <c r="L442" s="236"/>
      <c r="M442" s="204"/>
    </row>
    <row r="443" spans="1:13" s="101" customFormat="1" ht="30" outlineLevel="1">
      <c r="A443" s="100" t="s">
        <v>181</v>
      </c>
      <c r="B443" s="66" t="s">
        <v>327</v>
      </c>
      <c r="C443" s="28" t="s">
        <v>22</v>
      </c>
      <c r="D443" s="38">
        <f>D442</f>
        <v>1</v>
      </c>
      <c r="E443" s="67"/>
      <c r="F443" s="67">
        <f>9360*0.87*1.1</f>
        <v>8957.52</v>
      </c>
      <c r="G443" s="67"/>
      <c r="H443" s="67"/>
      <c r="I443" s="30">
        <f t="shared" ref="I443:I444" si="310">F443*D443</f>
        <v>8957.52</v>
      </c>
      <c r="J443" s="67"/>
      <c r="M443" s="157"/>
    </row>
    <row r="444" spans="1:13" s="101" customFormat="1" ht="45" outlineLevel="1">
      <c r="A444" s="100" t="s">
        <v>181</v>
      </c>
      <c r="B444" s="66" t="s">
        <v>488</v>
      </c>
      <c r="C444" s="28" t="s">
        <v>319</v>
      </c>
      <c r="D444" s="38">
        <f>D443</f>
        <v>1</v>
      </c>
      <c r="E444" s="67"/>
      <c r="F444" s="67">
        <v>1500</v>
      </c>
      <c r="G444" s="67"/>
      <c r="H444" s="67"/>
      <c r="I444" s="30">
        <f t="shared" si="310"/>
        <v>1500</v>
      </c>
      <c r="J444" s="67"/>
      <c r="M444" s="157"/>
    </row>
    <row r="445" spans="1:13">
      <c r="A445" s="71">
        <v>107</v>
      </c>
      <c r="B445" s="70" t="s">
        <v>200</v>
      </c>
      <c r="C445" s="8" t="s">
        <v>72</v>
      </c>
      <c r="D445" s="8">
        <f>Дефектовка!D119</f>
        <v>25.3</v>
      </c>
      <c r="E445" s="32">
        <v>960</v>
      </c>
      <c r="F445" s="33">
        <f>I445/D445</f>
        <v>0</v>
      </c>
      <c r="G445" s="33">
        <f>F445+E445</f>
        <v>960</v>
      </c>
      <c r="H445" s="33">
        <f t="shared" ref="H445:H446" si="311">E445*D445</f>
        <v>24288</v>
      </c>
      <c r="I445" s="33">
        <v>0</v>
      </c>
      <c r="J445" s="31">
        <f t="shared" ref="J445:J446" si="312">I445+H445</f>
        <v>24288</v>
      </c>
      <c r="K445" s="149">
        <f>I445</f>
        <v>0</v>
      </c>
      <c r="L445" s="149">
        <f>J445</f>
        <v>24288</v>
      </c>
      <c r="M445" s="71">
        <v>1</v>
      </c>
    </row>
    <row r="446" spans="1:13">
      <c r="A446" s="71">
        <v>108</v>
      </c>
      <c r="B446" s="70" t="s">
        <v>333</v>
      </c>
      <c r="C446" s="8" t="s">
        <v>1</v>
      </c>
      <c r="D446" s="8">
        <v>9.5</v>
      </c>
      <c r="E446" s="32">
        <v>1264</v>
      </c>
      <c r="F446" s="33">
        <f>I446/D446</f>
        <v>0</v>
      </c>
      <c r="G446" s="33">
        <f>F446+E446</f>
        <v>1264</v>
      </c>
      <c r="H446" s="33">
        <f t="shared" si="311"/>
        <v>12008</v>
      </c>
      <c r="I446" s="33">
        <v>0</v>
      </c>
      <c r="J446" s="31">
        <f t="shared" si="312"/>
        <v>12008</v>
      </c>
      <c r="K446" s="149">
        <f>I446</f>
        <v>0</v>
      </c>
      <c r="L446" s="149">
        <f>J446</f>
        <v>12008</v>
      </c>
      <c r="M446" s="182">
        <v>1</v>
      </c>
    </row>
    <row r="447" spans="1:13" ht="15.75" customHeight="1">
      <c r="A447" s="222" t="s">
        <v>116</v>
      </c>
      <c r="B447" s="223"/>
      <c r="C447" s="223"/>
      <c r="D447" s="223"/>
      <c r="E447" s="223"/>
      <c r="F447" s="223"/>
      <c r="G447" s="224"/>
      <c r="H447" s="67">
        <f t="shared" ref="H447" si="313">H446+H445+H442+H438+H435</f>
        <v>49656</v>
      </c>
      <c r="I447" s="67">
        <f>I446+I445+I442+I438+I435</f>
        <v>58088.92</v>
      </c>
      <c r="J447" s="67">
        <f>J446+J445+J442+J438+J435</f>
        <v>107744.92</v>
      </c>
      <c r="M447" s="156"/>
    </row>
    <row r="448" spans="1:13" ht="15.75" customHeight="1">
      <c r="A448" s="222" t="s">
        <v>306</v>
      </c>
      <c r="B448" s="223"/>
      <c r="C448" s="223"/>
      <c r="D448" s="223"/>
      <c r="E448" s="223"/>
      <c r="F448" s="223"/>
      <c r="G448" s="224"/>
      <c r="H448" s="67"/>
      <c r="I448" s="67"/>
      <c r="J448" s="67">
        <f>I449*0.1</f>
        <v>189713.39897110697</v>
      </c>
      <c r="M448" s="156"/>
    </row>
    <row r="449" spans="1:13" ht="15.75" customHeight="1">
      <c r="A449" s="222" t="s">
        <v>178</v>
      </c>
      <c r="B449" s="223"/>
      <c r="C449" s="223"/>
      <c r="D449" s="223"/>
      <c r="E449" s="223"/>
      <c r="F449" s="223"/>
      <c r="G449" s="224"/>
      <c r="H449" s="67">
        <f t="shared" ref="H449" si="314">H447+H418+H398+H381+H328+H275+H223+H159+H125+H448+H433</f>
        <v>854667.08720800001</v>
      </c>
      <c r="I449" s="67">
        <f>I447+I418+I398+I381+I328+I275+I223+I159+I125+I448+I433</f>
        <v>1897133.9897110695</v>
      </c>
      <c r="J449" s="67">
        <f>J447+J418+J398+J381+J328+J275+J223+J159+J125+J448+J433</f>
        <v>2941514.4758901764</v>
      </c>
      <c r="M449" s="156"/>
    </row>
  </sheetData>
  <mergeCells count="115">
    <mergeCell ref="M26:M27"/>
    <mergeCell ref="M420:M421"/>
    <mergeCell ref="M313:M327"/>
    <mergeCell ref="M231:M274"/>
    <mergeCell ref="M225:M230"/>
    <mergeCell ref="M213:M222"/>
    <mergeCell ref="M177:M212"/>
    <mergeCell ref="M161:M176"/>
    <mergeCell ref="M127:M158"/>
    <mergeCell ref="M29:M124"/>
    <mergeCell ref="M360:M367"/>
    <mergeCell ref="M331:M359"/>
    <mergeCell ref="M422:M432"/>
    <mergeCell ref="M400:M417"/>
    <mergeCell ref="M383:M397"/>
    <mergeCell ref="M377:M380"/>
    <mergeCell ref="M368:M375"/>
    <mergeCell ref="M278:M312"/>
    <mergeCell ref="M435:M442"/>
    <mergeCell ref="K29:K41"/>
    <mergeCell ref="L29:L41"/>
    <mergeCell ref="K127:K129"/>
    <mergeCell ref="L127:L129"/>
    <mergeCell ref="K161:K162"/>
    <mergeCell ref="L161:L162"/>
    <mergeCell ref="K225:K229"/>
    <mergeCell ref="L225:L229"/>
    <mergeCell ref="K331:K356"/>
    <mergeCell ref="L331:L356"/>
    <mergeCell ref="K43:K112"/>
    <mergeCell ref="K263:K273"/>
    <mergeCell ref="L263:L273"/>
    <mergeCell ref="K313:K327"/>
    <mergeCell ref="K177:K191"/>
    <mergeCell ref="L177:L191"/>
    <mergeCell ref="K198:K205"/>
    <mergeCell ref="H21:I21"/>
    <mergeCell ref="L198:L205"/>
    <mergeCell ref="K231:K242"/>
    <mergeCell ref="L231:L242"/>
    <mergeCell ref="L210:L211"/>
    <mergeCell ref="K422:K427"/>
    <mergeCell ref="L422:L427"/>
    <mergeCell ref="K435:K442"/>
    <mergeCell ref="L435:L442"/>
    <mergeCell ref="L43:L112"/>
    <mergeCell ref="K130:K154"/>
    <mergeCell ref="L130:L154"/>
    <mergeCell ref="K163:K175"/>
    <mergeCell ref="L163:L175"/>
    <mergeCell ref="K420:K421"/>
    <mergeCell ref="L420:L421"/>
    <mergeCell ref="K358:K364"/>
    <mergeCell ref="L358:L364"/>
    <mergeCell ref="K383:K396"/>
    <mergeCell ref="L383:L396"/>
    <mergeCell ref="L313:L327"/>
    <mergeCell ref="K213:K220"/>
    <mergeCell ref="L213:L220"/>
    <mergeCell ref="K377:K379"/>
    <mergeCell ref="A448:G448"/>
    <mergeCell ref="A224:J224"/>
    <mergeCell ref="A276:J276"/>
    <mergeCell ref="A275:G275"/>
    <mergeCell ref="A329:G329"/>
    <mergeCell ref="A419:J419"/>
    <mergeCell ref="A433:G433"/>
    <mergeCell ref="K248:K250"/>
    <mergeCell ref="L248:L250"/>
    <mergeCell ref="K278:K311"/>
    <mergeCell ref="L278:L311"/>
    <mergeCell ref="L377:L379"/>
    <mergeCell ref="C20:D20"/>
    <mergeCell ref="A449:G449"/>
    <mergeCell ref="A328:G328"/>
    <mergeCell ref="A330:J330"/>
    <mergeCell ref="A381:G381"/>
    <mergeCell ref="A434:J434"/>
    <mergeCell ref="A447:G447"/>
    <mergeCell ref="A399:J399"/>
    <mergeCell ref="A418:G418"/>
    <mergeCell ref="H26:J26"/>
    <mergeCell ref="A223:G223"/>
    <mergeCell ref="A28:J28"/>
    <mergeCell ref="A126:J126"/>
    <mergeCell ref="A125:G125"/>
    <mergeCell ref="A159:G159"/>
    <mergeCell ref="A160:J160"/>
    <mergeCell ref="A26:A27"/>
    <mergeCell ref="B26:B27"/>
    <mergeCell ref="C26:C27"/>
    <mergeCell ref="D26:D27"/>
    <mergeCell ref="E26:G26"/>
    <mergeCell ref="C21:D21"/>
    <mergeCell ref="A382:J382"/>
    <mergeCell ref="A398:G398"/>
    <mergeCell ref="C17:D17"/>
    <mergeCell ref="C19:D19"/>
    <mergeCell ref="C18:D18"/>
    <mergeCell ref="I3:J3"/>
    <mergeCell ref="I1:J1"/>
    <mergeCell ref="I4:J4"/>
    <mergeCell ref="A5:I5"/>
    <mergeCell ref="I2:J2"/>
    <mergeCell ref="A6:I6"/>
    <mergeCell ref="A9:I9"/>
    <mergeCell ref="C11:D11"/>
    <mergeCell ref="C14:D14"/>
    <mergeCell ref="C12:D12"/>
    <mergeCell ref="C13:D13"/>
    <mergeCell ref="C16:D16"/>
    <mergeCell ref="H16:I16"/>
    <mergeCell ref="H17:I17"/>
    <mergeCell ref="H18:I18"/>
    <mergeCell ref="H19:I19"/>
  </mergeCells>
  <conditionalFormatting sqref="F1:F1048576">
    <cfRule type="cellIs" dxfId="12" priority="3" operator="greaterThan">
      <formula>0</formula>
    </cfRule>
  </conditionalFormatting>
  <conditionalFormatting sqref="B129">
    <cfRule type="cellIs" dxfId="1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63"/>
  <sheetViews>
    <sheetView topLeftCell="A780" workbookViewId="0">
      <selection activeCell="B813" sqref="B813"/>
    </sheetView>
  </sheetViews>
  <sheetFormatPr defaultRowHeight="15"/>
  <cols>
    <col min="1" max="1" width="10.5703125" style="46" customWidth="1"/>
    <col min="2" max="2" width="88.5703125" style="65" customWidth="1"/>
    <col min="3" max="3" width="10.28515625" style="45" customWidth="1"/>
    <col min="4" max="4" width="17" style="47" customWidth="1"/>
    <col min="5" max="7" width="22.85546875" style="47" customWidth="1"/>
    <col min="8" max="8" width="9.140625" hidden="1" customWidth="1"/>
    <col min="9" max="9" width="0" hidden="1" customWidth="1"/>
    <col min="10" max="30" width="22.85546875" bestFit="1" customWidth="1"/>
  </cols>
  <sheetData>
    <row r="1" spans="1:9" ht="30" hidden="1">
      <c r="A1" s="1" t="s">
        <v>77</v>
      </c>
      <c r="B1" s="1" t="s">
        <v>192</v>
      </c>
      <c r="C1" s="1" t="s">
        <v>15</v>
      </c>
      <c r="D1" s="1" t="s">
        <v>80</v>
      </c>
      <c r="E1" s="1" t="s">
        <v>199</v>
      </c>
      <c r="F1" s="1" t="s">
        <v>198</v>
      </c>
      <c r="G1" s="1" t="s">
        <v>193</v>
      </c>
      <c r="H1" s="1" t="s">
        <v>194</v>
      </c>
      <c r="I1" s="1" t="s">
        <v>195</v>
      </c>
    </row>
    <row r="2" spans="1:9" hidden="1">
      <c r="A2" s="51">
        <v>1</v>
      </c>
      <c r="B2" s="48" t="s">
        <v>90</v>
      </c>
      <c r="C2" s="49" t="s">
        <v>91</v>
      </c>
      <c r="D2" s="50">
        <v>0.01</v>
      </c>
      <c r="E2" s="50">
        <v>1000</v>
      </c>
      <c r="F2" s="50">
        <f>E2*D2</f>
        <v>10</v>
      </c>
      <c r="G2" s="50">
        <v>33500</v>
      </c>
      <c r="H2" s="52">
        <v>1</v>
      </c>
      <c r="I2" s="52">
        <f>G2*H2</f>
        <v>33500</v>
      </c>
    </row>
    <row r="3" spans="1:9" hidden="1">
      <c r="A3" s="51">
        <v>2</v>
      </c>
      <c r="B3" s="48" t="s">
        <v>148</v>
      </c>
      <c r="C3" s="49" t="s">
        <v>95</v>
      </c>
      <c r="D3" s="50">
        <v>7.4999999999999997E-2</v>
      </c>
      <c r="E3" s="50">
        <v>1</v>
      </c>
      <c r="F3" s="50">
        <f>E3*D3</f>
        <v>7.4999999999999997E-2</v>
      </c>
      <c r="G3" s="50">
        <v>44</v>
      </c>
      <c r="H3" s="52">
        <v>1</v>
      </c>
      <c r="I3" s="52">
        <f t="shared" ref="I3:I70" si="0">G3*H3</f>
        <v>44</v>
      </c>
    </row>
    <row r="4" spans="1:9" hidden="1">
      <c r="A4" s="51">
        <v>3</v>
      </c>
      <c r="B4" s="48" t="s">
        <v>100</v>
      </c>
      <c r="C4" s="49" t="s">
        <v>0</v>
      </c>
      <c r="D4" s="50">
        <v>206.67</v>
      </c>
      <c r="E4" s="50">
        <v>14</v>
      </c>
      <c r="F4" s="50">
        <f>E4*D4</f>
        <v>2893.3799999999997</v>
      </c>
      <c r="G4" s="50">
        <v>124.62</v>
      </c>
      <c r="H4" s="52">
        <v>1</v>
      </c>
      <c r="I4" s="52">
        <f t="shared" si="0"/>
        <v>124.62</v>
      </c>
    </row>
    <row r="5" spans="1:9" hidden="1">
      <c r="A5" s="51">
        <v>4</v>
      </c>
      <c r="B5" s="48" t="s">
        <v>93</v>
      </c>
      <c r="C5" s="49" t="s">
        <v>0</v>
      </c>
      <c r="D5" s="50">
        <v>66.84</v>
      </c>
      <c r="E5" s="50">
        <v>14</v>
      </c>
      <c r="F5" s="50">
        <f t="shared" ref="F5:F70" si="1">E5*D5</f>
        <v>935.76</v>
      </c>
      <c r="G5" s="50">
        <v>124.62</v>
      </c>
      <c r="H5" s="52">
        <v>1</v>
      </c>
      <c r="I5" s="52">
        <f t="shared" si="0"/>
        <v>124.62</v>
      </c>
    </row>
    <row r="6" spans="1:9" hidden="1">
      <c r="A6" s="51">
        <v>5</v>
      </c>
      <c r="B6" s="48" t="s">
        <v>169</v>
      </c>
      <c r="C6" s="49" t="s">
        <v>0</v>
      </c>
      <c r="D6" s="50">
        <v>46.98</v>
      </c>
      <c r="E6" s="50">
        <v>14</v>
      </c>
      <c r="F6" s="50">
        <f t="shared" si="1"/>
        <v>657.71999999999991</v>
      </c>
      <c r="G6" s="50">
        <v>101</v>
      </c>
      <c r="H6" s="52">
        <v>1</v>
      </c>
      <c r="I6" s="52">
        <f t="shared" si="0"/>
        <v>101</v>
      </c>
    </row>
    <row r="7" spans="1:9" hidden="1">
      <c r="A7" s="51">
        <v>6</v>
      </c>
      <c r="B7" s="48" t="s">
        <v>129</v>
      </c>
      <c r="C7" s="49" t="s">
        <v>95</v>
      </c>
      <c r="D7" s="50">
        <v>37.617754999999988</v>
      </c>
      <c r="E7" s="50">
        <v>1</v>
      </c>
      <c r="F7" s="50">
        <f t="shared" si="1"/>
        <v>37.617754999999988</v>
      </c>
      <c r="G7" s="50">
        <v>57</v>
      </c>
      <c r="H7" s="52">
        <v>1</v>
      </c>
      <c r="I7" s="52">
        <f t="shared" si="0"/>
        <v>57</v>
      </c>
    </row>
    <row r="8" spans="1:9" hidden="1">
      <c r="A8" s="51">
        <v>7</v>
      </c>
      <c r="B8" s="48" t="s">
        <v>98</v>
      </c>
      <c r="C8" s="49" t="s">
        <v>99</v>
      </c>
      <c r="D8" s="50">
        <v>74.03</v>
      </c>
      <c r="E8" s="50">
        <v>1</v>
      </c>
      <c r="F8" s="50">
        <f t="shared" si="1"/>
        <v>74.03</v>
      </c>
      <c r="G8" s="50">
        <v>55.6</v>
      </c>
      <c r="H8" s="52">
        <v>1</v>
      </c>
      <c r="I8" s="52">
        <f t="shared" si="0"/>
        <v>55.6</v>
      </c>
    </row>
    <row r="9" spans="1:9" hidden="1">
      <c r="A9" s="51">
        <v>8</v>
      </c>
      <c r="B9" s="48" t="s">
        <v>120</v>
      </c>
      <c r="C9" s="49" t="s">
        <v>22</v>
      </c>
      <c r="D9" s="50">
        <v>7</v>
      </c>
      <c r="E9" s="50">
        <v>35</v>
      </c>
      <c r="F9" s="50">
        <f t="shared" si="1"/>
        <v>245</v>
      </c>
      <c r="G9" s="50">
        <v>8960</v>
      </c>
      <c r="H9" s="52">
        <v>1</v>
      </c>
      <c r="I9" s="52">
        <f t="shared" si="0"/>
        <v>8960</v>
      </c>
    </row>
    <row r="10" spans="1:9" hidden="1">
      <c r="A10" s="51">
        <v>9</v>
      </c>
      <c r="B10" s="48" t="s">
        <v>115</v>
      </c>
      <c r="C10" s="49" t="s">
        <v>22</v>
      </c>
      <c r="D10" s="50">
        <v>1</v>
      </c>
      <c r="E10" s="50">
        <v>80</v>
      </c>
      <c r="F10" s="50">
        <f t="shared" si="1"/>
        <v>80</v>
      </c>
      <c r="G10" s="50"/>
      <c r="H10" s="52">
        <v>1</v>
      </c>
      <c r="I10" s="52">
        <f t="shared" si="0"/>
        <v>0</v>
      </c>
    </row>
    <row r="11" spans="1:9" hidden="1">
      <c r="A11" s="51">
        <v>10</v>
      </c>
      <c r="B11" s="48" t="s">
        <v>124</v>
      </c>
      <c r="C11" s="49" t="s">
        <v>22</v>
      </c>
      <c r="D11" s="50">
        <v>2</v>
      </c>
      <c r="E11" s="50">
        <v>90</v>
      </c>
      <c r="F11" s="50">
        <f t="shared" si="1"/>
        <v>180</v>
      </c>
      <c r="G11" s="50"/>
      <c r="H11" s="52">
        <v>1</v>
      </c>
      <c r="I11" s="52">
        <f t="shared" si="0"/>
        <v>0</v>
      </c>
    </row>
    <row r="12" spans="1:9" hidden="1">
      <c r="A12" s="51">
        <v>11</v>
      </c>
      <c r="B12" s="48" t="s">
        <v>97</v>
      </c>
      <c r="C12" s="49" t="s">
        <v>29</v>
      </c>
      <c r="D12" s="50">
        <v>199.12</v>
      </c>
      <c r="E12" s="50"/>
      <c r="F12" s="50">
        <f t="shared" si="1"/>
        <v>0</v>
      </c>
      <c r="G12" s="50">
        <v>8.3000000000000007</v>
      </c>
      <c r="H12" s="52">
        <v>1</v>
      </c>
      <c r="I12" s="52">
        <f t="shared" si="0"/>
        <v>8.3000000000000007</v>
      </c>
    </row>
    <row r="13" spans="1:9" hidden="1">
      <c r="A13" s="51">
        <v>12</v>
      </c>
      <c r="B13" s="48" t="s">
        <v>114</v>
      </c>
      <c r="C13" s="49" t="s">
        <v>22</v>
      </c>
      <c r="D13" s="50">
        <v>1</v>
      </c>
      <c r="E13" s="50"/>
      <c r="F13" s="50">
        <f t="shared" si="1"/>
        <v>0</v>
      </c>
      <c r="G13" s="50">
        <v>1500</v>
      </c>
      <c r="H13" s="52">
        <v>1</v>
      </c>
      <c r="I13" s="52">
        <f t="shared" si="0"/>
        <v>1500</v>
      </c>
    </row>
    <row r="14" spans="1:9" hidden="1">
      <c r="A14" s="51">
        <v>13</v>
      </c>
      <c r="B14" s="48" t="s">
        <v>161</v>
      </c>
      <c r="C14" s="49" t="s">
        <v>22</v>
      </c>
      <c r="D14" s="50">
        <v>4</v>
      </c>
      <c r="E14" s="50"/>
      <c r="F14" s="50">
        <f t="shared" si="1"/>
        <v>0</v>
      </c>
      <c r="G14" s="50">
        <v>0.35</v>
      </c>
      <c r="H14" s="52">
        <v>1</v>
      </c>
      <c r="I14" s="52">
        <f t="shared" si="0"/>
        <v>0.35</v>
      </c>
    </row>
    <row r="15" spans="1:9" hidden="1">
      <c r="A15" s="51">
        <v>14</v>
      </c>
      <c r="B15" s="48" t="s">
        <v>87</v>
      </c>
      <c r="C15" s="49" t="s">
        <v>22</v>
      </c>
      <c r="D15" s="50">
        <v>652</v>
      </c>
      <c r="E15" s="50"/>
      <c r="F15" s="50">
        <f t="shared" si="1"/>
        <v>0</v>
      </c>
      <c r="G15" s="50">
        <v>0.6</v>
      </c>
      <c r="H15" s="52">
        <v>1</v>
      </c>
      <c r="I15" s="52">
        <f t="shared" si="0"/>
        <v>0.6</v>
      </c>
    </row>
    <row r="16" spans="1:9" hidden="1">
      <c r="A16" s="51">
        <v>15</v>
      </c>
      <c r="B16" s="48" t="s">
        <v>177</v>
      </c>
      <c r="C16" s="49" t="s">
        <v>22</v>
      </c>
      <c r="D16" s="50">
        <v>24.065999999999999</v>
      </c>
      <c r="E16" s="50"/>
      <c r="F16" s="50">
        <f t="shared" si="1"/>
        <v>0</v>
      </c>
      <c r="G16" s="50">
        <v>8.5</v>
      </c>
      <c r="H16" s="52">
        <v>1</v>
      </c>
      <c r="I16" s="52">
        <f t="shared" si="0"/>
        <v>8.5</v>
      </c>
    </row>
    <row r="17" spans="1:9" hidden="1">
      <c r="A17" s="51">
        <v>16</v>
      </c>
      <c r="B17" s="48" t="s">
        <v>163</v>
      </c>
      <c r="C17" s="49" t="s">
        <v>22</v>
      </c>
      <c r="D17" s="50">
        <v>1</v>
      </c>
      <c r="E17" s="50"/>
      <c r="F17" s="50">
        <f t="shared" si="1"/>
        <v>0</v>
      </c>
      <c r="G17" s="50">
        <v>7.2</v>
      </c>
      <c r="H17" s="52">
        <v>1</v>
      </c>
      <c r="I17" s="52">
        <f t="shared" si="0"/>
        <v>7.2</v>
      </c>
    </row>
    <row r="18" spans="1:9" hidden="1">
      <c r="A18" s="51">
        <v>17</v>
      </c>
      <c r="B18" s="48" t="s">
        <v>162</v>
      </c>
      <c r="C18" s="49" t="s">
        <v>22</v>
      </c>
      <c r="D18" s="50">
        <v>1</v>
      </c>
      <c r="E18" s="50"/>
      <c r="F18" s="50">
        <f t="shared" si="1"/>
        <v>0</v>
      </c>
      <c r="G18" s="50">
        <v>7.2</v>
      </c>
      <c r="H18" s="52">
        <v>1</v>
      </c>
      <c r="I18" s="52">
        <f t="shared" si="0"/>
        <v>7.2</v>
      </c>
    </row>
    <row r="19" spans="1:9" hidden="1">
      <c r="A19" s="51">
        <v>18</v>
      </c>
      <c r="B19" s="48" t="s">
        <v>127</v>
      </c>
      <c r="C19" s="49" t="s">
        <v>22</v>
      </c>
      <c r="D19" s="50">
        <v>3</v>
      </c>
      <c r="E19" s="50"/>
      <c r="F19" s="50">
        <f t="shared" si="1"/>
        <v>0</v>
      </c>
      <c r="G19" s="50">
        <v>34</v>
      </c>
      <c r="H19" s="52">
        <v>1</v>
      </c>
      <c r="I19" s="52">
        <f t="shared" si="0"/>
        <v>34</v>
      </c>
    </row>
    <row r="20" spans="1:9" hidden="1">
      <c r="A20" s="51">
        <v>19</v>
      </c>
      <c r="B20" s="48" t="s">
        <v>183</v>
      </c>
      <c r="C20" s="49" t="s">
        <v>95</v>
      </c>
      <c r="D20" s="50">
        <v>71.510000000000005</v>
      </c>
      <c r="E20" s="50"/>
      <c r="F20" s="50">
        <f t="shared" si="1"/>
        <v>0</v>
      </c>
      <c r="G20" s="50">
        <v>63.4</v>
      </c>
      <c r="H20" s="52">
        <v>1</v>
      </c>
      <c r="I20" s="52">
        <f t="shared" si="0"/>
        <v>63.4</v>
      </c>
    </row>
    <row r="21" spans="1:9" hidden="1">
      <c r="A21" s="51">
        <v>20</v>
      </c>
      <c r="B21" s="48" t="s">
        <v>92</v>
      </c>
      <c r="C21" s="49" t="s">
        <v>22</v>
      </c>
      <c r="D21" s="50">
        <v>657</v>
      </c>
      <c r="E21" s="50">
        <v>5</v>
      </c>
      <c r="F21" s="50">
        <f t="shared" si="1"/>
        <v>3285</v>
      </c>
      <c r="G21" s="50">
        <v>12.5</v>
      </c>
      <c r="H21" s="52">
        <v>1</v>
      </c>
      <c r="I21" s="52">
        <f t="shared" si="0"/>
        <v>12.5</v>
      </c>
    </row>
    <row r="22" spans="1:9" hidden="1">
      <c r="A22" s="51">
        <v>21</v>
      </c>
      <c r="B22" s="48" t="s">
        <v>158</v>
      </c>
      <c r="C22" s="49" t="s">
        <v>95</v>
      </c>
      <c r="D22" s="50">
        <v>3.1779000000000006</v>
      </c>
      <c r="E22" s="50">
        <v>1</v>
      </c>
      <c r="F22" s="50">
        <f t="shared" si="1"/>
        <v>3.1779000000000006</v>
      </c>
      <c r="G22" s="50">
        <v>119.07</v>
      </c>
      <c r="H22" s="52">
        <v>1</v>
      </c>
      <c r="I22" s="52">
        <f t="shared" si="0"/>
        <v>119.07</v>
      </c>
    </row>
    <row r="23" spans="1:9" hidden="1">
      <c r="A23" s="51">
        <v>22</v>
      </c>
      <c r="B23" s="48" t="s">
        <v>137</v>
      </c>
      <c r="C23" s="49" t="s">
        <v>95</v>
      </c>
      <c r="D23" s="50">
        <v>57.036000000000008</v>
      </c>
      <c r="E23" s="50">
        <v>1</v>
      </c>
      <c r="F23" s="50">
        <f t="shared" si="1"/>
        <v>57.036000000000008</v>
      </c>
      <c r="G23" s="50">
        <v>22.4</v>
      </c>
      <c r="H23" s="52">
        <v>1</v>
      </c>
      <c r="I23" s="52">
        <v>24</v>
      </c>
    </row>
    <row r="24" spans="1:9" hidden="1">
      <c r="A24" s="51">
        <v>23</v>
      </c>
      <c r="B24" s="48" t="s">
        <v>147</v>
      </c>
      <c r="C24" s="49" t="s">
        <v>95</v>
      </c>
      <c r="D24" s="50">
        <v>0.8176000000000001</v>
      </c>
      <c r="E24" s="50">
        <v>1</v>
      </c>
      <c r="F24" s="50">
        <f t="shared" si="1"/>
        <v>0.8176000000000001</v>
      </c>
      <c r="G24" s="50">
        <v>310</v>
      </c>
      <c r="H24" s="52">
        <v>1</v>
      </c>
      <c r="I24" s="52">
        <f t="shared" si="0"/>
        <v>310</v>
      </c>
    </row>
    <row r="25" spans="1:9" hidden="1">
      <c r="A25" s="51">
        <v>24</v>
      </c>
      <c r="B25" s="48" t="s">
        <v>126</v>
      </c>
      <c r="C25" s="49" t="s">
        <v>117</v>
      </c>
      <c r="D25" s="50">
        <v>6.57</v>
      </c>
      <c r="E25" s="50"/>
      <c r="F25" s="50">
        <f t="shared" si="1"/>
        <v>0</v>
      </c>
      <c r="G25" s="50">
        <v>210</v>
      </c>
      <c r="H25" s="52">
        <v>1</v>
      </c>
      <c r="I25" s="52">
        <f t="shared" si="0"/>
        <v>210</v>
      </c>
    </row>
    <row r="26" spans="1:9" hidden="1">
      <c r="A26" s="51">
        <v>25</v>
      </c>
      <c r="B26" s="48" t="s">
        <v>128</v>
      </c>
      <c r="C26" s="49" t="s">
        <v>95</v>
      </c>
      <c r="D26" s="50">
        <v>43.084125</v>
      </c>
      <c r="E26" s="50">
        <v>1</v>
      </c>
      <c r="F26" s="50">
        <f t="shared" si="1"/>
        <v>43.084125</v>
      </c>
      <c r="G26" s="50">
        <v>11.17</v>
      </c>
      <c r="H26" s="52">
        <v>1</v>
      </c>
      <c r="I26" s="52">
        <f t="shared" si="0"/>
        <v>11.17</v>
      </c>
    </row>
    <row r="27" spans="1:9" hidden="1">
      <c r="A27" s="51">
        <v>26</v>
      </c>
      <c r="B27" s="48" t="s">
        <v>130</v>
      </c>
      <c r="C27" s="49" t="s">
        <v>72</v>
      </c>
      <c r="D27" s="50">
        <v>0.73099999999999998</v>
      </c>
      <c r="E27" s="50">
        <v>1000</v>
      </c>
      <c r="F27" s="50">
        <f t="shared" si="1"/>
        <v>731</v>
      </c>
      <c r="G27" s="50">
        <v>10.68</v>
      </c>
      <c r="H27" s="52">
        <v>1</v>
      </c>
      <c r="I27" s="52">
        <v>10680</v>
      </c>
    </row>
    <row r="28" spans="1:9" hidden="1">
      <c r="A28" s="51">
        <v>27</v>
      </c>
      <c r="B28" s="48" t="s">
        <v>184</v>
      </c>
      <c r="C28" s="49" t="s">
        <v>149</v>
      </c>
      <c r="D28" s="50">
        <v>143.56</v>
      </c>
      <c r="E28" s="50">
        <v>1</v>
      </c>
      <c r="F28" s="50">
        <f t="shared" si="1"/>
        <v>143.56</v>
      </c>
      <c r="G28" s="50">
        <v>339.62</v>
      </c>
      <c r="H28" s="52">
        <v>1</v>
      </c>
      <c r="I28" s="52">
        <f t="shared" si="0"/>
        <v>339.62</v>
      </c>
    </row>
    <row r="29" spans="1:9" hidden="1">
      <c r="A29" s="51">
        <v>28</v>
      </c>
      <c r="B29" s="48" t="s">
        <v>131</v>
      </c>
      <c r="C29" s="49" t="s">
        <v>22</v>
      </c>
      <c r="D29" s="50">
        <v>2020.5</v>
      </c>
      <c r="E29" s="50"/>
      <c r="F29" s="50">
        <f t="shared" si="1"/>
        <v>0</v>
      </c>
      <c r="G29" s="50">
        <v>0.1</v>
      </c>
      <c r="H29" s="52">
        <v>1</v>
      </c>
      <c r="I29" s="52">
        <f t="shared" si="0"/>
        <v>0.1</v>
      </c>
    </row>
    <row r="30" spans="1:9" hidden="1">
      <c r="A30" s="51">
        <v>29</v>
      </c>
      <c r="B30" s="48" t="s">
        <v>157</v>
      </c>
      <c r="C30" s="49" t="s">
        <v>0</v>
      </c>
      <c r="D30" s="50">
        <v>6.3558000000000012</v>
      </c>
      <c r="E30" s="50">
        <v>0.2</v>
      </c>
      <c r="F30" s="50">
        <f t="shared" si="1"/>
        <v>1.2711600000000003</v>
      </c>
      <c r="G30" s="50">
        <v>532</v>
      </c>
      <c r="H30" s="52">
        <v>1</v>
      </c>
      <c r="I30" s="52">
        <f t="shared" si="0"/>
        <v>532</v>
      </c>
    </row>
    <row r="31" spans="1:9" hidden="1">
      <c r="A31" s="51"/>
      <c r="B31" s="48" t="s">
        <v>221</v>
      </c>
      <c r="C31" s="49" t="s">
        <v>22</v>
      </c>
      <c r="D31" s="50"/>
      <c r="E31" s="50"/>
      <c r="F31" s="50"/>
      <c r="G31" s="50">
        <v>600</v>
      </c>
      <c r="H31" s="52">
        <v>1</v>
      </c>
      <c r="I31" s="52">
        <f t="shared" ref="I31" si="2">G31*H31</f>
        <v>600</v>
      </c>
    </row>
    <row r="32" spans="1:9" hidden="1">
      <c r="A32" s="51">
        <v>30</v>
      </c>
      <c r="B32" s="48" t="str">
        <f>Смета!B38</f>
        <v>Полоса 100*40*4</v>
      </c>
      <c r="C32" s="49" t="s">
        <v>22</v>
      </c>
      <c r="D32" s="50">
        <v>43.370000000000005</v>
      </c>
      <c r="E32" s="50"/>
      <c r="F32" s="50">
        <f t="shared" si="1"/>
        <v>0</v>
      </c>
      <c r="G32" s="50">
        <v>35700</v>
      </c>
      <c r="H32" s="52">
        <v>1</v>
      </c>
      <c r="I32" s="52">
        <f t="shared" si="0"/>
        <v>35700</v>
      </c>
    </row>
    <row r="33" spans="1:9" ht="30.75" hidden="1" customHeight="1">
      <c r="A33" s="51"/>
      <c r="B33" s="48" t="s">
        <v>196</v>
      </c>
      <c r="C33" s="49" t="s">
        <v>0</v>
      </c>
      <c r="D33" s="50">
        <v>13.99</v>
      </c>
      <c r="E33" s="50"/>
      <c r="F33" s="50">
        <f>D33*2*3.7</f>
        <v>103.52600000000001</v>
      </c>
      <c r="G33" s="50">
        <v>2400</v>
      </c>
      <c r="H33" s="52">
        <v>1</v>
      </c>
      <c r="I33" s="52">
        <f t="shared" si="0"/>
        <v>2400</v>
      </c>
    </row>
    <row r="34" spans="1:9" hidden="1">
      <c r="A34" s="51">
        <v>31</v>
      </c>
      <c r="B34" s="48" t="s">
        <v>155</v>
      </c>
      <c r="C34" s="49" t="s">
        <v>95</v>
      </c>
      <c r="D34" s="50">
        <v>100.98</v>
      </c>
      <c r="E34" s="50">
        <v>1</v>
      </c>
      <c r="F34" s="50">
        <f t="shared" si="1"/>
        <v>100.98</v>
      </c>
      <c r="G34" s="50">
        <v>15.36</v>
      </c>
      <c r="H34" s="52">
        <v>1</v>
      </c>
      <c r="I34" s="52">
        <f t="shared" si="0"/>
        <v>15.36</v>
      </c>
    </row>
    <row r="35" spans="1:9" hidden="1">
      <c r="A35" s="51">
        <v>32</v>
      </c>
      <c r="B35" s="48" t="s">
        <v>189</v>
      </c>
      <c r="C35" s="49" t="s">
        <v>29</v>
      </c>
      <c r="D35" s="50">
        <v>17.334000000000003</v>
      </c>
      <c r="E35" s="50">
        <v>0.5</v>
      </c>
      <c r="F35" s="50">
        <f t="shared" si="1"/>
        <v>8.6670000000000016</v>
      </c>
      <c r="G35" s="50"/>
      <c r="H35" s="52">
        <v>1</v>
      </c>
      <c r="I35" s="52">
        <f t="shared" si="0"/>
        <v>0</v>
      </c>
    </row>
    <row r="36" spans="1:9" hidden="1">
      <c r="A36" s="51">
        <v>33</v>
      </c>
      <c r="B36" s="48" t="s">
        <v>187</v>
      </c>
      <c r="C36" s="49" t="s">
        <v>29</v>
      </c>
      <c r="D36" s="50">
        <v>40.446000000000005</v>
      </c>
      <c r="E36" s="50">
        <v>0.2</v>
      </c>
      <c r="F36" s="50">
        <f t="shared" si="1"/>
        <v>8.0892000000000017</v>
      </c>
      <c r="G36" s="50">
        <v>132</v>
      </c>
      <c r="H36" s="52">
        <v>1</v>
      </c>
      <c r="I36" s="52">
        <f t="shared" si="0"/>
        <v>132</v>
      </c>
    </row>
    <row r="37" spans="1:9" hidden="1">
      <c r="A37" s="51">
        <v>34</v>
      </c>
      <c r="B37" s="48" t="s">
        <v>146</v>
      </c>
      <c r="C37" s="49" t="s">
        <v>0</v>
      </c>
      <c r="D37" s="50">
        <v>26.863999999999997</v>
      </c>
      <c r="E37" s="50"/>
      <c r="F37" s="50">
        <f t="shared" si="1"/>
        <v>0</v>
      </c>
      <c r="G37" s="50">
        <v>124</v>
      </c>
      <c r="H37" s="52">
        <v>1</v>
      </c>
      <c r="I37" s="52">
        <f t="shared" si="0"/>
        <v>124</v>
      </c>
    </row>
    <row r="38" spans="1:9" hidden="1">
      <c r="A38" s="51">
        <v>35</v>
      </c>
      <c r="B38" s="48" t="s">
        <v>125</v>
      </c>
      <c r="C38" s="49" t="s">
        <v>0</v>
      </c>
      <c r="D38" s="50">
        <v>16.534649999999999</v>
      </c>
      <c r="E38" s="50">
        <v>10</v>
      </c>
      <c r="F38" s="50">
        <f t="shared" si="1"/>
        <v>165.34649999999999</v>
      </c>
      <c r="G38" s="50">
        <v>3180</v>
      </c>
      <c r="H38" s="52">
        <v>1</v>
      </c>
      <c r="I38" s="52">
        <f t="shared" si="0"/>
        <v>3180</v>
      </c>
    </row>
    <row r="39" spans="1:9" ht="30" hidden="1">
      <c r="A39" s="51">
        <v>36</v>
      </c>
      <c r="B39" s="48" t="s">
        <v>168</v>
      </c>
      <c r="C39" s="49" t="s">
        <v>22</v>
      </c>
      <c r="D39" s="50">
        <v>12</v>
      </c>
      <c r="E39" s="50">
        <v>0.1</v>
      </c>
      <c r="F39" s="50">
        <f t="shared" si="1"/>
        <v>1.2000000000000002</v>
      </c>
      <c r="G39" s="50">
        <v>145</v>
      </c>
      <c r="H39" s="52">
        <v>1</v>
      </c>
      <c r="I39" s="52">
        <f t="shared" si="0"/>
        <v>145</v>
      </c>
    </row>
    <row r="40" spans="1:9" hidden="1">
      <c r="A40" s="51">
        <v>37</v>
      </c>
      <c r="B40" s="48" t="s">
        <v>118</v>
      </c>
      <c r="C40" s="49" t="s">
        <v>117</v>
      </c>
      <c r="D40" s="50">
        <v>15</v>
      </c>
      <c r="E40" s="50">
        <v>0.2</v>
      </c>
      <c r="F40" s="50">
        <f t="shared" si="1"/>
        <v>3</v>
      </c>
      <c r="G40" s="50">
        <v>391.98</v>
      </c>
      <c r="H40" s="52">
        <v>1</v>
      </c>
      <c r="I40" s="52">
        <f t="shared" si="0"/>
        <v>391.98</v>
      </c>
    </row>
    <row r="41" spans="1:9" hidden="1">
      <c r="A41" s="51"/>
      <c r="B41" s="48" t="s">
        <v>328</v>
      </c>
      <c r="C41" s="49" t="s">
        <v>117</v>
      </c>
      <c r="D41" s="50"/>
      <c r="E41" s="50"/>
      <c r="F41" s="50"/>
      <c r="G41" s="50">
        <v>195</v>
      </c>
      <c r="H41" s="52"/>
      <c r="I41" s="52"/>
    </row>
    <row r="42" spans="1:9" hidden="1">
      <c r="A42" s="51">
        <v>38</v>
      </c>
      <c r="B42" s="48" t="s">
        <v>160</v>
      </c>
      <c r="C42" s="49" t="s">
        <v>29</v>
      </c>
      <c r="D42" s="50">
        <v>9.4160000000000021</v>
      </c>
      <c r="E42" s="50">
        <v>0.1</v>
      </c>
      <c r="F42" s="50">
        <f t="shared" si="1"/>
        <v>0.94160000000000021</v>
      </c>
      <c r="G42" s="50">
        <v>66.099999999999994</v>
      </c>
      <c r="H42" s="52">
        <v>1</v>
      </c>
      <c r="I42" s="52">
        <f t="shared" si="0"/>
        <v>66.099999999999994</v>
      </c>
    </row>
    <row r="43" spans="1:9" hidden="1">
      <c r="A43" s="51">
        <v>39</v>
      </c>
      <c r="B43" s="48" t="s">
        <v>133</v>
      </c>
      <c r="C43" s="49" t="s">
        <v>0</v>
      </c>
      <c r="D43" s="50">
        <v>26.553400000000003</v>
      </c>
      <c r="E43" s="50">
        <v>17</v>
      </c>
      <c r="F43" s="50">
        <f t="shared" si="1"/>
        <v>451.40780000000007</v>
      </c>
      <c r="G43" s="50">
        <v>249</v>
      </c>
      <c r="H43" s="52">
        <v>1</v>
      </c>
      <c r="I43" s="52">
        <f t="shared" si="0"/>
        <v>249</v>
      </c>
    </row>
    <row r="44" spans="1:9" hidden="1">
      <c r="A44" s="51">
        <v>40</v>
      </c>
      <c r="B44" s="48" t="s">
        <v>134</v>
      </c>
      <c r="C44" s="49" t="s">
        <v>0</v>
      </c>
      <c r="D44" s="50">
        <v>24.87</v>
      </c>
      <c r="E44" s="50">
        <v>17</v>
      </c>
      <c r="F44" s="50">
        <f t="shared" si="1"/>
        <v>422.79</v>
      </c>
      <c r="G44" s="50">
        <v>1320</v>
      </c>
      <c r="H44" s="52">
        <v>1</v>
      </c>
      <c r="I44" s="52">
        <f t="shared" si="0"/>
        <v>1320</v>
      </c>
    </row>
    <row r="45" spans="1:9" ht="30" hidden="1">
      <c r="A45" s="51">
        <v>41</v>
      </c>
      <c r="B45" s="48" t="s">
        <v>186</v>
      </c>
      <c r="C45" s="49" t="s">
        <v>0</v>
      </c>
      <c r="D45" s="50"/>
      <c r="E45" s="50">
        <v>0.2</v>
      </c>
      <c r="F45" s="50">
        <f t="shared" si="1"/>
        <v>0</v>
      </c>
      <c r="G45" s="50">
        <v>1710</v>
      </c>
      <c r="H45" s="52">
        <v>1</v>
      </c>
      <c r="I45" s="52">
        <f t="shared" si="0"/>
        <v>1710</v>
      </c>
    </row>
    <row r="46" spans="1:9" ht="30" hidden="1">
      <c r="A46" s="51">
        <v>42</v>
      </c>
      <c r="B46" s="48" t="s">
        <v>185</v>
      </c>
      <c r="C46" s="49" t="s">
        <v>0</v>
      </c>
      <c r="D46" s="50">
        <v>75.931600000000003</v>
      </c>
      <c r="E46" s="50">
        <v>17</v>
      </c>
      <c r="F46" s="50">
        <f t="shared" si="1"/>
        <v>1290.8371999999999</v>
      </c>
      <c r="G46" s="50">
        <v>1710</v>
      </c>
      <c r="H46" s="52">
        <v>1</v>
      </c>
      <c r="I46" s="52">
        <f t="shared" si="0"/>
        <v>1710</v>
      </c>
    </row>
    <row r="47" spans="1:9" hidden="1">
      <c r="A47" s="51">
        <v>43</v>
      </c>
      <c r="B47" s="48" t="s">
        <v>154</v>
      </c>
      <c r="C47" s="49" t="s">
        <v>0</v>
      </c>
      <c r="D47" s="50">
        <v>12.58</v>
      </c>
      <c r="E47" s="50">
        <v>17</v>
      </c>
      <c r="F47" s="50">
        <f t="shared" si="1"/>
        <v>213.86</v>
      </c>
      <c r="G47" s="50">
        <v>367</v>
      </c>
      <c r="H47" s="52">
        <v>1</v>
      </c>
      <c r="I47" s="52">
        <f t="shared" si="0"/>
        <v>367</v>
      </c>
    </row>
    <row r="48" spans="1:9" hidden="1">
      <c r="A48" s="51">
        <v>44</v>
      </c>
      <c r="B48" s="48" t="s">
        <v>105</v>
      </c>
      <c r="C48" s="49" t="s">
        <v>0</v>
      </c>
      <c r="D48" s="50">
        <v>88.16</v>
      </c>
      <c r="E48" s="50">
        <v>0.5</v>
      </c>
      <c r="F48" s="50">
        <f t="shared" si="1"/>
        <v>44.08</v>
      </c>
      <c r="G48" s="50">
        <v>174.93</v>
      </c>
      <c r="H48" s="52">
        <v>1</v>
      </c>
      <c r="I48" s="52">
        <f t="shared" si="0"/>
        <v>174.93</v>
      </c>
    </row>
    <row r="49" spans="1:9" hidden="1">
      <c r="A49" s="51">
        <v>45</v>
      </c>
      <c r="B49" s="48" t="s">
        <v>101</v>
      </c>
      <c r="C49" s="49" t="s">
        <v>29</v>
      </c>
      <c r="D49" s="50">
        <v>80</v>
      </c>
      <c r="E49" s="50">
        <v>0.15</v>
      </c>
      <c r="F49" s="50">
        <f t="shared" si="1"/>
        <v>12</v>
      </c>
      <c r="G49" s="50">
        <v>34</v>
      </c>
      <c r="H49" s="52">
        <v>1</v>
      </c>
      <c r="I49" s="52">
        <f t="shared" si="0"/>
        <v>34</v>
      </c>
    </row>
    <row r="50" spans="1:9" hidden="1">
      <c r="A50" s="51">
        <v>46</v>
      </c>
      <c r="B50" s="48" t="s">
        <v>111</v>
      </c>
      <c r="C50" s="49" t="s">
        <v>29</v>
      </c>
      <c r="D50" s="50">
        <v>135</v>
      </c>
      <c r="E50" s="50">
        <v>0.1</v>
      </c>
      <c r="F50" s="50">
        <f t="shared" si="1"/>
        <v>13.5</v>
      </c>
      <c r="G50" s="50">
        <v>14.7</v>
      </c>
      <c r="H50" s="52">
        <v>1</v>
      </c>
      <c r="I50" s="52">
        <f t="shared" si="0"/>
        <v>14.7</v>
      </c>
    </row>
    <row r="51" spans="1:9" hidden="1">
      <c r="A51" s="51">
        <v>47</v>
      </c>
      <c r="B51" s="48" t="s">
        <v>106</v>
      </c>
      <c r="C51" s="49" t="s">
        <v>29</v>
      </c>
      <c r="D51" s="50">
        <v>35.100376000000004</v>
      </c>
      <c r="E51" s="50">
        <v>0.12</v>
      </c>
      <c r="F51" s="50">
        <f t="shared" si="1"/>
        <v>4.21204512</v>
      </c>
      <c r="G51" s="50">
        <v>27.1</v>
      </c>
      <c r="H51" s="52">
        <v>1</v>
      </c>
      <c r="I51" s="52">
        <f t="shared" si="0"/>
        <v>27.1</v>
      </c>
    </row>
    <row r="52" spans="1:9" hidden="1">
      <c r="A52" s="51">
        <v>48</v>
      </c>
      <c r="B52" s="48" t="s">
        <v>108</v>
      </c>
      <c r="C52" s="49" t="s">
        <v>22</v>
      </c>
      <c r="D52" s="50">
        <v>89.14</v>
      </c>
      <c r="E52" s="50">
        <v>0.05</v>
      </c>
      <c r="F52" s="50">
        <f t="shared" si="1"/>
        <v>4.4569999999999999</v>
      </c>
      <c r="G52" s="50">
        <v>3.5</v>
      </c>
      <c r="H52" s="52">
        <v>1</v>
      </c>
      <c r="I52" s="52">
        <f t="shared" si="0"/>
        <v>3.5</v>
      </c>
    </row>
    <row r="53" spans="1:9" hidden="1">
      <c r="A53" s="51">
        <v>49</v>
      </c>
      <c r="B53" s="48" t="s">
        <v>175</v>
      </c>
      <c r="C53" s="49" t="s">
        <v>0</v>
      </c>
      <c r="D53" s="50">
        <v>31.686900000000001</v>
      </c>
      <c r="E53" s="50">
        <v>3.5</v>
      </c>
      <c r="F53" s="50">
        <f t="shared" si="1"/>
        <v>110.90415</v>
      </c>
      <c r="G53" s="50">
        <v>270</v>
      </c>
      <c r="H53" s="52">
        <v>1</v>
      </c>
      <c r="I53" s="52">
        <f t="shared" si="0"/>
        <v>270</v>
      </c>
    </row>
    <row r="54" spans="1:9" hidden="1">
      <c r="A54" s="51">
        <v>50</v>
      </c>
      <c r="B54" s="48" t="s">
        <v>182</v>
      </c>
      <c r="C54" s="49" t="s">
        <v>29</v>
      </c>
      <c r="D54" s="50">
        <v>10.1043</v>
      </c>
      <c r="E54" s="50">
        <v>0.7</v>
      </c>
      <c r="F54" s="50">
        <f t="shared" si="1"/>
        <v>7.07301</v>
      </c>
      <c r="G54" s="50">
        <v>695.5</v>
      </c>
      <c r="H54" s="52">
        <v>1</v>
      </c>
      <c r="I54" s="52">
        <f t="shared" si="0"/>
        <v>695.5</v>
      </c>
    </row>
    <row r="55" spans="1:9" hidden="1">
      <c r="A55" s="51">
        <v>51</v>
      </c>
      <c r="B55" s="48" t="s">
        <v>159</v>
      </c>
      <c r="C55" s="49" t="s">
        <v>29</v>
      </c>
      <c r="D55" s="50">
        <v>0.9416000000000001</v>
      </c>
      <c r="E55" s="50"/>
      <c r="F55" s="50">
        <f t="shared" si="1"/>
        <v>0</v>
      </c>
      <c r="G55" s="50">
        <v>120</v>
      </c>
      <c r="H55" s="52">
        <v>1</v>
      </c>
      <c r="I55" s="52">
        <f t="shared" si="0"/>
        <v>120</v>
      </c>
    </row>
    <row r="56" spans="1:9" hidden="1">
      <c r="A56" s="51">
        <v>52</v>
      </c>
      <c r="B56" s="48" t="s">
        <v>112</v>
      </c>
      <c r="C56" s="49" t="s">
        <v>29</v>
      </c>
      <c r="D56" s="50">
        <v>182.83</v>
      </c>
      <c r="E56" s="50">
        <v>0.1</v>
      </c>
      <c r="F56" s="50">
        <f t="shared" si="1"/>
        <v>18.283000000000001</v>
      </c>
      <c r="G56" s="50">
        <v>26.33</v>
      </c>
      <c r="H56" s="52">
        <v>1</v>
      </c>
      <c r="I56" s="52">
        <f t="shared" si="0"/>
        <v>26.33</v>
      </c>
    </row>
    <row r="57" spans="1:9" hidden="1">
      <c r="A57" s="51">
        <v>53</v>
      </c>
      <c r="B57" s="48" t="s">
        <v>109</v>
      </c>
      <c r="C57" s="49" t="s">
        <v>22</v>
      </c>
      <c r="D57" s="50">
        <v>779.88</v>
      </c>
      <c r="E57" s="50"/>
      <c r="F57" s="50">
        <f t="shared" si="1"/>
        <v>0</v>
      </c>
      <c r="G57" s="50">
        <v>0.23</v>
      </c>
      <c r="H57" s="52">
        <v>1</v>
      </c>
      <c r="I57" s="52">
        <f t="shared" si="0"/>
        <v>0.23</v>
      </c>
    </row>
    <row r="58" spans="1:9" hidden="1">
      <c r="A58" s="51">
        <v>54</v>
      </c>
      <c r="B58" s="48" t="s">
        <v>102</v>
      </c>
      <c r="C58" s="49" t="s">
        <v>29</v>
      </c>
      <c r="D58" s="50">
        <v>175.98</v>
      </c>
      <c r="E58" s="50">
        <v>0.15</v>
      </c>
      <c r="F58" s="50">
        <f t="shared" si="1"/>
        <v>26.396999999999998</v>
      </c>
      <c r="G58" s="50">
        <v>45.67</v>
      </c>
      <c r="H58" s="52">
        <v>1</v>
      </c>
      <c r="I58" s="52">
        <f t="shared" si="0"/>
        <v>45.67</v>
      </c>
    </row>
    <row r="59" spans="1:9" hidden="1">
      <c r="A59" s="51">
        <v>55</v>
      </c>
      <c r="B59" s="48" t="s">
        <v>107</v>
      </c>
      <c r="C59" s="49" t="s">
        <v>29</v>
      </c>
      <c r="D59" s="50">
        <v>67.323672000000002</v>
      </c>
      <c r="E59" s="50">
        <v>0.12</v>
      </c>
      <c r="F59" s="50">
        <f t="shared" si="1"/>
        <v>8.0788406399999992</v>
      </c>
      <c r="G59" s="50">
        <v>34.07</v>
      </c>
      <c r="H59" s="52">
        <v>1</v>
      </c>
      <c r="I59" s="52">
        <f t="shared" si="0"/>
        <v>34.07</v>
      </c>
    </row>
    <row r="60" spans="1:9" hidden="1">
      <c r="A60" s="51">
        <v>56</v>
      </c>
      <c r="B60" s="48" t="s">
        <v>119</v>
      </c>
      <c r="C60" s="49" t="s">
        <v>22</v>
      </c>
      <c r="D60" s="50">
        <v>84</v>
      </c>
      <c r="E60" s="50"/>
      <c r="F60" s="50">
        <f t="shared" si="1"/>
        <v>0</v>
      </c>
      <c r="G60" s="50">
        <v>14</v>
      </c>
      <c r="H60" s="52">
        <v>1</v>
      </c>
      <c r="I60" s="52">
        <f t="shared" si="0"/>
        <v>14</v>
      </c>
    </row>
    <row r="61" spans="1:9" hidden="1">
      <c r="A61" s="51">
        <v>57</v>
      </c>
      <c r="B61" s="48" t="s">
        <v>150</v>
      </c>
      <c r="C61" s="49" t="s">
        <v>22</v>
      </c>
      <c r="D61" s="50">
        <v>4</v>
      </c>
      <c r="E61" s="50">
        <v>0.5</v>
      </c>
      <c r="F61" s="50">
        <f t="shared" si="1"/>
        <v>2</v>
      </c>
      <c r="G61" s="50">
        <v>430</v>
      </c>
      <c r="H61" s="52">
        <v>1</v>
      </c>
      <c r="I61" s="52">
        <f t="shared" si="0"/>
        <v>430</v>
      </c>
    </row>
    <row r="62" spans="1:9" hidden="1">
      <c r="A62" s="51">
        <v>58</v>
      </c>
      <c r="B62" s="48" t="s">
        <v>151</v>
      </c>
      <c r="C62" s="49" t="s">
        <v>22</v>
      </c>
      <c r="D62" s="50">
        <v>153</v>
      </c>
      <c r="E62" s="50"/>
      <c r="F62" s="50">
        <f t="shared" si="1"/>
        <v>0</v>
      </c>
      <c r="G62" s="50">
        <v>0.19</v>
      </c>
      <c r="H62" s="52">
        <v>1</v>
      </c>
      <c r="I62" s="52">
        <f t="shared" si="0"/>
        <v>0.19</v>
      </c>
    </row>
    <row r="63" spans="1:9" hidden="1">
      <c r="A63" s="51">
        <v>59</v>
      </c>
      <c r="B63" s="48" t="s">
        <v>104</v>
      </c>
      <c r="C63" s="49" t="s">
        <v>22</v>
      </c>
      <c r="D63" s="50">
        <v>3289</v>
      </c>
      <c r="E63" s="50"/>
      <c r="F63" s="50">
        <f t="shared" si="1"/>
        <v>0</v>
      </c>
      <c r="G63" s="50">
        <v>0.24</v>
      </c>
      <c r="H63" s="52">
        <v>1</v>
      </c>
      <c r="I63" s="52">
        <f t="shared" si="0"/>
        <v>0.24</v>
      </c>
    </row>
    <row r="64" spans="1:9" hidden="1">
      <c r="A64" s="51">
        <v>60</v>
      </c>
      <c r="B64" s="48" t="s">
        <v>103</v>
      </c>
      <c r="C64" s="49" t="s">
        <v>22</v>
      </c>
      <c r="D64" s="50">
        <v>1606</v>
      </c>
      <c r="E64" s="50"/>
      <c r="F64" s="50">
        <f t="shared" si="1"/>
        <v>0</v>
      </c>
      <c r="G64" s="50">
        <v>0.26</v>
      </c>
      <c r="H64" s="52">
        <v>1</v>
      </c>
      <c r="I64" s="52">
        <f t="shared" si="0"/>
        <v>0.26</v>
      </c>
    </row>
    <row r="65" spans="1:9" hidden="1">
      <c r="A65" s="51">
        <v>61</v>
      </c>
      <c r="B65" s="48" t="s">
        <v>96</v>
      </c>
      <c r="C65" s="49" t="s">
        <v>29</v>
      </c>
      <c r="D65" s="50">
        <v>196.33</v>
      </c>
      <c r="E65" s="50"/>
      <c r="F65" s="50">
        <f t="shared" si="1"/>
        <v>0</v>
      </c>
      <c r="G65" s="50">
        <v>0.71</v>
      </c>
      <c r="H65" s="52">
        <v>1</v>
      </c>
      <c r="I65" s="52">
        <f t="shared" si="0"/>
        <v>0.71</v>
      </c>
    </row>
    <row r="66" spans="1:9" hidden="1">
      <c r="A66" s="51">
        <v>62</v>
      </c>
      <c r="B66" s="48" t="s">
        <v>190</v>
      </c>
      <c r="C66" s="49" t="s">
        <v>91</v>
      </c>
      <c r="D66" s="50">
        <v>0.03</v>
      </c>
      <c r="E66" s="50">
        <v>1000</v>
      </c>
      <c r="F66" s="50">
        <f t="shared" si="1"/>
        <v>30</v>
      </c>
      <c r="G66" s="50">
        <v>57680</v>
      </c>
      <c r="H66" s="52">
        <v>1</v>
      </c>
      <c r="I66" s="52">
        <f t="shared" si="0"/>
        <v>57680</v>
      </c>
    </row>
    <row r="67" spans="1:9" hidden="1">
      <c r="A67" s="51">
        <v>63</v>
      </c>
      <c r="B67" s="48" t="s">
        <v>143</v>
      </c>
      <c r="C67" s="49" t="s">
        <v>191</v>
      </c>
      <c r="D67" s="50">
        <f>8.233/0.3</f>
        <v>27.443333333333335</v>
      </c>
      <c r="E67" s="50">
        <v>0.1</v>
      </c>
      <c r="F67" s="50">
        <f t="shared" si="1"/>
        <v>2.7443333333333335</v>
      </c>
      <c r="G67" s="50">
        <v>72.400000000000006</v>
      </c>
      <c r="H67" s="52">
        <v>1</v>
      </c>
      <c r="I67" s="52">
        <f t="shared" si="0"/>
        <v>72.400000000000006</v>
      </c>
    </row>
    <row r="68" spans="1:9" hidden="1">
      <c r="A68" s="51">
        <v>64</v>
      </c>
      <c r="B68" s="48" t="s">
        <v>172</v>
      </c>
      <c r="C68" s="49" t="s">
        <v>173</v>
      </c>
      <c r="D68" s="50">
        <v>14</v>
      </c>
      <c r="E68" s="50">
        <v>0.05</v>
      </c>
      <c r="F68" s="50">
        <f t="shared" si="1"/>
        <v>0.70000000000000007</v>
      </c>
      <c r="G68" s="50">
        <v>65.8</v>
      </c>
      <c r="H68" s="52">
        <v>1</v>
      </c>
      <c r="I68" s="52">
        <f t="shared" si="0"/>
        <v>65.8</v>
      </c>
    </row>
    <row r="69" spans="1:9" hidden="1">
      <c r="A69" s="51"/>
      <c r="B69" s="48" t="s">
        <v>197</v>
      </c>
      <c r="C69" s="49" t="s">
        <v>22</v>
      </c>
      <c r="D69" s="50">
        <v>4</v>
      </c>
      <c r="E69" s="50"/>
      <c r="F69" s="50">
        <f t="shared" si="1"/>
        <v>0</v>
      </c>
      <c r="G69" s="50">
        <v>11.1</v>
      </c>
      <c r="H69" s="52">
        <v>1</v>
      </c>
      <c r="I69" s="52">
        <f t="shared" si="0"/>
        <v>11.1</v>
      </c>
    </row>
    <row r="70" spans="1:9" hidden="1">
      <c r="A70" s="51">
        <v>65</v>
      </c>
      <c r="B70" s="48" t="s">
        <v>164</v>
      </c>
      <c r="C70" s="49" t="s">
        <v>22</v>
      </c>
      <c r="D70" s="50">
        <v>4</v>
      </c>
      <c r="E70" s="50"/>
      <c r="F70" s="50">
        <f t="shared" si="1"/>
        <v>0</v>
      </c>
      <c r="G70" s="50">
        <v>12</v>
      </c>
      <c r="H70" s="52">
        <v>1</v>
      </c>
      <c r="I70" s="52">
        <f t="shared" si="0"/>
        <v>12</v>
      </c>
    </row>
    <row r="71" spans="1:9" hidden="1">
      <c r="A71" s="51">
        <v>66</v>
      </c>
      <c r="B71" s="48" t="str">
        <f>Смета!B37</f>
        <v>Уголок металлический 75*75*4</v>
      </c>
      <c r="C71" s="49" t="s">
        <v>72</v>
      </c>
      <c r="D71" s="50">
        <v>26.802660000000003</v>
      </c>
      <c r="E71" s="50"/>
      <c r="F71" s="50">
        <f t="shared" ref="F71:F79" si="3">E71*D71</f>
        <v>0</v>
      </c>
      <c r="G71" s="50">
        <v>31500</v>
      </c>
      <c r="H71" s="52">
        <v>1</v>
      </c>
      <c r="I71" s="52">
        <f t="shared" ref="I71:I79" si="4">G71*H71</f>
        <v>31500</v>
      </c>
    </row>
    <row r="72" spans="1:9" hidden="1">
      <c r="A72" s="51">
        <v>67</v>
      </c>
      <c r="B72" s="48" t="s">
        <v>140</v>
      </c>
      <c r="C72" s="49" t="s">
        <v>29</v>
      </c>
      <c r="D72" s="50">
        <v>24.889949999999999</v>
      </c>
      <c r="E72" s="50"/>
      <c r="F72" s="50">
        <f t="shared" si="3"/>
        <v>0</v>
      </c>
      <c r="G72" s="50">
        <v>11.5</v>
      </c>
      <c r="H72" s="52">
        <v>1</v>
      </c>
      <c r="I72" s="52">
        <f t="shared" si="4"/>
        <v>11.5</v>
      </c>
    </row>
    <row r="73" spans="1:9" hidden="1">
      <c r="A73" s="51">
        <v>68</v>
      </c>
      <c r="B73" s="48" t="s">
        <v>138</v>
      </c>
      <c r="C73" s="49" t="s">
        <v>95</v>
      </c>
      <c r="D73" s="50">
        <v>121.03</v>
      </c>
      <c r="E73" s="50">
        <v>0.03</v>
      </c>
      <c r="F73" s="50">
        <f t="shared" si="3"/>
        <v>3.6309</v>
      </c>
      <c r="G73" s="50">
        <v>7.3</v>
      </c>
      <c r="H73" s="52">
        <v>1</v>
      </c>
      <c r="I73" s="52">
        <f t="shared" si="4"/>
        <v>7.3</v>
      </c>
    </row>
    <row r="74" spans="1:9" hidden="1">
      <c r="A74" s="51">
        <v>69</v>
      </c>
      <c r="B74" s="48" t="s">
        <v>176</v>
      </c>
      <c r="C74" s="49" t="s">
        <v>29</v>
      </c>
      <c r="D74" s="50">
        <v>48.615000000000002</v>
      </c>
      <c r="E74" s="50"/>
      <c r="F74" s="50">
        <f t="shared" si="3"/>
        <v>0</v>
      </c>
      <c r="G74" s="50">
        <v>14.7</v>
      </c>
      <c r="H74" s="52">
        <v>1</v>
      </c>
      <c r="I74" s="52">
        <f t="shared" si="4"/>
        <v>14.7</v>
      </c>
    </row>
    <row r="75" spans="1:9" hidden="1">
      <c r="A75" s="51">
        <v>70</v>
      </c>
      <c r="B75" s="48" t="s">
        <v>88</v>
      </c>
      <c r="C75" s="49" t="s">
        <v>72</v>
      </c>
      <c r="D75" s="50">
        <v>7.44</v>
      </c>
      <c r="E75" s="50">
        <v>1000</v>
      </c>
      <c r="F75" s="50">
        <f t="shared" si="3"/>
        <v>7440</v>
      </c>
      <c r="G75" s="50">
        <v>5800</v>
      </c>
      <c r="H75" s="52">
        <v>1</v>
      </c>
      <c r="I75" s="52">
        <f t="shared" si="4"/>
        <v>5800</v>
      </c>
    </row>
    <row r="76" spans="1:9" hidden="1">
      <c r="A76" s="51">
        <v>71</v>
      </c>
      <c r="B76" s="48" t="s">
        <v>141</v>
      </c>
      <c r="C76" s="49" t="s">
        <v>142</v>
      </c>
      <c r="D76" s="50">
        <v>216.8</v>
      </c>
      <c r="E76" s="50">
        <v>1</v>
      </c>
      <c r="F76" s="50">
        <f t="shared" si="3"/>
        <v>216.8</v>
      </c>
      <c r="G76" s="50">
        <v>22.56</v>
      </c>
      <c r="H76" s="52">
        <v>1</v>
      </c>
      <c r="I76" s="52">
        <f t="shared" si="4"/>
        <v>22.56</v>
      </c>
    </row>
    <row r="77" spans="1:9" hidden="1">
      <c r="A77" s="51">
        <v>72</v>
      </c>
      <c r="B77" s="48" t="s">
        <v>170</v>
      </c>
      <c r="C77" s="49" t="s">
        <v>95</v>
      </c>
      <c r="D77" s="50">
        <v>14.78</v>
      </c>
      <c r="E77" s="50">
        <v>1</v>
      </c>
      <c r="F77" s="50">
        <f t="shared" si="3"/>
        <v>14.78</v>
      </c>
      <c r="G77" s="50">
        <v>48.8</v>
      </c>
      <c r="H77" s="52">
        <v>1</v>
      </c>
      <c r="I77" s="52">
        <f t="shared" si="4"/>
        <v>48.8</v>
      </c>
    </row>
    <row r="78" spans="1:9" hidden="1">
      <c r="A78" s="51">
        <v>73</v>
      </c>
      <c r="B78" s="48" t="s">
        <v>171</v>
      </c>
      <c r="C78" s="49" t="s">
        <v>95</v>
      </c>
      <c r="D78" s="50">
        <v>134.52000000000001</v>
      </c>
      <c r="E78" s="50">
        <v>1</v>
      </c>
      <c r="F78" s="50">
        <f t="shared" si="3"/>
        <v>134.52000000000001</v>
      </c>
      <c r="G78" s="50">
        <v>15</v>
      </c>
      <c r="H78" s="52">
        <v>1</v>
      </c>
      <c r="I78" s="52">
        <f t="shared" si="4"/>
        <v>15</v>
      </c>
    </row>
    <row r="79" spans="1:9" hidden="1">
      <c r="A79" s="51">
        <v>74</v>
      </c>
      <c r="B79" s="48" t="s">
        <v>139</v>
      </c>
      <c r="C79" s="49" t="s">
        <v>95</v>
      </c>
      <c r="D79" s="50">
        <v>78.19</v>
      </c>
      <c r="E79" s="50">
        <v>1</v>
      </c>
      <c r="F79" s="50">
        <f t="shared" si="3"/>
        <v>78.19</v>
      </c>
      <c r="G79" s="50">
        <v>11.2</v>
      </c>
      <c r="H79" s="52">
        <v>1</v>
      </c>
      <c r="I79" s="52">
        <f t="shared" si="4"/>
        <v>11.2</v>
      </c>
    </row>
    <row r="80" spans="1:9" hidden="1">
      <c r="F80" s="47">
        <f>SUM(F2:F79)</f>
        <v>20321.525119093338</v>
      </c>
    </row>
    <row r="81" spans="1:9" hidden="1"/>
    <row r="82" spans="1:9" hidden="1">
      <c r="A82" s="46" t="s">
        <v>181</v>
      </c>
      <c r="B82" s="65" t="s">
        <v>90</v>
      </c>
      <c r="C82" s="45" t="s">
        <v>91</v>
      </c>
      <c r="D82" s="47">
        <v>1.0510500000000002E-3</v>
      </c>
      <c r="F82" s="47">
        <v>29599</v>
      </c>
      <c r="I82">
        <v>31.110028950000007</v>
      </c>
    </row>
    <row r="83" spans="1:9" hidden="1">
      <c r="A83" s="46" t="s">
        <v>181</v>
      </c>
      <c r="B83" s="65" t="s">
        <v>90</v>
      </c>
      <c r="C83" s="45" t="s">
        <v>91</v>
      </c>
      <c r="D83" s="47">
        <v>1.4245E-3</v>
      </c>
      <c r="F83" s="47">
        <v>29599</v>
      </c>
      <c r="I83">
        <v>42.1637755</v>
      </c>
    </row>
    <row r="84" spans="1:9" hidden="1">
      <c r="A84" s="46" t="s">
        <v>181</v>
      </c>
      <c r="B84" s="65" t="s">
        <v>148</v>
      </c>
      <c r="C84" s="45" t="s">
        <v>95</v>
      </c>
      <c r="D84" s="47">
        <v>0.08</v>
      </c>
      <c r="F84" s="47">
        <v>44</v>
      </c>
      <c r="I84">
        <v>0.11343200000000002</v>
      </c>
    </row>
    <row r="85" spans="1:9" hidden="1">
      <c r="A85" s="46" t="s">
        <v>181</v>
      </c>
      <c r="B85" s="65" t="s">
        <v>100</v>
      </c>
      <c r="C85" s="45" t="s">
        <v>0</v>
      </c>
      <c r="D85" s="47">
        <v>242.2</v>
      </c>
      <c r="F85" s="47">
        <v>185</v>
      </c>
      <c r="I85">
        <v>38400.450000000004</v>
      </c>
    </row>
    <row r="86" spans="1:9" hidden="1">
      <c r="A86" s="46" t="s">
        <v>181</v>
      </c>
      <c r="B86" s="65" t="s">
        <v>93</v>
      </c>
      <c r="C86" s="45" t="s">
        <v>0</v>
      </c>
      <c r="D86" s="47">
        <v>66.84</v>
      </c>
      <c r="F86" s="47">
        <v>185</v>
      </c>
      <c r="I86">
        <v>5695.1798600000002</v>
      </c>
    </row>
    <row r="87" spans="1:9" hidden="1">
      <c r="A87" s="46" t="s">
        <v>181</v>
      </c>
      <c r="B87" s="65" t="s">
        <v>169</v>
      </c>
      <c r="C87" s="45" t="s">
        <v>0</v>
      </c>
      <c r="D87" s="47">
        <v>50.99</v>
      </c>
      <c r="F87" s="47">
        <v>101</v>
      </c>
      <c r="I87">
        <v>2584.9263300000007</v>
      </c>
    </row>
    <row r="88" spans="1:9" hidden="1">
      <c r="A88" s="46" t="s">
        <v>181</v>
      </c>
      <c r="B88" s="65" t="s">
        <v>129</v>
      </c>
      <c r="C88" s="45" t="s">
        <v>95</v>
      </c>
      <c r="D88" s="47">
        <v>64.207499999999996</v>
      </c>
      <c r="F88" s="47">
        <v>57</v>
      </c>
      <c r="I88">
        <v>3659.8274999999999</v>
      </c>
    </row>
    <row r="89" spans="1:9" hidden="1">
      <c r="A89" s="46" t="s">
        <v>181</v>
      </c>
      <c r="B89" s="65" t="s">
        <v>98</v>
      </c>
      <c r="C89" s="45" t="s">
        <v>99</v>
      </c>
      <c r="D89" s="47">
        <v>76.64</v>
      </c>
      <c r="F89" s="47">
        <v>55.6</v>
      </c>
      <c r="I89">
        <v>567.12000000000012</v>
      </c>
    </row>
    <row r="90" spans="1:9" hidden="1">
      <c r="A90" s="46" t="s">
        <v>181</v>
      </c>
      <c r="B90" s="65" t="s">
        <v>120</v>
      </c>
      <c r="C90" s="45" t="s">
        <v>22</v>
      </c>
      <c r="D90" s="47">
        <v>7</v>
      </c>
      <c r="F90" s="47">
        <v>3700</v>
      </c>
      <c r="I90">
        <v>25900</v>
      </c>
    </row>
    <row r="91" spans="1:9" hidden="1">
      <c r="A91" s="46" t="s">
        <v>181</v>
      </c>
      <c r="B91" s="65" t="s">
        <v>115</v>
      </c>
      <c r="C91" s="45" t="s">
        <v>22</v>
      </c>
      <c r="D91" s="47">
        <v>1</v>
      </c>
      <c r="F91" s="47">
        <v>0</v>
      </c>
      <c r="I91">
        <v>0</v>
      </c>
    </row>
    <row r="92" spans="1:9" hidden="1">
      <c r="A92" s="46" t="s">
        <v>181</v>
      </c>
      <c r="B92" s="65" t="s">
        <v>124</v>
      </c>
      <c r="C92" s="45" t="s">
        <v>22</v>
      </c>
      <c r="D92" s="47">
        <v>2</v>
      </c>
      <c r="F92" s="47">
        <v>0</v>
      </c>
      <c r="I92">
        <v>0</v>
      </c>
    </row>
    <row r="93" spans="1:9" hidden="1">
      <c r="A93" s="46" t="s">
        <v>181</v>
      </c>
      <c r="B93" s="65" t="s">
        <v>97</v>
      </c>
      <c r="C93" s="45" t="s">
        <v>29</v>
      </c>
      <c r="D93" s="47">
        <v>214.09</v>
      </c>
      <c r="F93" s="47">
        <v>8.3000000000000007</v>
      </c>
      <c r="I93">
        <v>507.96000000000004</v>
      </c>
    </row>
    <row r="94" spans="1:9" hidden="1">
      <c r="A94" s="46" t="s">
        <v>181</v>
      </c>
      <c r="B94" s="65" t="s">
        <v>114</v>
      </c>
      <c r="C94" s="45" t="s">
        <v>22</v>
      </c>
      <c r="D94" s="47">
        <v>3</v>
      </c>
      <c r="F94" s="47">
        <v>1500</v>
      </c>
      <c r="I94">
        <v>4500</v>
      </c>
    </row>
    <row r="95" spans="1:9" hidden="1">
      <c r="A95" s="46" t="s">
        <v>181</v>
      </c>
      <c r="B95" s="65" t="s">
        <v>161</v>
      </c>
      <c r="C95" s="45" t="s">
        <v>22</v>
      </c>
      <c r="D95" s="47">
        <v>3.52</v>
      </c>
      <c r="F95" s="47">
        <v>0.35</v>
      </c>
      <c r="I95">
        <v>1.232</v>
      </c>
    </row>
    <row r="96" spans="1:9" hidden="1">
      <c r="A96" s="46" t="s">
        <v>181</v>
      </c>
      <c r="B96" s="65" t="s">
        <v>87</v>
      </c>
      <c r="C96" s="45" t="s">
        <v>22</v>
      </c>
      <c r="D96" s="47">
        <f>747.41+404</f>
        <v>1151.4099999999999</v>
      </c>
      <c r="F96" s="47">
        <v>0.6</v>
      </c>
      <c r="I96">
        <v>49.877999999999993</v>
      </c>
    </row>
    <row r="97" spans="1:9" hidden="1">
      <c r="A97" s="46" t="s">
        <v>181</v>
      </c>
      <c r="B97" s="65" t="s">
        <v>177</v>
      </c>
      <c r="C97" s="45" t="s">
        <v>22</v>
      </c>
      <c r="D97" s="47">
        <v>24.065999999999999</v>
      </c>
      <c r="F97" s="47">
        <v>8.5</v>
      </c>
      <c r="I97">
        <v>204.56099999999998</v>
      </c>
    </row>
    <row r="98" spans="1:9" hidden="1">
      <c r="A98" s="46" t="s">
        <v>181</v>
      </c>
      <c r="B98" s="65" t="s">
        <v>163</v>
      </c>
      <c r="C98" s="45" t="s">
        <v>22</v>
      </c>
      <c r="D98" s="47">
        <v>1</v>
      </c>
      <c r="F98" s="47">
        <v>7.2</v>
      </c>
      <c r="I98">
        <v>7.2</v>
      </c>
    </row>
    <row r="99" spans="1:9" hidden="1">
      <c r="A99" s="46" t="s">
        <v>181</v>
      </c>
      <c r="B99" s="65" t="s">
        <v>162</v>
      </c>
      <c r="C99" s="45" t="s">
        <v>22</v>
      </c>
      <c r="D99" s="47">
        <v>1</v>
      </c>
      <c r="F99" s="47">
        <v>7.2</v>
      </c>
      <c r="I99">
        <v>7.2</v>
      </c>
    </row>
    <row r="100" spans="1:9" hidden="1">
      <c r="A100" s="46" t="s">
        <v>181</v>
      </c>
      <c r="B100" s="65" t="s">
        <v>127</v>
      </c>
      <c r="C100" s="45" t="s">
        <v>22</v>
      </c>
      <c r="D100" s="47">
        <v>3</v>
      </c>
      <c r="F100" s="47">
        <v>34</v>
      </c>
      <c r="I100">
        <v>102</v>
      </c>
    </row>
    <row r="101" spans="1:9" hidden="1">
      <c r="A101" s="46" t="s">
        <v>181</v>
      </c>
      <c r="B101" s="65" t="s">
        <v>183</v>
      </c>
      <c r="C101" s="45" t="s">
        <v>95</v>
      </c>
      <c r="D101" s="47">
        <v>71.510000000000005</v>
      </c>
      <c r="F101" s="47">
        <v>63.4</v>
      </c>
      <c r="I101">
        <v>817.226</v>
      </c>
    </row>
    <row r="102" spans="1:9" hidden="1">
      <c r="A102" s="46" t="s">
        <v>181</v>
      </c>
      <c r="B102" s="65" t="s">
        <v>92</v>
      </c>
      <c r="C102" s="45" t="s">
        <v>22</v>
      </c>
      <c r="D102" s="47">
        <v>428.34</v>
      </c>
      <c r="F102" s="47">
        <v>12.5</v>
      </c>
      <c r="I102">
        <v>716.62500000000011</v>
      </c>
    </row>
    <row r="103" spans="1:9" hidden="1">
      <c r="A103" s="46" t="s">
        <v>181</v>
      </c>
      <c r="B103" s="65" t="s">
        <v>158</v>
      </c>
      <c r="C103" s="45" t="s">
        <v>95</v>
      </c>
      <c r="D103" s="47">
        <v>3.1779000000000006</v>
      </c>
      <c r="F103" s="47">
        <v>119.07</v>
      </c>
      <c r="I103">
        <v>378.39255300000008</v>
      </c>
    </row>
    <row r="104" spans="1:9" hidden="1">
      <c r="A104" s="46" t="s">
        <v>181</v>
      </c>
      <c r="B104" s="65" t="s">
        <v>137</v>
      </c>
      <c r="C104" s="45" t="s">
        <v>95</v>
      </c>
      <c r="D104" s="47">
        <v>57.036000000000008</v>
      </c>
      <c r="F104" s="47">
        <v>24</v>
      </c>
      <c r="I104">
        <v>1368.8640000000003</v>
      </c>
    </row>
    <row r="105" spans="1:9" hidden="1">
      <c r="A105" s="46" t="s">
        <v>181</v>
      </c>
      <c r="B105" s="65" t="s">
        <v>147</v>
      </c>
      <c r="C105" s="45" t="s">
        <v>95</v>
      </c>
      <c r="D105" s="47">
        <v>0.8176000000000001</v>
      </c>
      <c r="F105" s="47">
        <v>1154.8599999999999</v>
      </c>
      <c r="I105">
        <v>944.21353600000009</v>
      </c>
    </row>
    <row r="106" spans="1:9" hidden="1">
      <c r="A106" s="46" t="s">
        <v>181</v>
      </c>
      <c r="B106" s="65" t="s">
        <v>126</v>
      </c>
      <c r="C106" s="45" t="s">
        <v>117</v>
      </c>
      <c r="D106" s="47">
        <v>7</v>
      </c>
      <c r="F106" s="47">
        <v>210</v>
      </c>
      <c r="I106">
        <v>618.03</v>
      </c>
    </row>
    <row r="107" spans="1:9" hidden="1">
      <c r="A107" s="46" t="s">
        <v>181</v>
      </c>
      <c r="B107" s="65" t="s">
        <v>128</v>
      </c>
      <c r="C107" s="45" t="s">
        <v>95</v>
      </c>
      <c r="D107" s="47">
        <v>43.084125</v>
      </c>
      <c r="F107" s="47">
        <v>11.17</v>
      </c>
      <c r="I107">
        <v>481.24967624999999</v>
      </c>
    </row>
    <row r="108" spans="1:9" hidden="1">
      <c r="A108" s="46" t="s">
        <v>181</v>
      </c>
      <c r="B108" s="65" t="s">
        <v>130</v>
      </c>
      <c r="C108" s="45" t="s">
        <v>72</v>
      </c>
      <c r="D108" s="47">
        <v>0.73</v>
      </c>
      <c r="F108" s="47">
        <v>10680</v>
      </c>
      <c r="I108">
        <v>1376.652</v>
      </c>
    </row>
    <row r="109" spans="1:9" hidden="1">
      <c r="A109" s="46" t="s">
        <v>181</v>
      </c>
      <c r="B109" s="65" t="s">
        <v>184</v>
      </c>
      <c r="C109" s="45" t="s">
        <v>149</v>
      </c>
      <c r="D109" s="47">
        <v>145.93</v>
      </c>
      <c r="F109" s="47">
        <v>339.62</v>
      </c>
      <c r="I109">
        <v>43023.250938150006</v>
      </c>
    </row>
    <row r="110" spans="1:9" hidden="1">
      <c r="A110" s="46" t="s">
        <v>181</v>
      </c>
      <c r="B110" s="65" t="s">
        <v>131</v>
      </c>
      <c r="C110" s="45" t="s">
        <v>22</v>
      </c>
      <c r="D110" s="47">
        <v>2020.5</v>
      </c>
      <c r="F110" s="47">
        <v>0.1</v>
      </c>
      <c r="I110">
        <v>38.670000000000009</v>
      </c>
    </row>
    <row r="111" spans="1:9" hidden="1">
      <c r="A111" s="46" t="s">
        <v>181</v>
      </c>
      <c r="B111" s="65" t="s">
        <v>157</v>
      </c>
      <c r="C111" s="45" t="s">
        <v>0</v>
      </c>
      <c r="D111" s="47">
        <v>6.3558000000000012</v>
      </c>
      <c r="F111" s="47">
        <v>532</v>
      </c>
      <c r="I111">
        <v>3381.2856000000006</v>
      </c>
    </row>
    <row r="112" spans="1:9" hidden="1">
      <c r="A112" s="46" t="s">
        <v>181</v>
      </c>
      <c r="B112" s="65" t="s">
        <v>221</v>
      </c>
      <c r="C112" s="45" t="s">
        <v>22</v>
      </c>
      <c r="D112" s="47">
        <v>1</v>
      </c>
      <c r="F112" s="47">
        <v>600</v>
      </c>
      <c r="I112">
        <v>600</v>
      </c>
    </row>
    <row r="113" spans="1:9" hidden="1">
      <c r="A113" s="46" t="s">
        <v>181</v>
      </c>
      <c r="B113" s="65" t="s">
        <v>155</v>
      </c>
      <c r="C113" s="45" t="s">
        <v>95</v>
      </c>
      <c r="D113" s="47">
        <v>100.98</v>
      </c>
      <c r="F113" s="47">
        <v>15.36</v>
      </c>
      <c r="I113">
        <v>1551.0527999999999</v>
      </c>
    </row>
    <row r="114" spans="1:9" hidden="1">
      <c r="A114" s="46" t="s">
        <v>181</v>
      </c>
      <c r="B114" s="65" t="s">
        <v>122</v>
      </c>
      <c r="C114" s="45" t="s">
        <v>29</v>
      </c>
      <c r="D114" s="47">
        <v>40.446000000000005</v>
      </c>
      <c r="F114" s="47">
        <v>32</v>
      </c>
      <c r="I114">
        <v>1294.2720000000002</v>
      </c>
    </row>
    <row r="115" spans="1:9" hidden="1">
      <c r="A115" s="46" t="s">
        <v>181</v>
      </c>
      <c r="B115" s="65" t="s">
        <v>188</v>
      </c>
      <c r="C115" s="45" t="s">
        <v>29</v>
      </c>
      <c r="D115" s="47">
        <v>17.334000000000003</v>
      </c>
      <c r="F115" s="47">
        <v>0</v>
      </c>
      <c r="I115">
        <v>0</v>
      </c>
    </row>
    <row r="116" spans="1:9" hidden="1">
      <c r="A116" s="46" t="s">
        <v>181</v>
      </c>
      <c r="B116" s="65" t="s">
        <v>196</v>
      </c>
      <c r="C116" s="45" t="s">
        <v>0</v>
      </c>
      <c r="D116" s="47">
        <v>13.987400000000003</v>
      </c>
      <c r="F116" s="47">
        <v>8184</v>
      </c>
      <c r="I116">
        <v>114472.88160000002</v>
      </c>
    </row>
    <row r="117" spans="1:9" hidden="1">
      <c r="A117" s="46" t="s">
        <v>181</v>
      </c>
      <c r="B117" s="65" t="s">
        <v>146</v>
      </c>
      <c r="C117" s="45" t="s">
        <v>0</v>
      </c>
      <c r="D117" s="47">
        <v>26.863999999999997</v>
      </c>
      <c r="F117" s="47">
        <v>55.56</v>
      </c>
      <c r="I117">
        <v>1492.5638399999998</v>
      </c>
    </row>
    <row r="118" spans="1:9" hidden="1">
      <c r="A118" s="46" t="s">
        <v>181</v>
      </c>
      <c r="B118" s="65" t="s">
        <v>125</v>
      </c>
      <c r="C118" s="45" t="s">
        <v>0</v>
      </c>
      <c r="D118" s="47">
        <v>16.534649999999999</v>
      </c>
      <c r="F118" s="47">
        <v>2700</v>
      </c>
      <c r="I118">
        <v>44643.555</v>
      </c>
    </row>
    <row r="119" spans="1:9" ht="30" hidden="1">
      <c r="A119" s="46" t="s">
        <v>181</v>
      </c>
      <c r="B119" s="65" t="s">
        <v>168</v>
      </c>
      <c r="C119" s="45" t="s">
        <v>22</v>
      </c>
      <c r="D119" s="47">
        <v>12</v>
      </c>
      <c r="F119" s="47">
        <v>26</v>
      </c>
      <c r="I119">
        <v>312</v>
      </c>
    </row>
    <row r="120" spans="1:9" hidden="1">
      <c r="A120" s="46" t="s">
        <v>181</v>
      </c>
      <c r="B120" s="65" t="s">
        <v>118</v>
      </c>
      <c r="C120" s="45" t="s">
        <v>117</v>
      </c>
      <c r="D120" s="47">
        <v>15</v>
      </c>
      <c r="F120" s="47">
        <v>504</v>
      </c>
      <c r="I120">
        <v>504</v>
      </c>
    </row>
    <row r="121" spans="1:9" hidden="1">
      <c r="A121" s="46" t="s">
        <v>181</v>
      </c>
      <c r="B121" s="65" t="s">
        <v>160</v>
      </c>
      <c r="C121" s="45" t="s">
        <v>29</v>
      </c>
      <c r="D121" s="47">
        <v>9.4160000000000021</v>
      </c>
      <c r="F121" s="47">
        <v>66.099999999999994</v>
      </c>
      <c r="I121">
        <v>622.39760000000012</v>
      </c>
    </row>
    <row r="122" spans="1:9" hidden="1">
      <c r="A122" s="46" t="s">
        <v>181</v>
      </c>
      <c r="B122" s="65" t="s">
        <v>133</v>
      </c>
      <c r="C122" s="45" t="s">
        <v>0</v>
      </c>
      <c r="D122" s="47">
        <v>26.553400000000003</v>
      </c>
      <c r="F122" s="47">
        <v>249</v>
      </c>
      <c r="I122">
        <v>6611.7966000000006</v>
      </c>
    </row>
    <row r="123" spans="1:9" hidden="1">
      <c r="A123" s="46" t="s">
        <v>181</v>
      </c>
      <c r="B123" s="65" t="s">
        <v>134</v>
      </c>
      <c r="C123" s="45" t="s">
        <v>0</v>
      </c>
      <c r="D123" s="47">
        <v>24.874499999999998</v>
      </c>
      <c r="F123" s="47">
        <v>2700</v>
      </c>
      <c r="I123">
        <v>67161.149999999994</v>
      </c>
    </row>
    <row r="124" spans="1:9" ht="30" hidden="1">
      <c r="A124" s="46" t="s">
        <v>181</v>
      </c>
      <c r="B124" s="65" t="s">
        <v>186</v>
      </c>
      <c r="C124" s="45" t="s">
        <v>22</v>
      </c>
      <c r="D124" s="47">
        <v>125.31750000000001</v>
      </c>
      <c r="F124" s="47">
        <v>130</v>
      </c>
      <c r="I124">
        <v>16291.275000000001</v>
      </c>
    </row>
    <row r="125" spans="1:9" ht="30" hidden="1">
      <c r="A125" s="46" t="s">
        <v>181</v>
      </c>
      <c r="B125" s="65" t="s">
        <v>185</v>
      </c>
      <c r="C125" s="45" t="s">
        <v>0</v>
      </c>
      <c r="D125" s="47">
        <v>75.931600000000003</v>
      </c>
      <c r="F125" s="47">
        <v>2700</v>
      </c>
      <c r="I125">
        <v>205015.32</v>
      </c>
    </row>
    <row r="126" spans="1:9" hidden="1">
      <c r="A126" s="46" t="s">
        <v>181</v>
      </c>
      <c r="B126" s="65" t="s">
        <v>154</v>
      </c>
      <c r="C126" s="45" t="s">
        <v>0</v>
      </c>
      <c r="D126" s="47">
        <v>12.58</v>
      </c>
      <c r="F126" s="47">
        <v>367</v>
      </c>
      <c r="I126">
        <v>4177.0105000000003</v>
      </c>
    </row>
    <row r="127" spans="1:9" hidden="1">
      <c r="A127" s="46" t="s">
        <v>181</v>
      </c>
      <c r="B127" s="65" t="s">
        <v>105</v>
      </c>
      <c r="C127" s="45" t="s">
        <v>0</v>
      </c>
      <c r="D127" s="47">
        <v>100.89</v>
      </c>
      <c r="F127" s="47">
        <v>174.93</v>
      </c>
      <c r="I127">
        <v>9099.8586000000014</v>
      </c>
    </row>
    <row r="128" spans="1:9" hidden="1">
      <c r="A128" s="46" t="s">
        <v>181</v>
      </c>
      <c r="B128" s="65" t="s">
        <v>101</v>
      </c>
      <c r="C128" s="45" t="s">
        <v>29</v>
      </c>
      <c r="D128" s="47">
        <v>87.05</v>
      </c>
      <c r="F128" s="47">
        <v>34</v>
      </c>
      <c r="I128">
        <v>1387.2</v>
      </c>
    </row>
    <row r="129" spans="1:9" hidden="1">
      <c r="A129" s="46" t="s">
        <v>181</v>
      </c>
      <c r="B129" s="65" t="s">
        <v>111</v>
      </c>
      <c r="C129" s="45" t="s">
        <v>29</v>
      </c>
      <c r="D129" s="47">
        <v>145.06</v>
      </c>
      <c r="F129" s="47">
        <v>14.7</v>
      </c>
      <c r="I129">
        <v>268.8777</v>
      </c>
    </row>
    <row r="130" spans="1:9" hidden="1">
      <c r="A130" s="46" t="s">
        <v>181</v>
      </c>
      <c r="B130" s="65" t="s">
        <v>106</v>
      </c>
      <c r="C130" s="45" t="s">
        <v>29</v>
      </c>
      <c r="D130" s="47">
        <v>35.100376000000004</v>
      </c>
      <c r="F130" s="47">
        <v>27.1</v>
      </c>
      <c r="I130">
        <v>951.22018960000014</v>
      </c>
    </row>
    <row r="131" spans="1:9" hidden="1">
      <c r="A131" s="46" t="s">
        <v>181</v>
      </c>
      <c r="B131" s="65" t="s">
        <v>108</v>
      </c>
      <c r="C131" s="45" t="s">
        <v>22</v>
      </c>
      <c r="D131" s="47">
        <v>92.18</v>
      </c>
      <c r="F131" s="47">
        <v>3.5</v>
      </c>
      <c r="I131">
        <v>70.488460000000003</v>
      </c>
    </row>
    <row r="132" spans="1:9" hidden="1">
      <c r="A132" s="46" t="s">
        <v>181</v>
      </c>
      <c r="B132" s="65" t="s">
        <v>175</v>
      </c>
      <c r="C132" s="45" t="s">
        <v>0</v>
      </c>
      <c r="D132" s="47">
        <v>31.686900000000001</v>
      </c>
      <c r="F132" s="47">
        <v>270</v>
      </c>
      <c r="I132">
        <v>8555.4629999999997</v>
      </c>
    </row>
    <row r="133" spans="1:9" hidden="1">
      <c r="A133" s="46" t="s">
        <v>181</v>
      </c>
      <c r="B133" s="65" t="s">
        <v>182</v>
      </c>
      <c r="C133" s="45" t="s">
        <v>29</v>
      </c>
      <c r="D133" s="47">
        <v>10.1043</v>
      </c>
      <c r="F133" s="47">
        <v>69.5</v>
      </c>
      <c r="I133">
        <v>702.24885000000006</v>
      </c>
    </row>
    <row r="134" spans="1:9" hidden="1">
      <c r="A134" s="46" t="s">
        <v>181</v>
      </c>
      <c r="B134" s="65" t="s">
        <v>207</v>
      </c>
      <c r="C134" s="45" t="s">
        <v>72</v>
      </c>
      <c r="D134" s="47">
        <v>1.7647323333333336E-2</v>
      </c>
      <c r="F134" s="47">
        <v>37000</v>
      </c>
      <c r="I134">
        <v>652.95096333333345</v>
      </c>
    </row>
    <row r="135" spans="1:9" hidden="1">
      <c r="A135" s="46" t="s">
        <v>181</v>
      </c>
      <c r="B135" s="65" t="s">
        <v>159</v>
      </c>
      <c r="C135" s="45" t="s">
        <v>0</v>
      </c>
      <c r="D135" s="47">
        <v>0.9416000000000001</v>
      </c>
      <c r="F135" s="47">
        <v>120</v>
      </c>
      <c r="I135">
        <v>112.99200000000002</v>
      </c>
    </row>
    <row r="136" spans="1:9" hidden="1">
      <c r="A136" s="46" t="s">
        <v>181</v>
      </c>
      <c r="B136" s="65" t="s">
        <v>112</v>
      </c>
      <c r="C136" s="45" t="s">
        <v>29</v>
      </c>
      <c r="D136" s="47">
        <v>195.4</v>
      </c>
      <c r="F136" s="47">
        <v>26.33</v>
      </c>
      <c r="I136">
        <v>940.97627399999999</v>
      </c>
    </row>
    <row r="137" spans="1:9" hidden="1">
      <c r="A137" s="46" t="s">
        <v>181</v>
      </c>
      <c r="B137" s="65" t="s">
        <v>109</v>
      </c>
      <c r="C137" s="45" t="s">
        <v>22</v>
      </c>
      <c r="D137" s="47">
        <v>838.53</v>
      </c>
      <c r="F137" s="47">
        <v>0.23</v>
      </c>
      <c r="I137">
        <v>55.131000000000007</v>
      </c>
    </row>
    <row r="138" spans="1:9" hidden="1">
      <c r="A138" s="46" t="s">
        <v>181</v>
      </c>
      <c r="B138" s="65" t="s">
        <v>102</v>
      </c>
      <c r="C138" s="45" t="s">
        <v>29</v>
      </c>
      <c r="D138" s="47">
        <v>194.31</v>
      </c>
      <c r="F138" s="47">
        <v>45.67</v>
      </c>
      <c r="I138">
        <v>4891.2570000000005</v>
      </c>
    </row>
    <row r="139" spans="1:9" hidden="1">
      <c r="A139" s="46" t="s">
        <v>181</v>
      </c>
      <c r="B139" s="65" t="s">
        <v>107</v>
      </c>
      <c r="C139" s="45" t="s">
        <v>29</v>
      </c>
      <c r="D139" s="47">
        <v>67.323672000000002</v>
      </c>
      <c r="F139" s="47">
        <v>34.07</v>
      </c>
      <c r="I139">
        <v>2293.7175050400001</v>
      </c>
    </row>
    <row r="140" spans="1:9" hidden="1">
      <c r="A140" s="46" t="s">
        <v>181</v>
      </c>
      <c r="B140" s="65" t="s">
        <v>119</v>
      </c>
      <c r="C140" s="45" t="s">
        <v>22</v>
      </c>
      <c r="D140" s="47">
        <v>84</v>
      </c>
      <c r="F140" s="47">
        <v>14</v>
      </c>
      <c r="I140">
        <v>84</v>
      </c>
    </row>
    <row r="141" spans="1:9" hidden="1">
      <c r="A141" s="46" t="s">
        <v>181</v>
      </c>
      <c r="B141" s="65" t="s">
        <v>150</v>
      </c>
      <c r="C141" s="45" t="s">
        <v>22</v>
      </c>
      <c r="D141" s="47">
        <v>4</v>
      </c>
      <c r="F141" s="47">
        <v>430</v>
      </c>
      <c r="I141">
        <v>1720</v>
      </c>
    </row>
    <row r="142" spans="1:9" hidden="1">
      <c r="A142" s="46" t="s">
        <v>181</v>
      </c>
      <c r="B142" s="65" t="s">
        <v>151</v>
      </c>
      <c r="C142" s="45" t="s">
        <v>22</v>
      </c>
      <c r="D142" s="47">
        <v>152.91999999999999</v>
      </c>
      <c r="F142" s="47">
        <v>0.19</v>
      </c>
      <c r="I142">
        <v>15.2</v>
      </c>
    </row>
    <row r="143" spans="1:9" hidden="1">
      <c r="A143" s="46" t="s">
        <v>181</v>
      </c>
      <c r="B143" s="65" t="s">
        <v>104</v>
      </c>
      <c r="C143" s="45" t="s">
        <v>22</v>
      </c>
      <c r="D143" s="47">
        <v>3506</v>
      </c>
      <c r="F143" s="47">
        <v>0.24</v>
      </c>
      <c r="I143">
        <v>183.6</v>
      </c>
    </row>
    <row r="144" spans="1:9" hidden="1">
      <c r="A144" s="46" t="s">
        <v>181</v>
      </c>
      <c r="B144" s="65" t="s">
        <v>103</v>
      </c>
      <c r="C144" s="45" t="s">
        <v>22</v>
      </c>
      <c r="D144" s="47">
        <v>1938</v>
      </c>
      <c r="F144" s="47">
        <v>0.26</v>
      </c>
      <c r="I144">
        <v>503.88</v>
      </c>
    </row>
    <row r="145" spans="1:9" hidden="1">
      <c r="A145" s="46" t="s">
        <v>181</v>
      </c>
      <c r="B145" s="65" t="s">
        <v>197</v>
      </c>
      <c r="C145" s="45" t="s">
        <v>22</v>
      </c>
      <c r="D145" s="47">
        <v>4.4000000000000004</v>
      </c>
      <c r="F145" s="47">
        <v>11.1</v>
      </c>
      <c r="I145">
        <v>48.84</v>
      </c>
    </row>
    <row r="146" spans="1:9" hidden="1">
      <c r="A146" s="46" t="s">
        <v>181</v>
      </c>
      <c r="B146" s="65" t="s">
        <v>96</v>
      </c>
      <c r="C146" s="45" t="s">
        <v>29</v>
      </c>
      <c r="D146" s="47">
        <v>215.1</v>
      </c>
      <c r="F146" s="47">
        <v>0.71</v>
      </c>
      <c r="I146">
        <v>64.091699999999989</v>
      </c>
    </row>
    <row r="147" spans="1:9" hidden="1">
      <c r="A147" s="46" t="s">
        <v>181</v>
      </c>
      <c r="B147" s="65" t="s">
        <v>89</v>
      </c>
      <c r="C147" s="45" t="s">
        <v>91</v>
      </c>
      <c r="D147" s="47">
        <v>6.4000000000000001E-2</v>
      </c>
      <c r="F147" s="47">
        <v>57680</v>
      </c>
      <c r="I147">
        <v>169.7487792</v>
      </c>
    </row>
    <row r="148" spans="1:9" hidden="1">
      <c r="A148" s="46" t="s">
        <v>181</v>
      </c>
      <c r="B148" s="65" t="s">
        <v>143</v>
      </c>
      <c r="C148" s="45" t="s">
        <v>0</v>
      </c>
      <c r="D148" s="47">
        <v>8.35</v>
      </c>
      <c r="F148" s="47">
        <v>72.400000000000006</v>
      </c>
      <c r="I148">
        <v>505.66114800000003</v>
      </c>
    </row>
    <row r="149" spans="1:9" hidden="1">
      <c r="A149" s="46" t="s">
        <v>181</v>
      </c>
      <c r="B149" s="65" t="s">
        <v>172</v>
      </c>
      <c r="C149" s="45" t="s">
        <v>173</v>
      </c>
      <c r="D149" s="47">
        <v>15</v>
      </c>
      <c r="F149" s="47">
        <v>65.8</v>
      </c>
      <c r="I149">
        <v>833.55806834999999</v>
      </c>
    </row>
    <row r="150" spans="1:9" hidden="1">
      <c r="A150" s="46" t="s">
        <v>181</v>
      </c>
      <c r="B150" s="65" t="s">
        <v>164</v>
      </c>
      <c r="C150" s="45" t="s">
        <v>22</v>
      </c>
      <c r="D150" s="47">
        <v>4</v>
      </c>
      <c r="F150" s="47">
        <v>12</v>
      </c>
      <c r="I150">
        <v>48</v>
      </c>
    </row>
    <row r="151" spans="1:9" hidden="1">
      <c r="A151" s="46" t="s">
        <v>181</v>
      </c>
      <c r="B151" s="65" t="s">
        <v>208</v>
      </c>
      <c r="C151" s="45" t="s">
        <v>72</v>
      </c>
      <c r="D151" s="47">
        <v>0.40289850800000004</v>
      </c>
      <c r="F151" s="47">
        <v>30000</v>
      </c>
      <c r="I151">
        <v>12086.955240000001</v>
      </c>
    </row>
    <row r="152" spans="1:9" hidden="1">
      <c r="A152" s="46" t="s">
        <v>181</v>
      </c>
      <c r="B152" s="65" t="s">
        <v>140</v>
      </c>
      <c r="C152" s="45" t="s">
        <v>29</v>
      </c>
      <c r="D152" s="47">
        <v>24.889949999999999</v>
      </c>
      <c r="F152" s="47">
        <v>11.5</v>
      </c>
      <c r="I152">
        <v>286.23442499999999</v>
      </c>
    </row>
    <row r="153" spans="1:9" hidden="1">
      <c r="A153" s="46" t="s">
        <v>181</v>
      </c>
      <c r="B153" s="65" t="s">
        <v>138</v>
      </c>
      <c r="C153" s="45" t="s">
        <v>95</v>
      </c>
      <c r="D153" s="47">
        <v>121</v>
      </c>
      <c r="F153" s="47">
        <v>7.3</v>
      </c>
      <c r="I153">
        <v>592.79795999999999</v>
      </c>
    </row>
    <row r="154" spans="1:9" hidden="1">
      <c r="A154" s="46" t="s">
        <v>181</v>
      </c>
      <c r="B154" s="65" t="s">
        <v>176</v>
      </c>
      <c r="C154" s="45" t="s">
        <v>29</v>
      </c>
      <c r="D154" s="47">
        <v>48.615000000000002</v>
      </c>
      <c r="F154" s="47">
        <v>14.7</v>
      </c>
      <c r="I154">
        <v>714.64049999999997</v>
      </c>
    </row>
    <row r="155" spans="1:9" hidden="1">
      <c r="A155" s="46" t="s">
        <v>181</v>
      </c>
      <c r="B155" s="65" t="s">
        <v>88</v>
      </c>
      <c r="C155" s="45" t="s">
        <v>72</v>
      </c>
      <c r="D155" s="47">
        <v>14.27</v>
      </c>
      <c r="F155" s="47">
        <v>4500</v>
      </c>
      <c r="I155">
        <v>399.87675000000013</v>
      </c>
    </row>
    <row r="156" spans="1:9" hidden="1">
      <c r="A156" s="46" t="s">
        <v>181</v>
      </c>
      <c r="B156" s="65" t="s">
        <v>141</v>
      </c>
      <c r="C156" s="45" t="s">
        <v>142</v>
      </c>
      <c r="D156" s="47">
        <v>219.77</v>
      </c>
      <c r="F156" s="47">
        <v>22.56</v>
      </c>
      <c r="I156">
        <v>4149.2151216000002</v>
      </c>
    </row>
    <row r="157" spans="1:9" hidden="1">
      <c r="A157" s="46" t="s">
        <v>181</v>
      </c>
      <c r="B157" s="65" t="s">
        <v>170</v>
      </c>
      <c r="C157" s="45" t="s">
        <v>95</v>
      </c>
      <c r="D157" s="47">
        <v>16.760000000000002</v>
      </c>
      <c r="F157" s="47">
        <v>48.8</v>
      </c>
      <c r="I157">
        <v>522.64799999999991</v>
      </c>
    </row>
    <row r="158" spans="1:9" hidden="1">
      <c r="A158" s="46" t="s">
        <v>181</v>
      </c>
      <c r="B158" s="65" t="s">
        <v>171</v>
      </c>
      <c r="C158" s="45" t="s">
        <v>95</v>
      </c>
      <c r="D158" s="47">
        <v>150.25</v>
      </c>
      <c r="F158" s="47">
        <v>15</v>
      </c>
      <c r="I158">
        <v>1147.5</v>
      </c>
    </row>
    <row r="159" spans="1:9" hidden="1">
      <c r="A159" s="46" t="s">
        <v>181</v>
      </c>
      <c r="B159" s="65" t="s">
        <v>139</v>
      </c>
      <c r="C159" s="45" t="s">
        <v>95</v>
      </c>
      <c r="D159" s="47">
        <v>78.19</v>
      </c>
      <c r="F159" s="47">
        <v>13.3</v>
      </c>
      <c r="I159">
        <v>314.57160000000005</v>
      </c>
    </row>
    <row r="160" spans="1:9" hidden="1"/>
    <row r="161" spans="1:9" hidden="1"/>
    <row r="162" spans="1:9" hidden="1"/>
    <row r="163" spans="1:9" hidden="1">
      <c r="A163" s="46" t="s">
        <v>181</v>
      </c>
      <c r="B163" s="65" t="s">
        <v>227</v>
      </c>
      <c r="C163" s="45" t="s">
        <v>22</v>
      </c>
      <c r="D163" s="47">
        <v>4</v>
      </c>
      <c r="I163">
        <v>0</v>
      </c>
    </row>
    <row r="164" spans="1:9" hidden="1">
      <c r="A164" s="46" t="s">
        <v>181</v>
      </c>
      <c r="B164" s="65" t="s">
        <v>229</v>
      </c>
      <c r="C164" s="45" t="s">
        <v>22</v>
      </c>
      <c r="D164" s="47">
        <v>1</v>
      </c>
      <c r="I164">
        <v>0</v>
      </c>
    </row>
    <row r="165" spans="1:9" hidden="1">
      <c r="A165" s="46" t="s">
        <v>181</v>
      </c>
      <c r="B165" s="65" t="s">
        <v>226</v>
      </c>
      <c r="C165" s="45" t="s">
        <v>22</v>
      </c>
      <c r="D165" s="47">
        <v>1</v>
      </c>
      <c r="I165">
        <v>0</v>
      </c>
    </row>
    <row r="166" spans="1:9" hidden="1">
      <c r="A166" s="46" t="s">
        <v>181</v>
      </c>
      <c r="B166" s="65" t="s">
        <v>259</v>
      </c>
      <c r="C166" s="45" t="s">
        <v>22</v>
      </c>
      <c r="D166" s="47">
        <v>22</v>
      </c>
      <c r="I166">
        <v>0</v>
      </c>
    </row>
    <row r="167" spans="1:9" hidden="1">
      <c r="A167" s="46" t="s">
        <v>181</v>
      </c>
      <c r="B167" s="65" t="s">
        <v>250</v>
      </c>
      <c r="C167" s="45" t="s">
        <v>22</v>
      </c>
      <c r="D167" s="47">
        <v>13</v>
      </c>
      <c r="I167">
        <v>0</v>
      </c>
    </row>
    <row r="168" spans="1:9" hidden="1">
      <c r="A168" s="46" t="s">
        <v>181</v>
      </c>
      <c r="B168" s="65" t="s">
        <v>232</v>
      </c>
      <c r="C168" s="45" t="s">
        <v>0</v>
      </c>
      <c r="D168" s="47">
        <v>365</v>
      </c>
      <c r="I168">
        <v>0</v>
      </c>
    </row>
    <row r="169" spans="1:9" hidden="1">
      <c r="A169" s="46" t="s">
        <v>181</v>
      </c>
      <c r="B169" s="65" t="s">
        <v>233</v>
      </c>
      <c r="C169" s="45" t="s">
        <v>29</v>
      </c>
      <c r="D169" s="47">
        <v>50</v>
      </c>
      <c r="I169">
        <v>0</v>
      </c>
    </row>
    <row r="170" spans="1:9" hidden="1">
      <c r="A170" s="46" t="s">
        <v>181</v>
      </c>
      <c r="B170" s="65" t="s">
        <v>234</v>
      </c>
      <c r="C170" s="45" t="s">
        <v>22</v>
      </c>
      <c r="D170" s="47">
        <v>400</v>
      </c>
      <c r="I170">
        <v>0</v>
      </c>
    </row>
    <row r="171" spans="1:9" hidden="1">
      <c r="A171" s="46" t="s">
        <v>181</v>
      </c>
      <c r="B171" s="65" t="s">
        <v>235</v>
      </c>
      <c r="C171" s="45" t="s">
        <v>22</v>
      </c>
      <c r="D171" s="47">
        <v>80</v>
      </c>
      <c r="I171">
        <v>0</v>
      </c>
    </row>
    <row r="172" spans="1:9" hidden="1">
      <c r="A172" s="46" t="s">
        <v>181</v>
      </c>
      <c r="B172" s="65" t="s">
        <v>228</v>
      </c>
      <c r="C172" s="45" t="s">
        <v>22</v>
      </c>
      <c r="D172" s="47">
        <v>10</v>
      </c>
      <c r="I172">
        <v>0</v>
      </c>
    </row>
    <row r="173" spans="1:9" hidden="1">
      <c r="A173" s="46" t="s">
        <v>181</v>
      </c>
      <c r="B173" s="65" t="s">
        <v>237</v>
      </c>
      <c r="C173" s="45" t="s">
        <v>29</v>
      </c>
      <c r="D173" s="47">
        <v>178.5</v>
      </c>
      <c r="I173">
        <v>0</v>
      </c>
    </row>
    <row r="174" spans="1:9" hidden="1">
      <c r="A174" s="46" t="s">
        <v>181</v>
      </c>
      <c r="B174" s="65" t="s">
        <v>236</v>
      </c>
      <c r="C174" s="45" t="s">
        <v>29</v>
      </c>
      <c r="D174" s="47">
        <v>168</v>
      </c>
      <c r="I174">
        <v>0</v>
      </c>
    </row>
    <row r="175" spans="1:9" hidden="1">
      <c r="A175" s="46" t="s">
        <v>181</v>
      </c>
      <c r="B175" s="65" t="s">
        <v>238</v>
      </c>
      <c r="C175" s="45" t="s">
        <v>29</v>
      </c>
      <c r="D175" s="47">
        <v>36.75</v>
      </c>
      <c r="I175">
        <v>0</v>
      </c>
    </row>
    <row r="176" spans="1:9" hidden="1">
      <c r="A176" s="46" t="s">
        <v>181</v>
      </c>
      <c r="B176" s="65" t="s">
        <v>243</v>
      </c>
      <c r="C176" s="45" t="s">
        <v>29</v>
      </c>
      <c r="D176" s="47">
        <v>52.5</v>
      </c>
      <c r="I176">
        <v>0</v>
      </c>
    </row>
    <row r="177" spans="1:9" hidden="1">
      <c r="A177" s="46" t="s">
        <v>181</v>
      </c>
      <c r="B177" s="65" t="s">
        <v>255</v>
      </c>
      <c r="C177" s="45" t="s">
        <v>22</v>
      </c>
      <c r="D177" s="47">
        <v>68</v>
      </c>
      <c r="I177">
        <v>0</v>
      </c>
    </row>
    <row r="178" spans="1:9" hidden="1">
      <c r="A178" s="46" t="s">
        <v>181</v>
      </c>
      <c r="B178" s="65" t="s">
        <v>240</v>
      </c>
      <c r="C178" s="45" t="s">
        <v>29</v>
      </c>
      <c r="D178" s="47">
        <v>10.35</v>
      </c>
      <c r="I178">
        <v>0</v>
      </c>
    </row>
    <row r="179" spans="1:9" hidden="1">
      <c r="A179" s="46" t="s">
        <v>181</v>
      </c>
      <c r="B179" s="65" t="s">
        <v>248</v>
      </c>
      <c r="C179" s="45" t="s">
        <v>22</v>
      </c>
      <c r="D179" s="47">
        <v>31</v>
      </c>
      <c r="I179">
        <v>0</v>
      </c>
    </row>
    <row r="180" spans="1:9" hidden="1">
      <c r="A180" s="46" t="s">
        <v>181</v>
      </c>
      <c r="B180" s="65" t="s">
        <v>249</v>
      </c>
      <c r="C180" s="45" t="s">
        <v>22</v>
      </c>
      <c r="D180" s="47">
        <v>31</v>
      </c>
      <c r="I180">
        <v>0</v>
      </c>
    </row>
    <row r="181" spans="1:9" hidden="1">
      <c r="A181" s="46" t="s">
        <v>181</v>
      </c>
      <c r="B181" s="65" t="s">
        <v>251</v>
      </c>
      <c r="C181" s="45" t="s">
        <v>22</v>
      </c>
      <c r="D181" s="47">
        <v>18</v>
      </c>
      <c r="I181">
        <v>0</v>
      </c>
    </row>
    <row r="182" spans="1:9" hidden="1">
      <c r="A182" s="46" t="s">
        <v>181</v>
      </c>
      <c r="B182" s="65" t="s">
        <v>256</v>
      </c>
      <c r="C182" s="45" t="s">
        <v>22</v>
      </c>
      <c r="D182" s="47">
        <v>2</v>
      </c>
      <c r="I182">
        <v>0</v>
      </c>
    </row>
    <row r="183" spans="1:9" hidden="1">
      <c r="A183" s="46" t="s">
        <v>181</v>
      </c>
      <c r="B183" s="65" t="s">
        <v>254</v>
      </c>
      <c r="C183" s="45" t="s">
        <v>22</v>
      </c>
      <c r="D183" s="47">
        <v>16</v>
      </c>
      <c r="I183">
        <v>0</v>
      </c>
    </row>
    <row r="184" spans="1:9" hidden="1">
      <c r="A184" s="46" t="s">
        <v>181</v>
      </c>
      <c r="B184" s="65" t="s">
        <v>257</v>
      </c>
      <c r="C184" s="45" t="s">
        <v>22</v>
      </c>
      <c r="D184" s="47">
        <v>42</v>
      </c>
      <c r="I184">
        <v>0</v>
      </c>
    </row>
    <row r="185" spans="1:9" hidden="1">
      <c r="A185" s="46" t="s">
        <v>181</v>
      </c>
      <c r="B185" s="65" t="s">
        <v>241</v>
      </c>
      <c r="C185" s="45" t="s">
        <v>22</v>
      </c>
      <c r="D185" s="47">
        <v>100</v>
      </c>
    </row>
    <row r="186" spans="1:9" hidden="1">
      <c r="A186" s="46" t="s">
        <v>181</v>
      </c>
      <c r="B186" s="65" t="s">
        <v>224</v>
      </c>
      <c r="C186" s="45" t="s">
        <v>22</v>
      </c>
      <c r="D186" s="47">
        <v>1</v>
      </c>
      <c r="I186">
        <v>0</v>
      </c>
    </row>
    <row r="187" spans="1:9" hidden="1"/>
    <row r="188" spans="1:9" hidden="1"/>
    <row r="189" spans="1:9" hidden="1">
      <c r="B189" s="48"/>
      <c r="C189" s="49"/>
      <c r="D189" s="50"/>
      <c r="E189" s="50"/>
      <c r="F189" s="50"/>
      <c r="G189" s="50"/>
    </row>
    <row r="190" spans="1:9" hidden="1">
      <c r="B190" s="48" t="s">
        <v>227</v>
      </c>
      <c r="C190" s="48" t="s">
        <v>22</v>
      </c>
      <c r="D190" s="48">
        <v>4</v>
      </c>
      <c r="E190" s="48" t="b">
        <v>0</v>
      </c>
      <c r="F190" s="48" t="b">
        <v>0</v>
      </c>
      <c r="G190" s="48">
        <v>192.852</v>
      </c>
    </row>
    <row r="191" spans="1:9" hidden="1">
      <c r="B191" s="48" t="str">
        <f>IF(Смета!A337="Прайс",Смета!B337)</f>
        <v>Авт. выключатель    1П      АВВ  16 А 6кА</v>
      </c>
      <c r="C191" s="48" t="str">
        <f>IF(Смета!A337="Прайс",Смета!C337)</f>
        <v>шт.</v>
      </c>
      <c r="D191" s="48">
        <f>IF(Смета!A337="Прайс",Смета!D337)</f>
        <v>4</v>
      </c>
      <c r="E191" s="48" t="b">
        <f>IF(Смета!D337="Прайс",Смета!E337)</f>
        <v>0</v>
      </c>
      <c r="F191" s="48" t="b">
        <f>IF(Смета!E337="Прайс",Смета!F337)</f>
        <v>0</v>
      </c>
      <c r="G191" s="48">
        <f>IF(Смета!A337="Прайс",Смета!F337)</f>
        <v>192.852</v>
      </c>
    </row>
    <row r="192" spans="1:9" hidden="1">
      <c r="B192" s="48" t="str">
        <f>IF(Смета!A338="Прайс",Смета!B338)</f>
        <v>Авт. выключатель    3П      АВВ  16 А 6кА</v>
      </c>
      <c r="C192" s="48" t="str">
        <f>IF(Смета!A338="Прайс",Смета!C338)</f>
        <v>шт.</v>
      </c>
      <c r="D192" s="48">
        <f>IF(Смета!A338="Прайс",Смета!D338)</f>
        <v>1</v>
      </c>
      <c r="E192" s="48" t="b">
        <f>IF(Смета!D338="Прайс",Смета!E338)</f>
        <v>0</v>
      </c>
      <c r="F192" s="48" t="b">
        <f>IF(Смета!E338="Прайс",Смета!F338)</f>
        <v>0</v>
      </c>
      <c r="G192" s="48">
        <f>IF(Смета!A338="Прайс",Смета!F338)</f>
        <v>668.32700000000011</v>
      </c>
    </row>
    <row r="193" spans="2:7" hidden="1">
      <c r="B193" s="48" t="str">
        <f>IF(Смета!A332="Прайс",Смета!B332)</f>
        <v>Авт. выключатель    3П      АВВ  63 А 6кА</v>
      </c>
      <c r="C193" s="48" t="str">
        <f>IF(Смета!A332="Прайс",Смета!C332)</f>
        <v>шт.</v>
      </c>
      <c r="D193" s="48">
        <f>IF(Смета!A332="Прайс",Смета!D332)</f>
        <v>1</v>
      </c>
      <c r="E193" s="48" t="b">
        <f>IF(Смета!D332="Прайс",Смета!E332)</f>
        <v>0</v>
      </c>
      <c r="F193" s="48" t="b">
        <f>IF(Смета!E332="Прайс",Смета!F332)</f>
        <v>0</v>
      </c>
      <c r="G193" s="48">
        <f>IF(Смета!A332="Прайс",Смета!F332)</f>
        <v>1287.8030000000001</v>
      </c>
    </row>
    <row r="194" spans="2:7" hidden="1">
      <c r="B194" s="48" t="str">
        <f>IF(Смета!A47="Прайс",Смета!B47)</f>
        <v>Арматура d=10мм</v>
      </c>
      <c r="C194" s="48" t="str">
        <f>IF(Смета!A47="Прайс",Смета!C47)</f>
        <v>тн</v>
      </c>
      <c r="D194" s="48">
        <f>IF(Смета!A47="Прайс",Смета!D47)</f>
        <v>1.0510500000000002E-3</v>
      </c>
      <c r="E194" s="48" t="b">
        <f>IF(Смета!D47="Прайс",Смета!E47)</f>
        <v>0</v>
      </c>
      <c r="F194" s="48" t="b">
        <f>IF(Смета!E47="Прайс",Смета!F47)</f>
        <v>0</v>
      </c>
      <c r="G194" s="48">
        <f>IF(Смета!A47="Прайс",Смета!F47)</f>
        <v>33500</v>
      </c>
    </row>
    <row r="195" spans="2:7" hidden="1">
      <c r="B195" s="48" t="str">
        <f>IF(Смета!A56="Прайс",Смета!B56)</f>
        <v>Арматура d=10мм</v>
      </c>
      <c r="C195" s="48" t="str">
        <f>IF(Смета!A56="Прайс",Смета!C56)</f>
        <v>тн</v>
      </c>
      <c r="D195" s="48">
        <f>IF(Смета!A56="Прайс",Смета!D56)</f>
        <v>1.4245E-3</v>
      </c>
      <c r="E195" s="48" t="b">
        <f>IF(Смета!D56="Прайс",Смета!E56)</f>
        <v>0</v>
      </c>
      <c r="F195" s="48" t="b">
        <f>IF(Смета!E56="Прайс",Смета!F56)</f>
        <v>0</v>
      </c>
      <c r="G195" s="48">
        <f>IF(Смета!A56="Прайс",Смета!F56)</f>
        <v>33500</v>
      </c>
    </row>
    <row r="196" spans="2:7" hidden="1">
      <c r="B196" s="48" t="str">
        <f>IF(Смета!A375="Прайс",Смета!B375)</f>
        <v>Бра - Linea LIGHT, модель 19*17</v>
      </c>
      <c r="C196" s="48" t="str">
        <f>IF(Смета!A375="Прайс",Смета!C375)</f>
        <v>шт.</v>
      </c>
      <c r="D196" s="48">
        <f>IF(Смета!A375="Прайс",Смета!D375)</f>
        <v>22</v>
      </c>
      <c r="E196" s="48" t="b">
        <f>IF(Смета!D375="Прайс",Смета!E375)</f>
        <v>0</v>
      </c>
      <c r="F196" s="48" t="b">
        <f>IF(Смета!E375="Прайс",Смета!F375)</f>
        <v>0</v>
      </c>
      <c r="G196" s="48">
        <f>IF(Смета!A375="Прайс",Смета!F375)</f>
        <v>1498</v>
      </c>
    </row>
    <row r="197" spans="2:7" hidden="1">
      <c r="B197" s="48" t="str">
        <f>IF(Смета!A181="Прайс",Смета!B181)</f>
        <v>Ветошь</v>
      </c>
      <c r="C197" s="48" t="str">
        <f>IF(Смета!A181="Прайс",Смета!C181)</f>
        <v>кг</v>
      </c>
      <c r="D197" s="48">
        <f>IF(Смета!A181="Прайс",Смета!D181)</f>
        <v>2.5780000000000004E-3</v>
      </c>
      <c r="E197" s="48" t="b">
        <f>IF(Смета!D181="Прайс",Смета!E181)</f>
        <v>0</v>
      </c>
      <c r="F197" s="48" t="b">
        <f>IF(Смета!E181="Прайс",Смета!F181)</f>
        <v>0</v>
      </c>
      <c r="G197" s="48">
        <f>IF(Смета!A181="Прайс",Смета!F181)</f>
        <v>44</v>
      </c>
    </row>
    <row r="198" spans="2:7" hidden="1">
      <c r="B198" s="48" t="str">
        <f>IF(Смета!A187="Прайс",Смета!B187)</f>
        <v>Ветошь</v>
      </c>
      <c r="C198" s="48" t="str">
        <f>IF(Смета!A187="Прайс",Смета!C187)</f>
        <v>кг</v>
      </c>
      <c r="D198" s="48">
        <f>IF(Смета!A187="Прайс",Смета!D187)</f>
        <v>2.415E-3</v>
      </c>
      <c r="E198" s="48" t="b">
        <f>IF(Смета!D187="Прайс",Смета!E187)</f>
        <v>0</v>
      </c>
      <c r="F198" s="48" t="b">
        <f>IF(Смета!E187="Прайс",Смета!F187)</f>
        <v>0</v>
      </c>
      <c r="G198" s="48">
        <f>IF(Смета!A187="Прайс",Смета!F187)</f>
        <v>44</v>
      </c>
    </row>
    <row r="199" spans="2:7" hidden="1">
      <c r="B199" s="48" t="str">
        <f>IF(Смета!A193="Прайс",Смета!B193)</f>
        <v>Ветошь</v>
      </c>
      <c r="C199" s="48" t="str">
        <f>IF(Смета!A193="Прайс",Смета!C193)</f>
        <v>кг</v>
      </c>
      <c r="D199" s="48">
        <f>IF(Смета!A193="Прайс",Смета!D193)</f>
        <v>1.3580000000000003E-3</v>
      </c>
      <c r="E199" s="48" t="b">
        <f>IF(Смета!D193="Прайс",Смета!E193)</f>
        <v>0</v>
      </c>
      <c r="F199" s="48" t="b">
        <f>IF(Смета!E193="Прайс",Смета!F193)</f>
        <v>0</v>
      </c>
      <c r="G199" s="48">
        <f>IF(Смета!A193="Прайс",Смета!F193)</f>
        <v>44</v>
      </c>
    </row>
    <row r="200" spans="2:7" hidden="1">
      <c r="B200" s="48" t="str">
        <f>IF(Смета!A203="Прайс",Смета!B203)</f>
        <v>Ветошь</v>
      </c>
      <c r="C200" s="48" t="str">
        <f>IF(Смета!A203="Прайс",Смета!C203)</f>
        <v>кг</v>
      </c>
      <c r="D200" s="48">
        <f>IF(Смета!A203="Прайс",Смета!D203)</f>
        <v>2.5440900000000002E-2</v>
      </c>
      <c r="E200" s="48" t="b">
        <f>IF(Смета!D203="Прайс",Смета!E203)</f>
        <v>0</v>
      </c>
      <c r="F200" s="48" t="b">
        <f>IF(Смета!E203="Прайс",Смета!F203)</f>
        <v>0</v>
      </c>
      <c r="G200" s="48">
        <f>IF(Смета!A203="Прайс",Смета!F203)</f>
        <v>44</v>
      </c>
    </row>
    <row r="201" spans="2:7" hidden="1">
      <c r="B201" s="48" t="str">
        <f>IF(Смета!A207="Прайс",Смета!B207)</f>
        <v>Ветошь</v>
      </c>
      <c r="C201" s="48" t="str">
        <f>IF(Смета!A207="Прайс",Смета!C207)</f>
        <v>кг</v>
      </c>
      <c r="D201" s="48">
        <f>IF(Смета!A207="Прайс",Смета!D207)</f>
        <v>1.4831250000000001E-3</v>
      </c>
      <c r="E201" s="48" t="b">
        <f>IF(Смета!D207="Прайс",Смета!E207)</f>
        <v>0</v>
      </c>
      <c r="F201" s="48" t="b">
        <f>IF(Смета!E207="Прайс",Смета!F207)</f>
        <v>0</v>
      </c>
      <c r="G201" s="48">
        <f>IF(Смета!A207="Прайс",Смета!F207)</f>
        <v>44</v>
      </c>
    </row>
    <row r="202" spans="2:7" hidden="1">
      <c r="B202" s="48" t="str">
        <f>IF(Смета!A212="Прайс",Смета!B212)</f>
        <v>Ветошь</v>
      </c>
      <c r="C202" s="48" t="str">
        <f>IF(Смета!A212="Прайс",Смета!C212)</f>
        <v>кг</v>
      </c>
      <c r="D202" s="48">
        <f>IF(Смета!A212="Прайс",Смета!D212)</f>
        <v>2.336E-3</v>
      </c>
      <c r="E202" s="48" t="b">
        <f>IF(Смета!D212="Прайс",Смета!E212)</f>
        <v>0</v>
      </c>
      <c r="F202" s="48" t="b">
        <f>IF(Смета!E212="Прайс",Смета!F212)</f>
        <v>0</v>
      </c>
      <c r="G202" s="48">
        <f>IF(Смета!A212="Прайс",Смета!F212)</f>
        <v>44</v>
      </c>
    </row>
    <row r="203" spans="2:7" hidden="1">
      <c r="B203" s="48" t="str">
        <f>IF(Смета!A216="Прайс",Смета!B216)</f>
        <v>Ветошь</v>
      </c>
      <c r="C203" s="48" t="str">
        <f>IF(Смета!A216="Прайс",Смета!C216)</f>
        <v>кг</v>
      </c>
      <c r="D203" s="48">
        <f>IF(Смета!A216="Прайс",Смета!D216)</f>
        <v>2.2268025E-2</v>
      </c>
      <c r="E203" s="48" t="b">
        <f>IF(Смета!D216="Прайс",Смета!E216)</f>
        <v>0</v>
      </c>
      <c r="F203" s="48" t="b">
        <f>IF(Смета!E216="Прайс",Смета!F216)</f>
        <v>0</v>
      </c>
      <c r="G203" s="48">
        <f>IF(Смета!A216="Прайс",Смета!F216)</f>
        <v>44</v>
      </c>
    </row>
    <row r="204" spans="2:7" hidden="1">
      <c r="B204" s="48" t="str">
        <f>IF(Смета!A235="Прайс",Смета!B235)</f>
        <v>Ветошь</v>
      </c>
      <c r="C204" s="48" t="str">
        <f>IF(Смета!A235="Прайс",Смета!C235)</f>
        <v>кг</v>
      </c>
      <c r="D204" s="48">
        <f>IF(Смета!A235="Прайс",Смета!D235)</f>
        <v>7.7470000000000004E-3</v>
      </c>
      <c r="E204" s="48" t="b">
        <f>IF(Смета!D235="Прайс",Смета!E235)</f>
        <v>0</v>
      </c>
      <c r="F204" s="48" t="b">
        <f>IF(Смета!E235="Прайс",Смета!F235)</f>
        <v>0</v>
      </c>
      <c r="G204" s="48">
        <f>IF(Смета!A235="Прайс",Смета!F235)</f>
        <v>44</v>
      </c>
    </row>
    <row r="205" spans="2:7" hidden="1">
      <c r="B205" s="48" t="str">
        <f>IF(Смета!A244="Прайс",Смета!B244)</f>
        <v>Ветошь</v>
      </c>
      <c r="C205" s="48" t="str">
        <f>IF(Смета!A244="Прайс",Смета!C244)</f>
        <v>кг</v>
      </c>
      <c r="D205" s="48">
        <f>IF(Смета!A244="Прайс",Смета!D244)</f>
        <v>1.1050000000000001E-3</v>
      </c>
      <c r="E205" s="48" t="b">
        <f>IF(Смета!D244="Прайс",Смета!E244)</f>
        <v>0</v>
      </c>
      <c r="F205" s="48" t="b">
        <f>IF(Смета!E244="Прайс",Смета!F244)</f>
        <v>0</v>
      </c>
      <c r="G205" s="48">
        <f>IF(Смета!A244="Прайс",Смета!F244)</f>
        <v>44</v>
      </c>
    </row>
    <row r="206" spans="2:7" hidden="1">
      <c r="B206" s="48" t="str">
        <f>IF(Смета!A265="Прайс",Смета!B265)</f>
        <v>Ветошь</v>
      </c>
      <c r="C206" s="48" t="str">
        <f>IF(Смета!A265="Прайс",Смета!C265)</f>
        <v>кг</v>
      </c>
      <c r="D206" s="48">
        <f>IF(Смета!A265="Прайс",Смета!D265)</f>
        <v>1.1620000000000001E-3</v>
      </c>
      <c r="E206" s="48" t="b">
        <f>IF(Смета!D265="Прайс",Смета!E265)</f>
        <v>0</v>
      </c>
      <c r="F206" s="48" t="b">
        <f>IF(Смета!E265="Прайс",Смета!F265)</f>
        <v>0</v>
      </c>
      <c r="G206" s="48">
        <f>IF(Смета!A265="Прайс",Смета!F265)</f>
        <v>44</v>
      </c>
    </row>
    <row r="207" spans="2:7" hidden="1">
      <c r="B207" s="48" t="str">
        <f>IF(Смета!A270="Прайс",Смета!B270)</f>
        <v>Ветошь</v>
      </c>
      <c r="C207" s="48" t="str">
        <f>IF(Смета!A270="Прайс",Смета!C270)</f>
        <v>кг</v>
      </c>
      <c r="D207" s="48">
        <f>IF(Смета!A270="Прайс",Смета!D270)</f>
        <v>7.7610000000000005E-3</v>
      </c>
      <c r="E207" s="48" t="b">
        <f>IF(Смета!D270="Прайс",Смета!E270)</f>
        <v>0</v>
      </c>
      <c r="F207" s="48" t="b">
        <f>IF(Смета!E270="Прайс",Смета!F270)</f>
        <v>0</v>
      </c>
      <c r="G207" s="48">
        <f>IF(Смета!A270="Прайс",Смета!F270)</f>
        <v>44</v>
      </c>
    </row>
    <row r="208" spans="2:7" hidden="1">
      <c r="B208" s="48" t="str">
        <f>IF(Смета!A315="Прайс",Смета!B315)</f>
        <v>Ветошь</v>
      </c>
      <c r="C208" s="48" t="str">
        <f>IF(Смета!A315="Прайс",Смета!C315)</f>
        <v>кг</v>
      </c>
      <c r="D208" s="48">
        <f>IF(Смета!A315="Прайс",Смета!D315)</f>
        <v>3.0552000000000005E-3</v>
      </c>
      <c r="E208" s="48" t="b">
        <f>IF(Смета!D315="Прайс",Смета!E315)</f>
        <v>0</v>
      </c>
      <c r="F208" s="48" t="b">
        <f>IF(Смета!E315="Прайс",Смета!F315)</f>
        <v>0</v>
      </c>
      <c r="G208" s="48">
        <f>IF(Смета!A315="Прайс",Смета!F315)</f>
        <v>44</v>
      </c>
    </row>
    <row r="209" spans="2:7" hidden="1">
      <c r="B209" s="48" t="str">
        <f>IF(Смета!A320="Прайс",Смета!B320)</f>
        <v>Ветошь</v>
      </c>
      <c r="C209" s="48" t="str">
        <f>IF(Смета!A320="Прайс",Смета!C320)</f>
        <v>кг</v>
      </c>
      <c r="D209" s="48">
        <f>IF(Смета!A320="Прайс",Смета!D320)</f>
        <v>3.0552000000000005E-3</v>
      </c>
      <c r="E209" s="48" t="b">
        <f>IF(Смета!D320="Прайс",Смета!E320)</f>
        <v>0</v>
      </c>
      <c r="F209" s="48" t="b">
        <f>IF(Смета!E320="Прайс",Смета!F320)</f>
        <v>0</v>
      </c>
      <c r="G209" s="48">
        <f>IF(Смета!A320="Прайс",Смета!F320)</f>
        <v>44</v>
      </c>
    </row>
    <row r="210" spans="2:7" hidden="1">
      <c r="B210" s="48" t="str">
        <f>IF(Смета!A366="Прайс",Смета!B366)</f>
        <v>Выключатель  Легранд (встр.)</v>
      </c>
      <c r="C210" s="48" t="str">
        <f>IF(Смета!A366="Прайс",Смета!C366)</f>
        <v>шт.</v>
      </c>
      <c r="D210" s="48">
        <f>IF(Смета!A366="Прайс",Смета!D366)</f>
        <v>13</v>
      </c>
      <c r="E210" s="48" t="b">
        <f>IF(Смета!D366="Прайс",Смета!E366)</f>
        <v>0</v>
      </c>
      <c r="F210" s="48" t="b">
        <f>IF(Смета!E366="Прайс",Смета!F366)</f>
        <v>0</v>
      </c>
      <c r="G210" s="48">
        <f>IF(Смета!A366="Прайс",Смета!F366)</f>
        <v>158.54300000000001</v>
      </c>
    </row>
    <row r="211" spans="2:7" hidden="1">
      <c r="B211" s="48" t="str">
        <f>IF(Смета!A58="Прайс",Смета!B58)</f>
        <v>ГВЛ</v>
      </c>
      <c r="C211" s="48" t="str">
        <f>IF(Смета!A58="Прайс",Смета!C58)</f>
        <v>м2</v>
      </c>
      <c r="D211" s="48">
        <f>IF(Смета!A58="Прайс",Смета!D58)</f>
        <v>207.57000000000002</v>
      </c>
      <c r="E211" s="48" t="b">
        <f>IF(Смета!D58="Прайс",Смета!E58)</f>
        <v>0</v>
      </c>
      <c r="F211" s="48" t="b">
        <f>IF(Смета!E58="Прайс",Смета!F58)</f>
        <v>0</v>
      </c>
      <c r="G211" s="48">
        <f>IF(Смета!A58="Прайс",Смета!F58)</f>
        <v>124.62</v>
      </c>
    </row>
    <row r="212" spans="2:7" hidden="1">
      <c r="B212" s="48" t="str">
        <f>IF(Смета!A99="Прайс",Смета!B99)</f>
        <v>ГВЛ</v>
      </c>
      <c r="C212" s="48" t="str">
        <f>IF(Смета!A99="Прайс",Смета!C99)</f>
        <v>м2</v>
      </c>
      <c r="D212" s="48">
        <f>IF(Смета!A99="Прайс",Смета!D99)</f>
        <v>15.054900000000002</v>
      </c>
      <c r="E212" s="48" t="b">
        <f>IF(Смета!D99="Прайс",Смета!E99)</f>
        <v>0</v>
      </c>
      <c r="F212" s="48" t="b">
        <f>IF(Смета!E99="Прайс",Смета!F99)</f>
        <v>0</v>
      </c>
      <c r="G212" s="48">
        <f>IF(Смета!A99="Прайс",Смета!F99)</f>
        <v>124.62</v>
      </c>
    </row>
    <row r="213" spans="2:7" hidden="1">
      <c r="B213" s="48" t="str">
        <f>IF(Смета!A113="Прайс",Смета!B113)</f>
        <v>ГВЛ</v>
      </c>
      <c r="C213" s="48" t="str">
        <f>IF(Смета!A113="Прайс",Смета!C113)</f>
        <v>м2</v>
      </c>
      <c r="D213" s="48">
        <f>IF(Смета!A113="Прайс",Смета!D113)</f>
        <v>6.6484259999999962</v>
      </c>
      <c r="E213" s="48" t="b">
        <f>IF(Смета!D113="Прайс",Смета!E113)</f>
        <v>0</v>
      </c>
      <c r="F213" s="48" t="b">
        <f>IF(Смета!E113="Прайс",Смета!F113)</f>
        <v>0</v>
      </c>
      <c r="G213" s="48">
        <f>IF(Смета!A113="Прайс",Смета!F113)</f>
        <v>124.62</v>
      </c>
    </row>
    <row r="214" spans="2:7" hidden="1">
      <c r="B214" s="48" t="str">
        <f>IF(Смета!A164="Прайс",Смета!B164)</f>
        <v>ГВЛ</v>
      </c>
      <c r="C214" s="48" t="str">
        <f>IF(Смета!A164="Прайс",Смета!C164)</f>
        <v>м2</v>
      </c>
      <c r="D214" s="48">
        <f>IF(Смета!A164="Прайс",Смета!D164)</f>
        <v>15.387187500000001</v>
      </c>
      <c r="E214" s="48" t="b">
        <f>IF(Смета!D164="Прайс",Смета!E164)</f>
        <v>0</v>
      </c>
      <c r="F214" s="48" t="b">
        <f>IF(Смета!E164="Прайс",Смета!F164)</f>
        <v>0</v>
      </c>
      <c r="G214" s="48">
        <f>IF(Смета!A164="Прайс",Смета!F164)</f>
        <v>124.62</v>
      </c>
    </row>
    <row r="215" spans="2:7" hidden="1">
      <c r="B215" s="48" t="str">
        <f>IF(Смета!A72="Прайс",Смета!B72)</f>
        <v>ГВЛВ</v>
      </c>
      <c r="C215" s="48" t="str">
        <f>IF(Смета!A72="Прайс",Смета!C72)</f>
        <v>м2</v>
      </c>
      <c r="D215" s="48">
        <f>IF(Смета!A72="Прайс",Смета!D72)</f>
        <v>30.784756000000002</v>
      </c>
      <c r="E215" s="48" t="b">
        <f>IF(Смета!D72="Прайс",Смета!E72)</f>
        <v>0</v>
      </c>
      <c r="F215" s="48" t="b">
        <f>IF(Смета!E72="Прайс",Смета!F72)</f>
        <v>0</v>
      </c>
      <c r="G215" s="48">
        <f>IF(Смета!A72="Прайс",Смета!F72)</f>
        <v>124.62</v>
      </c>
    </row>
    <row r="216" spans="2:7" hidden="1">
      <c r="B216" s="48" t="str">
        <f>IF(Смета!A85="Прайс",Смета!B85)</f>
        <v>ГВЛВ</v>
      </c>
      <c r="C216" s="48" t="str">
        <f>IF(Смета!A85="Прайс",Смета!C85)</f>
        <v>м2</v>
      </c>
      <c r="D216" s="48">
        <f>IF(Смета!A85="Прайс",Смета!D85)</f>
        <v>36.059000000000005</v>
      </c>
      <c r="E216" s="48" t="b">
        <f>IF(Смета!D85="Прайс",Смета!E85)</f>
        <v>0</v>
      </c>
      <c r="F216" s="48" t="b">
        <f>IF(Смета!E85="Прайс",Смета!F85)</f>
        <v>0</v>
      </c>
      <c r="G216" s="48">
        <f>IF(Смета!A85="Прайс",Смета!F85)</f>
        <v>124.62</v>
      </c>
    </row>
    <row r="217" spans="2:7" hidden="1">
      <c r="B217" s="48" t="str">
        <f>IF(Смета!A279="Прайс",Смета!B279)</f>
        <v>ГКЛ</v>
      </c>
      <c r="C217" s="48" t="str">
        <f>IF(Смета!A279="Прайс",Смета!C279)</f>
        <v>м2</v>
      </c>
      <c r="D217" s="48">
        <f>IF(Смета!A279="Прайс",Смета!D279)</f>
        <v>25.593330000000005</v>
      </c>
      <c r="E217" s="48" t="b">
        <f>IF(Смета!D279="Прайс",Смета!E279)</f>
        <v>0</v>
      </c>
      <c r="F217" s="48" t="b">
        <f>IF(Смета!E279="Прайс",Смета!F279)</f>
        <v>0</v>
      </c>
      <c r="G217" s="48">
        <f>IF(Смета!A279="Прайс",Смета!F279)</f>
        <v>101</v>
      </c>
    </row>
    <row r="218" spans="2:7" hidden="1">
      <c r="B218" s="48" t="str">
        <f>IF(Смета!A294="Прайс",Смета!B294)</f>
        <v>ГКЛ</v>
      </c>
      <c r="C218" s="48" t="str">
        <f>IF(Смета!A294="Прайс",Смета!C294)</f>
        <v>м2</v>
      </c>
      <c r="D218" s="48">
        <f>IF(Смета!A294="Прайс",Смета!D294)</f>
        <v>25.401800000000001</v>
      </c>
      <c r="E218" s="48" t="b">
        <f>IF(Смета!D294="Прайс",Смета!E294)</f>
        <v>0</v>
      </c>
      <c r="F218" s="48" t="b">
        <f>IF(Смета!E294="Прайс",Смета!F294)</f>
        <v>0</v>
      </c>
      <c r="G218" s="48">
        <f>IF(Смета!A294="Прайс",Смета!F294)</f>
        <v>101</v>
      </c>
    </row>
    <row r="219" spans="2:7" hidden="1">
      <c r="B219" s="48" t="str">
        <f>IF(Смета!A342="Прайс",Смета!B342)</f>
        <v xml:space="preserve">Гофротруба с зондом d=20 </v>
      </c>
      <c r="C219" s="48" t="str">
        <f>IF(Смета!A342="Прайс",Смета!C342)</f>
        <v>м2</v>
      </c>
      <c r="D219" s="48">
        <f>IF(Смета!A342="Прайс",Смета!D342)</f>
        <v>415</v>
      </c>
      <c r="E219" s="48" t="b">
        <f>IF(Смета!D342="Прайс",Смета!E342)</f>
        <v>0</v>
      </c>
      <c r="F219" s="48" t="b">
        <f>IF(Смета!E342="Прайс",Смета!F342)</f>
        <v>0</v>
      </c>
      <c r="G219" s="48">
        <f>IF(Смета!A342="Прайс",Смета!F342)</f>
        <v>5.4119999999999999</v>
      </c>
    </row>
    <row r="220" spans="2:7" hidden="1">
      <c r="B220" s="48" t="str">
        <f>IF(Смета!A343="Прайс",Смета!B343)</f>
        <v xml:space="preserve">Гофротруба с зондом d=25 </v>
      </c>
      <c r="C220" s="48" t="str">
        <f>IF(Смета!A343="Прайс",Смета!C343)</f>
        <v>м.п.</v>
      </c>
      <c r="D220" s="48">
        <f>IF(Смета!A343="Прайс",Смета!D343)</f>
        <v>50</v>
      </c>
      <c r="E220" s="48" t="b">
        <f>IF(Смета!D343="Прайс",Смета!E343)</f>
        <v>0</v>
      </c>
      <c r="F220" s="48" t="b">
        <f>IF(Смета!E343="Прайс",Смета!F343)</f>
        <v>0</v>
      </c>
      <c r="G220" s="48">
        <f>IF(Смета!A343="Прайс",Смета!F343)</f>
        <v>9.1080000000000005</v>
      </c>
    </row>
    <row r="221" spans="2:7" hidden="1">
      <c r="B221" s="48" t="str">
        <f>IF(Смета!A170="Прайс",Смета!B170)</f>
        <v>Грунтовка "Бетоконтакт"</v>
      </c>
      <c r="C221" s="48" t="str">
        <f>IF(Смета!A170="Прайс",Смета!C170)</f>
        <v>кг</v>
      </c>
      <c r="D221" s="48">
        <f>IF(Смета!A170="Прайс",Смета!D170)</f>
        <v>64.207499999999996</v>
      </c>
      <c r="E221" s="48" t="b">
        <f>IF(Смета!D170="Прайс",Смета!E170)</f>
        <v>0</v>
      </c>
      <c r="F221" s="48" t="b">
        <f>IF(Смета!E170="Прайс",Смета!F170)</f>
        <v>0</v>
      </c>
      <c r="G221" s="48">
        <f>IF(Смета!A170="Прайс",Смета!F170)</f>
        <v>57</v>
      </c>
    </row>
    <row r="222" spans="2:7" hidden="1">
      <c r="B222" s="48" t="str">
        <f>IF(Смета!A69="Прайс",Смета!B69)</f>
        <v>Грунтовка глубокая</v>
      </c>
      <c r="C222" s="48" t="str">
        <f>IF(Смета!A69="Прайс",Смета!C69)</f>
        <v>л</v>
      </c>
      <c r="D222" s="48">
        <f>IF(Смета!A69="Прайс",Смета!D69)</f>
        <v>10.200000000000001</v>
      </c>
      <c r="E222" s="48" t="b">
        <f>IF(Смета!D69="Прайс",Смета!E69)</f>
        <v>0</v>
      </c>
      <c r="F222" s="48" t="b">
        <f>IF(Смета!E69="Прайс",Смета!F69)</f>
        <v>0</v>
      </c>
      <c r="G222" s="48">
        <f>IF(Смета!A69="Прайс",Смета!F69)</f>
        <v>55.6</v>
      </c>
    </row>
    <row r="223" spans="2:7" hidden="1">
      <c r="B223" s="48" t="str">
        <f>IF(Смета!A83="Прайс",Смета!B83)</f>
        <v>Грунтовка глубокая</v>
      </c>
      <c r="C223" s="48" t="str">
        <f>IF(Смета!A83="Прайс",Смета!C83)</f>
        <v>л</v>
      </c>
      <c r="D223" s="48">
        <f>IF(Смета!A83="Прайс",Смета!D83)</f>
        <v>2.8770800000000003</v>
      </c>
      <c r="E223" s="48" t="b">
        <f>IF(Смета!D83="Прайс",Смета!E83)</f>
        <v>0</v>
      </c>
      <c r="F223" s="48" t="b">
        <f>IF(Смета!E83="Прайс",Смета!F83)</f>
        <v>0</v>
      </c>
      <c r="G223" s="48">
        <f>IF(Смета!A83="Прайс",Смета!F83)</f>
        <v>55.6</v>
      </c>
    </row>
    <row r="224" spans="2:7" hidden="1">
      <c r="B224" s="48" t="str">
        <f>IF(Смета!A96="Прайс",Смета!B96)</f>
        <v>Грунтовка глубокая</v>
      </c>
      <c r="C224" s="48" t="str">
        <f>IF(Смета!A96="Прайс",Смета!C96)</f>
        <v>л</v>
      </c>
      <c r="D224" s="48">
        <f>IF(Смета!A96="Прайс",Смета!D96)</f>
        <v>3.3700000000000006</v>
      </c>
      <c r="E224" s="48" t="b">
        <f>IF(Смета!D96="Прайс",Смета!E96)</f>
        <v>0</v>
      </c>
      <c r="F224" s="48" t="b">
        <f>IF(Смета!E96="Прайс",Смета!F96)</f>
        <v>0</v>
      </c>
      <c r="G224" s="48">
        <f>IF(Смета!A96="Прайс",Смета!F96)</f>
        <v>55.6</v>
      </c>
    </row>
    <row r="225" spans="2:7" hidden="1">
      <c r="B225" s="48" t="str">
        <f>IF(Смета!A110="Прайс",Смета!B110)</f>
        <v>Грунтовка глубокая</v>
      </c>
      <c r="C225" s="48" t="str">
        <f>IF(Смета!A110="Прайс",Смета!C110)</f>
        <v>л</v>
      </c>
      <c r="D225" s="48">
        <f>IF(Смета!A110="Прайс",Смета!D110)</f>
        <v>1.407</v>
      </c>
      <c r="E225" s="48" t="b">
        <f>IF(Смета!D110="Прайс",Смета!E110)</f>
        <v>0</v>
      </c>
      <c r="F225" s="48" t="b">
        <f>IF(Смета!E110="Прайс",Смета!F110)</f>
        <v>0</v>
      </c>
      <c r="G225" s="48">
        <f>IF(Смета!A110="Прайс",Смета!F110)</f>
        <v>55.6</v>
      </c>
    </row>
    <row r="226" spans="2:7" hidden="1">
      <c r="B226" s="48" t="str">
        <f>IF(Смета!A123="Прайс",Смета!B123)</f>
        <v>Грунтовка глубокая</v>
      </c>
      <c r="C226" s="48" t="str">
        <f>IF(Смета!A123="Прайс",Смета!C123)</f>
        <v>л</v>
      </c>
      <c r="D226" s="48">
        <f>IF(Смета!A123="Прайс",Смета!D123)</f>
        <v>0.64235999999999971</v>
      </c>
      <c r="E226" s="48" t="b">
        <f>IF(Смета!D123="Прайс",Смета!E123)</f>
        <v>0</v>
      </c>
      <c r="F226" s="48" t="b">
        <f>IF(Смета!E123="Прайс",Смета!F123)</f>
        <v>0</v>
      </c>
      <c r="G226" s="48">
        <f>IF(Смета!A123="Прайс",Смета!F123)</f>
        <v>55.6</v>
      </c>
    </row>
    <row r="227" spans="2:7" hidden="1">
      <c r="B227" s="48" t="str">
        <f>IF(Смета!A178="Прайс",Смета!B178)</f>
        <v>Грунтовка глубокая</v>
      </c>
      <c r="C227" s="48" t="str">
        <f>IF(Смета!A178="Прайс",Смета!C178)</f>
        <v>кг</v>
      </c>
      <c r="D227" s="48">
        <f>IF(Смета!A178="Прайс",Смета!D178)</f>
        <v>61.074680000000001</v>
      </c>
      <c r="E227" s="48" t="b">
        <f>IF(Смета!D178="Прайс",Смета!E178)</f>
        <v>0</v>
      </c>
      <c r="F227" s="48" t="b">
        <f>IF(Смета!E178="Прайс",Смета!F178)</f>
        <v>0</v>
      </c>
      <c r="G227" s="48">
        <f>IF(Смета!A178="Прайс",Смета!F178)</f>
        <v>55.6</v>
      </c>
    </row>
    <row r="228" spans="2:7" hidden="1">
      <c r="B228" s="48" t="str">
        <f>IF(Смета!A232="Прайс",Смета!B232)</f>
        <v>Грунтовка глубокая</v>
      </c>
      <c r="C228" s="48" t="str">
        <f>IF(Смета!A232="Прайс",Смета!C232)</f>
        <v>кг</v>
      </c>
      <c r="D228" s="48">
        <f>IF(Смета!A232="Прайс",Смета!D232)</f>
        <v>16.954000000000001</v>
      </c>
      <c r="E228" s="48" t="b">
        <f>IF(Смета!D232="Прайс",Смета!E232)</f>
        <v>0</v>
      </c>
      <c r="F228" s="48" t="b">
        <f>IF(Смета!E232="Прайс",Смета!F232)</f>
        <v>0</v>
      </c>
      <c r="G228" s="48">
        <f>IF(Смета!A232="Прайс",Смета!F232)</f>
        <v>55.6</v>
      </c>
    </row>
    <row r="229" spans="2:7" hidden="1">
      <c r="B229" s="48" t="str">
        <f>IF(Смета!A290="Прайс",Смета!B290)</f>
        <v>Грунтовка глубокая</v>
      </c>
      <c r="C229" s="48" t="str">
        <f>IF(Смета!A290="Прайс",Смета!C290)</f>
        <v>л</v>
      </c>
      <c r="D229" s="48">
        <f>IF(Смета!A290="Прайс",Смета!D290)</f>
        <v>2.3919000000000006</v>
      </c>
      <c r="E229" s="48" t="b">
        <f>IF(Смета!D290="Прайс",Смета!E290)</f>
        <v>0</v>
      </c>
      <c r="F229" s="48" t="b">
        <f>IF(Смета!E290="Прайс",Смета!F290)</f>
        <v>0</v>
      </c>
      <c r="G229" s="48">
        <f>IF(Смета!A290="Прайс",Смета!F290)</f>
        <v>55.6</v>
      </c>
    </row>
    <row r="230" spans="2:7" hidden="1">
      <c r="B230" s="48" t="str">
        <f>IF(Смета!A305="Прайс",Смета!B305)</f>
        <v>Грунтовка глубокая</v>
      </c>
      <c r="C230" s="48" t="str">
        <f>IF(Смета!A305="Прайс",Смета!C305)</f>
        <v>л</v>
      </c>
      <c r="D230" s="48">
        <f>IF(Смета!A305="Прайс",Смета!D305)</f>
        <v>2.3740000000000001</v>
      </c>
      <c r="E230" s="48" t="b">
        <f>IF(Смета!D305="Прайс",Смета!E305)</f>
        <v>0</v>
      </c>
      <c r="F230" s="48" t="b">
        <f>IF(Смета!E305="Прайс",Смета!F305)</f>
        <v>0</v>
      </c>
      <c r="G230" s="48">
        <f>IF(Смета!A305="Прайс",Смета!F305)</f>
        <v>55.6</v>
      </c>
    </row>
    <row r="231" spans="2:7" hidden="1">
      <c r="B231" s="48" t="str">
        <f>IF(Смета!A307="Прайс",Смета!B307)</f>
        <v>Грунтовка глубокая</v>
      </c>
      <c r="C231" s="48" t="str">
        <f>IF(Смета!A307="Прайс",Смета!C307)</f>
        <v>кг</v>
      </c>
      <c r="D231" s="48">
        <f>IF(Смета!A307="Прайс",Смета!D307)</f>
        <v>4.0856000000000003</v>
      </c>
      <c r="E231" s="48" t="b">
        <f>IF(Смета!D307="Прайс",Смета!E307)</f>
        <v>0</v>
      </c>
      <c r="F231" s="48" t="b">
        <f>IF(Смета!E307="Прайс",Смета!F307)</f>
        <v>0</v>
      </c>
      <c r="G231" s="48">
        <f>IF(Смета!A307="Прайс",Смета!F307)</f>
        <v>55.6</v>
      </c>
    </row>
    <row r="232" spans="2:7" hidden="1">
      <c r="B232" s="48" t="str">
        <f>IF(Смета!A141="Прайс",Смета!B141)</f>
        <v>Дверь межкомнатная ПВХ, в сборе</v>
      </c>
      <c r="C232" s="48" t="str">
        <f>IF(Смета!A141="Прайс",Смета!C141)</f>
        <v>шт.</v>
      </c>
      <c r="D232" s="48">
        <f>IF(Смета!A141="Прайс",Смета!D141)</f>
        <v>8</v>
      </c>
      <c r="E232" s="48" t="b">
        <f>IF(Смета!D141="Прайс",Смета!E141)</f>
        <v>0</v>
      </c>
      <c r="F232" s="48" t="b">
        <f>IF(Смета!E141="Прайс",Смета!F141)</f>
        <v>0</v>
      </c>
      <c r="G232" s="48">
        <f>IF(Смета!A141="Прайс",Смета!F141)</f>
        <v>8960</v>
      </c>
    </row>
    <row r="233" spans="2:7" hidden="1">
      <c r="B233" s="48" t="str">
        <f>IF(Смета!A131="Прайс",Смета!B131)</f>
        <v>Дверь металлическая входная в сборе</v>
      </c>
      <c r="C233" s="48" t="str">
        <f>IF(Смета!A131="Прайс",Смета!C131)</f>
        <v>шт.</v>
      </c>
      <c r="D233" s="48">
        <f>IF(Смета!A131="Прайс",Смета!D131)</f>
        <v>1</v>
      </c>
      <c r="E233" s="48" t="b">
        <f>IF(Смета!D131="Прайс",Смета!E131)</f>
        <v>0</v>
      </c>
      <c r="F233" s="48" t="b">
        <f>IF(Смета!E131="Прайс",Смета!F131)</f>
        <v>0</v>
      </c>
      <c r="G233" s="48">
        <f>IF(Смета!A131="Прайс",Смета!F131)</f>
        <v>28230</v>
      </c>
    </row>
    <row r="234" spans="2:7" hidden="1">
      <c r="B234" s="48" t="str">
        <f>IF(Смета!A137="Прайс",Смета!B137)</f>
        <v>Дверь металлическая противопожарная, в сборе, с замком</v>
      </c>
      <c r="C234" s="48" t="str">
        <f>IF(Смета!A137="Прайс",Смета!C137)</f>
        <v>шт.</v>
      </c>
      <c r="D234" s="48">
        <f>IF(Смета!A137="Прайс",Смета!D137)</f>
        <v>2</v>
      </c>
      <c r="E234" s="48" t="b">
        <f>IF(Смета!D137="Прайс",Смета!E137)</f>
        <v>0</v>
      </c>
      <c r="F234" s="48" t="b">
        <f>IF(Смета!E137="Прайс",Смета!F137)</f>
        <v>0</v>
      </c>
      <c r="G234" s="48">
        <f>IF(Смета!A137="Прайс",Смета!F137)</f>
        <v>18960</v>
      </c>
    </row>
    <row r="235" spans="2:7" hidden="1">
      <c r="B235" s="48" t="str">
        <f>IF(Смета!A344="Прайс",Смета!B344)</f>
        <v>Держатель гофротрубы d=20</v>
      </c>
      <c r="C235" s="48" t="str">
        <f>IF(Смета!A344="Прайс",Смета!C344)</f>
        <v>шт.</v>
      </c>
      <c r="D235" s="48">
        <f>IF(Смета!A344="Прайс",Смета!D344)</f>
        <v>400</v>
      </c>
      <c r="E235" s="48" t="b">
        <f>IF(Смета!D344="Прайс",Смета!E344)</f>
        <v>0</v>
      </c>
      <c r="F235" s="48" t="b">
        <f>IF(Смета!E344="Прайс",Смета!F344)</f>
        <v>0</v>
      </c>
      <c r="G235" s="48">
        <f>IF(Смета!A344="Прайс",Смета!F344)</f>
        <v>1.7160000000000002</v>
      </c>
    </row>
    <row r="236" spans="2:7" hidden="1">
      <c r="B236" s="48" t="str">
        <f>IF(Смета!A345="Прайс",Смета!B345)</f>
        <v>Держатель гофротрубы d=25</v>
      </c>
      <c r="C236" s="48" t="str">
        <f>IF(Смета!A345="Прайс",Смета!C345)</f>
        <v>шт.</v>
      </c>
      <c r="D236" s="48">
        <f>IF(Смета!A345="Прайс",Смета!D345)</f>
        <v>80</v>
      </c>
      <c r="E236" s="48" t="b">
        <f>IF(Смета!D345="Прайс",Смета!E345)</f>
        <v>0</v>
      </c>
      <c r="F236" s="48" t="b">
        <f>IF(Смета!E345="Прайс",Смета!F345)</f>
        <v>0</v>
      </c>
      <c r="G236" s="48">
        <f>IF(Смета!A345="Прайс",Смета!F345)</f>
        <v>2.1339999999999999</v>
      </c>
    </row>
    <row r="237" spans="2:7" hidden="1">
      <c r="B237" s="48" t="str">
        <f>IF(Смета!A340="Прайс",Смета!B340)</f>
        <v xml:space="preserve">Дифф. автомат  1П  ABB  16/0,03  </v>
      </c>
      <c r="C237" s="48" t="str">
        <f>IF(Смета!A340="Прайс",Смета!C340)</f>
        <v>шт.</v>
      </c>
      <c r="D237" s="48">
        <f>IF(Смета!A340="Прайс",Смета!D340)</f>
        <v>10</v>
      </c>
      <c r="E237" s="48" t="b">
        <f>IF(Смета!D340="Прайс",Смета!E340)</f>
        <v>0</v>
      </c>
      <c r="F237" s="48" t="b">
        <f>IF(Смета!E340="Прайс",Смета!F340)</f>
        <v>0</v>
      </c>
      <c r="G237" s="48">
        <f>IF(Смета!A340="Прайс",Смета!F340)</f>
        <v>1973.4</v>
      </c>
    </row>
    <row r="238" spans="2:7" hidden="1">
      <c r="B238" s="48" t="str">
        <f>IF(Смета!A68="Прайс",Смета!B68)</f>
        <v>Дихтунгсбанд</v>
      </c>
      <c r="C238" s="48" t="str">
        <f>IF(Смета!A68="Прайс",Смета!C68)</f>
        <v>м.п.</v>
      </c>
      <c r="D238" s="48">
        <f>IF(Смета!A68="Прайс",Смета!D68)</f>
        <v>61.199999999999996</v>
      </c>
      <c r="E238" s="48" t="b">
        <f>IF(Смета!D68="Прайс",Смета!E68)</f>
        <v>0</v>
      </c>
      <c r="F238" s="48" t="b">
        <f>IF(Смета!E68="Прайс",Смета!F68)</f>
        <v>0</v>
      </c>
      <c r="G238" s="48">
        <f>IF(Смета!A68="Прайс",Смета!F68)</f>
        <v>8.3000000000000007</v>
      </c>
    </row>
    <row r="239" spans="2:7" hidden="1">
      <c r="B239" s="48" t="str">
        <f>IF(Смета!A81="Прайс",Смета!B81)</f>
        <v>Дихтунгсбанд</v>
      </c>
      <c r="C239" s="48" t="str">
        <f>IF(Смета!A81="Прайс",Смета!C81)</f>
        <v>м.п.</v>
      </c>
      <c r="D239" s="48">
        <f>IF(Смета!A81="Прайс",Смета!D81)</f>
        <v>34.52496</v>
      </c>
      <c r="E239" s="48" t="b">
        <f>IF(Смета!D81="Прайс",Смета!E81)</f>
        <v>0</v>
      </c>
      <c r="F239" s="48" t="b">
        <f>IF(Смета!E81="Прайс",Смета!F81)</f>
        <v>0</v>
      </c>
      <c r="G239" s="48">
        <f>IF(Смета!A81="Прайс",Смета!F81)</f>
        <v>8.3000000000000007</v>
      </c>
    </row>
    <row r="240" spans="2:7" hidden="1">
      <c r="B240" s="48" t="str">
        <f>IF(Смета!A94="Прайс",Смета!B94)</f>
        <v>Дихтунгсбанд</v>
      </c>
      <c r="C240" s="48" t="str">
        <f>IF(Смета!A94="Прайс",Смета!C94)</f>
        <v>м.п.</v>
      </c>
      <c r="D240" s="48">
        <f>IF(Смета!A94="Прайс",Смета!D94)</f>
        <v>40.440000000000005</v>
      </c>
      <c r="E240" s="48" t="b">
        <f>IF(Смета!D94="Прайс",Смета!E94)</f>
        <v>0</v>
      </c>
      <c r="F240" s="48" t="b">
        <f>IF(Смета!E94="Прайс",Смета!F94)</f>
        <v>0</v>
      </c>
      <c r="G240" s="48">
        <f>IF(Смета!A94="Прайс",Смета!F94)</f>
        <v>8.3000000000000007</v>
      </c>
    </row>
    <row r="241" spans="2:7" hidden="1">
      <c r="B241" s="48" t="str">
        <f>IF(Смета!A108="Прайс",Смета!B108)</f>
        <v>Дихтунгсбанд</v>
      </c>
      <c r="C241" s="48" t="str">
        <f>IF(Смета!A108="Прайс",Смета!C108)</f>
        <v>м.п.</v>
      </c>
      <c r="D241" s="48">
        <f>IF(Смета!A108="Прайс",Смета!D108)</f>
        <v>16.884</v>
      </c>
      <c r="E241" s="48" t="b">
        <f>IF(Смета!D108="Прайс",Смета!E108)</f>
        <v>0</v>
      </c>
      <c r="F241" s="48" t="b">
        <f>IF(Смета!E108="Прайс",Смета!F108)</f>
        <v>0</v>
      </c>
      <c r="G241" s="48">
        <f>IF(Смета!A108="Прайс",Смета!F108)</f>
        <v>8.3000000000000007</v>
      </c>
    </row>
    <row r="242" spans="2:7" hidden="1">
      <c r="B242" s="48" t="str">
        <f>IF(Смета!A122="Прайс",Смета!B122)</f>
        <v>Дихтунгсбанд</v>
      </c>
      <c r="C242" s="48" t="str">
        <f>IF(Смета!A122="Прайс",Смета!C122)</f>
        <v>м.п.</v>
      </c>
      <c r="D242" s="48">
        <f>IF(Смета!A122="Прайс",Смета!D122)</f>
        <v>3.854159999999998</v>
      </c>
      <c r="E242" s="48" t="b">
        <f>IF(Смета!D122="Прайс",Смета!E122)</f>
        <v>0</v>
      </c>
      <c r="F242" s="48" t="b">
        <f>IF(Смета!E122="Прайс",Смета!F122)</f>
        <v>0</v>
      </c>
      <c r="G242" s="48">
        <f>IF(Смета!A122="Прайс",Смета!F122)</f>
        <v>8.3000000000000007</v>
      </c>
    </row>
    <row r="243" spans="2:7" hidden="1">
      <c r="B243" s="48" t="str">
        <f>IF(Смета!A288="Прайс",Смета!B288)</f>
        <v>Дихтунгсбанд</v>
      </c>
      <c r="C243" s="48" t="str">
        <f>IF(Смета!A288="Прайс",Смета!C288)</f>
        <v>м.п.</v>
      </c>
      <c r="D243" s="48">
        <f>IF(Смета!A288="Прайс",Смета!D288)</f>
        <v>28.702800000000003</v>
      </c>
      <c r="E243" s="48" t="b">
        <f>IF(Смета!D288="Прайс",Смета!E288)</f>
        <v>0</v>
      </c>
      <c r="F243" s="48" t="b">
        <f>IF(Смета!E288="Прайс",Смета!F288)</f>
        <v>0</v>
      </c>
      <c r="G243" s="48">
        <f>IF(Смета!A288="Прайс",Смета!F288)</f>
        <v>8.3000000000000007</v>
      </c>
    </row>
    <row r="244" spans="2:7" hidden="1">
      <c r="B244" s="48" t="str">
        <f>IF(Смета!A303="Прайс",Смета!B303)</f>
        <v>Дихтунгсбанд</v>
      </c>
      <c r="C244" s="48" t="str">
        <f>IF(Смета!A303="Прайс",Смета!C303)</f>
        <v>м.п.</v>
      </c>
      <c r="D244" s="48">
        <f>IF(Смета!A303="Прайс",Смета!D303)</f>
        <v>28.487999999999996</v>
      </c>
      <c r="E244" s="48" t="b">
        <f>IF(Смета!D303="Прайс",Смета!E303)</f>
        <v>0</v>
      </c>
      <c r="F244" s="48" t="b">
        <f>IF(Смета!E303="Прайс",Смета!F303)</f>
        <v>0</v>
      </c>
      <c r="G244" s="48">
        <f>IF(Смета!A303="Прайс",Смета!F303)</f>
        <v>8.3000000000000007</v>
      </c>
    </row>
    <row r="245" spans="2:7" hidden="1">
      <c r="B245" s="48" t="str">
        <f>IF(Смета!A135="Прайс",Смета!B135)</f>
        <v>Доводчик  (Dorma,TS-68)</v>
      </c>
      <c r="C245" s="48" t="str">
        <f>IF(Смета!A135="Прайс",Смета!C135)</f>
        <v>шт.</v>
      </c>
      <c r="D245" s="48">
        <f>IF(Смета!A135="Прайс",Смета!D135)</f>
        <v>3</v>
      </c>
      <c r="E245" s="48" t="b">
        <f>IF(Смета!D135="Прайс",Смета!E135)</f>
        <v>0</v>
      </c>
      <c r="F245" s="48" t="b">
        <f>IF(Смета!E135="Прайс",Смета!F135)</f>
        <v>0</v>
      </c>
      <c r="G245" s="48">
        <f>IF(Смета!A135="Прайс",Смета!F135)</f>
        <v>1500</v>
      </c>
    </row>
    <row r="246" spans="2:7" hidden="1">
      <c r="B246" s="48" t="str">
        <f>IF(Смета!A255="Прайс",Смета!B255)</f>
        <v>Дюбель-гвоздь 4*20</v>
      </c>
      <c r="C246" s="48" t="str">
        <f>IF(Смета!A255="Прайс",Смета!C255)</f>
        <v>шт.</v>
      </c>
      <c r="D246" s="48">
        <f>IF(Смета!A255="Прайс",Смета!D255)</f>
        <v>3.52</v>
      </c>
      <c r="E246" s="48" t="b">
        <f>IF(Смета!D255="Прайс",Смета!E255)</f>
        <v>0</v>
      </c>
      <c r="F246" s="48" t="b">
        <f>IF(Смета!E255="Прайс",Смета!F255)</f>
        <v>0</v>
      </c>
      <c r="G246" s="48">
        <f>IF(Смета!A255="Прайс",Смета!F255)</f>
        <v>0.35</v>
      </c>
    </row>
    <row r="247" spans="2:7" hidden="1">
      <c r="B247" s="48" t="str">
        <f>IF(Смета!A40="Прайс",Смета!B40)</f>
        <v>Дюбель-гвоздь 6*40</v>
      </c>
      <c r="C247" s="48" t="str">
        <f>IF(Смета!A40="Прайс",Смета!C40)</f>
        <v>шт.</v>
      </c>
      <c r="D247" s="48">
        <f>IF(Смета!A40="Прайс",Смета!D40)</f>
        <v>112.40333333333335</v>
      </c>
      <c r="E247" s="48" t="b">
        <f>IF(Смета!D40="Прайс",Смета!E40)</f>
        <v>0</v>
      </c>
      <c r="F247" s="48" t="b">
        <f>IF(Смета!E40="Прайс",Смета!F40)</f>
        <v>0</v>
      </c>
      <c r="G247" s="48">
        <f>IF(Смета!A40="Прайс",Смета!F40)</f>
        <v>0.6</v>
      </c>
    </row>
    <row r="248" spans="2:7" hidden="1">
      <c r="B248" s="48" t="str">
        <f>IF(Смета!A63="Прайс",Смета!B63)</f>
        <v>Дюбель-гвоздь 6*40</v>
      </c>
      <c r="C248" s="48" t="str">
        <f>IF(Смета!A63="Прайс",Смета!C63)</f>
        <v>шт.</v>
      </c>
      <c r="D248" s="48">
        <f>IF(Смета!A63="Прайс",Смета!D63)</f>
        <v>83.13</v>
      </c>
      <c r="E248" s="48" t="b">
        <f>IF(Смета!D63="Прайс",Смета!E63)</f>
        <v>0</v>
      </c>
      <c r="F248" s="48" t="b">
        <f>IF(Смета!E63="Прайс",Смета!F63)</f>
        <v>0</v>
      </c>
      <c r="G248" s="48">
        <f>IF(Смета!A63="Прайс",Смета!F63)</f>
        <v>0.6</v>
      </c>
    </row>
    <row r="249" spans="2:7" hidden="1">
      <c r="B249" s="48" t="str">
        <f>IF(Смета!A76="Прайс",Смета!B76)</f>
        <v>Дюбель-гвоздь 6*40</v>
      </c>
      <c r="C249" s="48" t="str">
        <f>IF(Смета!A76="Прайс",Смета!C76)</f>
        <v>шт.</v>
      </c>
      <c r="D249" s="48">
        <f>IF(Смета!A76="Прайс",Смета!D76)</f>
        <v>46.896403999999997</v>
      </c>
      <c r="E249" s="48" t="b">
        <f>IF(Смета!D76="Прайс",Смета!E76)</f>
        <v>0</v>
      </c>
      <c r="F249" s="48" t="b">
        <f>IF(Смета!E76="Прайс",Смета!F76)</f>
        <v>0</v>
      </c>
      <c r="G249" s="48">
        <f>IF(Смета!A76="Прайс",Смета!F76)</f>
        <v>0.6</v>
      </c>
    </row>
    <row r="250" spans="2:7" hidden="1">
      <c r="B250" s="48" t="str">
        <f>IF(Смета!A89="Прайс",Смета!B89)</f>
        <v>Дюбель-гвоздь 6*40</v>
      </c>
      <c r="C250" s="48" t="str">
        <f>IF(Смета!A89="Прайс",Смета!C89)</f>
        <v>шт.</v>
      </c>
      <c r="D250" s="48">
        <f>IF(Смета!A89="Прайс",Смета!D89)</f>
        <v>54.931000000000004</v>
      </c>
      <c r="E250" s="48" t="b">
        <f>IF(Смета!D89="Прайс",Смета!E89)</f>
        <v>0</v>
      </c>
      <c r="F250" s="48" t="b">
        <f>IF(Смета!E89="Прайс",Смета!F89)</f>
        <v>0</v>
      </c>
      <c r="G250" s="48">
        <f>IF(Смета!A89="Прайс",Смета!F89)</f>
        <v>0.6</v>
      </c>
    </row>
    <row r="251" spans="2:7" hidden="1">
      <c r="B251" s="48" t="str">
        <f>IF(Смета!A103="Прайс",Смета!B103)</f>
        <v>Дюбель-гвоздь 6*40</v>
      </c>
      <c r="C251" s="48" t="str">
        <f>IF(Смета!A103="Прайс",Смета!C103)</f>
        <v>шт.</v>
      </c>
      <c r="D251" s="48">
        <f>IF(Смета!A103="Прайс",Смета!D103)</f>
        <v>22.934099999999997</v>
      </c>
      <c r="E251" s="48" t="b">
        <f>IF(Смета!D103="Прайс",Смета!E103)</f>
        <v>0</v>
      </c>
      <c r="F251" s="48" t="b">
        <f>IF(Смета!E103="Прайс",Смета!F103)</f>
        <v>0</v>
      </c>
      <c r="G251" s="48">
        <f>IF(Смета!A103="Прайс",Смета!F103)</f>
        <v>0.6</v>
      </c>
    </row>
    <row r="252" spans="2:7" hidden="1">
      <c r="B252" s="48" t="str">
        <f>IF(Смета!A117="Прайс",Смета!B117)</f>
        <v>Дюбель-гвоздь 6*40</v>
      </c>
      <c r="C252" s="48" t="str">
        <f>IF(Смета!A117="Прайс",Смета!C117)</f>
        <v>шт.</v>
      </c>
      <c r="D252" s="48">
        <f>IF(Смета!A117="Прайс",Смета!D117)</f>
        <v>5.2352339999999975</v>
      </c>
      <c r="E252" s="48" t="b">
        <f>IF(Смета!D117="Прайс",Смета!E117)</f>
        <v>0</v>
      </c>
      <c r="F252" s="48" t="b">
        <f>IF(Смета!E117="Прайс",Смета!F117)</f>
        <v>0</v>
      </c>
      <c r="G252" s="48">
        <f>IF(Смета!A117="Прайс",Смета!F117)</f>
        <v>0.6</v>
      </c>
    </row>
    <row r="253" spans="2:7" hidden="1">
      <c r="B253" s="48" t="str">
        <f>IF(Смета!A146="Прайс",Смета!B146)</f>
        <v>Дюбель-гвоздь 6*40</v>
      </c>
      <c r="C253" s="48" t="str">
        <f>IF(Смета!A146="Прайс",Смета!C146)</f>
        <v>шт.</v>
      </c>
      <c r="D253" s="48">
        <f>IF(Смета!A146="Прайс",Смета!D146)</f>
        <v>48.600000000000009</v>
      </c>
      <c r="E253" s="48" t="b">
        <f>IF(Смета!D146="Прайс",Смета!E146)</f>
        <v>0</v>
      </c>
      <c r="F253" s="48" t="b">
        <f>IF(Смета!E146="Прайс",Смета!F146)</f>
        <v>0</v>
      </c>
      <c r="G253" s="48">
        <f>IF(Смета!A146="Прайс",Смета!F146)</f>
        <v>0.6</v>
      </c>
    </row>
    <row r="254" spans="2:7" hidden="1">
      <c r="B254" s="48" t="str">
        <f>IF(Смета!A149="Прайс",Смета!B149)</f>
        <v>Дюбель-гвоздь 6*40</v>
      </c>
      <c r="C254" s="48" t="str">
        <f>IF(Смета!A149="Прайс",Смета!C149)</f>
        <v>шт.</v>
      </c>
      <c r="D254" s="48">
        <f>IF(Смета!A149="Прайс",Смета!D149)</f>
        <v>86.4</v>
      </c>
      <c r="E254" s="48" t="b">
        <f>IF(Смета!D149="Прайс",Смета!E149)</f>
        <v>0</v>
      </c>
      <c r="F254" s="48" t="b">
        <f>IF(Смета!E149="Прайс",Смета!F149)</f>
        <v>0</v>
      </c>
      <c r="G254" s="48">
        <f>IF(Смета!A149="Прайс",Смета!F149)</f>
        <v>0.6</v>
      </c>
    </row>
    <row r="255" spans="2:7" hidden="1">
      <c r="B255" s="48" t="str">
        <f>IF(Смета!A262="Прайс",Смета!B262)</f>
        <v>Дюбель-гвоздь 6*40</v>
      </c>
      <c r="C255" s="48" t="str">
        <f>IF(Смета!A262="Прайс",Смета!C262)</f>
        <v>шт.</v>
      </c>
      <c r="D255" s="48">
        <f>IF(Смета!A262="Прайс",Смета!D262)</f>
        <v>35.200000000000003</v>
      </c>
      <c r="E255" s="48" t="b">
        <f>IF(Смета!D262="Прайс",Смета!E262)</f>
        <v>0</v>
      </c>
      <c r="F255" s="48" t="b">
        <f>IF(Смета!E262="Прайс",Смета!F262)</f>
        <v>0</v>
      </c>
      <c r="G255" s="48">
        <f>IF(Смета!A262="Прайс",Смета!F262)</f>
        <v>0.6</v>
      </c>
    </row>
    <row r="256" spans="2:7" hidden="1">
      <c r="B256" s="48" t="str">
        <f>IF(Смета!A283="Прайс",Смета!B283)</f>
        <v>Дюбель-гвоздь 6*40</v>
      </c>
      <c r="C256" s="48" t="str">
        <f>IF(Смета!A283="Прайс",Смета!C283)</f>
        <v>шт.</v>
      </c>
      <c r="D256" s="48">
        <f>IF(Смета!A283="Прайс",Смета!D283)</f>
        <v>77.01918000000002</v>
      </c>
      <c r="E256" s="48" t="b">
        <f>IF(Смета!D283="Прайс",Смета!E283)</f>
        <v>0</v>
      </c>
      <c r="F256" s="48" t="b">
        <f>IF(Смета!E283="Прайс",Смета!F283)</f>
        <v>0</v>
      </c>
      <c r="G256" s="48">
        <f>IF(Смета!A283="Прайс",Смета!F283)</f>
        <v>0.6</v>
      </c>
    </row>
    <row r="257" spans="2:7" hidden="1">
      <c r="B257" s="48" t="str">
        <f>IF(Смета!A298="Прайс",Смета!B298)</f>
        <v>Дюбель-гвоздь 6*40</v>
      </c>
      <c r="C257" s="48" t="str">
        <f>IF(Смета!A298="Прайс",Смета!C298)</f>
        <v>шт.</v>
      </c>
      <c r="D257" s="48">
        <f>IF(Смета!A298="Прайс",Смета!D298)</f>
        <v>76.442800000000005</v>
      </c>
      <c r="E257" s="48" t="b">
        <f>IF(Смета!D298="Прайс",Смета!E298)</f>
        <v>0</v>
      </c>
      <c r="F257" s="48" t="b">
        <f>IF(Смета!E298="Прайс",Смета!F298)</f>
        <v>0</v>
      </c>
      <c r="G257" s="48">
        <f>IF(Смета!A298="Прайс",Смета!F298)</f>
        <v>0.6</v>
      </c>
    </row>
    <row r="258" spans="2:7" hidden="1">
      <c r="B258" s="48" t="str">
        <f>IF(Смета!A326="Прайс",Смета!B326)</f>
        <v>Дюбель-гвоздь 6*40</v>
      </c>
      <c r="C258" s="48" t="str">
        <f>IF(Смета!A326="Прайс",Смета!C326)</f>
        <v>шт.</v>
      </c>
      <c r="D258" s="48">
        <f>IF(Смета!A326="Прайс",Смета!D326)</f>
        <v>109.0215</v>
      </c>
      <c r="E258" s="48" t="b">
        <f>IF(Смета!D326="Прайс",Смета!E326)</f>
        <v>0</v>
      </c>
      <c r="F258" s="48" t="b">
        <f>IF(Смета!E326="Прайс",Смета!F326)</f>
        <v>0</v>
      </c>
      <c r="G258" s="48">
        <f>IF(Смета!A326="Прайс",Смета!F326)</f>
        <v>0.6</v>
      </c>
    </row>
    <row r="259" spans="2:7" hidden="1">
      <c r="B259" s="48" t="str">
        <f>IF(Смета!A335="Прайс",Смета!B335)</f>
        <v>Дюбель-гвоздь 6*40</v>
      </c>
      <c r="C259" s="48" t="str">
        <f>IF(Смета!A335="Прайс",Смета!C335)</f>
        <v>шт.</v>
      </c>
      <c r="D259" s="48">
        <f>IF(Смета!A335="Прайс",Смета!D335)</f>
        <v>4</v>
      </c>
      <c r="E259" s="48" t="b">
        <f>IF(Смета!D335="Прайс",Смета!E335)</f>
        <v>0</v>
      </c>
      <c r="F259" s="48" t="b">
        <f>IF(Смета!E335="Прайс",Смета!F335)</f>
        <v>0</v>
      </c>
      <c r="G259" s="48">
        <f>IF(Смета!A335="Прайс",Смета!F335)</f>
        <v>0.6</v>
      </c>
    </row>
    <row r="260" spans="2:7" hidden="1">
      <c r="B260" s="48" t="str">
        <f>IF(Смета!A346="Прайс",Смета!B346)</f>
        <v>Дюбель-гвоздь 6*40</v>
      </c>
      <c r="C260" s="48" t="str">
        <f>IF(Смета!A346="Прайс",Смета!C346)</f>
        <v>шт.</v>
      </c>
      <c r="D260" s="48">
        <f>IF(Смета!A346="Прайс",Смета!D346)</f>
        <v>400</v>
      </c>
      <c r="E260" s="48" t="b">
        <f>IF(Смета!D346="Прайс",Смета!E346)</f>
        <v>0</v>
      </c>
      <c r="F260" s="48" t="b">
        <f>IF(Смета!E346="Прайс",Смета!F346)</f>
        <v>0</v>
      </c>
      <c r="G260" s="48">
        <f>IF(Смета!A346="Прайс",Смета!F346)</f>
        <v>0.6</v>
      </c>
    </row>
    <row r="261" spans="2:7" hidden="1">
      <c r="B261" s="48" t="str">
        <f>IF(Смета!A324="Прайс",Смета!B324)</f>
        <v>Европодвес</v>
      </c>
      <c r="C261" s="48" t="str">
        <f>IF(Смета!A324="Прайс",Смета!C324)</f>
        <v>шт.</v>
      </c>
      <c r="D261" s="48">
        <f>IF(Смета!A324="Прайс",Смета!D324)</f>
        <v>24.065999999999999</v>
      </c>
      <c r="E261" s="48" t="b">
        <f>IF(Смета!D324="Прайс",Смета!E324)</f>
        <v>0</v>
      </c>
      <c r="F261" s="48" t="b">
        <f>IF(Смета!E324="Прайс",Смета!F324)</f>
        <v>0</v>
      </c>
      <c r="G261" s="48">
        <f>IF(Смета!A324="Прайс",Смета!F324)</f>
        <v>8.5</v>
      </c>
    </row>
    <row r="262" spans="2:7" hidden="1">
      <c r="B262" s="48" t="str">
        <f>IF(Смета!A259="Прайс",Смета!B259)</f>
        <v>Заглушка, торцевая, для плинтуса лев.</v>
      </c>
      <c r="C262" s="48" t="str">
        <f>IF(Смета!A259="Прайс",Смета!C259)</f>
        <v>шт.</v>
      </c>
      <c r="D262" s="48">
        <f>IF(Смета!A259="Прайс",Смета!D259)</f>
        <v>1</v>
      </c>
      <c r="E262" s="48" t="b">
        <f>IF(Смета!D259="Прайс",Смета!E259)</f>
        <v>0</v>
      </c>
      <c r="F262" s="48" t="b">
        <f>IF(Смета!E259="Прайс",Смета!F259)</f>
        <v>0</v>
      </c>
      <c r="G262" s="48">
        <f>IF(Смета!A259="Прайс",Смета!F259)</f>
        <v>7.2</v>
      </c>
    </row>
    <row r="263" spans="2:7" hidden="1">
      <c r="B263" s="48" t="str">
        <f>IF(Смета!A258="Прайс",Смета!B258)</f>
        <v>Заглушка, торцевая, для плинтуса прав.</v>
      </c>
      <c r="C263" s="48" t="str">
        <f>IF(Смета!A258="Прайс",Смета!C258)</f>
        <v>шт.</v>
      </c>
      <c r="D263" s="48">
        <f>IF(Смета!A258="Прайс",Смета!D258)</f>
        <v>1</v>
      </c>
      <c r="E263" s="48" t="b">
        <f>IF(Смета!D258="Прайс",Смета!E258)</f>
        <v>0</v>
      </c>
      <c r="F263" s="48" t="b">
        <f>IF(Смета!E258="Прайс",Смета!F258)</f>
        <v>0</v>
      </c>
      <c r="G263" s="48">
        <f>IF(Смета!A258="Прайс",Смета!F258)</f>
        <v>7.2</v>
      </c>
    </row>
    <row r="264" spans="2:7" hidden="1">
      <c r="B264" s="48" t="str">
        <f>IF(Смета!A156="Прайс",Смета!B156)</f>
        <v>Заглушка, торцевая, для подоконника</v>
      </c>
      <c r="C264" s="48" t="str">
        <f>IF(Смета!A156="Прайс",Смета!C156)</f>
        <v>шт.</v>
      </c>
      <c r="D264" s="48">
        <f>IF(Смета!A156="Прайс",Смета!D156)</f>
        <v>3</v>
      </c>
      <c r="E264" s="48" t="b">
        <f>IF(Смета!D156="Прайс",Смета!E156)</f>
        <v>0</v>
      </c>
      <c r="F264" s="48" t="b">
        <f>IF(Смета!E156="Прайс",Смета!F156)</f>
        <v>0</v>
      </c>
      <c r="G264" s="48">
        <f>IF(Смета!A156="Прайс",Смета!F156)</f>
        <v>34</v>
      </c>
    </row>
    <row r="265" spans="2:7" hidden="1">
      <c r="B265" s="48" t="str">
        <f>IF(Смета!A184="Прайс",Смета!B184)</f>
        <v>Затирка для швов (цвет уточнить)</v>
      </c>
      <c r="C265" s="48" t="str">
        <f>IF(Смета!A184="Прайс",Смета!C184)</f>
        <v>кг</v>
      </c>
      <c r="D265" s="48">
        <f>IF(Смета!A184="Прайс",Смета!D184)</f>
        <v>12.89</v>
      </c>
      <c r="E265" s="48" t="b">
        <f>IF(Смета!D184="Прайс",Смета!E184)</f>
        <v>0</v>
      </c>
      <c r="F265" s="48" t="b">
        <f>IF(Смета!E184="Прайс",Смета!F184)</f>
        <v>0</v>
      </c>
      <c r="G265" s="48">
        <f>IF(Смета!A184="Прайс",Смета!F184)</f>
        <v>63.4</v>
      </c>
    </row>
    <row r="266" spans="2:7" hidden="1">
      <c r="B266" s="48" t="str">
        <f>IF(Смета!A190="Прайс",Смета!B190)</f>
        <v>Затирка для швов (цвет уточнить)</v>
      </c>
      <c r="C266" s="48" t="str">
        <f>IF(Смета!A190="Прайс",Смета!C190)</f>
        <v>кг</v>
      </c>
      <c r="D266" s="48">
        <f>IF(Смета!A190="Прайс",Смета!D190)</f>
        <v>12.074999999999999</v>
      </c>
      <c r="E266" s="48" t="b">
        <f>IF(Смета!D190="Прайс",Смета!E190)</f>
        <v>0</v>
      </c>
      <c r="F266" s="48" t="b">
        <f>IF(Смета!E190="Прайс",Смета!F190)</f>
        <v>0</v>
      </c>
      <c r="G266" s="48">
        <f>IF(Смета!A190="Прайс",Смета!F190)</f>
        <v>63.4</v>
      </c>
    </row>
    <row r="267" spans="2:7" hidden="1">
      <c r="B267" s="48" t="str">
        <f>IF(Смета!A238="Прайс",Смета!B238)</f>
        <v>Затирка для швов (цвет уточнить)</v>
      </c>
      <c r="C267" s="48" t="str">
        <f>IF(Смета!A238="Прайс",Смета!C238)</f>
        <v>кг</v>
      </c>
      <c r="D267" s="48">
        <f>IF(Смета!A238="Прайс",Смета!D238)</f>
        <v>38.734999999999999</v>
      </c>
      <c r="E267" s="48" t="b">
        <f>IF(Смета!D238="Прайс",Смета!E238)</f>
        <v>0</v>
      </c>
      <c r="F267" s="48" t="b">
        <f>IF(Смета!E238="Прайс",Смета!F238)</f>
        <v>0</v>
      </c>
      <c r="G267" s="48">
        <f>IF(Смета!A238="Прайс",Смета!F238)</f>
        <v>63.4</v>
      </c>
    </row>
    <row r="268" spans="2:7" hidden="1">
      <c r="B268" s="48" t="str">
        <f>IF(Смета!A247="Прайс",Смета!B247)</f>
        <v>Затирка для швов (цвет уточнить)</v>
      </c>
      <c r="C268" s="48" t="str">
        <f>IF(Смета!A247="Прайс",Смета!C247)</f>
        <v>кг</v>
      </c>
      <c r="D268" s="48">
        <f>IF(Смета!A247="Прайс",Смета!D247)</f>
        <v>5.5250000000000004</v>
      </c>
      <c r="E268" s="48" t="b">
        <f>IF(Смета!D247="Прайс",Смета!E247)</f>
        <v>0</v>
      </c>
      <c r="F268" s="48" t="b">
        <f>IF(Смета!E247="Прайс",Смета!F247)</f>
        <v>0</v>
      </c>
      <c r="G268" s="48">
        <f>IF(Смета!A247="Прайс",Смета!F247)</f>
        <v>63.4</v>
      </c>
    </row>
    <row r="269" spans="2:7" hidden="1">
      <c r="B269" s="48" t="str">
        <f>IF(Смета!A267="Прайс",Смета!B267)</f>
        <v>Затирка для швов (цвет уточнить)</v>
      </c>
      <c r="C269" s="48" t="str">
        <f>IF(Смета!A267="Прайс",Смета!C267)</f>
        <v>кг</v>
      </c>
      <c r="D269" s="48">
        <f>IF(Смета!A267="Прайс",Смета!D267)</f>
        <v>0.58100000000000007</v>
      </c>
      <c r="E269" s="48" t="b">
        <f>IF(Смета!D267="Прайс",Смета!E267)</f>
        <v>0</v>
      </c>
      <c r="F269" s="48" t="b">
        <f>IF(Смета!E267="Прайс",Смета!F267)</f>
        <v>0</v>
      </c>
      <c r="G269" s="48">
        <f>IF(Смета!A267="Прайс",Смета!F267)</f>
        <v>63.4</v>
      </c>
    </row>
    <row r="270" spans="2:7" hidden="1">
      <c r="B270" s="48" t="str">
        <f>IF(Смета!A272="Прайс",Смета!B272)</f>
        <v>Затирка для швов (цвет уточнить)</v>
      </c>
      <c r="C270" s="48" t="str">
        <f>IF(Смета!A272="Прайс",Смета!C272)</f>
        <v>кг</v>
      </c>
      <c r="D270" s="48">
        <f>IF(Смета!A272="Прайс",Смета!D272)</f>
        <v>3.8805000000000001</v>
      </c>
      <c r="E270" s="48" t="b">
        <f>IF(Смета!D272="Прайс",Смета!E272)</f>
        <v>0</v>
      </c>
      <c r="F270" s="48" t="b">
        <f>IF(Смета!E272="Прайс",Смета!F272)</f>
        <v>0</v>
      </c>
      <c r="G270" s="48">
        <f>IF(Смета!A272="Прайс",Смета!F272)</f>
        <v>63.4</v>
      </c>
    </row>
    <row r="271" spans="2:7" hidden="1">
      <c r="B271" s="48" t="str">
        <f>IF(Смета!A351="Прайс",Смета!B351)</f>
        <v>Кабель ВВГ нг 3*1,5</v>
      </c>
      <c r="C271" s="48" t="str">
        <f>IF(Смета!A351="Прайс",Смета!C351)</f>
        <v>м.п.</v>
      </c>
      <c r="D271" s="48">
        <f>IF(Смета!A351="Прайс",Смета!D351)</f>
        <v>178.5</v>
      </c>
      <c r="E271" s="48" t="b">
        <f>IF(Смета!D351="Прайс",Смета!E351)</f>
        <v>0</v>
      </c>
      <c r="F271" s="48" t="b">
        <f>IF(Смета!E351="Прайс",Смета!F351)</f>
        <v>0</v>
      </c>
      <c r="G271" s="48">
        <f>IF(Смета!A351="Прайс",Смета!F351)</f>
        <v>23.638999999999999</v>
      </c>
    </row>
    <row r="272" spans="2:7" hidden="1">
      <c r="B272" s="48" t="str">
        <f>IF(Смета!A352="Прайс",Смета!B352)</f>
        <v>Кабель ВВГнг 3*2,5</v>
      </c>
      <c r="C272" s="48" t="str">
        <f>IF(Смета!A352="Прайс",Смета!C352)</f>
        <v>м.п.</v>
      </c>
      <c r="D272" s="48">
        <f>IF(Смета!A352="Прайс",Смета!D352)</f>
        <v>218</v>
      </c>
      <c r="E272" s="48" t="b">
        <f>IF(Смета!D352="Прайс",Смета!E352)</f>
        <v>0</v>
      </c>
      <c r="F272" s="48" t="b">
        <f>IF(Смета!E352="Прайс",Смета!F352)</f>
        <v>0</v>
      </c>
      <c r="G272" s="48">
        <f>IF(Смета!A352="Прайс",Смета!F352)</f>
        <v>37.884</v>
      </c>
    </row>
    <row r="273" spans="2:7" hidden="1">
      <c r="B273" s="48" t="str">
        <f>IF(Смета!A353="Прайс",Смета!B353)</f>
        <v>Кабель ВВГнг 5*2,6</v>
      </c>
      <c r="C273" s="48" t="str">
        <f>IF(Смета!A353="Прайс",Смета!C353)</f>
        <v>м.п.</v>
      </c>
      <c r="D273" s="48">
        <f>IF(Смета!A353="Прайс",Смета!D353)</f>
        <v>36.75</v>
      </c>
      <c r="E273" s="48" t="b">
        <f>IF(Смета!D353="Прайс",Смета!E353)</f>
        <v>0</v>
      </c>
      <c r="F273" s="48" t="b">
        <f>IF(Смета!E353="Прайс",Смета!F353)</f>
        <v>0</v>
      </c>
      <c r="G273" s="48">
        <f>IF(Смета!A353="Прайс",Смета!F353)</f>
        <v>65.208000000000013</v>
      </c>
    </row>
    <row r="274" spans="2:7" hidden="1">
      <c r="B274" s="48" t="str">
        <f>IF(Смета!A355="Прайс",Смета!B355)</f>
        <v>Кабель силовой ВВГнг 5*6</v>
      </c>
      <c r="C274" s="48" t="str">
        <f>IF(Смета!A355="Прайс",Смета!C355)</f>
        <v>м.п.</v>
      </c>
      <c r="D274" s="48">
        <f>IF(Смета!A355="Прайс",Смета!D355)</f>
        <v>52.5</v>
      </c>
      <c r="E274" s="48" t="b">
        <f>IF(Смета!D355="Прайс",Смета!E355)</f>
        <v>0</v>
      </c>
      <c r="F274" s="48" t="b">
        <f>IF(Смета!E355="Прайс",Смета!F355)</f>
        <v>0</v>
      </c>
      <c r="G274" s="48">
        <f>IF(Смета!A355="Прайс",Смета!F355)</f>
        <v>157.751</v>
      </c>
    </row>
    <row r="275" spans="2:7" hidden="1">
      <c r="B275" s="48" t="str">
        <f>IF(Смета!A45="Прайс",Смета!B45)</f>
        <v>Кирпич керамический</v>
      </c>
      <c r="C275" s="48" t="str">
        <f>IF(Смета!A45="Прайс",Смета!C45)</f>
        <v>шт.</v>
      </c>
      <c r="D275" s="48">
        <f>IF(Смета!A45="Прайс",Смета!D45)</f>
        <v>57.330000000000005</v>
      </c>
      <c r="E275" s="48" t="b">
        <f>IF(Смета!D45="Прайс",Смета!E45)</f>
        <v>0</v>
      </c>
      <c r="F275" s="48" t="b">
        <f>IF(Смета!E45="Прайс",Смета!F45)</f>
        <v>0</v>
      </c>
      <c r="G275" s="48">
        <f>IF(Смета!A45="Прайс",Смета!F45)</f>
        <v>12.5</v>
      </c>
    </row>
    <row r="276" spans="2:7" hidden="1">
      <c r="B276" s="48" t="str">
        <f>IF(Смета!A50="Прайс",Смета!B50)</f>
        <v>Кирпич керамический</v>
      </c>
      <c r="C276" s="48" t="str">
        <f>IF(Смета!A50="Прайс",Смета!C50)</f>
        <v>шт.</v>
      </c>
      <c r="D276" s="48">
        <f>IF(Смета!A50="Прайс",Смета!D50)</f>
        <v>293.31120000000004</v>
      </c>
      <c r="E276" s="48" t="b">
        <f>IF(Смета!D50="Прайс",Смета!E50)</f>
        <v>0</v>
      </c>
      <c r="F276" s="48" t="b">
        <f>IF(Смета!E50="Прайс",Смета!F50)</f>
        <v>0</v>
      </c>
      <c r="G276" s="48">
        <f>IF(Смета!A50="Прайс",Смета!F50)</f>
        <v>12.5</v>
      </c>
    </row>
    <row r="277" spans="2:7" hidden="1">
      <c r="B277" s="48" t="str">
        <f>IF(Смета!A54="Прайс",Смета!B54)</f>
        <v>Кирпич керамический</v>
      </c>
      <c r="C277" s="48" t="str">
        <f>IF(Смета!A54="Прайс",Смета!C54)</f>
        <v>шт.</v>
      </c>
      <c r="D277" s="48">
        <f>IF(Смета!A54="Прайс",Смета!D54)</f>
        <v>77.699999999999989</v>
      </c>
      <c r="E277" s="48" t="b">
        <f>IF(Смета!D54="Прайс",Смета!E54)</f>
        <v>0</v>
      </c>
      <c r="F277" s="48" t="b">
        <f>IF(Смета!E54="Прайс",Смета!F54)</f>
        <v>0</v>
      </c>
      <c r="G277" s="48">
        <f>IF(Смета!A54="Прайс",Смета!F54)</f>
        <v>12.5</v>
      </c>
    </row>
    <row r="278" spans="2:7" hidden="1">
      <c r="B278" s="48" t="str">
        <f>IF(Смета!A252="Прайс",Смета!B252)</f>
        <v>Клей для линолеума</v>
      </c>
      <c r="C278" s="48" t="str">
        <f>IF(Смета!A252="Прайс",Смета!C252)</f>
        <v>кг</v>
      </c>
      <c r="D278" s="48">
        <f>IF(Смета!A252="Прайс",Смета!D252)</f>
        <v>3.1779000000000006</v>
      </c>
      <c r="E278" s="48" t="b">
        <f>IF(Смета!D252="Прайс",Смета!E252)</f>
        <v>0</v>
      </c>
      <c r="F278" s="48" t="b">
        <f>IF(Смета!E252="Прайс",Смета!F252)</f>
        <v>0</v>
      </c>
      <c r="G278" s="48">
        <f>IF(Смета!A252="Прайс",Смета!F252)</f>
        <v>119.07</v>
      </c>
    </row>
    <row r="279" spans="2:7" hidden="1">
      <c r="B279" s="48" t="str">
        <f>IF(Смета!A192="Прайс",Смета!B192)</f>
        <v>Клей для мрамора WEBER.KOL PROFI</v>
      </c>
      <c r="C279" s="48" t="str">
        <f>IF(Смета!A192="Прайс",Смета!C192)</f>
        <v>кг</v>
      </c>
      <c r="D279" s="48">
        <f>IF(Смета!A192="Прайс",Смета!D192)</f>
        <v>57.036000000000008</v>
      </c>
      <c r="E279" s="48" t="b">
        <f>IF(Смета!D192="Прайс",Смета!E192)</f>
        <v>0</v>
      </c>
      <c r="F279" s="48" t="b">
        <f>IF(Смета!E192="Прайс",Смета!F192)</f>
        <v>0</v>
      </c>
      <c r="G279" s="48">
        <f>IF(Смета!A192="Прайс",Смета!F192)</f>
        <v>24</v>
      </c>
    </row>
    <row r="280" spans="2:7" hidden="1">
      <c r="B280" s="48" t="str">
        <f>IF(Смета!A211="Прайс",Смета!B211)</f>
        <v>Клей для обоев</v>
      </c>
      <c r="C280" s="48" t="str">
        <f>IF(Смета!A211="Прайс",Смета!C211)</f>
        <v>кг</v>
      </c>
      <c r="D280" s="48">
        <f>IF(Смета!A211="Прайс",Смета!D211)</f>
        <v>0.8176000000000001</v>
      </c>
      <c r="E280" s="48" t="b">
        <f>IF(Смета!D211="Прайс",Смета!E211)</f>
        <v>0</v>
      </c>
      <c r="F280" s="48" t="b">
        <f>IF(Смета!E211="Прайс",Смета!F211)</f>
        <v>0</v>
      </c>
      <c r="G280" s="48">
        <f>IF(Смета!A211="Прайс",Смета!F211)</f>
        <v>310</v>
      </c>
    </row>
    <row r="281" spans="2:7" hidden="1">
      <c r="B281" s="48" t="str">
        <f>IF(Смета!A158="Прайс",Смета!B158)</f>
        <v>Клей жидкие гвозди</v>
      </c>
      <c r="C281" s="48" t="str">
        <f>IF(Смета!A158="Прайс",Смета!C158)</f>
        <v>бал.</v>
      </c>
      <c r="D281" s="48">
        <f>IF(Смета!A158="Прайс",Смета!D158)</f>
        <v>2.9430000000000001</v>
      </c>
      <c r="E281" s="48" t="b">
        <f>IF(Смета!D158="Прайс",Смета!E158)</f>
        <v>0</v>
      </c>
      <c r="F281" s="48" t="b">
        <f>IF(Смета!E158="Прайс",Смета!F158)</f>
        <v>0</v>
      </c>
      <c r="G281" s="48">
        <f>IF(Смета!A158="Прайс",Смета!F158)</f>
        <v>210</v>
      </c>
    </row>
    <row r="282" spans="2:7" hidden="1">
      <c r="B282" s="48" t="str">
        <f>IF(Смета!A200="Прайс",Смета!B200)</f>
        <v>Клей жидкие гвозди</v>
      </c>
      <c r="C282" s="48" t="str">
        <f>IF(Смета!A200="Прайс",Смета!C200)</f>
        <v>бал.</v>
      </c>
      <c r="D282" s="48">
        <f>IF(Смета!A200="Прайс",Смета!D200)</f>
        <v>3.6247499999999997</v>
      </c>
      <c r="E282" s="48" t="b">
        <f>IF(Смета!D200="Прайс",Смета!E200)</f>
        <v>0</v>
      </c>
      <c r="F282" s="48" t="b">
        <f>IF(Смета!E200="Прайс",Смета!F200)</f>
        <v>0</v>
      </c>
      <c r="G282" s="48">
        <f>IF(Смета!A200="Прайс",Смета!F200)</f>
        <v>210</v>
      </c>
    </row>
    <row r="283" spans="2:7" hidden="1">
      <c r="B283" s="48" t="str">
        <f>IF(Смета!A167="Прайс",Смета!B167)</f>
        <v>Клей Перлфикс</v>
      </c>
      <c r="C283" s="48" t="str">
        <f>IF(Смета!A167="Прайс",Смета!C167)</f>
        <v>кг</v>
      </c>
      <c r="D283" s="48">
        <f>IF(Смета!A167="Прайс",Смета!D167)</f>
        <v>43.084125</v>
      </c>
      <c r="E283" s="48" t="b">
        <f>IF(Смета!D167="Прайс",Смета!E167)</f>
        <v>0</v>
      </c>
      <c r="F283" s="48" t="b">
        <f>IF(Смета!E167="Прайс",Смета!F167)</f>
        <v>0</v>
      </c>
      <c r="G283" s="48">
        <f>IF(Смета!A167="Прайс",Смета!F167)</f>
        <v>11.17</v>
      </c>
    </row>
    <row r="284" spans="2:7" hidden="1">
      <c r="B284" s="48" t="str">
        <f>IF(Смета!A180="Прайс",Смета!B180)</f>
        <v>Клей плиточный</v>
      </c>
      <c r="C284" s="48" t="str">
        <f>IF(Смета!A180="Прайс",Смета!C180)</f>
        <v>тн.</v>
      </c>
      <c r="D284" s="48">
        <f>IF(Смета!A180="Прайс",Смета!D180)</f>
        <v>0.25780000000000003</v>
      </c>
      <c r="E284" s="48" t="b">
        <f>IF(Смета!D180="Прайс",Смета!E180)</f>
        <v>0</v>
      </c>
      <c r="F284" s="48" t="b">
        <f>IF(Смета!E180="Прайс",Смета!F180)</f>
        <v>0</v>
      </c>
      <c r="G284" s="48">
        <f>IF(Смета!A180="Прайс",Смета!F180)</f>
        <v>10680</v>
      </c>
    </row>
    <row r="285" spans="2:7" hidden="1">
      <c r="B285" s="48" t="str">
        <f>IF(Смета!A186="Прайс",Смета!B186)</f>
        <v>Клей плиточный</v>
      </c>
      <c r="C285" s="48" t="str">
        <f>IF(Смета!A186="Прайс",Смета!C186)</f>
        <v>тн.</v>
      </c>
      <c r="D285" s="48">
        <f>IF(Смета!A186="Прайс",Смета!D186)</f>
        <v>0.24149999999999999</v>
      </c>
      <c r="E285" s="48" t="b">
        <f>IF(Смета!D186="Прайс",Смета!E186)</f>
        <v>0</v>
      </c>
      <c r="F285" s="48" t="b">
        <f>IF(Смета!E186="Прайс",Смета!F186)</f>
        <v>0</v>
      </c>
      <c r="G285" s="48">
        <f>IF(Смета!A186="Прайс",Смета!F186)</f>
        <v>10680</v>
      </c>
    </row>
    <row r="286" spans="2:7" hidden="1">
      <c r="B286" s="48" t="str">
        <f>IF(Смета!A234="Прайс",Смета!B234)</f>
        <v>Клей плиточный</v>
      </c>
      <c r="C286" s="48" t="str">
        <f>IF(Смета!A234="Прайс",Смета!C234)</f>
        <v>тн.</v>
      </c>
      <c r="D286" s="48">
        <f>IF(Смета!A234="Прайс",Смета!D234)</f>
        <v>0.77470000000000006</v>
      </c>
      <c r="E286" s="48" t="b">
        <f>IF(Смета!D234="Прайс",Смета!E234)</f>
        <v>0</v>
      </c>
      <c r="F286" s="48" t="b">
        <f>IF(Смета!E234="Прайс",Смета!F234)</f>
        <v>0</v>
      </c>
      <c r="G286" s="48">
        <f>IF(Смета!A234="Прайс",Смета!F234)</f>
        <v>10680</v>
      </c>
    </row>
    <row r="287" spans="2:7" hidden="1">
      <c r="B287" s="48" t="str">
        <f>IF(Смета!A243="Прайс",Смета!B243)</f>
        <v>Клей плиточный</v>
      </c>
      <c r="C287" s="48" t="str">
        <f>IF(Смета!A243="Прайс",Смета!C243)</f>
        <v>тн.</v>
      </c>
      <c r="D287" s="48">
        <f>IF(Смета!A243="Прайс",Смета!D243)</f>
        <v>0.11050000000000001</v>
      </c>
      <c r="E287" s="48" t="b">
        <f>IF(Смета!D243="Прайс",Смета!E243)</f>
        <v>0</v>
      </c>
      <c r="F287" s="48" t="b">
        <f>IF(Смета!E243="Прайс",Смета!F243)</f>
        <v>0</v>
      </c>
      <c r="G287" s="48">
        <f>IF(Смета!A243="Прайс",Смета!F243)</f>
        <v>10680</v>
      </c>
    </row>
    <row r="288" spans="2:7" hidden="1">
      <c r="B288" s="48" t="str">
        <f>IF(Смета!A264="Прайс",Смета!B264)</f>
        <v>Клей плиточный</v>
      </c>
      <c r="C288" s="48" t="str">
        <f>IF(Смета!A264="Прайс",Смета!C264)</f>
        <v>тн.</v>
      </c>
      <c r="D288" s="48">
        <f>IF(Смета!A264="Прайс",Смета!D264)</f>
        <v>2.3240000000000004E-2</v>
      </c>
      <c r="E288" s="48" t="b">
        <f>IF(Смета!D264="Прайс",Смета!E264)</f>
        <v>0</v>
      </c>
      <c r="F288" s="48" t="b">
        <f>IF(Смета!E264="Прайс",Смета!F264)</f>
        <v>0</v>
      </c>
      <c r="G288" s="48">
        <f>IF(Смета!A264="Прайс",Смета!F264)</f>
        <v>10680</v>
      </c>
    </row>
    <row r="289" spans="2:7" hidden="1">
      <c r="B289" s="48" t="str">
        <f>IF(Смета!A269="Прайс",Смета!B269)</f>
        <v>Клей плиточный</v>
      </c>
      <c r="C289" s="48" t="str">
        <f>IF(Смета!A269="Прайс",Смета!C269)</f>
        <v>тн.</v>
      </c>
      <c r="D289" s="48">
        <f>IF(Смета!A269="Прайс",Смета!D269)</f>
        <v>0.15522</v>
      </c>
      <c r="E289" s="48" t="b">
        <f>IF(Смета!D269="Прайс",Смета!E269)</f>
        <v>0</v>
      </c>
      <c r="F289" s="48" t="b">
        <f>IF(Смета!E269="Прайс",Смета!F269)</f>
        <v>0</v>
      </c>
      <c r="G289" s="48">
        <f>IF(Смета!A269="Прайс",Смета!F269)</f>
        <v>10680</v>
      </c>
    </row>
    <row r="290" spans="2:7" hidden="1">
      <c r="B290" s="48" t="str">
        <f>IF(Смета!A214="Прайс",Смета!B214)</f>
        <v>Краска Symphony EURO-Balance 12 (Цвета уточнить)</v>
      </c>
      <c r="C290" s="48" t="str">
        <f>IF(Смета!A214="Прайс",Смета!C214)</f>
        <v>л.</v>
      </c>
      <c r="D290" s="48">
        <f>IF(Смета!A214="Прайс",Смета!D214)</f>
        <v>140.2885575</v>
      </c>
      <c r="E290" s="48" t="b">
        <f>IF(Смета!D214="Прайс",Смета!E214)</f>
        <v>0</v>
      </c>
      <c r="F290" s="48" t="b">
        <f>IF(Смета!E214="Прайс",Смета!F214)</f>
        <v>0</v>
      </c>
      <c r="G290" s="48">
        <f>IF(Смета!A214="Прайс",Смета!F214)</f>
        <v>339.62</v>
      </c>
    </row>
    <row r="291" spans="2:7" hidden="1">
      <c r="B291" s="48" t="str">
        <f>IF(Смета!A318="Прайс",Смета!B318)</f>
        <v>Краска Symphony EURO-Balance 12 (Цвета уточнить)</v>
      </c>
      <c r="C291" s="48" t="str">
        <f>IF(Смета!A318="Прайс",Смета!C318)</f>
        <v>л.</v>
      </c>
      <c r="D291" s="48">
        <f>IF(Смета!A318="Прайс",Смета!D318)</f>
        <v>19.247760000000003</v>
      </c>
      <c r="E291" s="48" t="b">
        <f>IF(Смета!D318="Прайс",Смета!E318)</f>
        <v>0</v>
      </c>
      <c r="F291" s="48" t="b">
        <f>IF(Смета!E318="Прайс",Смета!F318)</f>
        <v>0</v>
      </c>
      <c r="G291" s="48">
        <f>IF(Смета!A318="Прайс",Смета!F318)</f>
        <v>339.62</v>
      </c>
    </row>
    <row r="292" spans="2:7" hidden="1">
      <c r="B292" s="48" t="str">
        <f>IF(Смета!A183="Прайс",Смета!B183)</f>
        <v>Крестики для плитки</v>
      </c>
      <c r="C292" s="48" t="str">
        <f>IF(Смета!A183="Прайс",Смета!C183)</f>
        <v>шт.</v>
      </c>
      <c r="D292" s="48">
        <f>IF(Смета!A183="Прайс",Смета!D183)</f>
        <v>386.70000000000005</v>
      </c>
      <c r="E292" s="48" t="b">
        <f>IF(Смета!D183="Прайс",Смета!E183)</f>
        <v>0</v>
      </c>
      <c r="F292" s="48" t="b">
        <f>IF(Смета!E183="Прайс",Смета!F183)</f>
        <v>0</v>
      </c>
      <c r="G292" s="48">
        <f>IF(Смета!A183="Прайс",Смета!F183)</f>
        <v>0.1</v>
      </c>
    </row>
    <row r="293" spans="2:7" hidden="1">
      <c r="B293" s="48" t="str">
        <f>IF(Смета!A189="Прайс",Смета!B189)</f>
        <v>Крестики для плитки</v>
      </c>
      <c r="C293" s="48" t="str">
        <f>IF(Смета!A189="Прайс",Смета!C189)</f>
        <v>шт.</v>
      </c>
      <c r="D293" s="48">
        <f>IF(Смета!A189="Прайс",Смета!D189)</f>
        <v>362.25</v>
      </c>
      <c r="E293" s="48" t="b">
        <f>IF(Смета!D189="Прайс",Смета!E189)</f>
        <v>0</v>
      </c>
      <c r="F293" s="48" t="b">
        <f>IF(Смета!E189="Прайс",Смета!F189)</f>
        <v>0</v>
      </c>
      <c r="G293" s="48">
        <f>IF(Смета!A189="Прайс",Смета!F189)</f>
        <v>0.1</v>
      </c>
    </row>
    <row r="294" spans="2:7" hidden="1">
      <c r="B294" s="48" t="str">
        <f>IF(Смета!A237="Прайс",Смета!B237)</f>
        <v>Крестики для плитки</v>
      </c>
      <c r="C294" s="48" t="str">
        <f>IF(Смета!A237="Прайс",Смета!C237)</f>
        <v>шт.</v>
      </c>
      <c r="D294" s="48">
        <f>IF(Смета!A237="Прайс",Смета!D237)</f>
        <v>1162.05</v>
      </c>
      <c r="E294" s="48" t="b">
        <f>IF(Смета!D237="Прайс",Смета!E237)</f>
        <v>0</v>
      </c>
      <c r="F294" s="48" t="b">
        <f>IF(Смета!E237="Прайс",Смета!F237)</f>
        <v>0</v>
      </c>
      <c r="G294" s="48">
        <f>IF(Смета!A237="Прайс",Смета!F237)</f>
        <v>0.1</v>
      </c>
    </row>
    <row r="295" spans="2:7" hidden="1">
      <c r="B295" s="48" t="str">
        <f>IF(Смета!A246="Прайс",Смета!B246)</f>
        <v>Крестики для плитки</v>
      </c>
      <c r="C295" s="48" t="str">
        <f>IF(Смета!A246="Прайс",Смета!C246)</f>
        <v>шт.</v>
      </c>
      <c r="D295" s="48">
        <f>IF(Смета!A246="Прайс",Смета!D246)</f>
        <v>165.75</v>
      </c>
      <c r="E295" s="48" t="b">
        <f>IF(Смета!D246="Прайс",Смета!E246)</f>
        <v>0</v>
      </c>
      <c r="F295" s="48" t="b">
        <f>IF(Смета!E246="Прайс",Смета!F246)</f>
        <v>0</v>
      </c>
      <c r="G295" s="48">
        <f>IF(Смета!A246="Прайс",Смета!F246)</f>
        <v>0.1</v>
      </c>
    </row>
    <row r="296" spans="2:7" hidden="1">
      <c r="B296" s="48" t="str">
        <f>IF(Смета!A373="Прайс",Смета!B373)</f>
        <v>Лампа Osram 18Вт.</v>
      </c>
      <c r="C296" s="48" t="str">
        <f>IF(Смета!A373="Прайс",Смета!C373)</f>
        <v>шт.</v>
      </c>
      <c r="D296" s="48">
        <f>IF(Смета!A373="Прайс",Смета!D373)</f>
        <v>74.800000000000011</v>
      </c>
      <c r="E296" s="48" t="b">
        <f>IF(Смета!D373="Прайс",Смета!E373)</f>
        <v>0</v>
      </c>
      <c r="F296" s="48" t="b">
        <f>IF(Смета!E373="Прайс",Смета!F373)</f>
        <v>0</v>
      </c>
      <c r="G296" s="48">
        <f>IF(Смета!A373="Прайс",Смета!F373)</f>
        <v>41.183999999999997</v>
      </c>
    </row>
    <row r="297" spans="2:7" hidden="1">
      <c r="B297" s="48" t="str">
        <f>IF(Смета!A251="Прайс",Смета!B251)</f>
        <v>Линолеум п/коммерческий Tarkket</v>
      </c>
      <c r="C297" s="48" t="str">
        <f>IF(Смета!A251="Прайс",Смета!C251)</f>
        <v>м2</v>
      </c>
      <c r="D297" s="48">
        <f>IF(Смета!A251="Прайс",Смета!D251)</f>
        <v>6.3558000000000012</v>
      </c>
      <c r="E297" s="48" t="b">
        <f>IF(Смета!D251="Прайс",Смета!E251)</f>
        <v>0</v>
      </c>
      <c r="F297" s="48" t="b">
        <f>IF(Смета!E251="Прайс",Смета!F251)</f>
        <v>0</v>
      </c>
      <c r="G297" s="48">
        <f>IF(Смета!A251="Прайс",Смета!F251)</f>
        <v>532</v>
      </c>
    </row>
    <row r="298" spans="2:7" hidden="1">
      <c r="B298" s="48" t="str">
        <f>IF(Смета!A348="Прайс",Смета!B348)</f>
        <v>Лоток перфорированный 60*150*3000</v>
      </c>
      <c r="C298" s="48" t="str">
        <f>IF(Смета!A348="Прайс",Смета!C348)</f>
        <v>м.п.</v>
      </c>
      <c r="D298" s="48">
        <f>IF(Смета!A348="Прайс",Смета!D348)</f>
        <v>10.35</v>
      </c>
      <c r="E298" s="48" t="b">
        <f>IF(Смета!D348="Прайс",Смета!E348)</f>
        <v>0</v>
      </c>
      <c r="F298" s="48" t="b">
        <f>IF(Смета!E348="Прайс",Смета!F348)</f>
        <v>0</v>
      </c>
      <c r="G298" s="48">
        <f>IF(Смета!A348="Прайс",Смета!F348)</f>
        <v>242.88000000000002</v>
      </c>
    </row>
    <row r="299" spans="2:7" hidden="1">
      <c r="B299" s="48" t="str">
        <f>IF(Смета!A249="Прайс",Смета!B249)</f>
        <v>Наливной пол</v>
      </c>
      <c r="C299" s="48" t="str">
        <f>IF(Смета!A249="Прайс",Смета!C249)</f>
        <v>кг</v>
      </c>
      <c r="D299" s="48">
        <f>IF(Смета!A249="Прайс",Смета!D249)</f>
        <v>100.98</v>
      </c>
      <c r="E299" s="48" t="b">
        <f>IF(Смета!D249="Прайс",Смета!E249)</f>
        <v>0</v>
      </c>
      <c r="F299" s="48" t="b">
        <f>IF(Смета!E249="Прайс",Смета!F249)</f>
        <v>0</v>
      </c>
      <c r="G299" s="48">
        <f>IF(Смета!A249="Прайс",Смета!F249)</f>
        <v>15.36</v>
      </c>
    </row>
    <row r="300" spans="2:7" hidden="1">
      <c r="B300" s="48" t="str">
        <f>IF(Смета!A148="Прайс",Смета!B148)</f>
        <v>Наличник деревянный</v>
      </c>
      <c r="C300" s="48" t="str">
        <f>IF(Смета!A148="Прайс",Смета!C148)</f>
        <v>м.п.</v>
      </c>
      <c r="D300" s="48">
        <f>IF(Смета!A148="Прайс",Смета!D148)</f>
        <v>46.224000000000004</v>
      </c>
      <c r="E300" s="48" t="b">
        <f>IF(Смета!D148="Прайс",Смета!E148)</f>
        <v>0</v>
      </c>
      <c r="F300" s="48" t="b">
        <f>IF(Смета!E148="Прайс",Смета!F148)</f>
        <v>0</v>
      </c>
      <c r="G300" s="48">
        <f>IF(Смета!A148="Прайс",Смета!F148)</f>
        <v>132</v>
      </c>
    </row>
    <row r="301" spans="2:7" hidden="1">
      <c r="B301" s="48" t="str">
        <f>IF(Смета!A145="Прайс",Смета!B145)</f>
        <v>Наличник металлический</v>
      </c>
      <c r="C301" s="48" t="str">
        <f>IF(Смета!A145="Прайс",Смета!C145)</f>
        <v>м.п.</v>
      </c>
      <c r="D301" s="48">
        <f>IF(Смета!A145="Прайс",Смета!D145)</f>
        <v>17.334000000000003</v>
      </c>
      <c r="E301" s="48" t="b">
        <f>IF(Смета!D145="Прайс",Смета!E145)</f>
        <v>0</v>
      </c>
      <c r="F301" s="48" t="b">
        <f>IF(Смета!E145="Прайс",Смета!F145)</f>
        <v>0</v>
      </c>
      <c r="G301" s="48">
        <f>IF(Смета!A145="Прайс",Смета!F145)</f>
        <v>214.2</v>
      </c>
    </row>
    <row r="302" spans="2:7" hidden="1">
      <c r="B302" s="48" t="str">
        <f>IF(Смета!A194="Прайс",Смета!B194)</f>
        <v>Декоративный камень</v>
      </c>
      <c r="C302" s="48" t="str">
        <f>IF(Смета!A194="Прайс",Смета!C194)</f>
        <v>м2</v>
      </c>
      <c r="D302" s="48">
        <f>IF(Смета!A194="Прайс",Смета!D194)</f>
        <v>14.938000000000002</v>
      </c>
      <c r="E302" s="48" t="b">
        <f>IF(Смета!D194="Прайс",Смета!E194)</f>
        <v>0</v>
      </c>
      <c r="F302" s="48" t="b">
        <f>IF(Смета!E194="Прайс",Смета!F194)</f>
        <v>0</v>
      </c>
      <c r="G302" s="48">
        <f>IF(Смета!A194="Прайс",Смета!F194)</f>
        <v>2400</v>
      </c>
    </row>
    <row r="303" spans="2:7" hidden="1">
      <c r="B303" s="48" t="str">
        <f>IF(Смета!A210="Прайс",Смета!B210)</f>
        <v>Обои флизелиновые</v>
      </c>
      <c r="C303" s="48" t="str">
        <f>IF(Смета!A210="Прайс",Смета!C210)</f>
        <v>м2</v>
      </c>
      <c r="D303" s="48">
        <f>IF(Смета!A210="Прайс",Смета!D210)</f>
        <v>26.863999999999997</v>
      </c>
      <c r="E303" s="48" t="b">
        <f>IF(Смета!D210="Прайс",Смета!E210)</f>
        <v>0</v>
      </c>
      <c r="F303" s="48" t="b">
        <f>IF(Смета!E210="Прайс",Смета!F210)</f>
        <v>0</v>
      </c>
      <c r="G303" s="48">
        <f>IF(Смета!A210="Прайс",Смета!F210)</f>
        <v>124</v>
      </c>
    </row>
    <row r="304" spans="2:7" hidden="1">
      <c r="B304" s="48" t="str">
        <f>IF(Смета!A151="Прайс",Смета!B151)</f>
        <v>Оконный блок ПВХ</v>
      </c>
      <c r="C304" s="48" t="str">
        <f>IF(Смета!A151="Прайс",Смета!C151)</f>
        <v>м2</v>
      </c>
      <c r="D304" s="48">
        <f>IF(Смета!A151="Прайс",Смета!D151)</f>
        <v>18.597750000000001</v>
      </c>
      <c r="E304" s="48" t="b">
        <f>IF(Смета!D151="Прайс",Смета!E151)</f>
        <v>0</v>
      </c>
      <c r="F304" s="48" t="b">
        <f>IF(Смета!E151="Прайс",Смета!F151)</f>
        <v>0</v>
      </c>
      <c r="G304" s="48">
        <f>IF(Смета!A151="Прайс",Смета!F151)</f>
        <v>3180</v>
      </c>
    </row>
    <row r="305" spans="2:7" ht="30" hidden="1">
      <c r="B305" s="48" t="str">
        <f>IF(Смета!A274="Прайс",Смета!B274)</f>
        <v>Отбойники для дверей
DS-0011</v>
      </c>
      <c r="C305" s="48" t="str">
        <f>IF(Смета!A274="Прайс",Смета!C274)</f>
        <v>шт.</v>
      </c>
      <c r="D305" s="48">
        <f>IF(Смета!A274="Прайс",Смета!D274)</f>
        <v>12</v>
      </c>
      <c r="E305" s="48" t="b">
        <f>IF(Смета!D274="Прайс",Смета!E274)</f>
        <v>0</v>
      </c>
      <c r="F305" s="48" t="b">
        <f>IF(Смета!E274="Прайс",Смета!F274)</f>
        <v>0</v>
      </c>
      <c r="G305" s="48">
        <f>IF(Смета!A274="Прайс",Смета!F274)</f>
        <v>145</v>
      </c>
    </row>
    <row r="306" spans="2:7" hidden="1">
      <c r="B306" s="48" t="str">
        <f>IF(Смета!A143="Прайс",Смета!B143)</f>
        <v>Пена монтажная</v>
      </c>
      <c r="C306" s="48" t="str">
        <f>IF(Смета!A143="Прайс",Смета!C143)</f>
        <v>бал.</v>
      </c>
      <c r="D306" s="48">
        <f>IF(Смета!A143="Прайс",Смета!D143)</f>
        <v>8</v>
      </c>
      <c r="E306" s="48" t="b">
        <f>IF(Смета!D143="Прайс",Смета!E143)</f>
        <v>0</v>
      </c>
      <c r="F306" s="48" t="b">
        <f>IF(Смета!E143="Прайс",Смета!F143)</f>
        <v>0</v>
      </c>
      <c r="G306" s="48">
        <f>IF(Смета!A143="Прайс",Смета!F143)</f>
        <v>195</v>
      </c>
    </row>
    <row r="307" spans="2:7" hidden="1">
      <c r="B307" s="48" t="str">
        <f>IF(Смета!A153="Прайс",Смета!B153)</f>
        <v>Пена монтажная</v>
      </c>
      <c r="C307" s="48" t="str">
        <f>IF(Смета!A153="Прайс",Смета!C153)</f>
        <v>бал.</v>
      </c>
      <c r="D307" s="48">
        <f>IF(Смета!A153="Прайс",Смета!D153)</f>
        <v>5</v>
      </c>
      <c r="E307" s="48" t="b">
        <f>IF(Смета!D153="Прайс",Смета!E153)</f>
        <v>0</v>
      </c>
      <c r="F307" s="48" t="b">
        <f>IF(Смета!E153="Прайс",Смета!F153)</f>
        <v>0</v>
      </c>
      <c r="G307" s="48">
        <f>IF(Смета!A153="Прайс",Смета!F153)</f>
        <v>195</v>
      </c>
    </row>
    <row r="308" spans="2:7" hidden="1">
      <c r="B308" s="48" t="str">
        <f>IF(Смета!A133="Прайс",Смета!B133)</f>
        <v>Пена монтажная противопожарная</v>
      </c>
      <c r="C308" s="48" t="str">
        <f>IF(Смета!A133="Прайс",Смета!C133)</f>
        <v>бал.</v>
      </c>
      <c r="D308" s="48">
        <f>IF(Смета!A133="Прайс",Смета!D133)</f>
        <v>1</v>
      </c>
      <c r="E308" s="48" t="b">
        <f>IF(Смета!D133="Прайс",Смета!E133)</f>
        <v>0</v>
      </c>
      <c r="F308" s="48" t="b">
        <f>IF(Смета!E133="Прайс",Смета!F133)</f>
        <v>0</v>
      </c>
      <c r="G308" s="48">
        <f>IF(Смета!A133="Прайс",Смета!F133)</f>
        <v>391.98</v>
      </c>
    </row>
    <row r="309" spans="2:7" hidden="1">
      <c r="B309" s="48" t="str">
        <f>IF(Смета!A139="Прайс",Смета!B139)</f>
        <v>Пена монтажная противопожарная</v>
      </c>
      <c r="C309" s="48" t="str">
        <f>IF(Смета!A139="Прайс",Смета!C139)</f>
        <v>бал.</v>
      </c>
      <c r="D309" s="48">
        <f>IF(Смета!A139="Прайс",Смета!D139)</f>
        <v>2</v>
      </c>
      <c r="E309" s="48" t="b">
        <f>IF(Смета!D139="Прайс",Смета!E139)</f>
        <v>0</v>
      </c>
      <c r="F309" s="48" t="b">
        <f>IF(Смета!E139="Прайс",Смета!F139)</f>
        <v>0</v>
      </c>
      <c r="G309" s="48">
        <f>IF(Смета!A139="Прайс",Смета!F139)</f>
        <v>391.98</v>
      </c>
    </row>
    <row r="310" spans="2:7" hidden="1">
      <c r="B310" s="48" t="str">
        <f>IF(Смета!A257="Прайс",Смета!B257)</f>
        <v>Плинтус ПВХ</v>
      </c>
      <c r="C310" s="48" t="str">
        <f>IF(Смета!A257="Прайс",Смета!C257)</f>
        <v>м.п.</v>
      </c>
      <c r="D310" s="48">
        <f>IF(Смета!A257="Прайс",Смета!D257)</f>
        <v>9.4160000000000021</v>
      </c>
      <c r="E310" s="48" t="b">
        <f>IF(Смета!D257="Прайс",Смета!E257)</f>
        <v>0</v>
      </c>
      <c r="F310" s="48" t="b">
        <f>IF(Смета!E257="Прайс",Смета!F257)</f>
        <v>0</v>
      </c>
      <c r="G310" s="48">
        <f>IF(Смета!A257="Прайс",Смета!F257)</f>
        <v>66.099999999999994</v>
      </c>
    </row>
    <row r="311" spans="2:7" hidden="1">
      <c r="B311" s="48" t="str">
        <f>IF(Смета!A182="Прайс",Смета!B182)</f>
        <v>Плитка керамическая глазурованная 20*30, цв. Белый</v>
      </c>
      <c r="C311" s="48" t="str">
        <f>IF(Смета!A182="Прайс",Смета!C182)</f>
        <v>м2</v>
      </c>
      <c r="D311" s="48">
        <f>IF(Смета!A182="Прайс",Смета!D182)</f>
        <v>28.358000000000004</v>
      </c>
      <c r="E311" s="48" t="b">
        <f>IF(Смета!D182="Прайс",Смета!E182)</f>
        <v>0</v>
      </c>
      <c r="F311" s="48" t="b">
        <f>IF(Смета!E182="Прайс",Смета!F182)</f>
        <v>0</v>
      </c>
      <c r="G311" s="48">
        <f>IF(Смета!A182="Прайс",Смета!F182)</f>
        <v>249</v>
      </c>
    </row>
    <row r="312" spans="2:7" hidden="1">
      <c r="B312" s="48" t="str">
        <f>IF(Смета!A188="Прайс",Смета!B188)</f>
        <v>Плитка керамическая Kerama marazzi</v>
      </c>
      <c r="C312" s="48" t="str">
        <f>IF(Смета!A188="Прайс",Смета!C188)</f>
        <v>м2</v>
      </c>
      <c r="D312" s="48">
        <f>IF(Смета!A188="Прайс",Смета!D188)</f>
        <v>25.840499999999999</v>
      </c>
      <c r="E312" s="48" t="b">
        <f>IF(Смета!D188="Прайс",Смета!E188)</f>
        <v>0</v>
      </c>
      <c r="F312" s="48" t="b">
        <f>IF(Смета!E188="Прайс",Смета!F188)</f>
        <v>0</v>
      </c>
      <c r="G312" s="48">
        <f>IF(Смета!A188="Прайс",Смета!F188)</f>
        <v>1320</v>
      </c>
    </row>
    <row r="313" spans="2:7" hidden="1">
      <c r="B313" s="48" t="str">
        <f>IF(Смета!A271="Прайс",Смета!B271)</f>
        <v>Плитка керамическая Kerama marazzi</v>
      </c>
      <c r="C313" s="48" t="str">
        <f>IF(Смета!A271="Прайс",Смета!C271)</f>
        <v>м2</v>
      </c>
      <c r="D313" s="48">
        <f>IF(Смета!A271="Прайс",Смета!D271)</f>
        <v>8.3042700000000007</v>
      </c>
      <c r="E313" s="48" t="b">
        <f>IF(Смета!D271="Прайс",Смета!E271)</f>
        <v>0</v>
      </c>
      <c r="F313" s="48" t="b">
        <f>IF(Смета!E271="Прайс",Смета!F271)</f>
        <v>0</v>
      </c>
      <c r="G313" s="48">
        <f>IF(Смета!A271="Прайс",Смета!F271)</f>
        <v>1710</v>
      </c>
    </row>
    <row r="314" spans="2:7" hidden="1">
      <c r="B314" s="48" t="str">
        <f>IF(Смета!A236="Прайс",Смета!B236)</f>
        <v>Плитка керамическая Kerama marazzi</v>
      </c>
      <c r="C314" s="48" t="str">
        <f>IF(Смета!A236="Прайс",Смета!C236)</f>
        <v>м2</v>
      </c>
      <c r="D314" s="48">
        <f>IF(Смета!A236="Прайс",Смета!D236)</f>
        <v>82.892899999999997</v>
      </c>
      <c r="E314" s="48" t="b">
        <f>IF(Смета!D236="Прайс",Смета!E236)</f>
        <v>0</v>
      </c>
      <c r="F314" s="48" t="b">
        <f>IF(Смета!E236="Прайс",Смета!F236)</f>
        <v>0</v>
      </c>
      <c r="G314" s="48">
        <f>IF(Смета!A236="Прайс",Смета!F236)</f>
        <v>1710</v>
      </c>
    </row>
    <row r="315" spans="2:7" hidden="1">
      <c r="B315" s="48" t="str">
        <f>IF(Смета!A245="Прайс",Смета!B245)</f>
        <v>Плитка керамогранитная 30*30</v>
      </c>
      <c r="C315" s="48" t="str">
        <f>IF(Смета!A245="Прайс",Смета!C245)</f>
        <v>м2</v>
      </c>
      <c r="D315" s="48">
        <f>IF(Смета!A245="Прайс",Смета!D245)</f>
        <v>11.602500000000001</v>
      </c>
      <c r="E315" s="48" t="b">
        <f>IF(Смета!D245="Прайс",Смета!E245)</f>
        <v>0</v>
      </c>
      <c r="F315" s="48" t="b">
        <f>IF(Смета!E245="Прайс",Смета!F245)</f>
        <v>0</v>
      </c>
      <c r="G315" s="48">
        <f>IF(Смета!A245="Прайс",Смета!F245)</f>
        <v>367</v>
      </c>
    </row>
    <row r="316" spans="2:7" hidden="1">
      <c r="B316" s="48" t="str">
        <f>IF(Смета!A266="Прайс",Смета!B266)</f>
        <v>Плитка керамогранитная 30*30</v>
      </c>
      <c r="C316" s="48" t="str">
        <f>IF(Смета!A266="Прайс",Смета!C266)</f>
        <v>м2</v>
      </c>
      <c r="D316" s="48">
        <f>IF(Смета!A266="Прайс",Смета!D266)</f>
        <v>1.3944000000000001</v>
      </c>
      <c r="E316" s="48" t="b">
        <f>IF(Смета!D266="Прайс",Смета!E266)</f>
        <v>0</v>
      </c>
      <c r="F316" s="48" t="b">
        <f>IF(Смета!E266="Прайс",Смета!F266)</f>
        <v>0</v>
      </c>
      <c r="G316" s="48">
        <f>IF(Смета!A266="Прайс",Смета!F266)</f>
        <v>367</v>
      </c>
    </row>
    <row r="317" spans="2:7" hidden="1">
      <c r="B317" s="48" t="str">
        <f>IF(Смета!A70="Прайс",Смета!B70)</f>
        <v>Плиты минераловатные звукоизоляционные, толщ 100 мм</v>
      </c>
      <c r="C317" s="48" t="str">
        <f>IF(Смета!A70="Прайс",Смета!C70)</f>
        <v>м2</v>
      </c>
      <c r="D317" s="48">
        <f>IF(Смета!A70="Прайс",Смета!D70)</f>
        <v>52.02</v>
      </c>
      <c r="E317" s="48" t="b">
        <f>IF(Смета!D70="Прайс",Смета!E70)</f>
        <v>0</v>
      </c>
      <c r="F317" s="48" t="b">
        <f>IF(Смета!E70="Прайс",Смета!F70)</f>
        <v>0</v>
      </c>
      <c r="G317" s="48">
        <f>IF(Смета!A70="Прайс",Смета!F70)</f>
        <v>174.93</v>
      </c>
    </row>
    <row r="318" spans="2:7" hidden="1">
      <c r="B318" s="48" t="str">
        <f>IF(Смета!A97="Прайс",Смета!B97)</f>
        <v>Плиты минераловатные звукоизоляционные, толщ 100 мм</v>
      </c>
      <c r="C318" s="48" t="str">
        <f>IF(Смета!A97="Прайс",Смета!C97)</f>
        <v>м2</v>
      </c>
      <c r="D318" s="48">
        <f>IF(Смета!A97="Прайс",Смета!D97)</f>
        <v>34.374000000000002</v>
      </c>
      <c r="E318" s="48" t="b">
        <f>IF(Смета!D97="Прайс",Смета!E97)</f>
        <v>0</v>
      </c>
      <c r="F318" s="48" t="b">
        <f>IF(Смета!E97="Прайс",Смета!F97)</f>
        <v>0</v>
      </c>
      <c r="G318" s="48">
        <f>IF(Смета!A97="Прайс",Смета!F97)</f>
        <v>174.93</v>
      </c>
    </row>
    <row r="319" spans="2:7" hidden="1">
      <c r="B319" s="48" t="str">
        <f>IF(Смета!A124="Прайс",Смета!B124)</f>
        <v>Плиты минераловатные звукоизоляционные, толщ 100 мм</v>
      </c>
      <c r="C319" s="48" t="str">
        <f>IF(Смета!A124="Прайс",Смета!C124)</f>
        <v>м2</v>
      </c>
      <c r="D319" s="48">
        <f>IF(Смета!A124="Прайс",Смета!D124)</f>
        <v>3.2760359999999986</v>
      </c>
      <c r="E319" s="48" t="b">
        <f>IF(Смета!D124="Прайс",Смета!E124)</f>
        <v>0</v>
      </c>
      <c r="F319" s="48" t="b">
        <f>IF(Смета!E124="Прайс",Смета!F124)</f>
        <v>0</v>
      </c>
      <c r="G319" s="48">
        <f>IF(Смета!A124="Прайс",Смета!F124)</f>
        <v>174.93</v>
      </c>
    </row>
    <row r="320" spans="2:7" hidden="1">
      <c r="B320" s="48" t="str">
        <f>IF(Смета!A292="Прайс",Смета!B292)</f>
        <v>Плиты минераловатные звукоизоляционные, толщ 100 мм</v>
      </c>
      <c r="C320" s="48" t="str">
        <f>IF(Смета!A292="Прайс",Смета!C292)</f>
        <v>м2</v>
      </c>
      <c r="D320" s="48">
        <f>IF(Смета!A292="Прайс",Смета!D292)</f>
        <v>11.22306</v>
      </c>
      <c r="E320" s="48" t="b">
        <f>IF(Смета!D292="Прайс",Смета!E292)</f>
        <v>0</v>
      </c>
      <c r="F320" s="48" t="b">
        <f>IF(Смета!E292="Прайс",Смета!F292)</f>
        <v>0</v>
      </c>
      <c r="G320" s="48">
        <f>IF(Смета!A292="Прайс",Смета!F292)</f>
        <v>174.93</v>
      </c>
    </row>
    <row r="321" spans="2:7" hidden="1">
      <c r="B321" s="48" t="str">
        <f>IF(Смета!A59="Прайс",Смета!B59)</f>
        <v>ПН 100/40</v>
      </c>
      <c r="C321" s="48" t="str">
        <f>IF(Смета!A59="Прайс",Смета!C59)</f>
        <v>м.п.</v>
      </c>
      <c r="D321" s="48">
        <f>IF(Смета!A59="Прайс",Смета!D59)</f>
        <v>40.800000000000004</v>
      </c>
      <c r="E321" s="48" t="b">
        <f>IF(Смета!D59="Прайс",Смета!E59)</f>
        <v>0</v>
      </c>
      <c r="F321" s="48" t="b">
        <f>IF(Смета!E59="Прайс",Смета!F59)</f>
        <v>0</v>
      </c>
      <c r="G321" s="48">
        <f>IF(Смета!A59="Прайс",Смета!F59)</f>
        <v>34</v>
      </c>
    </row>
    <row r="322" spans="2:7" hidden="1">
      <c r="B322" s="48" t="str">
        <f>IF(Смета!A86="Прайс",Смета!B86)</f>
        <v>ПН 100/40</v>
      </c>
      <c r="C322" s="48" t="str">
        <f>IF(Смета!A86="Прайс",Смета!C86)</f>
        <v>м.п.</v>
      </c>
      <c r="D322" s="48">
        <f>IF(Смета!A86="Прайс",Смета!D86)</f>
        <v>41.114000000000004</v>
      </c>
      <c r="E322" s="48" t="b">
        <f>IF(Смета!D86="Прайс",Смета!E86)</f>
        <v>0</v>
      </c>
      <c r="F322" s="48" t="b">
        <f>IF(Смета!E86="Прайс",Смета!F86)</f>
        <v>0</v>
      </c>
      <c r="G322" s="48">
        <f>IF(Смета!A86="Прайс",Смета!F86)</f>
        <v>34</v>
      </c>
    </row>
    <row r="323" spans="2:7" hidden="1">
      <c r="B323" s="48" t="str">
        <f>IF(Смета!A114="Прайс",Смета!B114)</f>
        <v>ПН 100/40</v>
      </c>
      <c r="C323" s="48" t="str">
        <f>IF(Смета!A114="Прайс",Смета!C114)</f>
        <v>м.п.</v>
      </c>
      <c r="D323" s="48">
        <f>IF(Смета!A114="Прайс",Смета!D114)</f>
        <v>5.1388799999999977</v>
      </c>
      <c r="E323" s="48" t="b">
        <f>IF(Смета!D114="Прайс",Смета!E114)</f>
        <v>0</v>
      </c>
      <c r="F323" s="48" t="b">
        <f>IF(Смета!E114="Прайс",Смета!F114)</f>
        <v>0</v>
      </c>
      <c r="G323" s="48">
        <f>IF(Смета!A114="Прайс",Смета!F114)</f>
        <v>34</v>
      </c>
    </row>
    <row r="324" spans="2:7" hidden="1">
      <c r="B324" s="48" t="str">
        <f>IF(Смета!A100="Прайс",Смета!B100)</f>
        <v>ПН 27/28</v>
      </c>
      <c r="C324" s="48" t="str">
        <f>IF(Смета!A100="Прайс",Смета!C100)</f>
        <v>м.п.</v>
      </c>
      <c r="D324" s="48">
        <f>IF(Смета!A100="Прайс",Смета!D100)</f>
        <v>18.291</v>
      </c>
      <c r="E324" s="48" t="b">
        <f>IF(Смета!D100="Прайс",Смета!E100)</f>
        <v>0</v>
      </c>
      <c r="F324" s="48" t="b">
        <f>IF(Смета!E100="Прайс",Смета!F100)</f>
        <v>0</v>
      </c>
      <c r="G324" s="48">
        <f>IF(Смета!A100="Прайс",Смета!F100)</f>
        <v>14.7</v>
      </c>
    </row>
    <row r="325" spans="2:7" hidden="1">
      <c r="B325" s="48" t="str">
        <f>IF(Смета!A280="Прайс",Смета!B280)</f>
        <v>ПН 27/28</v>
      </c>
      <c r="C325" s="48" t="str">
        <f>IF(Смета!A280="Прайс",Смета!C280)</f>
        <v>м.п.</v>
      </c>
      <c r="D325" s="48">
        <f>IF(Смета!A280="Прайс",Смета!D280)</f>
        <v>63.624540000000017</v>
      </c>
      <c r="E325" s="48" t="b">
        <f>IF(Смета!D280="Прайс",Смета!E280)</f>
        <v>0</v>
      </c>
      <c r="F325" s="48" t="b">
        <f>IF(Смета!E280="Прайс",Смета!F280)</f>
        <v>0</v>
      </c>
      <c r="G325" s="48">
        <f>IF(Смета!A280="Прайс",Смета!F280)</f>
        <v>14.7</v>
      </c>
    </row>
    <row r="326" spans="2:7" hidden="1">
      <c r="B326" s="48" t="str">
        <f>IF(Смета!A295="Прайс",Смета!B295)</f>
        <v>ПН 27/28</v>
      </c>
      <c r="C326" s="48" t="str">
        <f>IF(Смета!A295="Прайс",Смета!C295)</f>
        <v>м.п.</v>
      </c>
      <c r="D326" s="48">
        <f>IF(Смета!A295="Прайс",Смета!D295)</f>
        <v>63.148400000000002</v>
      </c>
      <c r="E326" s="48" t="b">
        <f>IF(Смета!D295="Прайс",Смета!E295)</f>
        <v>0</v>
      </c>
      <c r="F326" s="48" t="b">
        <f>IF(Смета!E295="Прайс",Смета!F295)</f>
        <v>0</v>
      </c>
      <c r="G326" s="48">
        <f>IF(Смета!A295="Прайс",Смета!F295)</f>
        <v>14.7</v>
      </c>
    </row>
    <row r="327" spans="2:7" hidden="1">
      <c r="B327" s="48" t="str">
        <f>IF(Смета!A73="Прайс",Смета!B73)</f>
        <v>ПН 50/40</v>
      </c>
      <c r="C327" s="48" t="str">
        <f>IF(Смета!A73="Прайс",Смета!C73)</f>
        <v>м.п.</v>
      </c>
      <c r="D327" s="48">
        <f>IF(Смета!A73="Прайс",Смета!D73)</f>
        <v>35.100376000000004</v>
      </c>
      <c r="E327" s="48" t="b">
        <f>IF(Смета!D73="Прайс",Смета!E73)</f>
        <v>0</v>
      </c>
      <c r="F327" s="48" t="b">
        <f>IF(Смета!E73="Прайс",Смета!F73)</f>
        <v>0</v>
      </c>
      <c r="G327" s="48">
        <f>IF(Смета!A73="Прайс",Смета!F73)</f>
        <v>27.1</v>
      </c>
    </row>
    <row r="328" spans="2:7" hidden="1">
      <c r="B328" s="48" t="str">
        <f>IF(Смета!A82="Прайс",Смета!B82)</f>
        <v>Подвес прямой</v>
      </c>
      <c r="C328" s="48" t="str">
        <f>IF(Смета!A82="Прайс",Смета!C82)</f>
        <v>шт.</v>
      </c>
      <c r="D328" s="48">
        <f>IF(Смета!A82="Прайс",Смета!D82)</f>
        <v>20.139559999999999</v>
      </c>
      <c r="E328" s="48" t="b">
        <f>IF(Смета!D82="Прайс",Смета!E82)</f>
        <v>0</v>
      </c>
      <c r="F328" s="48" t="b">
        <f>IF(Смета!E82="Прайс",Смета!F82)</f>
        <v>0</v>
      </c>
      <c r="G328" s="48">
        <f>IF(Смета!A82="Прайс",Смета!F82)</f>
        <v>3.5</v>
      </c>
    </row>
    <row r="329" spans="2:7" hidden="1">
      <c r="B329" s="48" t="str">
        <f>IF(Смета!A95="Прайс",Смета!B95)</f>
        <v>Подвес прямой</v>
      </c>
      <c r="C329" s="48" t="str">
        <f>IF(Смета!A95="Прайс",Смета!C95)</f>
        <v>шт.</v>
      </c>
      <c r="D329" s="48">
        <f>IF(Смета!A95="Прайс",Смета!D95)</f>
        <v>23.59</v>
      </c>
      <c r="E329" s="48" t="b">
        <f>IF(Смета!D95="Прайс",Смета!E95)</f>
        <v>0</v>
      </c>
      <c r="F329" s="48" t="b">
        <f>IF(Смета!E95="Прайс",Смета!F95)</f>
        <v>0</v>
      </c>
      <c r="G329" s="48">
        <f>IF(Смета!A95="Прайс",Смета!F95)</f>
        <v>3.5</v>
      </c>
    </row>
    <row r="330" spans="2:7" hidden="1">
      <c r="B330" s="48" t="str">
        <f>IF(Смета!A109="Прайс",Смета!B109)</f>
        <v>Подвес прямой</v>
      </c>
      <c r="C330" s="48" t="str">
        <f>IF(Смета!A109="Прайс",Смета!C109)</f>
        <v>шт.</v>
      </c>
      <c r="D330" s="48">
        <f>IF(Смета!A109="Прайс",Смета!D109)</f>
        <v>9.8490000000000002</v>
      </c>
      <c r="E330" s="48" t="b">
        <f>IF(Смета!D109="Прайс",Смета!E109)</f>
        <v>0</v>
      </c>
      <c r="F330" s="48" t="b">
        <f>IF(Смета!E109="Прайс",Смета!F109)</f>
        <v>0</v>
      </c>
      <c r="G330" s="48">
        <f>IF(Смета!A109="Прайс",Смета!F109)</f>
        <v>3.5</v>
      </c>
    </row>
    <row r="331" spans="2:7" hidden="1">
      <c r="B331" s="48" t="str">
        <f>IF(Смета!A289="Прайс",Смета!B289)</f>
        <v>Подвес прямой</v>
      </c>
      <c r="C331" s="48" t="str">
        <f>IF(Смета!A289="Прайс",Смета!C289)</f>
        <v>шт.</v>
      </c>
      <c r="D331" s="48">
        <f>IF(Смета!A289="Прайс",Смета!D289)</f>
        <v>19.374390000000005</v>
      </c>
      <c r="E331" s="48" t="b">
        <f>IF(Смета!D289="Прайс",Смета!E289)</f>
        <v>0</v>
      </c>
      <c r="F331" s="48" t="b">
        <f>IF(Смета!E289="Прайс",Смета!F289)</f>
        <v>0</v>
      </c>
      <c r="G331" s="48">
        <f>IF(Смета!A289="Прайс",Смета!F289)</f>
        <v>3.5</v>
      </c>
    </row>
    <row r="332" spans="2:7" hidden="1">
      <c r="B332" s="48" t="str">
        <f>IF(Смета!A304="Прайс",Смета!B304)</f>
        <v>Подвес прямой</v>
      </c>
      <c r="C332" s="48" t="str">
        <f>IF(Смета!A304="Прайс",Смета!C304)</f>
        <v>шт.</v>
      </c>
      <c r="D332" s="48">
        <f>IF(Смета!A304="Прайс",Смета!D304)</f>
        <v>19.229399999999998</v>
      </c>
      <c r="E332" s="48" t="b">
        <f>IF(Смета!D304="Прайс",Смета!E304)</f>
        <v>0</v>
      </c>
      <c r="F332" s="48" t="b">
        <f>IF(Смета!E304="Прайс",Смета!F304)</f>
        <v>0</v>
      </c>
      <c r="G332" s="48">
        <f>IF(Смета!A304="Прайс",Смета!F304)</f>
        <v>3.5</v>
      </c>
    </row>
    <row r="333" spans="2:7" hidden="1">
      <c r="B333" s="48" t="str">
        <f>IF(Смета!A322="Прайс",Смета!B322)</f>
        <v>Подвесной потолок "Армстронг" в комплекте</v>
      </c>
      <c r="C333" s="48" t="str">
        <f>IF(Смета!A322="Прайс",Смета!C322)</f>
        <v>м2</v>
      </c>
      <c r="D333" s="48">
        <f>IF(Смета!A322="Прайс",Смета!D322)</f>
        <v>31.686900000000001</v>
      </c>
      <c r="E333" s="48" t="b">
        <f>IF(Смета!D322="Прайс",Смета!E322)</f>
        <v>0</v>
      </c>
      <c r="F333" s="48" t="b">
        <f>IF(Смета!E322="Прайс",Смета!F322)</f>
        <v>0</v>
      </c>
      <c r="G333" s="48">
        <f>IF(Смета!A322="Прайс",Смета!F322)</f>
        <v>270</v>
      </c>
    </row>
    <row r="334" spans="2:7" hidden="1">
      <c r="B334" s="48" t="str">
        <f>IF(Смета!A155="Прайс",Смета!B155)</f>
        <v>Подоконник ПВХ шир.0,5 м.</v>
      </c>
      <c r="C334" s="48" t="str">
        <f>IF(Смета!A155="Прайс",Смета!C155)</f>
        <v>м.п.</v>
      </c>
      <c r="D334" s="48">
        <f>IF(Смета!A155="Прайс",Смета!D155)</f>
        <v>10.1043</v>
      </c>
      <c r="E334" s="48" t="b">
        <f>IF(Смета!D155="Прайс",Смета!E155)</f>
        <v>0</v>
      </c>
      <c r="F334" s="48" t="b">
        <f>IF(Смета!E155="Прайс",Смета!F155)</f>
        <v>0</v>
      </c>
      <c r="G334" s="48">
        <f>IF(Смета!A155="Прайс",Смета!F155)</f>
        <v>695.5</v>
      </c>
    </row>
    <row r="335" spans="2:7" hidden="1">
      <c r="B335" s="48" t="str">
        <f>IF(Смета!A361="Прайс",Смета!B361)</f>
        <v>Подрозетник</v>
      </c>
      <c r="C335" s="48" t="str">
        <f>IF(Смета!A361="Прайс",Смета!C361)</f>
        <v>шт.</v>
      </c>
      <c r="D335" s="48">
        <f>IF(Смета!A361="Прайс",Смета!D361)</f>
        <v>22</v>
      </c>
      <c r="E335" s="48" t="b">
        <f>IF(Смета!D361="Прайс",Смета!E361)</f>
        <v>0</v>
      </c>
      <c r="F335" s="48" t="b">
        <f>IF(Смета!E361="Прайс",Смета!F361)</f>
        <v>0</v>
      </c>
      <c r="G335" s="48">
        <f>IF(Смета!A361="Прайс",Смета!F361)</f>
        <v>6.8750000000000009</v>
      </c>
    </row>
    <row r="336" spans="2:7" hidden="1">
      <c r="B336" s="48" t="str">
        <f>IF(Смета!A365="Прайс",Смета!B365)</f>
        <v>Подрозетник</v>
      </c>
      <c r="C336" s="48" t="str">
        <f>IF(Смета!A365="Прайс",Смета!C365)</f>
        <v>шт.</v>
      </c>
      <c r="D336" s="48">
        <f>IF(Смета!A365="Прайс",Смета!D365)</f>
        <v>13</v>
      </c>
      <c r="E336" s="48" t="b">
        <f>IF(Смета!D365="Прайс",Смета!E365)</f>
        <v>0</v>
      </c>
      <c r="F336" s="48" t="b">
        <f>IF(Смета!E365="Прайс",Смета!F365)</f>
        <v>0</v>
      </c>
      <c r="G336" s="48">
        <f>IF(Смета!A365="Прайс",Смета!F365)</f>
        <v>6.8750000000000009</v>
      </c>
    </row>
    <row r="337" spans="2:7" hidden="1">
      <c r="B337" s="48" t="str">
        <f>IF(Смета!A38="Прайс",Смета!B38)</f>
        <v>Полоса 100*40*4</v>
      </c>
      <c r="C337" s="48" t="str">
        <f>IF(Смета!A38="Прайс",Смета!C38)</f>
        <v>тн.</v>
      </c>
      <c r="D337" s="48">
        <f>IF(Смета!A38="Прайс",Смета!D38)</f>
        <v>1.7647323333333336E-2</v>
      </c>
      <c r="E337" s="48" t="b">
        <f>IF(Смета!D38="Прайс",Смета!E38)</f>
        <v>0</v>
      </c>
      <c r="F337" s="48" t="b">
        <f>IF(Смета!E38="Прайс",Смета!F38)</f>
        <v>0</v>
      </c>
      <c r="G337" s="48">
        <f>IF(Смета!A38="Прайс",Смета!F38)</f>
        <v>35700</v>
      </c>
    </row>
    <row r="338" spans="2:7" hidden="1">
      <c r="B338" s="48" t="str">
        <f>IF(Смета!A254="Прайс",Смета!B254)</f>
        <v>Порожек декоративный мет.</v>
      </c>
      <c r="C338" s="48" t="str">
        <f>IF(Смета!A254="Прайс",Смета!C254)</f>
        <v>м2</v>
      </c>
      <c r="D338" s="48">
        <f>IF(Смета!A254="Прайс",Смета!D254)</f>
        <v>0.9416000000000001</v>
      </c>
      <c r="E338" s="48" t="b">
        <f>IF(Смета!D254="Прайс",Смета!E254)</f>
        <v>0</v>
      </c>
      <c r="F338" s="48" t="b">
        <f>IF(Смета!E254="Прайс",Смета!F254)</f>
        <v>0</v>
      </c>
      <c r="G338" s="48">
        <f>IF(Смета!A254="Прайс",Смета!F254)</f>
        <v>120</v>
      </c>
    </row>
    <row r="339" spans="2:7" hidden="1">
      <c r="B339" s="48" t="str">
        <f>IF(Смета!A101="Прайс",Смета!B101)</f>
        <v>ПП 60/27</v>
      </c>
      <c r="C339" s="48" t="str">
        <f>IF(Смета!A101="Прайс",Смета!C101)</f>
        <v>м.п.</v>
      </c>
      <c r="D339" s="48">
        <f>IF(Смета!A101="Прайс",Смета!D101)</f>
        <v>35.7378</v>
      </c>
      <c r="E339" s="48" t="b">
        <f>IF(Смета!D101="Прайс",Смета!E101)</f>
        <v>0</v>
      </c>
      <c r="F339" s="48" t="b">
        <f>IF(Смета!E101="Прайс",Смета!F101)</f>
        <v>0</v>
      </c>
      <c r="G339" s="48">
        <f>IF(Смета!A101="Прайс",Смета!F101)</f>
        <v>26.33</v>
      </c>
    </row>
    <row r="340" spans="2:7" hidden="1">
      <c r="B340" s="48" t="str">
        <f>IF(Смета!A281="Прайс",Смета!B281)</f>
        <v>ПП 60/27</v>
      </c>
      <c r="C340" s="48" t="str">
        <f>IF(Смета!A281="Прайс",Смета!C281)</f>
        <v>м.п.</v>
      </c>
      <c r="D340" s="48">
        <f>IF(Смета!A281="Прайс",Смета!D281)</f>
        <v>80.128650000000022</v>
      </c>
      <c r="E340" s="48" t="b">
        <f>IF(Смета!D281="Прайс",Смета!E281)</f>
        <v>0</v>
      </c>
      <c r="F340" s="48" t="b">
        <f>IF(Смета!E281="Прайс",Смета!F281)</f>
        <v>0</v>
      </c>
      <c r="G340" s="48">
        <f>IF(Смета!A281="Прайс",Смета!F281)</f>
        <v>26.33</v>
      </c>
    </row>
    <row r="341" spans="2:7" hidden="1">
      <c r="B341" s="48" t="str">
        <f>IF(Смета!A296="Прайс",Смета!B296)</f>
        <v>ПП 60/27</v>
      </c>
      <c r="C341" s="48" t="str">
        <f>IF(Смета!A296="Прайс",Смета!C296)</f>
        <v>м.п.</v>
      </c>
      <c r="D341" s="48">
        <f>IF(Смета!A296="Прайс",Смета!D296)</f>
        <v>79.528999999999996</v>
      </c>
      <c r="E341" s="48" t="b">
        <f>IF(Смета!D296="Прайс",Смета!E296)</f>
        <v>0</v>
      </c>
      <c r="F341" s="48" t="b">
        <f>IF(Смета!E296="Прайс",Смета!F296)</f>
        <v>0</v>
      </c>
      <c r="G341" s="48">
        <f>IF(Смета!A296="Прайс",Смета!F296)</f>
        <v>26.33</v>
      </c>
    </row>
    <row r="342" spans="2:7" hidden="1">
      <c r="B342" s="48" t="str">
        <f>IF(Смета!A64="Прайс",Смета!B64)</f>
        <v>Пресс-шайба 13</v>
      </c>
      <c r="C342" s="48" t="str">
        <f>IF(Смета!A64="Прайс",Смета!C64)</f>
        <v>шт.</v>
      </c>
      <c r="D342" s="48">
        <f>IF(Смета!A64="Прайс",Смета!D64)</f>
        <v>239.70000000000002</v>
      </c>
      <c r="E342" s="48" t="b">
        <f>IF(Смета!D64="Прайс",Смета!E64)</f>
        <v>0</v>
      </c>
      <c r="F342" s="48" t="b">
        <f>IF(Смета!E64="Прайс",Смета!F64)</f>
        <v>0</v>
      </c>
      <c r="G342" s="48">
        <f>IF(Смета!A64="Прайс",Смета!F64)</f>
        <v>0.23</v>
      </c>
    </row>
    <row r="343" spans="2:7" hidden="1">
      <c r="B343" s="48" t="str">
        <f>IF(Смета!A77="Прайс",Смета!B77)</f>
        <v>Пресс-шайба 13</v>
      </c>
      <c r="C343" s="48" t="str">
        <f>IF(Смета!A77="Прайс",Смета!C77)</f>
        <v>шт.</v>
      </c>
      <c r="D343" s="48">
        <f>IF(Смета!A77="Прайс",Смета!D77)</f>
        <v>135.22276000000002</v>
      </c>
      <c r="E343" s="48" t="b">
        <f>IF(Смета!D77="Прайс",Смета!E77)</f>
        <v>0</v>
      </c>
      <c r="F343" s="48" t="b">
        <f>IF(Смета!E77="Прайс",Смета!F77)</f>
        <v>0</v>
      </c>
      <c r="G343" s="48">
        <f>IF(Смета!A77="Прайс",Смета!F77)</f>
        <v>0.23</v>
      </c>
    </row>
    <row r="344" spans="2:7" hidden="1">
      <c r="B344" s="48" t="str">
        <f>IF(Смета!A90="Прайс",Смета!B90)</f>
        <v>Пресс-шайба 13</v>
      </c>
      <c r="C344" s="48" t="str">
        <f>IF(Смета!A90="Прайс",Смета!C90)</f>
        <v>шт.</v>
      </c>
      <c r="D344" s="48">
        <f>IF(Смета!A90="Прайс",Смета!D90)</f>
        <v>158.39000000000001</v>
      </c>
      <c r="E344" s="48" t="b">
        <f>IF(Смета!D90="Прайс",Смета!E90)</f>
        <v>0</v>
      </c>
      <c r="F344" s="48" t="b">
        <f>IF(Смета!E90="Прайс",Смета!F90)</f>
        <v>0</v>
      </c>
      <c r="G344" s="48">
        <f>IF(Смета!A90="Прайс",Смета!F90)</f>
        <v>0.23</v>
      </c>
    </row>
    <row r="345" spans="2:7" hidden="1">
      <c r="B345" s="48" t="str">
        <f>IF(Смета!A104="Прайс",Смета!B104)</f>
        <v>Пресс-шайба 13</v>
      </c>
      <c r="C345" s="48" t="str">
        <f>IF(Смета!A104="Прайс",Смета!C104)</f>
        <v>шт.</v>
      </c>
      <c r="D345" s="48">
        <f>IF(Смета!A104="Прайс",Смета!D104)</f>
        <v>66.129000000000005</v>
      </c>
      <c r="E345" s="48" t="b">
        <f>IF(Смета!D104="Прайс",Смета!E104)</f>
        <v>0</v>
      </c>
      <c r="F345" s="48" t="b">
        <f>IF(Смета!E104="Прайс",Смета!F104)</f>
        <v>0</v>
      </c>
      <c r="G345" s="48">
        <f>IF(Смета!A104="Прайс",Смета!F104)</f>
        <v>0.23</v>
      </c>
    </row>
    <row r="346" spans="2:7" hidden="1">
      <c r="B346" s="48" t="str">
        <f>IF(Смета!A118="Прайс",Смета!B118)</f>
        <v>Пресс-шайба 13</v>
      </c>
      <c r="C346" s="48" t="str">
        <f>IF(Смета!A118="Прайс",Смета!C118)</f>
        <v>шт.</v>
      </c>
      <c r="D346" s="48">
        <f>IF(Смета!A118="Прайс",Смета!D118)</f>
        <v>15.095459999999994</v>
      </c>
      <c r="E346" s="48" t="b">
        <f>IF(Смета!D118="Прайс",Смета!E118)</f>
        <v>0</v>
      </c>
      <c r="F346" s="48" t="b">
        <f>IF(Смета!E118="Прайс",Смета!F118)</f>
        <v>0</v>
      </c>
      <c r="G346" s="48">
        <f>IF(Смета!A118="Прайс",Смета!F118)</f>
        <v>0.23</v>
      </c>
    </row>
    <row r="347" spans="2:7" hidden="1">
      <c r="B347" s="48" t="str">
        <f>IF(Смета!A284="Прайс",Смета!B284)</f>
        <v>Пресс-шайба 13</v>
      </c>
      <c r="C347" s="48" t="str">
        <f>IF(Смета!A284="Прайс",Смета!C284)</f>
        <v>шт.</v>
      </c>
      <c r="D347" s="48">
        <f>IF(Смета!A284="Прайс",Смета!D284)</f>
        <v>112.41930000000002</v>
      </c>
      <c r="E347" s="48" t="b">
        <f>IF(Смета!D284="Прайс",Смета!E284)</f>
        <v>0</v>
      </c>
      <c r="F347" s="48" t="b">
        <f>IF(Смета!E284="Прайс",Смета!F284)</f>
        <v>0</v>
      </c>
      <c r="G347" s="48">
        <f>IF(Смета!A284="Прайс",Смета!F284)</f>
        <v>0.23</v>
      </c>
    </row>
    <row r="348" spans="2:7" hidden="1">
      <c r="B348" s="48" t="str">
        <f>IF(Смета!A299="Прайс",Смета!B299)</f>
        <v>Пресс-шайба 13</v>
      </c>
      <c r="C348" s="48" t="str">
        <f>IF(Смета!A299="Прайс",Смета!C299)</f>
        <v>шт.</v>
      </c>
      <c r="D348" s="48">
        <f>IF(Смета!A299="Прайс",Смета!D299)</f>
        <v>111.578</v>
      </c>
      <c r="E348" s="48" t="b">
        <f>IF(Смета!D299="Прайс",Смета!E299)</f>
        <v>0</v>
      </c>
      <c r="F348" s="48" t="b">
        <f>IF(Смета!E299="Прайс",Смета!F299)</f>
        <v>0</v>
      </c>
      <c r="G348" s="48">
        <f>IF(Смета!A299="Прайс",Смета!F299)</f>
        <v>0.23</v>
      </c>
    </row>
    <row r="349" spans="2:7" hidden="1">
      <c r="B349" s="48" t="str">
        <f>IF(Смета!A60="Прайс",Смета!B60)</f>
        <v>ПС 100/50</v>
      </c>
      <c r="C349" s="48" t="str">
        <f>IF(Смета!A60="Прайс",Смета!C60)</f>
        <v>м.п.</v>
      </c>
      <c r="D349" s="48">
        <f>IF(Смета!A60="Прайс",Смета!D60)</f>
        <v>107.10000000000001</v>
      </c>
      <c r="E349" s="48" t="b">
        <f>IF(Смета!D60="Прайс",Смета!E60)</f>
        <v>0</v>
      </c>
      <c r="F349" s="48" t="b">
        <f>IF(Смета!E60="Прайс",Смета!F60)</f>
        <v>0</v>
      </c>
      <c r="G349" s="48">
        <f>IF(Смета!A60="Прайс",Смета!F60)</f>
        <v>45.67</v>
      </c>
    </row>
    <row r="350" spans="2:7" hidden="1">
      <c r="B350" s="48" t="str">
        <f>IF(Смета!A87="Прайс",Смета!B87)</f>
        <v>ПС 100/50</v>
      </c>
      <c r="C350" s="48" t="str">
        <f>IF(Смета!A87="Прайс",Смета!C87)</f>
        <v>м.п.</v>
      </c>
      <c r="D350" s="48">
        <f>IF(Смета!A87="Прайс",Смета!D87)</f>
        <v>78.858000000000004</v>
      </c>
      <c r="E350" s="48" t="b">
        <f>IF(Смета!D87="Прайс",Смета!E87)</f>
        <v>0</v>
      </c>
      <c r="F350" s="48" t="b">
        <f>IF(Смета!E87="Прайс",Смета!F87)</f>
        <v>0</v>
      </c>
      <c r="G350" s="48">
        <f>IF(Смета!A87="Прайс",Смета!F87)</f>
        <v>45.67</v>
      </c>
    </row>
    <row r="351" spans="2:7" hidden="1">
      <c r="B351" s="48" t="str">
        <f>IF(Смета!A115="Прайс",Смета!B115)</f>
        <v>ПС 100/50</v>
      </c>
      <c r="C351" s="48" t="str">
        <f>IF(Смета!A115="Прайс",Смета!C115)</f>
        <v>м.п.</v>
      </c>
      <c r="D351" s="48">
        <f>IF(Смета!A115="Прайс",Смета!D115)</f>
        <v>8.350679999999997</v>
      </c>
      <c r="E351" s="48" t="b">
        <f>IF(Смета!D115="Прайс",Смета!E115)</f>
        <v>0</v>
      </c>
      <c r="F351" s="48" t="b">
        <f>IF(Смета!E115="Прайс",Смета!F115)</f>
        <v>0</v>
      </c>
      <c r="G351" s="48">
        <f>IF(Смета!A115="Прайс",Смета!F115)</f>
        <v>45.67</v>
      </c>
    </row>
    <row r="352" spans="2:7" hidden="1">
      <c r="B352" s="48" t="str">
        <f>IF(Смета!A74="Прайс",Смета!B74)</f>
        <v>ПС 50/50</v>
      </c>
      <c r="C352" s="48" t="str">
        <f>IF(Смета!A74="Прайс",Смета!C74)</f>
        <v>м.п.</v>
      </c>
      <c r="D352" s="48">
        <f>IF(Смета!A74="Прайс",Смета!D74)</f>
        <v>67.323672000000002</v>
      </c>
      <c r="E352" s="48" t="b">
        <f>IF(Смета!D74="Прайс",Смета!E74)</f>
        <v>0</v>
      </c>
      <c r="F352" s="48" t="b">
        <f>IF(Смета!E74="Прайс",Смета!F74)</f>
        <v>0</v>
      </c>
      <c r="G352" s="48">
        <f>IF(Смета!A74="Прайс",Смета!F74)</f>
        <v>34.07</v>
      </c>
    </row>
    <row r="353" spans="2:7" hidden="1">
      <c r="B353" s="48" t="str">
        <f>IF(Смета!A363="Прайс",Смета!B363)</f>
        <v>Рамка Легранд 1 мод.</v>
      </c>
      <c r="C353" s="48" t="str">
        <f>IF(Смета!A363="Прайс",Смета!C363)</f>
        <v>шт.</v>
      </c>
      <c r="D353" s="48">
        <f>IF(Смета!A363="Прайс",Смета!D363)</f>
        <v>22</v>
      </c>
      <c r="E353" s="48" t="b">
        <f>IF(Смета!D363="Прайс",Смета!E363)</f>
        <v>0</v>
      </c>
      <c r="F353" s="48" t="b">
        <f>IF(Смета!E363="Прайс",Смета!F363)</f>
        <v>0</v>
      </c>
      <c r="G353" s="48">
        <f>IF(Смета!A363="Прайс",Смета!F363)</f>
        <v>45.672000000000004</v>
      </c>
    </row>
    <row r="354" spans="2:7" hidden="1">
      <c r="B354" s="48" t="str">
        <f>IF(Смета!A367="Прайс",Смета!B367)</f>
        <v>Рамка Легранд 1 мод.</v>
      </c>
      <c r="C354" s="48" t="str">
        <f>IF(Смета!A367="Прайс",Смета!C367)</f>
        <v>шт.</v>
      </c>
      <c r="D354" s="48">
        <f>IF(Смета!A367="Прайс",Смета!D367)</f>
        <v>13</v>
      </c>
      <c r="E354" s="48" t="b">
        <f>IF(Смета!D367="Прайс",Смета!E367)</f>
        <v>0</v>
      </c>
      <c r="F354" s="48" t="b">
        <f>IF(Смета!E367="Прайс",Смета!F367)</f>
        <v>0</v>
      </c>
      <c r="G354" s="48">
        <f>IF(Смета!A367="Прайс",Смета!F367)</f>
        <v>45.672000000000004</v>
      </c>
    </row>
    <row r="355" spans="2:7" hidden="1">
      <c r="B355" s="48" t="str">
        <f>IF(Смета!A132="Прайс",Смета!B132)</f>
        <v>Рамный дюбель М10х132(ДВЕРИ)</v>
      </c>
      <c r="C355" s="48" t="str">
        <f>IF(Смета!A132="Прайс",Смета!C132)</f>
        <v>шт.</v>
      </c>
      <c r="D355" s="48">
        <f>IF(Смета!A132="Прайс",Смета!D132)</f>
        <v>6</v>
      </c>
      <c r="E355" s="48" t="b">
        <f>IF(Смета!D132="Прайс",Смета!E132)</f>
        <v>0</v>
      </c>
      <c r="F355" s="48" t="b">
        <f>IF(Смета!E132="Прайс",Смета!F132)</f>
        <v>0</v>
      </c>
      <c r="G355" s="48">
        <f>IF(Смета!A132="Прайс",Смета!F132)</f>
        <v>14</v>
      </c>
    </row>
    <row r="356" spans="2:7" hidden="1">
      <c r="B356" s="48" t="str">
        <f>IF(Смета!A138="Прайс",Смета!B138)</f>
        <v>Рамный дюбель М10х132(ДВЕРИ)</v>
      </c>
      <c r="C356" s="48" t="str">
        <f>IF(Смета!A138="Прайс",Смета!C138)</f>
        <v>шт.</v>
      </c>
      <c r="D356" s="48">
        <f>IF(Смета!A138="Прайс",Смета!D138)</f>
        <v>12</v>
      </c>
      <c r="E356" s="48" t="b">
        <f>IF(Смета!D138="Прайс",Смета!E138)</f>
        <v>0</v>
      </c>
      <c r="F356" s="48" t="b">
        <f>IF(Смета!E138="Прайс",Смета!F138)</f>
        <v>0</v>
      </c>
      <c r="G356" s="48">
        <f>IF(Смета!A138="Прайс",Смета!F138)</f>
        <v>14</v>
      </c>
    </row>
    <row r="357" spans="2:7" hidden="1">
      <c r="B357" s="48" t="str">
        <f>IF(Смета!A142="Прайс",Смета!B142)</f>
        <v>Рамный дюбель М10х132(ДВЕРИ)</v>
      </c>
      <c r="C357" s="48" t="str">
        <f>IF(Смета!A142="Прайс",Смета!C142)</f>
        <v>шт.</v>
      </c>
      <c r="D357" s="48">
        <f>IF(Смета!A142="Прайс",Смета!D142)</f>
        <v>48</v>
      </c>
      <c r="E357" s="48" t="b">
        <f>IF(Смета!D142="Прайс",Смета!E142)</f>
        <v>0</v>
      </c>
      <c r="F357" s="48" t="b">
        <f>IF(Смета!E142="Прайс",Смета!F142)</f>
        <v>0</v>
      </c>
      <c r="G357" s="48">
        <f>IF(Смета!A142="Прайс",Смета!F142)</f>
        <v>14</v>
      </c>
    </row>
    <row r="358" spans="2:7" hidden="1">
      <c r="B358" s="48" t="str">
        <f>IF(Смета!A152="Прайс",Смета!B152)</f>
        <v>Рамный дюбель М10х132(ДВЕРИ)</v>
      </c>
      <c r="C358" s="48" t="str">
        <f>IF(Смета!A152="Прайс",Смета!C152)</f>
        <v>шт.</v>
      </c>
      <c r="D358" s="48">
        <f>IF(Смета!A152="Прайс",Смета!D152)</f>
        <v>24</v>
      </c>
      <c r="E358" s="48" t="b">
        <f>IF(Смета!D152="Прайс",Смета!E152)</f>
        <v>0</v>
      </c>
      <c r="F358" s="48" t="b">
        <f>IF(Смета!E152="Прайс",Смета!F152)</f>
        <v>0</v>
      </c>
      <c r="G358" s="48">
        <f>IF(Смета!A152="Прайс",Смета!F152)</f>
        <v>14</v>
      </c>
    </row>
    <row r="359" spans="2:7" hidden="1">
      <c r="B359" s="48" t="str">
        <f>IF(Смета!A218="Прайс",Смета!B218)</f>
        <v xml:space="preserve">Решетка радиаторная 600*1200 горизонтальные жалюзи </v>
      </c>
      <c r="C359" s="48" t="str">
        <f>IF(Смета!A218="Прайс",Смета!C218)</f>
        <v>шт.</v>
      </c>
      <c r="D359" s="48">
        <f>IF(Смета!A218="Прайс",Смета!D218)</f>
        <v>4</v>
      </c>
      <c r="E359" s="48" t="b">
        <f>IF(Смета!D218="Прайс",Смета!E218)</f>
        <v>0</v>
      </c>
      <c r="F359" s="48" t="b">
        <f>IF(Смета!E218="Прайс",Смета!F218)</f>
        <v>0</v>
      </c>
      <c r="G359" s="48">
        <f>IF(Смета!A218="Прайс",Смета!F218)</f>
        <v>430</v>
      </c>
    </row>
    <row r="360" spans="2:7" hidden="1">
      <c r="B360" s="48" t="str">
        <f>IF(Смета!A362="Прайс",Смета!B362)</f>
        <v>Розетка Легранд (встр.)</v>
      </c>
      <c r="C360" s="48" t="str">
        <f>IF(Смета!A362="Прайс",Смета!C362)</f>
        <v>шт.</v>
      </c>
      <c r="D360" s="48">
        <f>IF(Смета!A362="Прайс",Смета!D362)</f>
        <v>22</v>
      </c>
      <c r="E360" s="48" t="b">
        <f>IF(Смета!D362="Прайс",Смета!E362)</f>
        <v>0</v>
      </c>
      <c r="F360" s="48" t="b">
        <f>IF(Смета!E362="Прайс",Смета!F362)</f>
        <v>0</v>
      </c>
      <c r="G360" s="48">
        <f>IF(Смета!A362="Прайс",Смета!F362)</f>
        <v>154.84700000000004</v>
      </c>
    </row>
    <row r="361" spans="2:7" hidden="1">
      <c r="B361" s="48" t="str">
        <f>IF(Смета!A219="Прайс",Смета!B219)</f>
        <v>Саморез 25</v>
      </c>
      <c r="C361" s="48" t="str">
        <f>IF(Смета!A219="Прайс",Смета!C219)</f>
        <v>шт.</v>
      </c>
      <c r="D361" s="48">
        <f>IF(Смета!A219="Прайс",Смета!D219)</f>
        <v>80</v>
      </c>
      <c r="E361" s="48" t="b">
        <f>IF(Смета!D219="Прайс",Смета!E219)</f>
        <v>0</v>
      </c>
      <c r="F361" s="48" t="b">
        <f>IF(Смета!E219="Прайс",Смета!F219)</f>
        <v>0</v>
      </c>
      <c r="G361" s="48">
        <f>IF(Смета!A219="Прайс",Смета!F219)</f>
        <v>0.19</v>
      </c>
    </row>
    <row r="362" spans="2:7" hidden="1">
      <c r="B362" s="48" t="str">
        <f>IF(Смета!A325="Прайс",Смета!B325)</f>
        <v>Саморез 25</v>
      </c>
      <c r="C362" s="48" t="str">
        <f>IF(Смета!A325="Прайс",Смета!C325)</f>
        <v>шт.</v>
      </c>
      <c r="D362" s="48">
        <f>IF(Смета!A325="Прайс",Смета!D325)</f>
        <v>72.922499999999999</v>
      </c>
      <c r="E362" s="48" t="b">
        <f>IF(Смета!D325="Прайс",Смета!E325)</f>
        <v>0</v>
      </c>
      <c r="F362" s="48" t="b">
        <f>IF(Смета!E325="Прайс",Смета!F325)</f>
        <v>0</v>
      </c>
      <c r="G362" s="48">
        <f>IF(Смета!A325="Прайс",Смета!F325)</f>
        <v>0.19</v>
      </c>
    </row>
    <row r="363" spans="2:7" hidden="1">
      <c r="B363" s="48" t="str">
        <f>IF(Смета!A61="Прайс",Смета!B61)</f>
        <v>Саморез 25 для ГВЛ</v>
      </c>
      <c r="C363" s="48" t="str">
        <f>IF(Смета!A61="Прайс",Смета!C61)</f>
        <v>шт.</v>
      </c>
      <c r="D363" s="48">
        <f>IF(Смета!A61="Прайс",Смета!D61)</f>
        <v>765</v>
      </c>
      <c r="E363" s="48" t="b">
        <f>IF(Смета!D61="Прайс",Смета!E61)</f>
        <v>0</v>
      </c>
      <c r="F363" s="48" t="b">
        <f>IF(Смета!E61="Прайс",Смета!F61)</f>
        <v>0</v>
      </c>
      <c r="G363" s="48">
        <f>IF(Смета!A61="Прайс",Смета!F61)</f>
        <v>0.24</v>
      </c>
    </row>
    <row r="364" spans="2:7" hidden="1">
      <c r="B364" s="48" t="str">
        <f>IF(Смета!A75="Прайс",Смета!B75)</f>
        <v>Саморез 25 для ГВЛ</v>
      </c>
      <c r="C364" s="48" t="str">
        <f>IF(Смета!A75="Прайс",Смета!C75)</f>
        <v>шт.</v>
      </c>
      <c r="D364" s="48">
        <f>IF(Смета!A75="Прайс",Смета!D75)</f>
        <v>575.41600000000005</v>
      </c>
      <c r="E364" s="48" t="b">
        <f>IF(Смета!D75="Прайс",Смета!E75)</f>
        <v>0</v>
      </c>
      <c r="F364" s="48" t="b">
        <f>IF(Смета!E75="Прайс",Смета!F75)</f>
        <v>0</v>
      </c>
      <c r="G364" s="48">
        <f>IF(Смета!A75="Прайс",Смета!F75)</f>
        <v>0.24</v>
      </c>
    </row>
    <row r="365" spans="2:7" hidden="1">
      <c r="B365" s="48" t="str">
        <f>IF(Смета!A88="Прайс",Смета!B88)</f>
        <v>Саморез 25 для ГВЛ</v>
      </c>
      <c r="C365" s="48" t="str">
        <f>IF(Смета!A88="Прайс",Смета!C88)</f>
        <v>шт.</v>
      </c>
      <c r="D365" s="48">
        <f>IF(Смета!A88="Прайс",Смета!D88)</f>
        <v>674</v>
      </c>
      <c r="E365" s="48" t="b">
        <f>IF(Смета!D88="Прайс",Смета!E88)</f>
        <v>0</v>
      </c>
      <c r="F365" s="48" t="b">
        <f>IF(Смета!E88="Прайс",Смета!F88)</f>
        <v>0</v>
      </c>
      <c r="G365" s="48">
        <f>IF(Смета!A88="Прайс",Смета!F88)</f>
        <v>0.24</v>
      </c>
    </row>
    <row r="366" spans="2:7" hidden="1">
      <c r="B366" s="48" t="str">
        <f>IF(Смета!A102="Прайс",Смета!B102)</f>
        <v>Саморез 25 для ГВЛ</v>
      </c>
      <c r="C366" s="48" t="str">
        <f>IF(Смета!A102="Прайс",Смета!C102)</f>
        <v>шт.</v>
      </c>
      <c r="D366" s="48">
        <f>IF(Смета!A102="Прайс",Смета!D102)</f>
        <v>273.38010000000003</v>
      </c>
      <c r="E366" s="48" t="b">
        <f>IF(Смета!D102="Прайс",Смета!E102)</f>
        <v>0</v>
      </c>
      <c r="F366" s="48" t="b">
        <f>IF(Смета!E102="Прайс",Смета!F102)</f>
        <v>0</v>
      </c>
      <c r="G366" s="48">
        <f>IF(Смета!A102="Прайс",Смета!F102)</f>
        <v>0.24</v>
      </c>
    </row>
    <row r="367" spans="2:7" hidden="1">
      <c r="B367" s="48" t="str">
        <f>IF(Смета!A116="Прайс",Смета!B116)</f>
        <v>Саморез 25 для ГВЛ</v>
      </c>
      <c r="C367" s="48" t="str">
        <f>IF(Смета!A116="Прайс",Смета!C116)</f>
        <v>шт.</v>
      </c>
      <c r="D367" s="48">
        <f>IF(Смета!A116="Прайс",Смета!D116)</f>
        <v>122.04839999999994</v>
      </c>
      <c r="E367" s="48" t="b">
        <f>IF(Смета!D116="Прайс",Смета!E116)</f>
        <v>0</v>
      </c>
      <c r="F367" s="48" t="b">
        <f>IF(Смета!E116="Прайс",Смета!F116)</f>
        <v>0</v>
      </c>
      <c r="G367" s="48">
        <f>IF(Смета!A116="Прайс",Смета!F116)</f>
        <v>0.24</v>
      </c>
    </row>
    <row r="368" spans="2:7" hidden="1">
      <c r="B368" s="48" t="str">
        <f>IF(Смета!A282="Прайс",Смета!B282)</f>
        <v>Саморез 25 для ГВЛ</v>
      </c>
      <c r="C368" s="48" t="str">
        <f>IF(Смета!A282="Прайс",Смета!C282)</f>
        <v>шт.</v>
      </c>
      <c r="D368" s="48">
        <f>IF(Смета!A282="Прайс",Смета!D282)</f>
        <v>550.13700000000006</v>
      </c>
      <c r="E368" s="48" t="b">
        <f>IF(Смета!D282="Прайс",Смета!E282)</f>
        <v>0</v>
      </c>
      <c r="F368" s="48" t="b">
        <f>IF(Смета!E282="Прайс",Смета!F282)</f>
        <v>0</v>
      </c>
      <c r="G368" s="48">
        <f>IF(Смета!A282="Прайс",Смета!F282)</f>
        <v>0.24</v>
      </c>
    </row>
    <row r="369" spans="2:7" hidden="1">
      <c r="B369" s="48" t="str">
        <f>IF(Смета!A297="Прайс",Смета!B297)</f>
        <v>Саморез 25 для ГВЛ</v>
      </c>
      <c r="C369" s="48" t="str">
        <f>IF(Смета!A297="Прайс",Смета!C297)</f>
        <v>шт.</v>
      </c>
      <c r="D369" s="48">
        <f>IF(Смета!A297="Прайс",Смета!D297)</f>
        <v>546.02</v>
      </c>
      <c r="E369" s="48" t="b">
        <f>IF(Смета!D297="Прайс",Смета!E297)</f>
        <v>0</v>
      </c>
      <c r="F369" s="48" t="b">
        <f>IF(Смета!E297="Прайс",Смета!F297)</f>
        <v>0</v>
      </c>
      <c r="G369" s="48">
        <f>IF(Смета!A297="Прайс",Смета!F297)</f>
        <v>0.19</v>
      </c>
    </row>
    <row r="370" spans="2:7" hidden="1">
      <c r="B370" s="48" t="str">
        <f>IF(Смета!A62="Прайс",Смета!B62)</f>
        <v>Саморез 35 для ГВЛ</v>
      </c>
      <c r="C370" s="48" t="str">
        <f>IF(Смета!A62="Прайс",Смета!C62)</f>
        <v>шт.</v>
      </c>
      <c r="D370" s="48">
        <f>IF(Смета!A62="Прайс",Смета!D62)</f>
        <v>1938</v>
      </c>
      <c r="E370" s="48" t="b">
        <f>IF(Смета!D62="Прайс",Смета!E62)</f>
        <v>0</v>
      </c>
      <c r="F370" s="48" t="b">
        <f>IF(Смета!E62="Прайс",Смета!F62)</f>
        <v>0</v>
      </c>
      <c r="G370" s="48">
        <f>IF(Смета!A62="Прайс",Смета!F62)</f>
        <v>0.26</v>
      </c>
    </row>
    <row r="371" spans="2:7" hidden="1">
      <c r="B371" s="48" t="str">
        <f>IF(Смета!A372="Прайс",Смета!B372)</f>
        <v>Светильники люминисцентные встраиваемые 2х18</v>
      </c>
      <c r="C371" s="48" t="str">
        <f>IF(Смета!A372="Прайс",Смета!C372)</f>
        <v>шт.</v>
      </c>
      <c r="D371" s="48">
        <f>IF(Смета!A372="Прайс",Смета!D372)</f>
        <v>2</v>
      </c>
      <c r="E371" s="48" t="b">
        <f>IF(Смета!D372="Прайс",Смета!E372)</f>
        <v>0</v>
      </c>
      <c r="F371" s="48" t="b">
        <f>IF(Смета!E372="Прайс",Смета!F372)</f>
        <v>0</v>
      </c>
      <c r="G371" s="48">
        <f>IF(Смета!A372="Прайс",Смета!F372)</f>
        <v>511.50550000000004</v>
      </c>
    </row>
    <row r="372" spans="2:7" hidden="1">
      <c r="B372" s="48" t="str">
        <f>IF(Смета!A371="Прайс",Смета!B371)</f>
        <v>Светильники люминисцентные встраиваемые 4х18</v>
      </c>
      <c r="C372" s="48" t="str">
        <f>IF(Смета!A371="Прайс",Смета!C371)</f>
        <v>шт.</v>
      </c>
      <c r="D372" s="48">
        <f>IF(Смета!A371="Прайс",Смета!D371)</f>
        <v>16</v>
      </c>
      <c r="E372" s="48" t="b">
        <f>IF(Смета!D371="Прайс",Смета!E371)</f>
        <v>0</v>
      </c>
      <c r="F372" s="48" t="b">
        <f>IF(Смета!E371="Прайс",Смета!F371)</f>
        <v>0</v>
      </c>
      <c r="G372" s="48">
        <f>IF(Смета!A371="Прайс",Смета!F371)</f>
        <v>682.04399999999998</v>
      </c>
    </row>
    <row r="373" spans="2:7" hidden="1">
      <c r="B373" s="48" t="str">
        <f>IF(Смета!A260="Прайс",Смета!B260)</f>
        <v>Седенитель плинтусный</v>
      </c>
      <c r="C373" s="48" t="str">
        <f>IF(Смета!A260="Прайс",Смета!C260)</f>
        <v>шт.</v>
      </c>
      <c r="D373" s="48">
        <f>IF(Смета!A260="Прайс",Смета!D260)</f>
        <v>4.4000000000000004</v>
      </c>
      <c r="E373" s="48" t="b">
        <f>IF(Смета!D260="Прайс",Смета!E260)</f>
        <v>0</v>
      </c>
      <c r="F373" s="48" t="b">
        <f>IF(Смета!E260="Прайс",Смета!F260)</f>
        <v>0</v>
      </c>
      <c r="G373" s="48">
        <f>IF(Смета!A260="Прайс",Смета!F260)</f>
        <v>11.1</v>
      </c>
    </row>
    <row r="374" spans="2:7" hidden="1">
      <c r="B374" s="48" t="str">
        <f>IF(Смета!A67="Прайс",Смета!B67)</f>
        <v>Серпянка</v>
      </c>
      <c r="C374" s="48" t="str">
        <f>IF(Смета!A67="Прайс",Смета!C67)</f>
        <v>м.п.</v>
      </c>
      <c r="D374" s="48">
        <f>IF(Смета!A67="Прайс",Смета!D67)</f>
        <v>90.27</v>
      </c>
      <c r="E374" s="48" t="b">
        <f>IF(Смета!D67="Прайс",Смета!E67)</f>
        <v>0</v>
      </c>
      <c r="F374" s="48" t="b">
        <f>IF(Смета!E67="Прайс",Смета!F67)</f>
        <v>0</v>
      </c>
      <c r="G374" s="48">
        <f>IF(Смета!A67="Прайс",Смета!F67)</f>
        <v>0.71</v>
      </c>
    </row>
    <row r="375" spans="2:7" hidden="1">
      <c r="B375" s="48" t="str">
        <f>IF(Смета!A80="Прайс",Смета!B80)</f>
        <v>Серпянка</v>
      </c>
      <c r="C375" s="48" t="str">
        <f>IF(Смета!A80="Прайс",Смета!C80)</f>
        <v>м.п.</v>
      </c>
      <c r="D375" s="48">
        <f>IF(Смета!A80="Прайс",Смета!D80)</f>
        <v>25.462158000000002</v>
      </c>
      <c r="E375" s="48" t="b">
        <f>IF(Смета!D80="Прайс",Смета!E80)</f>
        <v>0</v>
      </c>
      <c r="F375" s="48" t="b">
        <f>IF(Смета!E80="Прайс",Смета!F80)</f>
        <v>0</v>
      </c>
      <c r="G375" s="48">
        <f>IF(Смета!A80="Прайс",Смета!F80)</f>
        <v>0.71</v>
      </c>
    </row>
    <row r="376" spans="2:7" hidden="1">
      <c r="B376" s="48" t="str">
        <f>IF(Смета!A93="Прайс",Смета!B93)</f>
        <v>Серпянка</v>
      </c>
      <c r="C376" s="48" t="str">
        <f>IF(Смета!A93="Прайс",Смета!C93)</f>
        <v>м.п.</v>
      </c>
      <c r="D376" s="48">
        <f>IF(Смета!A93="Прайс",Смета!D93)</f>
        <v>29.824500000000004</v>
      </c>
      <c r="E376" s="48" t="b">
        <f>IF(Смета!D93="Прайс",Смета!E93)</f>
        <v>0</v>
      </c>
      <c r="F376" s="48" t="b">
        <f>IF(Смета!E93="Прайс",Смета!F93)</f>
        <v>0</v>
      </c>
      <c r="G376" s="48">
        <f>IF(Смета!A93="Прайс",Смета!F93)</f>
        <v>0.71</v>
      </c>
    </row>
    <row r="377" spans="2:7" hidden="1">
      <c r="B377" s="48" t="str">
        <f>IF(Смета!A107="Прайс",Смета!B107)</f>
        <v>Серпянка</v>
      </c>
      <c r="C377" s="48" t="str">
        <f>IF(Смета!A107="Прайс",Смета!C107)</f>
        <v>м.п.</v>
      </c>
      <c r="D377" s="48">
        <f>IF(Смета!A107="Прайс",Смета!D107)</f>
        <v>12.45195</v>
      </c>
      <c r="E377" s="48" t="b">
        <f>IF(Смета!D107="Прайс",Смета!E107)</f>
        <v>0</v>
      </c>
      <c r="F377" s="48" t="b">
        <f>IF(Смета!E107="Прайс",Смета!F107)</f>
        <v>0</v>
      </c>
      <c r="G377" s="48">
        <f>IF(Смета!A107="Прайс",Смета!F107)</f>
        <v>0.71</v>
      </c>
    </row>
    <row r="378" spans="2:7" hidden="1">
      <c r="B378" s="48" t="str">
        <f>IF(Смета!A121="Прайс",Смета!B121)</f>
        <v>Серпянка</v>
      </c>
      <c r="C378" s="48" t="str">
        <f>IF(Смета!A121="Прайс",Смета!C121)</f>
        <v>м.п.</v>
      </c>
      <c r="D378" s="48">
        <f>IF(Смета!A121="Прайс",Смета!D121)</f>
        <v>5.684885999999997</v>
      </c>
      <c r="E378" s="48" t="b">
        <f>IF(Смета!D121="Прайс",Смета!E121)</f>
        <v>0</v>
      </c>
      <c r="F378" s="48" t="b">
        <f>IF(Смета!E121="Прайс",Смета!F121)</f>
        <v>0</v>
      </c>
      <c r="G378" s="48">
        <f>IF(Смета!A121="Прайс",Смета!F121)</f>
        <v>0.71</v>
      </c>
    </row>
    <row r="379" spans="2:7" hidden="1">
      <c r="B379" s="48" t="str">
        <f>IF(Смета!A166="Прайс",Смета!B166)</f>
        <v>Серпянка</v>
      </c>
      <c r="C379" s="48" t="str">
        <f>IF(Смета!A166="Прайс",Смета!C166)</f>
        <v>м.п.</v>
      </c>
      <c r="D379" s="48">
        <f>IF(Смета!A166="Прайс",Смета!D166)</f>
        <v>9.2323125000000008</v>
      </c>
      <c r="E379" s="48" t="b">
        <f>IF(Смета!D166="Прайс",Смета!E166)</f>
        <v>0</v>
      </c>
      <c r="F379" s="48" t="b">
        <f>IF(Смета!E166="Прайс",Смета!F166)</f>
        <v>0</v>
      </c>
      <c r="G379" s="48">
        <f>IF(Смета!A166="Прайс",Смета!F166)</f>
        <v>0.71</v>
      </c>
    </row>
    <row r="380" spans="2:7" hidden="1">
      <c r="B380" s="48" t="str">
        <f>IF(Смета!A287="Прайс",Смета!B287)</f>
        <v>Серпянка</v>
      </c>
      <c r="C380" s="48" t="str">
        <f>IF(Смета!A287="Прайс",Смета!C287)</f>
        <v>м.п.</v>
      </c>
      <c r="D380" s="48">
        <f>IF(Смета!A287="Прайс",Смета!D287)</f>
        <v>21.168315000000003</v>
      </c>
      <c r="E380" s="48" t="b">
        <f>IF(Смета!D287="Прайс",Смета!E287)</f>
        <v>0</v>
      </c>
      <c r="F380" s="48" t="b">
        <f>IF(Смета!E287="Прайс",Смета!F287)</f>
        <v>0</v>
      </c>
      <c r="G380" s="48">
        <f>IF(Смета!A287="Прайс",Смета!F287)</f>
        <v>0.71</v>
      </c>
    </row>
    <row r="381" spans="2:7" hidden="1">
      <c r="B381" s="48" t="str">
        <f>IF(Смета!A302="Прайс",Смета!B302)</f>
        <v>Серпянка</v>
      </c>
      <c r="C381" s="48" t="str">
        <f>IF(Смета!A302="Прайс",Смета!C302)</f>
        <v>м.п.</v>
      </c>
      <c r="D381" s="48">
        <f>IF(Смета!A302="Прайс",Смета!D302)</f>
        <v>21.009899999999998</v>
      </c>
      <c r="E381" s="48" t="b">
        <f>IF(Смета!D302="Прайс",Смета!E302)</f>
        <v>0</v>
      </c>
      <c r="F381" s="48" t="b">
        <f>IF(Смета!E302="Прайс",Смета!F302)</f>
        <v>0</v>
      </c>
      <c r="G381" s="48">
        <f>IF(Смета!A302="Прайс",Смета!F302)</f>
        <v>0.71</v>
      </c>
    </row>
    <row r="382" spans="2:7" hidden="1">
      <c r="B382" s="48" t="str">
        <f>IF(Смета!A46="Прайс",Смета!B46)</f>
        <v>Сетка арматурная</v>
      </c>
      <c r="C382" s="48" t="str">
        <f>IF(Смета!A46="Прайс",Смета!C46)</f>
        <v>тн</v>
      </c>
      <c r="D382" s="48">
        <f>IF(Смета!A46="Прайс",Смета!D46)</f>
        <v>2.9429400000000002E-3</v>
      </c>
      <c r="E382" s="48" t="b">
        <f>IF(Смета!D46="Прайс",Смета!E46)</f>
        <v>0</v>
      </c>
      <c r="F382" s="48" t="b">
        <f>IF(Смета!E46="Прайс",Смета!F46)</f>
        <v>0</v>
      </c>
      <c r="G382" s="48">
        <f>IF(Смета!A46="Прайс",Смета!F46)</f>
        <v>57680</v>
      </c>
    </row>
    <row r="383" spans="2:7" hidden="1">
      <c r="B383" s="48" t="str">
        <f>IF(Смета!A51="Прайс",Смета!B51)</f>
        <v>Сетка арматурная</v>
      </c>
      <c r="C383" s="48" t="str">
        <f>IF(Смета!A51="Прайс",Смета!C51)</f>
        <v>тн</v>
      </c>
      <c r="D383" s="48">
        <f>IF(Смета!A51="Прайс",Смета!D51)</f>
        <v>3.3877443600000006E-3</v>
      </c>
      <c r="E383" s="48" t="b">
        <f>IF(Смета!D51="Прайс",Смета!E51)</f>
        <v>0</v>
      </c>
      <c r="F383" s="48" t="b">
        <f>IF(Смета!E51="Прайс",Смета!F51)</f>
        <v>0</v>
      </c>
      <c r="G383" s="48">
        <f>IF(Смета!A51="Прайс",Смета!F51)</f>
        <v>57680</v>
      </c>
    </row>
    <row r="384" spans="2:7" hidden="1">
      <c r="B384" s="48" t="str">
        <f>IF(Смета!A55="Прайс",Смета!B55)</f>
        <v>Сетка арматурная</v>
      </c>
      <c r="C384" s="48" t="str">
        <f>IF(Смета!A55="Прайс",Смета!C55)</f>
        <v>тн</v>
      </c>
      <c r="D384" s="48">
        <f>IF(Смета!A55="Прайс",Смета!D55)</f>
        <v>3.9885999999999993E-3</v>
      </c>
      <c r="E384" s="48" t="b">
        <f>IF(Смета!D55="Прайс",Смета!E55)</f>
        <v>0</v>
      </c>
      <c r="F384" s="48" t="b">
        <f>IF(Смета!E55="Прайс",Смета!F55)</f>
        <v>0</v>
      </c>
      <c r="G384" s="48">
        <f>IF(Смета!A55="Прайс",Смета!F55)</f>
        <v>57680</v>
      </c>
    </row>
    <row r="385" spans="2:7" hidden="1">
      <c r="B385" s="48" t="str">
        <f>IF(Смета!A226="Прайс",Смета!B226)</f>
        <v>Сетка арматурная</v>
      </c>
      <c r="C385" s="48" t="str">
        <f>IF(Смета!A226="Прайс",Смета!C226)</f>
        <v>тн.</v>
      </c>
      <c r="D385" s="48">
        <f>IF(Смета!A226="Прайс",Смета!D226)</f>
        <v>5.3280000000000001E-2</v>
      </c>
      <c r="E385" s="48" t="b">
        <f>IF(Смета!D226="Прайс",Смета!E226)</f>
        <v>0</v>
      </c>
      <c r="F385" s="48" t="b">
        <f>IF(Смета!E226="Прайс",Смета!F226)</f>
        <v>0</v>
      </c>
      <c r="G385" s="48">
        <f>IF(Смета!A226="Прайс",Смета!F226)</f>
        <v>57680</v>
      </c>
    </row>
    <row r="386" spans="2:7" hidden="1">
      <c r="B386" s="48" t="str">
        <f>IF(Смета!A204="Прайс",Смета!B204)</f>
        <v>Сетка шлифовальная</v>
      </c>
      <c r="C386" s="48" t="str">
        <f>IF(Смета!A204="Прайс",Смета!C204)</f>
        <v>м2</v>
      </c>
      <c r="D386" s="48">
        <f>IF(Смета!A204="Прайс",Смета!D204)</f>
        <v>7.6322700000000001</v>
      </c>
      <c r="E386" s="48" t="b">
        <f>IF(Смета!D204="Прайс",Смета!E204)</f>
        <v>0</v>
      </c>
      <c r="F386" s="48" t="b">
        <f>IF(Смета!E204="Прайс",Смета!F204)</f>
        <v>0</v>
      </c>
      <c r="G386" s="48">
        <f>IF(Смета!A204="Прайс",Смета!F204)</f>
        <v>72.400000000000006</v>
      </c>
    </row>
    <row r="387" spans="2:7" hidden="1">
      <c r="B387" s="48" t="str">
        <f>IF(Смета!A208="Прайс",Смета!B208)</f>
        <v>Сетка шлифовальная</v>
      </c>
      <c r="C387" s="48" t="str">
        <f>IF(Смета!A208="Прайс",Смета!C208)</f>
        <v>м2</v>
      </c>
      <c r="D387" s="48">
        <f>IF(Смета!A208="Прайс",Смета!D208)</f>
        <v>0.44493749999999999</v>
      </c>
      <c r="E387" s="48" t="b">
        <f>IF(Смета!D208="Прайс",Смета!E208)</f>
        <v>0</v>
      </c>
      <c r="F387" s="48" t="b">
        <f>IF(Смета!E208="Прайс",Смета!F208)</f>
        <v>0</v>
      </c>
      <c r="G387" s="48">
        <f>IF(Смета!A208="Прайс",Смета!F208)</f>
        <v>72.400000000000006</v>
      </c>
    </row>
    <row r="388" spans="2:7" hidden="1">
      <c r="B388" s="48" t="str">
        <f>IF(Смета!A316="Прайс",Смета!B316)</f>
        <v>Сетка шлифовальная</v>
      </c>
      <c r="C388" s="48" t="str">
        <f>IF(Смета!A316="Прайс",Смета!C316)</f>
        <v>м2</v>
      </c>
      <c r="D388" s="48">
        <f>IF(Смета!A316="Прайс",Смета!D316)</f>
        <v>0.91656000000000004</v>
      </c>
      <c r="E388" s="48" t="b">
        <f>IF(Смета!D316="Прайс",Смета!E316)</f>
        <v>0</v>
      </c>
      <c r="F388" s="48" t="b">
        <f>IF(Смета!E316="Прайс",Смета!F316)</f>
        <v>0</v>
      </c>
      <c r="G388" s="48">
        <f>IF(Смета!A316="Прайс",Смета!F316)</f>
        <v>72.400000000000006</v>
      </c>
    </row>
    <row r="389" spans="2:7" hidden="1">
      <c r="B389" s="48" t="str">
        <f>IF(Смета!A215="Прайс",Смета!B215)</f>
        <v>Скотч малярный</v>
      </c>
      <c r="C389" s="48" t="str">
        <f>IF(Смета!A215="Прайс",Смета!C215)</f>
        <v>рул.</v>
      </c>
      <c r="D389" s="48">
        <f>IF(Смета!A215="Прайс",Смета!D215)</f>
        <v>14.02885575</v>
      </c>
      <c r="E389" s="48" t="b">
        <f>IF(Смета!D215="Прайс",Смета!E215)</f>
        <v>0</v>
      </c>
      <c r="F389" s="48" t="b">
        <f>IF(Смета!E215="Прайс",Смета!F215)</f>
        <v>0</v>
      </c>
      <c r="G389" s="48">
        <f>IF(Смета!A215="Прайс",Смета!F215)</f>
        <v>65.8</v>
      </c>
    </row>
    <row r="390" spans="2:7" hidden="1">
      <c r="B390" s="48" t="str">
        <f>IF(Смета!A319="Прайс",Смета!B319)</f>
        <v>Скотч малярный</v>
      </c>
      <c r="C390" s="48" t="str">
        <f>IF(Смета!A319="Прайс",Смета!C319)</f>
        <v>рул.</v>
      </c>
      <c r="D390" s="48">
        <f>IF(Смета!A319="Прайс",Смета!D319)</f>
        <v>1.9247760000000005</v>
      </c>
      <c r="E390" s="48" t="b">
        <f>IF(Смета!D319="Прайс",Смета!E319)</f>
        <v>0</v>
      </c>
      <c r="F390" s="48" t="b">
        <f>IF(Смета!E319="Прайс",Смета!F319)</f>
        <v>0</v>
      </c>
      <c r="G390" s="48">
        <f>IF(Смета!A319="Прайс",Смета!F319)</f>
        <v>65.8</v>
      </c>
    </row>
    <row r="391" spans="2:7" hidden="1">
      <c r="B391" s="48" t="str">
        <f>IF(Смета!A369="Прайс",Смета!B369)</f>
        <v>Споты, LINEA LIGHT, коллекция Decorative 2010, модель BIBI, стекло прозрачное, (с лампами)</v>
      </c>
      <c r="C391" s="48" t="str">
        <f>IF(Смета!A369="Прайс",Смета!C369)</f>
        <v>шт.</v>
      </c>
      <c r="D391" s="48">
        <f>IF(Смета!A369="Прайс",Смета!D369)</f>
        <v>42</v>
      </c>
      <c r="E391" s="48" t="b">
        <f>IF(Смета!D369="Прайс",Смета!E369)</f>
        <v>0</v>
      </c>
      <c r="F391" s="48" t="b">
        <f>IF(Смета!E369="Прайс",Смета!F369)</f>
        <v>0</v>
      </c>
      <c r="G391" s="48">
        <f>IF(Смета!A369="Прайс",Смета!F369)</f>
        <v>3700</v>
      </c>
    </row>
    <row r="392" spans="2:7" hidden="1">
      <c r="B392" s="48" t="str">
        <f>IF(Смета!A261="Прайс",Смета!B261)</f>
        <v>Угол внутренний для плинтуса</v>
      </c>
      <c r="C392" s="48" t="str">
        <f>IF(Смета!A261="Прайс",Смета!C261)</f>
        <v>шт.</v>
      </c>
      <c r="D392" s="48">
        <f>IF(Смета!A261="Прайс",Смета!D261)</f>
        <v>4</v>
      </c>
      <c r="E392" s="48" t="b">
        <f>IF(Смета!D261="Прайс",Смета!E261)</f>
        <v>0</v>
      </c>
      <c r="F392" s="48" t="b">
        <f>IF(Смета!E261="Прайс",Смета!F261)</f>
        <v>0</v>
      </c>
      <c r="G392" s="48">
        <f>IF(Смета!A261="Прайс",Смета!F261)</f>
        <v>12</v>
      </c>
    </row>
    <row r="393" spans="2:7" hidden="1">
      <c r="B393" s="48" t="str">
        <f>IF(Смета!A37="Прайс",Смета!B37)</f>
        <v>Уголок металлический 75*75*4</v>
      </c>
      <c r="C393" s="48" t="str">
        <f>IF(Смета!A37="Прайс",Смета!C37)</f>
        <v>тн.</v>
      </c>
      <c r="D393" s="48">
        <f>IF(Смета!A37="Прайс",Смета!D37)</f>
        <v>0.47931029400000014</v>
      </c>
      <c r="E393" s="48" t="b">
        <f>IF(Смета!D37="Прайс",Смета!E37)</f>
        <v>0</v>
      </c>
      <c r="F393" s="48" t="b">
        <f>IF(Смета!E37="Прайс",Смета!F37)</f>
        <v>0</v>
      </c>
      <c r="G393" s="48">
        <f>IF(Смета!A37="Прайс",Смета!F37)</f>
        <v>31500</v>
      </c>
    </row>
    <row r="394" spans="2:7" hidden="1">
      <c r="B394" s="48" t="str">
        <f>IF(Смета!A199="Прайс",Смета!B199)</f>
        <v>Уголок ПВХ 30*30мм</v>
      </c>
      <c r="C394" s="48" t="str">
        <f>IF(Смета!A199="Прайс",Смета!C199)</f>
        <v>м.п.</v>
      </c>
      <c r="D394" s="48">
        <f>IF(Смета!A199="Прайс",Смета!D199)</f>
        <v>24.889949999999999</v>
      </c>
      <c r="E394" s="48" t="b">
        <f>IF(Смета!D199="Прайс",Смета!E199)</f>
        <v>0</v>
      </c>
      <c r="F394" s="48" t="b">
        <f>IF(Смета!E199="Прайс",Смета!F199)</f>
        <v>0</v>
      </c>
      <c r="G394" s="48">
        <f>IF(Смета!A199="Прайс",Смета!F199)</f>
        <v>11.5</v>
      </c>
    </row>
    <row r="395" spans="2:7" hidden="1">
      <c r="B395" s="48" t="str">
        <f>IF(Смета!A196="Прайс",Смета!B196)</f>
        <v>Уголок перфорированный</v>
      </c>
      <c r="C395" s="48" t="str">
        <f>IF(Смета!A196="Прайс",Смета!C196)</f>
        <v>кг</v>
      </c>
      <c r="D395" s="48">
        <f>IF(Смета!A196="Прайс",Смета!D196)</f>
        <v>81.205200000000005</v>
      </c>
      <c r="E395" s="48" t="b">
        <f>IF(Смета!D196="Прайс",Смета!E196)</f>
        <v>0</v>
      </c>
      <c r="F395" s="48" t="b">
        <f>IF(Смета!E196="Прайс",Смета!F196)</f>
        <v>0</v>
      </c>
      <c r="G395" s="48">
        <f>IF(Смета!A196="Прайс",Смета!F196)</f>
        <v>7.3</v>
      </c>
    </row>
    <row r="396" spans="2:7" hidden="1">
      <c r="B396" s="48" t="str">
        <f>IF(Смета!A309="Прайс",Смета!B309)</f>
        <v>Уголок перфорированный</v>
      </c>
      <c r="C396" s="48" t="str">
        <f>IF(Смета!A309="Прайс",Смета!C309)</f>
        <v>кг</v>
      </c>
      <c r="D396" s="48">
        <f>IF(Смета!A309="Прайс",Смета!D309)</f>
        <v>39.830100000000002</v>
      </c>
      <c r="E396" s="48" t="b">
        <f>IF(Смета!D309="Прайс",Смета!E309)</f>
        <v>0</v>
      </c>
      <c r="F396" s="48" t="b">
        <f>IF(Смета!E309="Прайс",Смета!F309)</f>
        <v>0</v>
      </c>
      <c r="G396" s="48">
        <f>IF(Смета!A309="Прайс",Смета!F309)</f>
        <v>7.3</v>
      </c>
    </row>
    <row r="397" spans="2:7" hidden="1">
      <c r="B397" s="48" t="str">
        <f>IF(Смета!A323="Прайс",Смета!B323)</f>
        <v>Уголок пристенный 19*19</v>
      </c>
      <c r="C397" s="48" t="str">
        <f>IF(Смета!A323="Прайс",Смета!C323)</f>
        <v>м.п.</v>
      </c>
      <c r="D397" s="48">
        <f>IF(Смета!A323="Прайс",Смета!D323)</f>
        <v>48.615000000000002</v>
      </c>
      <c r="E397" s="48" t="b">
        <f>IF(Смета!D323="Прайс",Смета!E323)</f>
        <v>0</v>
      </c>
      <c r="F397" s="48" t="b">
        <f>IF(Смета!E323="Прайс",Смета!F323)</f>
        <v>0</v>
      </c>
      <c r="G397" s="48">
        <f>IF(Смета!A323="Прайс",Смета!F323)</f>
        <v>14.7</v>
      </c>
    </row>
    <row r="398" spans="2:7" hidden="1">
      <c r="B398" s="48" t="str">
        <f>IF(Смета!A349="Прайс",Смета!B349)</f>
        <v>Хомут кабельный нейлоновый 2,5*120</v>
      </c>
      <c r="C398" s="48" t="str">
        <f>IF(Смета!A349="Прайс",Смета!C349)</f>
        <v>шт.</v>
      </c>
      <c r="D398" s="48">
        <f>IF(Смета!A349="Прайс",Смета!D349)</f>
        <v>100</v>
      </c>
      <c r="E398" s="48" t="b">
        <f>IF(Смета!D349="Прайс",Смета!E349)</f>
        <v>0</v>
      </c>
      <c r="F398" s="48" t="b">
        <f>IF(Смета!E349="Прайс",Смета!F349)</f>
        <v>0</v>
      </c>
      <c r="G398" s="48">
        <f>IF(Смета!A349="Прайс",Смета!F349)</f>
        <v>0.87526999999999999</v>
      </c>
    </row>
    <row r="399" spans="2:7" hidden="1">
      <c r="B399" s="48" t="str">
        <f>IF(Смета!A44="Прайс",Смета!B44)</f>
        <v>ЦПС</v>
      </c>
      <c r="C399" s="48" t="str">
        <f>IF(Смета!A44="Прайс",Смета!C44)</f>
        <v>тн.</v>
      </c>
      <c r="D399" s="48">
        <f>IF(Смета!A44="Прайс",Смета!D44)</f>
        <v>8.8861500000000024E-2</v>
      </c>
      <c r="E399" s="48" t="b">
        <f>IF(Смета!D44="Прайс",Смета!E44)</f>
        <v>0</v>
      </c>
      <c r="F399" s="48" t="b">
        <f>IF(Смета!E44="Прайс",Смета!F44)</f>
        <v>0</v>
      </c>
      <c r="G399" s="48">
        <f>IF(Смета!A44="Прайс",Смета!F44)</f>
        <v>5800</v>
      </c>
    </row>
    <row r="400" spans="2:7" hidden="1">
      <c r="B400" s="48" t="str">
        <f>IF(Смета!A49="Прайс",Смета!B49)</f>
        <v>ЦПС</v>
      </c>
      <c r="C400" s="48" t="str">
        <f>IF(Смета!A49="Прайс",Смета!C49)</f>
        <v>тн.</v>
      </c>
      <c r="D400" s="48">
        <f>IF(Смета!A49="Прайс",Смета!D49)</f>
        <v>0.32733529920000004</v>
      </c>
      <c r="E400" s="48" t="b">
        <f>IF(Смета!D49="Прайс",Смета!E49)</f>
        <v>0</v>
      </c>
      <c r="F400" s="48" t="b">
        <f>IF(Смета!E49="Прайс",Смета!F49)</f>
        <v>0</v>
      </c>
      <c r="G400" s="48">
        <f>IF(Смета!A49="Прайс",Смета!F49)</f>
        <v>5800</v>
      </c>
    </row>
    <row r="401" spans="2:7" hidden="1">
      <c r="B401" s="48" t="str">
        <f>IF(Смета!A53="Прайс",Смета!B53)</f>
        <v>ЦПС</v>
      </c>
      <c r="C401" s="48" t="str">
        <f>IF(Смета!A53="Прайс",Смета!C53)</f>
        <v>тн.</v>
      </c>
      <c r="D401" s="48">
        <f>IF(Смета!A53="Прайс",Смета!D53)</f>
        <v>0.12043500000000001</v>
      </c>
      <c r="E401" s="48" t="b">
        <f>IF(Смета!D53="Прайс",Смета!E53)</f>
        <v>0</v>
      </c>
      <c r="F401" s="48" t="b">
        <f>IF(Смета!E53="Прайс",Смета!F53)</f>
        <v>0</v>
      </c>
      <c r="G401" s="48">
        <f>IF(Смета!A53="Прайс",Смета!F53)</f>
        <v>5800</v>
      </c>
    </row>
    <row r="402" spans="2:7" hidden="1">
      <c r="B402" s="48" t="str">
        <f>IF(Смета!A227="Прайс",Смета!B227)</f>
        <v>ЦПС</v>
      </c>
      <c r="C402" s="48" t="str">
        <f>IF(Смета!A227="Прайс",Смета!C227)</f>
        <v>тн.</v>
      </c>
      <c r="D402" s="48">
        <f>IF(Смета!A227="Прайс",Смета!D227)</f>
        <v>1.7205000000000001</v>
      </c>
      <c r="E402" s="48" t="b">
        <f>IF(Смета!D227="Прайс",Смета!E227)</f>
        <v>0</v>
      </c>
      <c r="F402" s="48" t="b">
        <f>IF(Смета!E227="Прайс",Смета!F227)</f>
        <v>0</v>
      </c>
      <c r="G402" s="48">
        <f>IF(Смета!A227="Прайс",Смета!F227)</f>
        <v>5800</v>
      </c>
    </row>
    <row r="403" spans="2:7" hidden="1">
      <c r="B403" s="48" t="str">
        <f>IF(Смета!A230="Прайс",Смета!B230)</f>
        <v>ЦПС</v>
      </c>
      <c r="C403" s="48" t="str">
        <f>IF(Смета!A230="Прайс",Смета!C230)</f>
        <v>тн.</v>
      </c>
      <c r="D403" s="48">
        <f>IF(Смета!A230="Прайс",Смета!D230)</f>
        <v>4.8242606999999991</v>
      </c>
      <c r="E403" s="48" t="b">
        <f>IF(Смета!D230="Прайс",Смета!E230)</f>
        <v>0</v>
      </c>
      <c r="F403" s="48" t="b">
        <f>IF(Смета!E230="Прайс",Смета!F230)</f>
        <v>0</v>
      </c>
      <c r="G403" s="48">
        <f>IF(Смета!A230="Прайс",Смета!F230)</f>
        <v>5800</v>
      </c>
    </row>
    <row r="404" spans="2:7" hidden="1">
      <c r="B404" s="48" t="str">
        <f>IF(Смета!A202="Прайс",Смета!B202)</f>
        <v>Шпаклевка клеевая</v>
      </c>
      <c r="C404" s="48" t="str">
        <f>IF(Смета!A202="Прайс",Смета!C202)</f>
        <v>кг.</v>
      </c>
      <c r="D404" s="48">
        <f>IF(Смета!A202="Прайс",Смета!D202)</f>
        <v>508.81800000000004</v>
      </c>
      <c r="E404" s="48" t="b">
        <f>IF(Смета!D202="Прайс",Смета!E202)</f>
        <v>0</v>
      </c>
      <c r="F404" s="48" t="b">
        <f>IF(Смета!E202="Прайс",Смета!F202)</f>
        <v>0</v>
      </c>
      <c r="G404" s="48">
        <f>IF(Смета!A202="Прайс",Смета!F202)</f>
        <v>22.56</v>
      </c>
    </row>
    <row r="405" spans="2:7" hidden="1">
      <c r="B405" s="48" t="str">
        <f>IF(Смета!A206="Прайс",Смета!B206)</f>
        <v>Шпаклевка клеевая</v>
      </c>
      <c r="C405" s="48" t="str">
        <f>IF(Смета!A206="Прайс",Смета!C206)</f>
        <v>кг.</v>
      </c>
      <c r="D405" s="48">
        <f>IF(Смета!A206="Прайс",Смета!D206)</f>
        <v>29.662500000000001</v>
      </c>
      <c r="E405" s="48" t="b">
        <f>IF(Смета!D206="Прайс",Смета!E206)</f>
        <v>0</v>
      </c>
      <c r="F405" s="48" t="b">
        <f>IF(Смета!E206="Прайс",Смета!F206)</f>
        <v>0</v>
      </c>
      <c r="G405" s="48">
        <f>IF(Смета!A206="Прайс",Смета!F206)</f>
        <v>22.56</v>
      </c>
    </row>
    <row r="406" spans="2:7" hidden="1">
      <c r="B406" s="48" t="str">
        <f>IF(Смета!A314="Прайс",Смета!B314)</f>
        <v>Шпаклевка клеевая</v>
      </c>
      <c r="C406" s="48" t="str">
        <f>IF(Смета!A314="Прайс",Смета!C314)</f>
        <v>кг.</v>
      </c>
      <c r="D406" s="48">
        <f>IF(Смета!A314="Прайс",Смета!D314)</f>
        <v>61.104000000000006</v>
      </c>
      <c r="E406" s="48" t="b">
        <f>IF(Смета!D314="Прайс",Смета!E314)</f>
        <v>0</v>
      </c>
      <c r="F406" s="48" t="b">
        <f>IF(Смета!E314="Прайс",Смета!F314)</f>
        <v>0</v>
      </c>
      <c r="G406" s="48">
        <f>IF(Смета!A314="Прайс",Смета!F314)</f>
        <v>22.56</v>
      </c>
    </row>
    <row r="407" spans="2:7" hidden="1">
      <c r="B407" s="48" t="str">
        <f>IF(Смета!A65="Прайс",Смета!B65)</f>
        <v>Шпаклевка Унифлот</v>
      </c>
      <c r="C407" s="48" t="str">
        <f>IF(Смета!A65="Прайс",Смета!C65)</f>
        <v>кг</v>
      </c>
      <c r="D407" s="48">
        <f>IF(Смета!A65="Прайс",Смета!D65)</f>
        <v>10.709999999999999</v>
      </c>
      <c r="E407" s="48" t="b">
        <f>IF(Смета!D65="Прайс",Смета!E65)</f>
        <v>0</v>
      </c>
      <c r="F407" s="48" t="b">
        <f>IF(Смета!E65="Прайс",Смета!F65)</f>
        <v>0</v>
      </c>
      <c r="G407" s="48">
        <f>IF(Смета!A65="Прайс",Смета!F65)</f>
        <v>48.8</v>
      </c>
    </row>
    <row r="408" spans="2:7" hidden="1">
      <c r="B408" s="48" t="str">
        <f>IF(Смета!A78="Прайс",Смета!B78)</f>
        <v>Шпаклевка Унифлот</v>
      </c>
      <c r="C408" s="48" t="str">
        <f>IF(Смета!A78="Прайс",Смета!C78)</f>
        <v>кг</v>
      </c>
      <c r="D408" s="48">
        <f>IF(Смета!A78="Прайс",Смета!D78)</f>
        <v>1.4385400000000002</v>
      </c>
      <c r="E408" s="48" t="b">
        <f>IF(Смета!D78="Прайс",Смета!E78)</f>
        <v>0</v>
      </c>
      <c r="F408" s="48" t="b">
        <f>IF(Смета!E78="Прайс",Смета!F78)</f>
        <v>0</v>
      </c>
      <c r="G408" s="48">
        <f>IF(Смета!A78="Прайс",Смета!F78)</f>
        <v>48.8</v>
      </c>
    </row>
    <row r="409" spans="2:7" hidden="1">
      <c r="B409" s="48" t="str">
        <f>IF(Смета!A91="Прайс",Смета!B91)</f>
        <v>Шпаклевка Унифлот</v>
      </c>
      <c r="C409" s="48" t="str">
        <f>IF(Смета!A91="Прайс",Смета!C91)</f>
        <v>кг</v>
      </c>
      <c r="D409" s="48">
        <f>IF(Смета!A91="Прайс",Смета!D91)</f>
        <v>1.6850000000000003</v>
      </c>
      <c r="E409" s="48" t="b">
        <f>IF(Смета!D91="Прайс",Смета!E91)</f>
        <v>0</v>
      </c>
      <c r="F409" s="48" t="b">
        <f>IF(Смета!E91="Прайс",Смета!F91)</f>
        <v>0</v>
      </c>
      <c r="G409" s="48">
        <f>IF(Смета!A91="Прайс",Смета!F91)</f>
        <v>48.8</v>
      </c>
    </row>
    <row r="410" spans="2:7" hidden="1">
      <c r="B410" s="48" t="str">
        <f>IF(Смета!A105="Прайс",Смета!B105)</f>
        <v>Шпаклевка Унифлот</v>
      </c>
      <c r="C410" s="48" t="str">
        <f>IF(Смета!A105="Прайс",Смета!C105)</f>
        <v>кг</v>
      </c>
      <c r="D410" s="48">
        <f>IF(Смета!A105="Прайс",Смета!D105)</f>
        <v>0.70350000000000001</v>
      </c>
      <c r="E410" s="48" t="b">
        <f>IF(Смета!D105="Прайс",Смета!E105)</f>
        <v>0</v>
      </c>
      <c r="F410" s="48" t="b">
        <f>IF(Смета!E105="Прайс",Смета!F105)</f>
        <v>0</v>
      </c>
      <c r="G410" s="48">
        <f>IF(Смета!A105="Прайс",Смета!F105)</f>
        <v>48.8</v>
      </c>
    </row>
    <row r="411" spans="2:7" hidden="1">
      <c r="B411" s="48" t="str">
        <f>IF(Смета!A119="Прайс",Смета!B119)</f>
        <v>Шпаклевка Унифлот</v>
      </c>
      <c r="C411" s="48" t="str">
        <f>IF(Смета!A119="Прайс",Смета!C119)</f>
        <v>кг</v>
      </c>
      <c r="D411" s="48">
        <f>IF(Смета!A119="Прайс",Смета!D119)</f>
        <v>0.32117999999999985</v>
      </c>
      <c r="E411" s="48" t="b">
        <f>IF(Смета!D119="Прайс",Смета!E119)</f>
        <v>0</v>
      </c>
      <c r="F411" s="48" t="b">
        <f>IF(Смета!E119="Прайс",Смета!F119)</f>
        <v>0</v>
      </c>
      <c r="G411" s="48">
        <f>IF(Смета!A119="Прайс",Смета!F119)</f>
        <v>48.8</v>
      </c>
    </row>
    <row r="412" spans="2:7" hidden="1">
      <c r="B412" s="48" t="str">
        <f>IF(Смета!A285="Прайс",Смета!B285)</f>
        <v>Шпаклевка Унифлот</v>
      </c>
      <c r="C412" s="48" t="str">
        <f>IF(Смета!A285="Прайс",Смета!C285)</f>
        <v>кг</v>
      </c>
      <c r="D412" s="48">
        <f>IF(Смета!A285="Прайс",Смета!D285)</f>
        <v>0.95676000000000017</v>
      </c>
      <c r="E412" s="48" t="b">
        <f>IF(Смета!D285="Прайс",Смета!E285)</f>
        <v>0</v>
      </c>
      <c r="F412" s="48" t="b">
        <f>IF(Смета!E285="Прайс",Смета!F285)</f>
        <v>0</v>
      </c>
      <c r="G412" s="48">
        <f>IF(Смета!A285="Прайс",Смета!F285)</f>
        <v>48.8</v>
      </c>
    </row>
    <row r="413" spans="2:7" hidden="1">
      <c r="B413" s="48" t="str">
        <f>IF(Смета!A300="Прайс",Смета!B300)</f>
        <v>Шпаклевка Унифлот</v>
      </c>
      <c r="C413" s="48" t="str">
        <f>IF(Смета!A300="Прайс",Смета!C300)</f>
        <v>кг</v>
      </c>
      <c r="D413" s="48">
        <f>IF(Смета!A300="Прайс",Смета!D300)</f>
        <v>0.9496</v>
      </c>
      <c r="E413" s="48" t="b">
        <f>IF(Смета!D300="Прайс",Смета!E300)</f>
        <v>0</v>
      </c>
      <c r="F413" s="48" t="b">
        <f>IF(Смета!E300="Прайс",Смета!F300)</f>
        <v>0</v>
      </c>
      <c r="G413" s="48">
        <f>IF(Смета!A300="Прайс",Смета!F300)</f>
        <v>48.8</v>
      </c>
    </row>
    <row r="414" spans="2:7" hidden="1">
      <c r="B414" s="48" t="str">
        <f>IF(Смета!A66="Прайс",Смета!B66)</f>
        <v>Шпаклевка Фугенфюллер гипсовая</v>
      </c>
      <c r="C414" s="48" t="str">
        <f>IF(Смета!A66="Прайс",Смета!C66)</f>
        <v>кг</v>
      </c>
      <c r="D414" s="48">
        <f>IF(Смета!A66="Прайс",Смета!D66)</f>
        <v>76.5</v>
      </c>
      <c r="E414" s="48" t="b">
        <f>IF(Смета!D66="Прайс",Смета!E66)</f>
        <v>0</v>
      </c>
      <c r="F414" s="48" t="b">
        <f>IF(Смета!E66="Прайс",Смета!F66)</f>
        <v>0</v>
      </c>
      <c r="G414" s="48">
        <f>IF(Смета!A66="Прайс",Смета!F66)</f>
        <v>15</v>
      </c>
    </row>
    <row r="415" spans="2:7" hidden="1">
      <c r="B415" s="48" t="str">
        <f>IF(Смета!A79="Прайс",Смета!B79)</f>
        <v>Шпаклевка Фугенфюллер гипсовая</v>
      </c>
      <c r="C415" s="48" t="str">
        <f>IF(Смета!A79="Прайс",Смета!C79)</f>
        <v>кг</v>
      </c>
      <c r="D415" s="48">
        <f>IF(Смета!A79="Прайс",Смета!D79)</f>
        <v>11.508320000000001</v>
      </c>
      <c r="E415" s="48" t="b">
        <f>IF(Смета!D79="Прайс",Смета!E79)</f>
        <v>0</v>
      </c>
      <c r="F415" s="48" t="b">
        <f>IF(Смета!E79="Прайс",Смета!F79)</f>
        <v>0</v>
      </c>
      <c r="G415" s="48">
        <f>IF(Смета!A79="Прайс",Смета!F79)</f>
        <v>15</v>
      </c>
    </row>
    <row r="416" spans="2:7" hidden="1">
      <c r="B416" s="48" t="str">
        <f>IF(Смета!A92="Прайс",Смета!B92)</f>
        <v>Шпаклевка Фугенфюллер гипсовая</v>
      </c>
      <c r="C416" s="48" t="str">
        <f>IF(Смета!A92="Прайс",Смета!C92)</f>
        <v>кг</v>
      </c>
      <c r="D416" s="48">
        <f>IF(Смета!A92="Прайс",Смета!D92)</f>
        <v>13.480000000000002</v>
      </c>
      <c r="E416" s="48" t="b">
        <f>IF(Смета!D92="Прайс",Смета!E92)</f>
        <v>0</v>
      </c>
      <c r="F416" s="48" t="b">
        <f>IF(Смета!E92="Прайс",Смета!F92)</f>
        <v>0</v>
      </c>
      <c r="G416" s="48">
        <f>IF(Смета!A92="Прайс",Смета!F92)</f>
        <v>15</v>
      </c>
    </row>
    <row r="417" spans="2:7" hidden="1">
      <c r="B417" s="48" t="str">
        <f>IF(Смета!A106="Прайс",Смета!B106)</f>
        <v>Шпаклевка Фугенфюллер гипсовая</v>
      </c>
      <c r="C417" s="48" t="str">
        <f>IF(Смета!A106="Прайс",Смета!C106)</f>
        <v>кг</v>
      </c>
      <c r="D417" s="48">
        <f>IF(Смета!A106="Прайс",Смета!D106)</f>
        <v>9.8490000000000002</v>
      </c>
      <c r="E417" s="48" t="b">
        <f>IF(Смета!D106="Прайс",Смета!E106)</f>
        <v>0</v>
      </c>
      <c r="F417" s="48" t="b">
        <f>IF(Смета!E106="Прайс",Смета!F106)</f>
        <v>0</v>
      </c>
      <c r="G417" s="48">
        <f>IF(Смета!A106="Прайс",Смета!F106)</f>
        <v>15</v>
      </c>
    </row>
    <row r="418" spans="2:7" hidden="1">
      <c r="B418" s="48" t="str">
        <f>IF(Смета!A120="Прайс",Смета!B120)</f>
        <v>Шпаклевка Фугенфюллер гипсовая</v>
      </c>
      <c r="C418" s="48" t="str">
        <f>IF(Смета!A120="Прайс",Смета!C120)</f>
        <v>кг</v>
      </c>
      <c r="D418" s="48">
        <f>IF(Смета!A120="Прайс",Смета!D120)</f>
        <v>2.473085999999999</v>
      </c>
      <c r="E418" s="48" t="b">
        <f>IF(Смета!D120="Прайс",Смета!E120)</f>
        <v>0</v>
      </c>
      <c r="F418" s="48" t="b">
        <f>IF(Смета!E120="Прайс",Смета!F120)</f>
        <v>0</v>
      </c>
      <c r="G418" s="48">
        <f>IF(Смета!A120="Прайс",Смета!F120)</f>
        <v>15</v>
      </c>
    </row>
    <row r="419" spans="2:7" hidden="1">
      <c r="B419" s="48" t="str">
        <f>IF(Смета!A165="Прайс",Смета!B165)</f>
        <v>Шпаклевка фугенфюллер гипсовая</v>
      </c>
      <c r="C419" s="48" t="str">
        <f>IF(Смета!A165="Прайс",Смета!C165)</f>
        <v>кг</v>
      </c>
      <c r="D419" s="48">
        <f>IF(Смета!A165="Прайс",Смета!D165)</f>
        <v>3.0774375000000003</v>
      </c>
      <c r="E419" s="48" t="b">
        <f>IF(Смета!D165="Прайс",Смета!E165)</f>
        <v>0</v>
      </c>
      <c r="F419" s="48" t="b">
        <f>IF(Смета!E165="Прайс",Смета!F165)</f>
        <v>0</v>
      </c>
      <c r="G419" s="48">
        <f>IF(Смета!A165="Прайс",Смета!F165)</f>
        <v>15</v>
      </c>
    </row>
    <row r="420" spans="2:7" hidden="1">
      <c r="B420" s="48" t="str">
        <f>IF(Смета!A286="Прайс",Смета!B286)</f>
        <v>Шпаклевка фугенфюллер гипсовая</v>
      </c>
      <c r="C420" s="48" t="str">
        <f>IF(Смета!A286="Прайс",Смета!C286)</f>
        <v>кг</v>
      </c>
      <c r="D420" s="48">
        <f>IF(Смета!A286="Прайс",Смета!D286)</f>
        <v>16.743300000000001</v>
      </c>
      <c r="E420" s="48" t="b">
        <f>IF(Смета!D286="Прайс",Смета!E286)</f>
        <v>0</v>
      </c>
      <c r="F420" s="48" t="b">
        <f>IF(Смета!E286="Прайс",Смета!F286)</f>
        <v>0</v>
      </c>
      <c r="G420" s="48">
        <f>IF(Смета!A286="Прайс",Смета!F286)</f>
        <v>15</v>
      </c>
    </row>
    <row r="421" spans="2:7" hidden="1">
      <c r="B421" s="48" t="str">
        <f>IF(Смета!A301="Прайс",Смета!B301)</f>
        <v>Шпаклевка фугенфюллер гипсовая</v>
      </c>
      <c r="C421" s="48" t="str">
        <f>IF(Смета!A301="Прайс",Смета!C301)</f>
        <v>кг</v>
      </c>
      <c r="D421" s="48">
        <f>IF(Смета!A301="Прайс",Смета!D301)</f>
        <v>16.617999999999999</v>
      </c>
      <c r="E421" s="48" t="b">
        <f>IF(Смета!D301="Прайс",Смета!E301)</f>
        <v>0</v>
      </c>
      <c r="F421" s="48" t="b">
        <f>IF(Смета!E301="Прайс",Смета!F301)</f>
        <v>0</v>
      </c>
      <c r="G421" s="48">
        <f>IF(Смета!A301="Прайс",Смета!F301)</f>
        <v>15</v>
      </c>
    </row>
    <row r="422" spans="2:7" hidden="1">
      <c r="B422" s="48" t="str">
        <f>IF(Смета!A172="Прайс",Смета!B172)</f>
        <v>Штукатурка гипсовая</v>
      </c>
      <c r="C422" s="48" t="str">
        <f>IF(Смета!A172="Прайс",Смета!C172)</f>
        <v>кг</v>
      </c>
      <c r="D422" s="48">
        <f>IF(Смета!A172="Прайс",Смета!D172)</f>
        <v>6053.85</v>
      </c>
      <c r="E422" s="48" t="b">
        <f>IF(Смета!D172="Прайс",Смета!E172)</f>
        <v>0</v>
      </c>
      <c r="F422" s="48" t="b">
        <f>IF(Смета!E172="Прайс",Смета!F172)</f>
        <v>0</v>
      </c>
      <c r="G422" s="48">
        <f>IF(Смета!A172="Прайс",Смета!F172)</f>
        <v>11.2</v>
      </c>
    </row>
    <row r="423" spans="2:7" hidden="1">
      <c r="B423" s="48" t="str">
        <f>IF(Смета!A174="Прайс",Смета!B174)</f>
        <v>Штукатурка гипсовая</v>
      </c>
      <c r="C423" s="48" t="str">
        <f>IF(Смета!A174="Прайс",Смета!C174)</f>
        <v>кг</v>
      </c>
      <c r="D423" s="48">
        <f>IF(Смета!A174="Прайс",Смета!D174)</f>
        <v>16.802499999999998</v>
      </c>
      <c r="E423" s="48" t="b">
        <f>IF(Смета!D174="Прайс",Смета!E174)</f>
        <v>0</v>
      </c>
      <c r="F423" s="48" t="b">
        <f>IF(Смета!E174="Прайс",Смета!F174)</f>
        <v>0</v>
      </c>
      <c r="G423" s="48">
        <f>IF(Смета!A174="Прайс",Смета!F174)</f>
        <v>11.2</v>
      </c>
    </row>
    <row r="424" spans="2:7" hidden="1">
      <c r="B424" s="48" t="str">
        <f>IF(Смета!A176="Прайс",Смета!B176)</f>
        <v>Штукатурка гипсовая</v>
      </c>
      <c r="C424" s="48" t="str">
        <f>IF(Смета!A176="Прайс",Смета!C176)</f>
        <v>кг</v>
      </c>
      <c r="D424" s="48">
        <f>IF(Смета!A176="Прайс",Смета!D176)</f>
        <v>52</v>
      </c>
      <c r="E424" s="48" t="b">
        <f>IF(Смета!D176="Прайс",Смета!E176)</f>
        <v>0</v>
      </c>
      <c r="F424" s="48" t="b">
        <f>IF(Смета!E176="Прайс",Смета!F176)</f>
        <v>0</v>
      </c>
      <c r="G424" s="48">
        <f>IF(Смета!A176="Прайс",Смета!F176)</f>
        <v>11.2</v>
      </c>
    </row>
    <row r="425" spans="2:7" hidden="1">
      <c r="B425" s="48" t="str">
        <f>IF(Смета!A197="Прайс",Смета!B197)</f>
        <v>Штукатурка гипсовая</v>
      </c>
      <c r="C425" s="48" t="str">
        <f>IF(Смета!A197="Прайс",Смета!C197)</f>
        <v>кг</v>
      </c>
      <c r="D425" s="48">
        <f>IF(Смета!A197="Прайс",Смета!D197)</f>
        <v>23.652000000000001</v>
      </c>
      <c r="E425" s="48" t="b">
        <f>IF(Смета!D197="Прайс",Смета!E197)</f>
        <v>0</v>
      </c>
      <c r="F425" s="48" t="b">
        <f>IF(Смета!E197="Прайс",Смета!F197)</f>
        <v>0</v>
      </c>
      <c r="G425" s="48">
        <f>IF(Смета!A197="Прайс",Смета!F197)</f>
        <v>11.2</v>
      </c>
    </row>
    <row r="426" spans="2:7" hidden="1">
      <c r="B426" s="48" t="str">
        <f>IF(Смета!A310="Прайс",Смета!B310)</f>
        <v>Штукатурка гипсовая</v>
      </c>
      <c r="C426" s="48" t="str">
        <f>IF(Смета!A310="Прайс",Смета!C310)</f>
        <v>кг</v>
      </c>
      <c r="D426" s="48">
        <f>IF(Смета!A310="Прайс",Смета!D310)</f>
        <v>11.601000000000001</v>
      </c>
      <c r="E426" s="48" t="b">
        <f>IF(Смета!D310="Прайс",Смета!E310)</f>
        <v>0</v>
      </c>
      <c r="F426" s="48" t="b">
        <f>IF(Смета!E310="Прайс",Смета!F310)</f>
        <v>0</v>
      </c>
      <c r="G426" s="48">
        <f>IF(Смета!A310="Прайс",Смета!F310)</f>
        <v>11.2</v>
      </c>
    </row>
    <row r="427" spans="2:7" hidden="1">
      <c r="B427" s="48" t="str">
        <f>IF(Смета!A312="Прайс",Смета!B312)</f>
        <v>Штукатурка гипсовая</v>
      </c>
      <c r="C427" s="48" t="str">
        <f>IF(Смета!A312="Прайс",Смета!C312)</f>
        <v>кг</v>
      </c>
      <c r="D427" s="48">
        <f>IF(Смета!A312="Прайс",Смета!D312)</f>
        <v>42.94</v>
      </c>
      <c r="E427" s="48" t="b">
        <f>IF(Смета!D312="Прайс",Смета!E312)</f>
        <v>0</v>
      </c>
      <c r="F427" s="48" t="b">
        <f>IF(Смета!E312="Прайс",Смета!F312)</f>
        <v>0</v>
      </c>
      <c r="G427" s="48">
        <f>IF(Смета!A312="Прайс",Смета!F312)</f>
        <v>11.2</v>
      </c>
    </row>
    <row r="428" spans="2:7" hidden="1">
      <c r="B428" s="48" t="str">
        <f>IF(Смета!A334="Прайс",Смета!B334)</f>
        <v>Щит  встроенный/накладной  36 мод. АВВ (материал пластик)</v>
      </c>
      <c r="C428" s="48" t="str">
        <f>IF(Смета!A334="Прайс",Смета!C334)</f>
        <v>шт.</v>
      </c>
      <c r="D428" s="48">
        <f>IF(Смета!A334="Прайс",Смета!D334)</f>
        <v>1</v>
      </c>
      <c r="E428" s="48" t="b">
        <f>IF(Смета!D334="Прайс",Смета!E334)</f>
        <v>0</v>
      </c>
      <c r="F428" s="48" t="b">
        <f>IF(Смета!E334="Прайс",Смета!F334)</f>
        <v>0</v>
      </c>
      <c r="G428" s="48">
        <f>IF(Смета!A334="Прайс",Смета!F334)</f>
        <v>2884</v>
      </c>
    </row>
    <row r="429" spans="2:7" hidden="1">
      <c r="B429" s="48" t="b">
        <f>IF(Смета!A43="Прайс",Смета!B43)</f>
        <v>0</v>
      </c>
      <c r="C429" s="48" t="b">
        <f>IF(Смета!A43="Прайс",Смета!C43)</f>
        <v>0</v>
      </c>
      <c r="D429" s="48" t="b">
        <f>IF(Смета!A43="Прайс",Смета!D43)</f>
        <v>0</v>
      </c>
      <c r="E429" s="48" t="b">
        <f>IF(Смета!D43="Прайс",Смета!E43)</f>
        <v>0</v>
      </c>
      <c r="F429" s="48" t="b">
        <f>IF(Смета!E43="Прайс",Смета!F43)</f>
        <v>0</v>
      </c>
      <c r="G429" s="48" t="b">
        <f>IF(Смета!A43="Прайс",Смета!F43)</f>
        <v>0</v>
      </c>
    </row>
    <row r="430" spans="2:7" hidden="1">
      <c r="B430" s="48" t="b">
        <f>IF(Смета!A48="Прайс",Смета!B48)</f>
        <v>0</v>
      </c>
      <c r="C430" s="48" t="b">
        <f>IF(Смета!A48="Прайс",Смета!C48)</f>
        <v>0</v>
      </c>
      <c r="D430" s="48" t="b">
        <f>IF(Смета!A48="Прайс",Смета!D48)</f>
        <v>0</v>
      </c>
      <c r="E430" s="48" t="b">
        <f>IF(Смета!D48="Прайс",Смета!E48)</f>
        <v>0</v>
      </c>
      <c r="F430" s="48" t="b">
        <f>IF(Смета!E48="Прайс",Смета!F48)</f>
        <v>0</v>
      </c>
      <c r="G430" s="48" t="b">
        <f>IF(Смета!A48="Прайс",Смета!F48)</f>
        <v>0</v>
      </c>
    </row>
    <row r="431" spans="2:7" hidden="1">
      <c r="B431" s="48" t="b">
        <f>IF(Смета!A52="Прайс",Смета!B52)</f>
        <v>0</v>
      </c>
      <c r="C431" s="48" t="b">
        <f>IF(Смета!A52="Прайс",Смета!C52)</f>
        <v>0</v>
      </c>
      <c r="D431" s="48" t="b">
        <f>IF(Смета!A52="Прайс",Смета!D52)</f>
        <v>0</v>
      </c>
      <c r="E431" s="48" t="b">
        <f>IF(Смета!D52="Прайс",Смета!E52)</f>
        <v>0</v>
      </c>
      <c r="F431" s="48" t="b">
        <f>IF(Смета!E52="Прайс",Смета!F52)</f>
        <v>0</v>
      </c>
      <c r="G431" s="48" t="b">
        <f>IF(Смета!A52="Прайс",Смета!F52)</f>
        <v>0</v>
      </c>
    </row>
    <row r="432" spans="2:7" hidden="1">
      <c r="B432" s="48" t="b">
        <f>IF(Смета!A57="Прайс",Смета!B57)</f>
        <v>0</v>
      </c>
      <c r="C432" s="48" t="b">
        <f>IF(Смета!A57="Прайс",Смета!C57)</f>
        <v>0</v>
      </c>
      <c r="D432" s="48" t="b">
        <f>IF(Смета!A57="Прайс",Смета!D57)</f>
        <v>0</v>
      </c>
      <c r="E432" s="48" t="b">
        <f>IF(Смета!D57="Прайс",Смета!E57)</f>
        <v>0</v>
      </c>
      <c r="F432" s="48" t="b">
        <f>IF(Смета!E57="Прайс",Смета!F57)</f>
        <v>0</v>
      </c>
      <c r="G432" s="48" t="b">
        <f>IF(Смета!A57="Прайс",Смета!F57)</f>
        <v>0</v>
      </c>
    </row>
    <row r="433" spans="2:7" hidden="1">
      <c r="B433" s="48" t="b">
        <f>IF(Смета!A71="Прайс",Смета!B71)</f>
        <v>0</v>
      </c>
      <c r="C433" s="48" t="b">
        <f>IF(Смета!A71="Прайс",Смета!C71)</f>
        <v>0</v>
      </c>
      <c r="D433" s="48" t="b">
        <f>IF(Смета!A71="Прайс",Смета!D71)</f>
        <v>0</v>
      </c>
      <c r="E433" s="48" t="b">
        <f>IF(Смета!D71="Прайс",Смета!E71)</f>
        <v>0</v>
      </c>
      <c r="F433" s="48" t="b">
        <f>IF(Смета!E71="Прайс",Смета!F71)</f>
        <v>0</v>
      </c>
      <c r="G433" s="48" t="b">
        <f>IF(Смета!A71="Прайс",Смета!F71)</f>
        <v>0</v>
      </c>
    </row>
    <row r="434" spans="2:7" hidden="1">
      <c r="B434" s="48" t="b">
        <f>IF(Смета!A84="Прайс",Смета!B84)</f>
        <v>0</v>
      </c>
      <c r="C434" s="48" t="b">
        <f>IF(Смета!A84="Прайс",Смета!C84)</f>
        <v>0</v>
      </c>
      <c r="D434" s="48" t="b">
        <f>IF(Смета!A84="Прайс",Смета!D84)</f>
        <v>0</v>
      </c>
      <c r="E434" s="48" t="b">
        <f>IF(Смета!D84="Прайс",Смета!E84)</f>
        <v>0</v>
      </c>
      <c r="F434" s="48" t="b">
        <f>IF(Смета!E84="Прайс",Смета!F84)</f>
        <v>0</v>
      </c>
      <c r="G434" s="48" t="b">
        <f>IF(Смета!A84="Прайс",Смета!F84)</f>
        <v>0</v>
      </c>
    </row>
    <row r="435" spans="2:7" hidden="1">
      <c r="B435" s="48" t="b">
        <f>IF(Смета!A98="Прайс",Смета!B98)</f>
        <v>0</v>
      </c>
      <c r="C435" s="48" t="b">
        <f>IF(Смета!A98="Прайс",Смета!C98)</f>
        <v>0</v>
      </c>
      <c r="D435" s="48" t="b">
        <f>IF(Смета!A98="Прайс",Смета!D98)</f>
        <v>0</v>
      </c>
      <c r="E435" s="48" t="b">
        <f>IF(Смета!D98="Прайс",Смета!E98)</f>
        <v>0</v>
      </c>
      <c r="F435" s="48" t="b">
        <f>IF(Смета!E98="Прайс",Смета!F98)</f>
        <v>0</v>
      </c>
      <c r="G435" s="48" t="b">
        <f>IF(Смета!A98="Прайс",Смета!F98)</f>
        <v>0</v>
      </c>
    </row>
    <row r="436" spans="2:7" hidden="1">
      <c r="B436" s="48" t="b">
        <f>IF(Смета!A111="Прайс",Смета!B111)</f>
        <v>0</v>
      </c>
      <c r="C436" s="48" t="b">
        <f>IF(Смета!A111="Прайс",Смета!C111)</f>
        <v>0</v>
      </c>
      <c r="D436" s="48" t="b">
        <f>IF(Смета!A111="Прайс",Смета!D111)</f>
        <v>0</v>
      </c>
      <c r="E436" s="48" t="b">
        <f>IF(Смета!D111="Прайс",Смета!E111)</f>
        <v>0</v>
      </c>
      <c r="F436" s="48" t="b">
        <f>IF(Смета!E111="Прайс",Смета!F111)</f>
        <v>0</v>
      </c>
      <c r="G436" s="48" t="b">
        <f>IF(Смета!A111="Прайс",Смета!F111)</f>
        <v>0</v>
      </c>
    </row>
    <row r="437" spans="2:7" hidden="1">
      <c r="B437" s="48" t="b">
        <f>IF(Смета!A112="Прайс",Смета!B112)</f>
        <v>0</v>
      </c>
      <c r="C437" s="48" t="b">
        <f>IF(Смета!A112="Прайс",Смета!C112)</f>
        <v>0</v>
      </c>
      <c r="D437" s="48" t="b">
        <f>IF(Смета!A112="Прайс",Смета!D112)</f>
        <v>0</v>
      </c>
      <c r="E437" s="48" t="b">
        <f>IF(Смета!D112="Прайс",Смета!E112)</f>
        <v>0</v>
      </c>
      <c r="F437" s="48" t="b">
        <f>IF(Смета!E112="Прайс",Смета!F112)</f>
        <v>0</v>
      </c>
      <c r="G437" s="48" t="b">
        <f>IF(Смета!A112="Прайс",Смета!F112)</f>
        <v>0</v>
      </c>
    </row>
    <row r="438" spans="2:7" hidden="1">
      <c r="B438" s="48" t="b">
        <f>IF(Смета!A125="Прайс",Смета!B125)</f>
        <v>0</v>
      </c>
      <c r="C438" s="48" t="b">
        <f>IF(Смета!A125="Прайс",Смета!C125)</f>
        <v>0</v>
      </c>
      <c r="D438" s="48" t="b">
        <f>IF(Смета!A125="Прайс",Смета!D125)</f>
        <v>0</v>
      </c>
      <c r="E438" s="48" t="b">
        <f>IF(Смета!D125="Прайс",Смета!E125)</f>
        <v>0</v>
      </c>
      <c r="F438" s="48" t="b">
        <f>IF(Смета!E125="Прайс",Смета!F125)</f>
        <v>0</v>
      </c>
      <c r="G438" s="48" t="b">
        <f>IF(Смета!A125="Прайс",Смета!F125)</f>
        <v>0</v>
      </c>
    </row>
    <row r="439" spans="2:7" hidden="1">
      <c r="B439" s="48" t="b">
        <f>IF(Смета!A126="Прайс",Смета!B126)</f>
        <v>0</v>
      </c>
      <c r="C439" s="48" t="b">
        <f>IF(Смета!A126="Прайс",Смета!C126)</f>
        <v>0</v>
      </c>
      <c r="D439" s="48" t="b">
        <f>IF(Смета!A126="Прайс",Смета!D126)</f>
        <v>0</v>
      </c>
      <c r="E439" s="48" t="b">
        <f>IF(Смета!D126="Прайс",Смета!E126)</f>
        <v>0</v>
      </c>
      <c r="F439" s="48" t="b">
        <f>IF(Смета!E126="Прайс",Смета!F126)</f>
        <v>0</v>
      </c>
      <c r="G439" s="48" t="b">
        <f>IF(Смета!A126="Прайс",Смета!F126)</f>
        <v>0</v>
      </c>
    </row>
    <row r="440" spans="2:7" hidden="1">
      <c r="B440" s="48" t="b">
        <f>IF(Смета!A127="Прайс",Смета!B127)</f>
        <v>0</v>
      </c>
      <c r="C440" s="48" t="b">
        <f>IF(Смета!A127="Прайс",Смета!C127)</f>
        <v>0</v>
      </c>
      <c r="D440" s="48" t="b">
        <f>IF(Смета!A127="Прайс",Смета!D127)</f>
        <v>0</v>
      </c>
      <c r="E440" s="48" t="b">
        <f>IF(Смета!D127="Прайс",Смета!E127)</f>
        <v>0</v>
      </c>
      <c r="F440" s="48" t="b">
        <f>IF(Смета!E127="Прайс",Смета!F127)</f>
        <v>0</v>
      </c>
      <c r="G440" s="48" t="b">
        <f>IF(Смета!A127="Прайс",Смета!F127)</f>
        <v>0</v>
      </c>
    </row>
    <row r="441" spans="2:7" hidden="1">
      <c r="B441" s="48" t="b">
        <f>IF(Смета!A128="Прайс",Смета!B128)</f>
        <v>0</v>
      </c>
      <c r="C441" s="48" t="b">
        <f>IF(Смета!A128="Прайс",Смета!C128)</f>
        <v>0</v>
      </c>
      <c r="D441" s="48" t="b">
        <f>IF(Смета!A128="Прайс",Смета!D128)</f>
        <v>0</v>
      </c>
      <c r="E441" s="48" t="b">
        <f>IF(Смета!D128="Прайс",Смета!E128)</f>
        <v>0</v>
      </c>
      <c r="F441" s="48" t="b">
        <f>IF(Смета!E128="Прайс",Смета!F128)</f>
        <v>0</v>
      </c>
      <c r="G441" s="48" t="b">
        <f>IF(Смета!A128="Прайс",Смета!F128)</f>
        <v>0</v>
      </c>
    </row>
    <row r="442" spans="2:7" hidden="1">
      <c r="B442" s="48" t="b">
        <f>IF(Смета!A129="Прайс",Смета!B129)</f>
        <v>0</v>
      </c>
      <c r="C442" s="48" t="b">
        <f>IF(Смета!A129="Прайс",Смета!C129)</f>
        <v>0</v>
      </c>
      <c r="D442" s="48" t="b">
        <f>IF(Смета!A129="Прайс",Смета!D129)</f>
        <v>0</v>
      </c>
      <c r="E442" s="48" t="b">
        <f>IF(Смета!D129="Прайс",Смета!E129)</f>
        <v>0</v>
      </c>
      <c r="F442" s="48" t="b">
        <f>IF(Смета!E129="Прайс",Смета!F129)</f>
        <v>0</v>
      </c>
      <c r="G442" s="48" t="b">
        <f>IF(Смета!A129="Прайс",Смета!F129)</f>
        <v>0</v>
      </c>
    </row>
    <row r="443" spans="2:7" hidden="1">
      <c r="B443" s="48" t="b">
        <f>IF(Смета!A130="Прайс",Смета!B130)</f>
        <v>0</v>
      </c>
      <c r="C443" s="48" t="b">
        <f>IF(Смета!A130="Прайс",Смета!C130)</f>
        <v>0</v>
      </c>
      <c r="D443" s="48" t="b">
        <f>IF(Смета!A130="Прайс",Смета!D130)</f>
        <v>0</v>
      </c>
      <c r="E443" s="48" t="b">
        <f>IF(Смета!D130="Прайс",Смета!E130)</f>
        <v>0</v>
      </c>
      <c r="F443" s="48" t="b">
        <f>IF(Смета!E130="Прайс",Смета!F130)</f>
        <v>0</v>
      </c>
      <c r="G443" s="48" t="b">
        <f>IF(Смета!A130="Прайс",Смета!F130)</f>
        <v>0</v>
      </c>
    </row>
    <row r="444" spans="2:7" hidden="1">
      <c r="B444" s="48" t="b">
        <f>IF(Смета!A134="Прайс",Смета!B134)</f>
        <v>0</v>
      </c>
      <c r="C444" s="48" t="b">
        <f>IF(Смета!A134="Прайс",Смета!C134)</f>
        <v>0</v>
      </c>
      <c r="D444" s="48" t="b">
        <f>IF(Смета!A134="Прайс",Смета!D134)</f>
        <v>0</v>
      </c>
      <c r="E444" s="48" t="b">
        <f>IF(Смета!D134="Прайс",Смета!E134)</f>
        <v>0</v>
      </c>
      <c r="F444" s="48" t="b">
        <f>IF(Смета!E134="Прайс",Смета!F134)</f>
        <v>0</v>
      </c>
      <c r="G444" s="48" t="b">
        <f>IF(Смета!A134="Прайс",Смета!F134)</f>
        <v>0</v>
      </c>
    </row>
    <row r="445" spans="2:7" hidden="1">
      <c r="B445" s="48" t="b">
        <f>IF(Смета!A136="Прайс",Смета!B136)</f>
        <v>0</v>
      </c>
      <c r="C445" s="48" t="b">
        <f>IF(Смета!A136="Прайс",Смета!C136)</f>
        <v>0</v>
      </c>
      <c r="D445" s="48" t="b">
        <f>IF(Смета!A136="Прайс",Смета!D136)</f>
        <v>0</v>
      </c>
      <c r="E445" s="48" t="b">
        <f>IF(Смета!D136="Прайс",Смета!E136)</f>
        <v>0</v>
      </c>
      <c r="F445" s="48" t="b">
        <f>IF(Смета!E136="Прайс",Смета!F136)</f>
        <v>0</v>
      </c>
      <c r="G445" s="48" t="b">
        <f>IF(Смета!A136="Прайс",Смета!F136)</f>
        <v>0</v>
      </c>
    </row>
    <row r="446" spans="2:7" hidden="1">
      <c r="B446" s="48" t="b">
        <f>IF(Смета!A140="Прайс",Смета!B140)</f>
        <v>0</v>
      </c>
      <c r="C446" s="48" t="b">
        <f>IF(Смета!A140="Прайс",Смета!C140)</f>
        <v>0</v>
      </c>
      <c r="D446" s="48" t="b">
        <f>IF(Смета!A140="Прайс",Смета!D140)</f>
        <v>0</v>
      </c>
      <c r="E446" s="48" t="b">
        <f>IF(Смета!D140="Прайс",Смета!E140)</f>
        <v>0</v>
      </c>
      <c r="F446" s="48" t="b">
        <f>IF(Смета!E140="Прайс",Смета!F140)</f>
        <v>0</v>
      </c>
      <c r="G446" s="48" t="b">
        <f>IF(Смета!A140="Прайс",Смета!F140)</f>
        <v>0</v>
      </c>
    </row>
    <row r="447" spans="2:7" hidden="1">
      <c r="B447" s="48" t="b">
        <f>IF(Смета!A144="Прайс",Смета!B144)</f>
        <v>0</v>
      </c>
      <c r="C447" s="48" t="b">
        <f>IF(Смета!A144="Прайс",Смета!C144)</f>
        <v>0</v>
      </c>
      <c r="D447" s="48" t="b">
        <f>IF(Смета!A144="Прайс",Смета!D144)</f>
        <v>0</v>
      </c>
      <c r="E447" s="48" t="b">
        <f>IF(Смета!D144="Прайс",Смета!E144)</f>
        <v>0</v>
      </c>
      <c r="F447" s="48" t="b">
        <f>IF(Смета!E144="Прайс",Смета!F144)</f>
        <v>0</v>
      </c>
      <c r="G447" s="48" t="b">
        <f>IF(Смета!A144="Прайс",Смета!F144)</f>
        <v>0</v>
      </c>
    </row>
    <row r="448" spans="2:7" hidden="1">
      <c r="B448" s="48" t="b">
        <f>IF(Смета!A147="Прайс",Смета!B147)</f>
        <v>0</v>
      </c>
      <c r="C448" s="48" t="b">
        <f>IF(Смета!A147="Прайс",Смета!C147)</f>
        <v>0</v>
      </c>
      <c r="D448" s="48" t="b">
        <f>IF(Смета!A147="Прайс",Смета!D147)</f>
        <v>0</v>
      </c>
      <c r="E448" s="48" t="b">
        <f>IF(Смета!D147="Прайс",Смета!E147)</f>
        <v>0</v>
      </c>
      <c r="F448" s="48" t="b">
        <f>IF(Смета!E147="Прайс",Смета!F147)</f>
        <v>0</v>
      </c>
      <c r="G448" s="48" t="b">
        <f>IF(Смета!A147="Прайс",Смета!F147)</f>
        <v>0</v>
      </c>
    </row>
    <row r="449" spans="2:7" hidden="1">
      <c r="B449" s="48" t="b">
        <f>IF(Смета!A150="Прайс",Смета!B150)</f>
        <v>0</v>
      </c>
      <c r="C449" s="48" t="b">
        <f>IF(Смета!A150="Прайс",Смета!C150)</f>
        <v>0</v>
      </c>
      <c r="D449" s="48" t="b">
        <f>IF(Смета!A150="Прайс",Смета!D150)</f>
        <v>0</v>
      </c>
      <c r="E449" s="48" t="b">
        <f>IF(Смета!D150="Прайс",Смета!E150)</f>
        <v>0</v>
      </c>
      <c r="F449" s="48" t="b">
        <f>IF(Смета!E150="Прайс",Смета!F150)</f>
        <v>0</v>
      </c>
      <c r="G449" s="48" t="b">
        <f>IF(Смета!A150="Прайс",Смета!F150)</f>
        <v>0</v>
      </c>
    </row>
    <row r="450" spans="2:7" hidden="1">
      <c r="B450" s="48" t="b">
        <f>IF(Смета!A154="Прайс",Смета!B154)</f>
        <v>0</v>
      </c>
      <c r="C450" s="48" t="b">
        <f>IF(Смета!A154="Прайс",Смета!C154)</f>
        <v>0</v>
      </c>
      <c r="D450" s="48" t="b">
        <f>IF(Смета!A154="Прайс",Смета!D154)</f>
        <v>0</v>
      </c>
      <c r="E450" s="48" t="b">
        <f>IF(Смета!D154="Прайс",Смета!E154)</f>
        <v>0</v>
      </c>
      <c r="F450" s="48" t="b">
        <f>IF(Смета!E154="Прайс",Смета!F154)</f>
        <v>0</v>
      </c>
      <c r="G450" s="48" t="b">
        <f>IF(Смета!A154="Прайс",Смета!F154)</f>
        <v>0</v>
      </c>
    </row>
    <row r="451" spans="2:7" hidden="1">
      <c r="B451" s="48" t="b">
        <f>IF(Смета!A159="Прайс",Смета!B159)</f>
        <v>0</v>
      </c>
      <c r="C451" s="48" t="b">
        <f>IF(Смета!A159="Прайс",Смета!C159)</f>
        <v>0</v>
      </c>
      <c r="D451" s="48" t="b">
        <f>IF(Смета!A159="Прайс",Смета!D159)</f>
        <v>0</v>
      </c>
      <c r="E451" s="48" t="b">
        <f>IF(Смета!D159="Прайс",Смета!E159)</f>
        <v>0</v>
      </c>
      <c r="F451" s="48" t="b">
        <f>IF(Смета!E159="Прайс",Смета!F159)</f>
        <v>0</v>
      </c>
      <c r="G451" s="48" t="b">
        <f>IF(Смета!A159="Прайс",Смета!F159)</f>
        <v>0</v>
      </c>
    </row>
    <row r="452" spans="2:7" hidden="1">
      <c r="B452" s="48" t="b">
        <f>IF(Смета!A160="Прайс",Смета!B160)</f>
        <v>0</v>
      </c>
      <c r="C452" s="48" t="b">
        <f>IF(Смета!A160="Прайс",Смета!C160)</f>
        <v>0</v>
      </c>
      <c r="D452" s="48" t="b">
        <f>IF(Смета!A160="Прайс",Смета!D160)</f>
        <v>0</v>
      </c>
      <c r="E452" s="48" t="b">
        <f>IF(Смета!D160="Прайс",Смета!E160)</f>
        <v>0</v>
      </c>
      <c r="F452" s="48" t="b">
        <f>IF(Смета!E160="Прайс",Смета!F160)</f>
        <v>0</v>
      </c>
      <c r="G452" s="48" t="b">
        <f>IF(Смета!A160="Прайс",Смета!F160)</f>
        <v>0</v>
      </c>
    </row>
    <row r="453" spans="2:7" hidden="1">
      <c r="B453" s="48" t="b">
        <f>IF(Смета!A161="Прайс",Смета!B161)</f>
        <v>0</v>
      </c>
      <c r="C453" s="48" t="b">
        <f>IF(Смета!A161="Прайс",Смета!C161)</f>
        <v>0</v>
      </c>
      <c r="D453" s="48" t="b">
        <f>IF(Смета!A161="Прайс",Смета!D161)</f>
        <v>0</v>
      </c>
      <c r="E453" s="48" t="b">
        <f>IF(Смета!D161="Прайс",Смета!E161)</f>
        <v>0</v>
      </c>
      <c r="F453" s="48" t="b">
        <f>IF(Смета!E161="Прайс",Смета!F161)</f>
        <v>0</v>
      </c>
      <c r="G453" s="48" t="b">
        <f>IF(Смета!A161="Прайс",Смета!F161)</f>
        <v>0</v>
      </c>
    </row>
    <row r="454" spans="2:7" hidden="1">
      <c r="B454" s="48" t="b">
        <f>IF(Смета!A162="Прайс",Смета!B162)</f>
        <v>0</v>
      </c>
      <c r="C454" s="48" t="b">
        <f>IF(Смета!A162="Прайс",Смета!C162)</f>
        <v>0</v>
      </c>
      <c r="D454" s="48" t="b">
        <f>IF(Смета!A162="Прайс",Смета!D162)</f>
        <v>0</v>
      </c>
      <c r="E454" s="48" t="b">
        <f>IF(Смета!D162="Прайс",Смета!E162)</f>
        <v>0</v>
      </c>
      <c r="F454" s="48" t="b">
        <f>IF(Смета!E162="Прайс",Смета!F162)</f>
        <v>0</v>
      </c>
      <c r="G454" s="48" t="b">
        <f>IF(Смета!A162="Прайс",Смета!F162)</f>
        <v>0</v>
      </c>
    </row>
    <row r="455" spans="2:7" hidden="1">
      <c r="B455" s="48" t="b">
        <f>IF(Смета!A163="Прайс",Смета!B163)</f>
        <v>0</v>
      </c>
      <c r="C455" s="48" t="b">
        <f>IF(Смета!A163="Прайс",Смета!C163)</f>
        <v>0</v>
      </c>
      <c r="D455" s="48" t="b">
        <f>IF(Смета!A163="Прайс",Смета!D163)</f>
        <v>0</v>
      </c>
      <c r="E455" s="48" t="b">
        <f>IF(Смета!D163="Прайс",Смета!E163)</f>
        <v>0</v>
      </c>
      <c r="F455" s="48" t="b">
        <f>IF(Смета!E163="Прайс",Смета!F163)</f>
        <v>0</v>
      </c>
      <c r="G455" s="48" t="b">
        <f>IF(Смета!A163="Прайс",Смета!F163)</f>
        <v>0</v>
      </c>
    </row>
    <row r="456" spans="2:7" hidden="1">
      <c r="B456" s="48" t="b">
        <f>IF(Смета!A169="Прайс",Смета!B169)</f>
        <v>0</v>
      </c>
      <c r="C456" s="48" t="b">
        <f>IF(Смета!A169="Прайс",Смета!C169)</f>
        <v>0</v>
      </c>
      <c r="D456" s="48" t="b">
        <f>IF(Смета!A169="Прайс",Смета!D169)</f>
        <v>0</v>
      </c>
      <c r="E456" s="48" t="b">
        <f>IF(Смета!D169="Прайс",Смета!E169)</f>
        <v>0</v>
      </c>
      <c r="F456" s="48" t="b">
        <f>IF(Смета!E169="Прайс",Смета!F169)</f>
        <v>0</v>
      </c>
      <c r="G456" s="48" t="b">
        <f>IF(Смета!A169="Прайс",Смета!F169)</f>
        <v>0</v>
      </c>
    </row>
    <row r="457" spans="2:7" hidden="1">
      <c r="B457" s="48" t="b">
        <f>IF(Смета!A171="Прайс",Смета!B171)</f>
        <v>0</v>
      </c>
      <c r="C457" s="48" t="b">
        <f>IF(Смета!A171="Прайс",Смета!C171)</f>
        <v>0</v>
      </c>
      <c r="D457" s="48" t="b">
        <f>IF(Смета!A171="Прайс",Смета!D171)</f>
        <v>0</v>
      </c>
      <c r="E457" s="48" t="b">
        <f>IF(Смета!D171="Прайс",Смета!E171)</f>
        <v>0</v>
      </c>
      <c r="F457" s="48" t="b">
        <f>IF(Смета!E171="Прайс",Смета!F171)</f>
        <v>0</v>
      </c>
      <c r="G457" s="48" t="b">
        <f>IF(Смета!A171="Прайс",Смета!F171)</f>
        <v>0</v>
      </c>
    </row>
    <row r="458" spans="2:7" hidden="1">
      <c r="B458" s="48" t="b">
        <f>IF(Смета!A173="Прайс",Смета!B173)</f>
        <v>0</v>
      </c>
      <c r="C458" s="48" t="b">
        <f>IF(Смета!A173="Прайс",Смета!C173)</f>
        <v>0</v>
      </c>
      <c r="D458" s="48" t="b">
        <f>IF(Смета!A173="Прайс",Смета!D173)</f>
        <v>0</v>
      </c>
      <c r="E458" s="48" t="b">
        <f>IF(Смета!D173="Прайс",Смета!E173)</f>
        <v>0</v>
      </c>
      <c r="F458" s="48" t="b">
        <f>IF(Смета!E173="Прайс",Смета!F173)</f>
        <v>0</v>
      </c>
      <c r="G458" s="48" t="b">
        <f>IF(Смета!A173="Прайс",Смета!F173)</f>
        <v>0</v>
      </c>
    </row>
    <row r="459" spans="2:7" hidden="1">
      <c r="B459" s="48" t="b">
        <f>IF(Смета!A175="Прайс",Смета!B175)</f>
        <v>0</v>
      </c>
      <c r="C459" s="48" t="b">
        <f>IF(Смета!A175="Прайс",Смета!C175)</f>
        <v>0</v>
      </c>
      <c r="D459" s="48" t="b">
        <f>IF(Смета!A175="Прайс",Смета!D175)</f>
        <v>0</v>
      </c>
      <c r="E459" s="48" t="b">
        <f>IF(Смета!D175="Прайс",Смета!E175)</f>
        <v>0</v>
      </c>
      <c r="F459" s="48" t="b">
        <f>IF(Смета!E175="Прайс",Смета!F175)</f>
        <v>0</v>
      </c>
      <c r="G459" s="48" t="b">
        <f>IF(Смета!A175="Прайс",Смета!F175)</f>
        <v>0</v>
      </c>
    </row>
    <row r="460" spans="2:7" hidden="1">
      <c r="B460" s="48" t="b">
        <f>IF(Смета!A177="Прайс",Смета!B177)</f>
        <v>0</v>
      </c>
      <c r="C460" s="48" t="b">
        <f>IF(Смета!A177="Прайс",Смета!C177)</f>
        <v>0</v>
      </c>
      <c r="D460" s="48" t="b">
        <f>IF(Смета!A177="Прайс",Смета!D177)</f>
        <v>0</v>
      </c>
      <c r="E460" s="48" t="b">
        <f>IF(Смета!D177="Прайс",Смета!E177)</f>
        <v>0</v>
      </c>
      <c r="F460" s="48" t="b">
        <f>IF(Смета!E177="Прайс",Смета!F177)</f>
        <v>0</v>
      </c>
      <c r="G460" s="48" t="b">
        <f>IF(Смета!A177="Прайс",Смета!F177)</f>
        <v>0</v>
      </c>
    </row>
    <row r="461" spans="2:7" hidden="1">
      <c r="B461" s="48" t="b">
        <f>IF(Смета!A179="Прайс",Смета!B179)</f>
        <v>0</v>
      </c>
      <c r="C461" s="48" t="b">
        <f>IF(Смета!A179="Прайс",Смета!C179)</f>
        <v>0</v>
      </c>
      <c r="D461" s="48" t="b">
        <f>IF(Смета!A179="Прайс",Смета!D179)</f>
        <v>0</v>
      </c>
      <c r="E461" s="48" t="b">
        <f>IF(Смета!D179="Прайс",Смета!E179)</f>
        <v>0</v>
      </c>
      <c r="F461" s="48" t="b">
        <f>IF(Смета!E179="Прайс",Смета!F179)</f>
        <v>0</v>
      </c>
      <c r="G461" s="48" t="b">
        <f>IF(Смета!A179="Прайс",Смета!F179)</f>
        <v>0</v>
      </c>
    </row>
    <row r="462" spans="2:7" hidden="1">
      <c r="B462" s="48" t="b">
        <f>IF(Смета!A185="Прайс",Смета!B185)</f>
        <v>0</v>
      </c>
      <c r="C462" s="48" t="b">
        <f>IF(Смета!A185="Прайс",Смета!C185)</f>
        <v>0</v>
      </c>
      <c r="D462" s="48" t="b">
        <f>IF(Смета!A185="Прайс",Смета!D185)</f>
        <v>0</v>
      </c>
      <c r="E462" s="48" t="b">
        <f>IF(Смета!D185="Прайс",Смета!E185)</f>
        <v>0</v>
      </c>
      <c r="F462" s="48" t="b">
        <f>IF(Смета!E185="Прайс",Смета!F185)</f>
        <v>0</v>
      </c>
      <c r="G462" s="48" t="b">
        <f>IF(Смета!A185="Прайс",Смета!F185)</f>
        <v>0</v>
      </c>
    </row>
    <row r="463" spans="2:7" hidden="1">
      <c r="B463" s="48" t="b">
        <f>IF(Смета!A191="Прайс",Смета!B191)</f>
        <v>0</v>
      </c>
      <c r="C463" s="48" t="b">
        <f>IF(Смета!A191="Прайс",Смета!C191)</f>
        <v>0</v>
      </c>
      <c r="D463" s="48" t="b">
        <f>IF(Смета!A191="Прайс",Смета!D191)</f>
        <v>0</v>
      </c>
      <c r="E463" s="48" t="b">
        <f>IF(Смета!D191="Прайс",Смета!E191)</f>
        <v>0</v>
      </c>
      <c r="F463" s="48" t="b">
        <f>IF(Смета!E191="Прайс",Смета!F191)</f>
        <v>0</v>
      </c>
      <c r="G463" s="48" t="b">
        <f>IF(Смета!A191="Прайс",Смета!F191)</f>
        <v>0</v>
      </c>
    </row>
    <row r="464" spans="2:7" hidden="1">
      <c r="B464" s="48" t="b">
        <f>IF(Смета!A195="Прайс",Смета!B195)</f>
        <v>0</v>
      </c>
      <c r="C464" s="48" t="b">
        <f>IF(Смета!A195="Прайс",Смета!C195)</f>
        <v>0</v>
      </c>
      <c r="D464" s="48" t="b">
        <f>IF(Смета!A195="Прайс",Смета!D195)</f>
        <v>0</v>
      </c>
      <c r="E464" s="48" t="b">
        <f>IF(Смета!D195="Прайс",Смета!E195)</f>
        <v>0</v>
      </c>
      <c r="F464" s="48" t="b">
        <f>IF(Смета!E195="Прайс",Смета!F195)</f>
        <v>0</v>
      </c>
      <c r="G464" s="48" t="b">
        <f>IF(Смета!A195="Прайс",Смета!F195)</f>
        <v>0</v>
      </c>
    </row>
    <row r="465" spans="2:7" hidden="1">
      <c r="B465" s="48" t="b">
        <f>IF(Смета!A198="Прайс",Смета!B198)</f>
        <v>0</v>
      </c>
      <c r="C465" s="48" t="b">
        <f>IF(Смета!A198="Прайс",Смета!C198)</f>
        <v>0</v>
      </c>
      <c r="D465" s="48" t="b">
        <f>IF(Смета!A198="Прайс",Смета!D198)</f>
        <v>0</v>
      </c>
      <c r="E465" s="48" t="b">
        <f>IF(Смета!D198="Прайс",Смета!E198)</f>
        <v>0</v>
      </c>
      <c r="F465" s="48" t="b">
        <f>IF(Смета!E198="Прайс",Смета!F198)</f>
        <v>0</v>
      </c>
      <c r="G465" s="48" t="b">
        <f>IF(Смета!A198="Прайс",Смета!F198)</f>
        <v>0</v>
      </c>
    </row>
    <row r="466" spans="2:7" hidden="1">
      <c r="B466" s="48" t="b">
        <f>IF(Смета!A201="Прайс",Смета!B201)</f>
        <v>0</v>
      </c>
      <c r="C466" s="48" t="b">
        <f>IF(Смета!A201="Прайс",Смета!C201)</f>
        <v>0</v>
      </c>
      <c r="D466" s="48" t="b">
        <f>IF(Смета!A201="Прайс",Смета!D201)</f>
        <v>0</v>
      </c>
      <c r="E466" s="48" t="b">
        <f>IF(Смета!D201="Прайс",Смета!E201)</f>
        <v>0</v>
      </c>
      <c r="F466" s="48" t="b">
        <f>IF(Смета!E201="Прайс",Смета!F201)</f>
        <v>0</v>
      </c>
      <c r="G466" s="48" t="b">
        <f>IF(Смета!A201="Прайс",Смета!F201)</f>
        <v>0</v>
      </c>
    </row>
    <row r="467" spans="2:7" hidden="1">
      <c r="B467" s="48" t="b">
        <f>IF(Смета!A205="Прайс",Смета!B205)</f>
        <v>0</v>
      </c>
      <c r="C467" s="48" t="b">
        <f>IF(Смета!A205="Прайс",Смета!C205)</f>
        <v>0</v>
      </c>
      <c r="D467" s="48" t="b">
        <f>IF(Смета!A205="Прайс",Смета!D205)</f>
        <v>0</v>
      </c>
      <c r="E467" s="48" t="b">
        <f>IF(Смета!D205="Прайс",Смета!E205)</f>
        <v>0</v>
      </c>
      <c r="F467" s="48" t="b">
        <f>IF(Смета!E205="Прайс",Смета!F205)</f>
        <v>0</v>
      </c>
      <c r="G467" s="48" t="b">
        <f>IF(Смета!A205="Прайс",Смета!F205)</f>
        <v>0</v>
      </c>
    </row>
    <row r="468" spans="2:7" hidden="1">
      <c r="B468" s="48" t="b">
        <f>IF(Смета!A209="Прайс",Смета!B209)</f>
        <v>0</v>
      </c>
      <c r="C468" s="48" t="b">
        <f>IF(Смета!A209="Прайс",Смета!C209)</f>
        <v>0</v>
      </c>
      <c r="D468" s="48" t="b">
        <f>IF(Смета!A209="Прайс",Смета!D209)</f>
        <v>0</v>
      </c>
      <c r="E468" s="48" t="b">
        <f>IF(Смета!D209="Прайс",Смета!E209)</f>
        <v>0</v>
      </c>
      <c r="F468" s="48" t="b">
        <f>IF(Смета!E209="Прайс",Смета!F209)</f>
        <v>0</v>
      </c>
      <c r="G468" s="48" t="b">
        <f>IF(Смета!A209="Прайс",Смета!F209)</f>
        <v>0</v>
      </c>
    </row>
    <row r="469" spans="2:7" hidden="1">
      <c r="B469" s="48" t="b">
        <f>IF(Смета!A213="Прайс",Смета!B213)</f>
        <v>0</v>
      </c>
      <c r="C469" s="48" t="b">
        <f>IF(Смета!A213="Прайс",Смета!C213)</f>
        <v>0</v>
      </c>
      <c r="D469" s="48" t="b">
        <f>IF(Смета!A213="Прайс",Смета!D213)</f>
        <v>0</v>
      </c>
      <c r="E469" s="48" t="b">
        <f>IF(Смета!D213="Прайс",Смета!E213)</f>
        <v>0</v>
      </c>
      <c r="F469" s="48" t="b">
        <f>IF(Смета!E213="Прайс",Смета!F213)</f>
        <v>0</v>
      </c>
      <c r="G469" s="48" t="b">
        <f>IF(Смета!A213="Прайс",Смета!F213)</f>
        <v>0</v>
      </c>
    </row>
    <row r="470" spans="2:7" hidden="1">
      <c r="B470" s="48" t="b">
        <f>IF(Смета!A217="Прайс",Смета!B217)</f>
        <v>0</v>
      </c>
      <c r="C470" s="48" t="b">
        <f>IF(Смета!A217="Прайс",Смета!C217)</f>
        <v>0</v>
      </c>
      <c r="D470" s="48" t="b">
        <f>IF(Смета!A217="Прайс",Смета!D217)</f>
        <v>0</v>
      </c>
      <c r="E470" s="48" t="b">
        <f>IF(Смета!D217="Прайс",Смета!E217)</f>
        <v>0</v>
      </c>
      <c r="F470" s="48" t="b">
        <f>IF(Смета!E217="Прайс",Смета!F217)</f>
        <v>0</v>
      </c>
      <c r="G470" s="48" t="b">
        <f>IF(Смета!A217="Прайс",Смета!F217)</f>
        <v>0</v>
      </c>
    </row>
    <row r="471" spans="2:7" hidden="1">
      <c r="B471" s="48" t="b">
        <f>IF(Смета!A223="Прайс",Смета!B223)</f>
        <v>0</v>
      </c>
      <c r="C471" s="48" t="b">
        <f>IF(Смета!A223="Прайс",Смета!C223)</f>
        <v>0</v>
      </c>
      <c r="D471" s="48" t="b">
        <f>IF(Смета!A223="Прайс",Смета!D223)</f>
        <v>0</v>
      </c>
      <c r="E471" s="48" t="b">
        <f>IF(Смета!D223="Прайс",Смета!E223)</f>
        <v>0</v>
      </c>
      <c r="F471" s="48" t="b">
        <f>IF(Смета!E223="Прайс",Смета!F223)</f>
        <v>0</v>
      </c>
      <c r="G471" s="48" t="b">
        <f>IF(Смета!A223="Прайс",Смета!F223)</f>
        <v>0</v>
      </c>
    </row>
    <row r="472" spans="2:7" hidden="1">
      <c r="B472" s="48" t="b">
        <f>IF(Смета!A224="Прайс",Смета!B224)</f>
        <v>0</v>
      </c>
      <c r="C472" s="48" t="b">
        <f>IF(Смета!A224="Прайс",Смета!C224)</f>
        <v>0</v>
      </c>
      <c r="D472" s="48" t="b">
        <f>IF(Смета!A224="Прайс",Смета!D224)</f>
        <v>0</v>
      </c>
      <c r="E472" s="48" t="b">
        <f>IF(Смета!D224="Прайс",Смета!E224)</f>
        <v>0</v>
      </c>
      <c r="F472" s="48" t="b">
        <f>IF(Смета!E224="Прайс",Смета!F224)</f>
        <v>0</v>
      </c>
      <c r="G472" s="48" t="b">
        <f>IF(Смета!A224="Прайс",Смета!F224)</f>
        <v>0</v>
      </c>
    </row>
    <row r="473" spans="2:7" hidden="1">
      <c r="B473" s="48" t="b">
        <f>IF(Смета!A225="Прайс",Смета!B225)</f>
        <v>0</v>
      </c>
      <c r="C473" s="48" t="b">
        <f>IF(Смета!A225="Прайс",Смета!C225)</f>
        <v>0</v>
      </c>
      <c r="D473" s="48" t="b">
        <f>IF(Смета!A225="Прайс",Смета!D225)</f>
        <v>0</v>
      </c>
      <c r="E473" s="48" t="b">
        <f>IF(Смета!D225="Прайс",Смета!E225)</f>
        <v>0</v>
      </c>
      <c r="F473" s="48" t="b">
        <f>IF(Смета!E225="Прайс",Смета!F225)</f>
        <v>0</v>
      </c>
      <c r="G473" s="48" t="b">
        <f>IF(Смета!A225="Прайс",Смета!F225)</f>
        <v>0</v>
      </c>
    </row>
    <row r="474" spans="2:7" hidden="1">
      <c r="B474" s="48" t="b">
        <f>IF(Смета!A228="Прайс",Смета!B228)</f>
        <v>0</v>
      </c>
      <c r="C474" s="48" t="b">
        <f>IF(Смета!A228="Прайс",Смета!C228)</f>
        <v>0</v>
      </c>
      <c r="D474" s="48" t="b">
        <f>IF(Смета!A228="Прайс",Смета!D228)</f>
        <v>0</v>
      </c>
      <c r="E474" s="48" t="b">
        <f>IF(Смета!D228="Прайс",Смета!E228)</f>
        <v>0</v>
      </c>
      <c r="F474" s="48" t="b">
        <f>IF(Смета!E228="Прайс",Смета!F228)</f>
        <v>0</v>
      </c>
      <c r="G474" s="48" t="b">
        <f>IF(Смета!A228="Прайс",Смета!F228)</f>
        <v>0</v>
      </c>
    </row>
    <row r="475" spans="2:7" hidden="1">
      <c r="B475" s="48" t="b">
        <f>IF(Смета!A229="Прайс",Смета!B229)</f>
        <v>0</v>
      </c>
      <c r="C475" s="48" t="b">
        <f>IF(Смета!A229="Прайс",Смета!C229)</f>
        <v>0</v>
      </c>
      <c r="D475" s="48" t="b">
        <f>IF(Смета!A229="Прайс",Смета!D229)</f>
        <v>0</v>
      </c>
      <c r="E475" s="48" t="b">
        <f>IF(Смета!D229="Прайс",Смета!E229)</f>
        <v>0</v>
      </c>
      <c r="F475" s="48" t="b">
        <f>IF(Смета!E229="Прайс",Смета!F229)</f>
        <v>0</v>
      </c>
      <c r="G475" s="48" t="b">
        <f>IF(Смета!A229="Прайс",Смета!F229)</f>
        <v>0</v>
      </c>
    </row>
    <row r="476" spans="2:7" hidden="1">
      <c r="B476" s="48" t="b">
        <f>IF(Смета!A231="Прайс",Смета!B231)</f>
        <v>0</v>
      </c>
      <c r="C476" s="48" t="b">
        <f>IF(Смета!A231="Прайс",Смета!C231)</f>
        <v>0</v>
      </c>
      <c r="D476" s="48" t="b">
        <f>IF(Смета!A231="Прайс",Смета!D231)</f>
        <v>0</v>
      </c>
      <c r="E476" s="48" t="b">
        <f>IF(Смета!D231="Прайс",Смета!E231)</f>
        <v>0</v>
      </c>
      <c r="F476" s="48" t="b">
        <f>IF(Смета!E231="Прайс",Смета!F231)</f>
        <v>0</v>
      </c>
      <c r="G476" s="48" t="b">
        <f>IF(Смета!A231="Прайс",Смета!F231)</f>
        <v>0</v>
      </c>
    </row>
    <row r="477" spans="2:7" hidden="1">
      <c r="B477" s="48" t="b">
        <f>IF(Смета!A233="Прайс",Смета!B233)</f>
        <v>0</v>
      </c>
      <c r="C477" s="48" t="b">
        <f>IF(Смета!A233="Прайс",Смета!C233)</f>
        <v>0</v>
      </c>
      <c r="D477" s="48" t="b">
        <f>IF(Смета!A233="Прайс",Смета!D233)</f>
        <v>0</v>
      </c>
      <c r="E477" s="48" t="b">
        <f>IF(Смета!D233="Прайс",Смета!E233)</f>
        <v>0</v>
      </c>
      <c r="F477" s="48" t="b">
        <f>IF(Смета!E233="Прайс",Смета!F233)</f>
        <v>0</v>
      </c>
      <c r="G477" s="48" t="b">
        <f>IF(Смета!A233="Прайс",Смета!F233)</f>
        <v>0</v>
      </c>
    </row>
    <row r="478" spans="2:7" hidden="1">
      <c r="B478" s="48" t="b">
        <f>IF(Смета!A239="Прайс",Смета!B239)</f>
        <v>0</v>
      </c>
      <c r="C478" s="48" t="b">
        <f>IF(Смета!A239="Прайс",Смета!C239)</f>
        <v>0</v>
      </c>
      <c r="D478" s="48" t="b">
        <f>IF(Смета!A239="Прайс",Смета!D239)</f>
        <v>0</v>
      </c>
      <c r="E478" s="48" t="b">
        <f>IF(Смета!D239="Прайс",Смета!E239)</f>
        <v>0</v>
      </c>
      <c r="F478" s="48" t="b">
        <f>IF(Смета!E239="Прайс",Смета!F239)</f>
        <v>0</v>
      </c>
      <c r="G478" s="48" t="b">
        <f>IF(Смета!A239="Прайс",Смета!F239)</f>
        <v>0</v>
      </c>
    </row>
    <row r="479" spans="2:7" hidden="1">
      <c r="B479" s="48" t="b">
        <f>IF(Смета!A240="Прайс",Смета!B240)</f>
        <v>0</v>
      </c>
      <c r="C479" s="48" t="b">
        <f>IF(Смета!A240="Прайс",Смета!C240)</f>
        <v>0</v>
      </c>
      <c r="D479" s="48" t="b">
        <f>IF(Смета!A240="Прайс",Смета!D240)</f>
        <v>0</v>
      </c>
      <c r="E479" s="48" t="b">
        <f>IF(Смета!D240="Прайс",Смета!E240)</f>
        <v>0</v>
      </c>
      <c r="F479" s="48" t="b">
        <f>IF(Смета!E240="Прайс",Смета!F240)</f>
        <v>0</v>
      </c>
      <c r="G479" s="48" t="b">
        <f>IF(Смета!A240="Прайс",Смета!F240)</f>
        <v>0</v>
      </c>
    </row>
    <row r="480" spans="2:7" hidden="1">
      <c r="B480" s="48" t="b">
        <f>IF(Смета!A241="Прайс",Смета!B241)</f>
        <v>0</v>
      </c>
      <c r="C480" s="48" t="b">
        <f>IF(Смета!A241="Прайс",Смета!C241)</f>
        <v>0</v>
      </c>
      <c r="D480" s="48" t="b">
        <f>IF(Смета!A241="Прайс",Смета!D241)</f>
        <v>0</v>
      </c>
      <c r="E480" s="48" t="b">
        <f>IF(Смета!D241="Прайс",Смета!E241)</f>
        <v>0</v>
      </c>
      <c r="F480" s="48" t="b">
        <f>IF(Смета!E241="Прайс",Смета!F241)</f>
        <v>0</v>
      </c>
      <c r="G480" s="48" t="b">
        <f>IF(Смета!A241="Прайс",Смета!F241)</f>
        <v>0</v>
      </c>
    </row>
    <row r="481" spans="2:7" hidden="1">
      <c r="B481" s="48" t="b">
        <f>IF(Смета!A242="Прайс",Смета!B242)</f>
        <v>0</v>
      </c>
      <c r="C481" s="48" t="b">
        <f>IF(Смета!A242="Прайс",Смета!C242)</f>
        <v>0</v>
      </c>
      <c r="D481" s="48" t="b">
        <f>IF(Смета!A242="Прайс",Смета!D242)</f>
        <v>0</v>
      </c>
      <c r="E481" s="48" t="b">
        <f>IF(Смета!D242="Прайс",Смета!E242)</f>
        <v>0</v>
      </c>
      <c r="F481" s="48" t="b">
        <f>IF(Смета!E242="Прайс",Смета!F242)</f>
        <v>0</v>
      </c>
      <c r="G481" s="48" t="b">
        <f>IF(Смета!A242="Прайс",Смета!F242)</f>
        <v>0</v>
      </c>
    </row>
    <row r="482" spans="2:7" hidden="1">
      <c r="B482" s="48" t="b">
        <f>IF(Смета!A248="Прайс",Смета!B248)</f>
        <v>0</v>
      </c>
      <c r="C482" s="48" t="b">
        <f>IF(Смета!A248="Прайс",Смета!C248)</f>
        <v>0</v>
      </c>
      <c r="D482" s="48" t="b">
        <f>IF(Смета!A248="Прайс",Смета!D248)</f>
        <v>0</v>
      </c>
      <c r="E482" s="48" t="b">
        <f>IF(Смета!D248="Прайс",Смета!E248)</f>
        <v>0</v>
      </c>
      <c r="F482" s="48" t="b">
        <f>IF(Смета!E248="Прайс",Смета!F248)</f>
        <v>0</v>
      </c>
      <c r="G482" s="48" t="b">
        <f>IF(Смета!A248="Прайс",Смета!F248)</f>
        <v>0</v>
      </c>
    </row>
    <row r="483" spans="2:7" hidden="1">
      <c r="B483" s="48" t="b">
        <f>IF(Смета!A250="Прайс",Смета!B250)</f>
        <v>0</v>
      </c>
      <c r="C483" s="48" t="b">
        <f>IF(Смета!A250="Прайс",Смета!C250)</f>
        <v>0</v>
      </c>
      <c r="D483" s="48" t="b">
        <f>IF(Смета!A250="Прайс",Смета!D250)</f>
        <v>0</v>
      </c>
      <c r="E483" s="48" t="b">
        <f>IF(Смета!D250="Прайс",Смета!E250)</f>
        <v>0</v>
      </c>
      <c r="F483" s="48" t="b">
        <f>IF(Смета!E250="Прайс",Смета!F250)</f>
        <v>0</v>
      </c>
      <c r="G483" s="48" t="b">
        <f>IF(Смета!A250="Прайс",Смета!F250)</f>
        <v>0</v>
      </c>
    </row>
    <row r="484" spans="2:7" hidden="1">
      <c r="B484" s="48" t="b">
        <f>IF(Смета!A253="Прайс",Смета!B253)</f>
        <v>0</v>
      </c>
      <c r="C484" s="48" t="b">
        <f>IF(Смета!A253="Прайс",Смета!C253)</f>
        <v>0</v>
      </c>
      <c r="D484" s="48" t="b">
        <f>IF(Смета!A253="Прайс",Смета!D253)</f>
        <v>0</v>
      </c>
      <c r="E484" s="48" t="b">
        <f>IF(Смета!D253="Прайс",Смета!E253)</f>
        <v>0</v>
      </c>
      <c r="F484" s="48" t="b">
        <f>IF(Смета!E253="Прайс",Смета!F253)</f>
        <v>0</v>
      </c>
      <c r="G484" s="48" t="b">
        <f>IF(Смета!A253="Прайс",Смета!F253)</f>
        <v>0</v>
      </c>
    </row>
    <row r="485" spans="2:7" hidden="1">
      <c r="B485" s="48" t="b">
        <f>IF(Смета!A256="Прайс",Смета!B256)</f>
        <v>0</v>
      </c>
      <c r="C485" s="48" t="b">
        <f>IF(Смета!A256="Прайс",Смета!C256)</f>
        <v>0</v>
      </c>
      <c r="D485" s="48" t="b">
        <f>IF(Смета!A256="Прайс",Смета!D256)</f>
        <v>0</v>
      </c>
      <c r="E485" s="48" t="b">
        <f>IF(Смета!D256="Прайс",Смета!E256)</f>
        <v>0</v>
      </c>
      <c r="F485" s="48" t="b">
        <f>IF(Смета!E256="Прайс",Смета!F256)</f>
        <v>0</v>
      </c>
      <c r="G485" s="48" t="b">
        <f>IF(Смета!A256="Прайс",Смета!F256)</f>
        <v>0</v>
      </c>
    </row>
    <row r="486" spans="2:7" hidden="1">
      <c r="B486" s="48" t="b">
        <f>IF(Смета!A263="Прайс",Смета!B263)</f>
        <v>0</v>
      </c>
      <c r="C486" s="48" t="b">
        <f>IF(Смета!A263="Прайс",Смета!C263)</f>
        <v>0</v>
      </c>
      <c r="D486" s="48" t="b">
        <f>IF(Смета!A263="Прайс",Смета!D263)</f>
        <v>0</v>
      </c>
      <c r="E486" s="48" t="b">
        <f>IF(Смета!D263="Прайс",Смета!E263)</f>
        <v>0</v>
      </c>
      <c r="F486" s="48" t="b">
        <f>IF(Смета!E263="Прайс",Смета!F263)</f>
        <v>0</v>
      </c>
      <c r="G486" s="48" t="b">
        <f>IF(Смета!A263="Прайс",Смета!F263)</f>
        <v>0</v>
      </c>
    </row>
    <row r="487" spans="2:7" hidden="1">
      <c r="B487" s="48" t="b">
        <f>IF(Смета!A268="Прайс",Смета!B268)</f>
        <v>0</v>
      </c>
      <c r="C487" s="48" t="b">
        <f>IF(Смета!A268="Прайс",Смета!C268)</f>
        <v>0</v>
      </c>
      <c r="D487" s="48" t="b">
        <f>IF(Смета!A268="Прайс",Смета!D268)</f>
        <v>0</v>
      </c>
      <c r="E487" s="48" t="b">
        <f>IF(Смета!D268="Прайс",Смета!E268)</f>
        <v>0</v>
      </c>
      <c r="F487" s="48" t="b">
        <f>IF(Смета!E268="Прайс",Смета!F268)</f>
        <v>0</v>
      </c>
      <c r="G487" s="48" t="b">
        <f>IF(Смета!A268="Прайс",Смета!F268)</f>
        <v>0</v>
      </c>
    </row>
    <row r="488" spans="2:7" hidden="1">
      <c r="B488" s="48" t="b">
        <f>IF(Смета!A273="Прайс",Смета!B273)</f>
        <v>0</v>
      </c>
      <c r="C488" s="48" t="b">
        <f>IF(Смета!A273="Прайс",Смета!C273)</f>
        <v>0</v>
      </c>
      <c r="D488" s="48" t="b">
        <f>IF(Смета!A273="Прайс",Смета!D273)</f>
        <v>0</v>
      </c>
      <c r="E488" s="48" t="b">
        <f>IF(Смета!D273="Прайс",Смета!E273)</f>
        <v>0</v>
      </c>
      <c r="F488" s="48" t="b">
        <f>IF(Смета!E273="Прайс",Смета!F273)</f>
        <v>0</v>
      </c>
      <c r="G488" s="48" t="b">
        <f>IF(Смета!A273="Прайс",Смета!F273)</f>
        <v>0</v>
      </c>
    </row>
    <row r="489" spans="2:7" hidden="1">
      <c r="B489" s="48" t="b">
        <f>IF(Смета!A275="Прайс",Смета!B275)</f>
        <v>0</v>
      </c>
      <c r="C489" s="48" t="b">
        <f>IF(Смета!A275="Прайс",Смета!C275)</f>
        <v>0</v>
      </c>
      <c r="D489" s="48" t="b">
        <f>IF(Смета!A275="Прайс",Смета!D275)</f>
        <v>0</v>
      </c>
      <c r="E489" s="48" t="b">
        <f>IF(Смета!D275="Прайс",Смета!E275)</f>
        <v>0</v>
      </c>
      <c r="F489" s="48" t="b">
        <f>IF(Смета!E275="Прайс",Смета!F275)</f>
        <v>0</v>
      </c>
      <c r="G489" s="48" t="b">
        <f>IF(Смета!A275="Прайс",Смета!F275)</f>
        <v>0</v>
      </c>
    </row>
    <row r="490" spans="2:7" hidden="1">
      <c r="B490" s="48" t="b">
        <f>IF(Смета!A276="Прайс",Смета!B276)</f>
        <v>0</v>
      </c>
      <c r="C490" s="48" t="b">
        <f>IF(Смета!A276="Прайс",Смета!C276)</f>
        <v>0</v>
      </c>
      <c r="D490" s="48" t="b">
        <f>IF(Смета!A276="Прайс",Смета!D276)</f>
        <v>0</v>
      </c>
      <c r="E490" s="48" t="b">
        <f>IF(Смета!D276="Прайс",Смета!E276)</f>
        <v>0</v>
      </c>
      <c r="F490" s="48" t="b">
        <f>IF(Смета!E276="Прайс",Смета!F276)</f>
        <v>0</v>
      </c>
      <c r="G490" s="48" t="b">
        <f>IF(Смета!A276="Прайс",Смета!F276)</f>
        <v>0</v>
      </c>
    </row>
    <row r="491" spans="2:7" hidden="1">
      <c r="B491" s="48" t="b">
        <f>IF(Смета!A277="Прайс",Смета!B277)</f>
        <v>0</v>
      </c>
      <c r="C491" s="48" t="b">
        <f>IF(Смета!A277="Прайс",Смета!C277)</f>
        <v>0</v>
      </c>
      <c r="D491" s="48" t="b">
        <f>IF(Смета!A277="Прайс",Смета!D277)</f>
        <v>0</v>
      </c>
      <c r="E491" s="48" t="b">
        <f>IF(Смета!D277="Прайс",Смета!E277)</f>
        <v>0</v>
      </c>
      <c r="F491" s="48" t="b">
        <f>IF(Смета!E277="Прайс",Смета!F277)</f>
        <v>0</v>
      </c>
      <c r="G491" s="48" t="b">
        <f>IF(Смета!A277="Прайс",Смета!F277)</f>
        <v>0</v>
      </c>
    </row>
    <row r="492" spans="2:7" hidden="1">
      <c r="B492" s="48" t="b">
        <f>IF(Смета!A278="Прайс",Смета!B278)</f>
        <v>0</v>
      </c>
      <c r="C492" s="48" t="b">
        <f>IF(Смета!A278="Прайс",Смета!C278)</f>
        <v>0</v>
      </c>
      <c r="D492" s="48" t="b">
        <f>IF(Смета!A278="Прайс",Смета!D278)</f>
        <v>0</v>
      </c>
      <c r="E492" s="48" t="b">
        <f>IF(Смета!D278="Прайс",Смета!E278)</f>
        <v>0</v>
      </c>
      <c r="F492" s="48" t="b">
        <f>IF(Смета!E278="Прайс",Смета!F278)</f>
        <v>0</v>
      </c>
      <c r="G492" s="48" t="b">
        <f>IF(Смета!A278="Прайс",Смета!F278)</f>
        <v>0</v>
      </c>
    </row>
    <row r="493" spans="2:7" hidden="1">
      <c r="B493" s="48" t="b">
        <f>IF(Смета!A291="Прайс",Смета!B291)</f>
        <v>0</v>
      </c>
      <c r="C493" s="48" t="b">
        <f>IF(Смета!A291="Прайс",Смета!C291)</f>
        <v>0</v>
      </c>
      <c r="D493" s="48" t="b">
        <f>IF(Смета!A291="Прайс",Смета!D291)</f>
        <v>0</v>
      </c>
      <c r="E493" s="48" t="b">
        <f>IF(Смета!D291="Прайс",Смета!E291)</f>
        <v>0</v>
      </c>
      <c r="F493" s="48" t="b">
        <f>IF(Смета!E291="Прайс",Смета!F291)</f>
        <v>0</v>
      </c>
      <c r="G493" s="48" t="b">
        <f>IF(Смета!A291="Прайс",Смета!F291)</f>
        <v>0</v>
      </c>
    </row>
    <row r="494" spans="2:7" hidden="1">
      <c r="B494" s="48" t="b">
        <f>IF(Смета!A293="Прайс",Смета!B293)</f>
        <v>0</v>
      </c>
      <c r="C494" s="48" t="b">
        <f>IF(Смета!A293="Прайс",Смета!C293)</f>
        <v>0</v>
      </c>
      <c r="D494" s="48" t="b">
        <f>IF(Смета!A293="Прайс",Смета!D293)</f>
        <v>0</v>
      </c>
      <c r="E494" s="48" t="b">
        <f>IF(Смета!D293="Прайс",Смета!E293)</f>
        <v>0</v>
      </c>
      <c r="F494" s="48" t="b">
        <f>IF(Смета!E293="Прайс",Смета!F293)</f>
        <v>0</v>
      </c>
      <c r="G494" s="48" t="b">
        <f>IF(Смета!A293="Прайс",Смета!F293)</f>
        <v>0</v>
      </c>
    </row>
    <row r="495" spans="2:7" hidden="1">
      <c r="B495" s="48" t="b">
        <f>IF(Смета!A306="Прайс",Смета!B306)</f>
        <v>0</v>
      </c>
      <c r="C495" s="48" t="b">
        <f>IF(Смета!A306="Прайс",Смета!C306)</f>
        <v>0</v>
      </c>
      <c r="D495" s="48" t="b">
        <f>IF(Смета!A306="Прайс",Смета!D306)</f>
        <v>0</v>
      </c>
      <c r="E495" s="48" t="b">
        <f>IF(Смета!D306="Прайс",Смета!E306)</f>
        <v>0</v>
      </c>
      <c r="F495" s="48" t="b">
        <f>IF(Смета!E306="Прайс",Смета!F306)</f>
        <v>0</v>
      </c>
      <c r="G495" s="48" t="b">
        <f>IF(Смета!A306="Прайс",Смета!F306)</f>
        <v>0</v>
      </c>
    </row>
    <row r="496" spans="2:7" hidden="1">
      <c r="B496" s="48" t="b">
        <f>IF(Смета!A308="Прайс",Смета!B308)</f>
        <v>0</v>
      </c>
      <c r="C496" s="48" t="b">
        <f>IF(Смета!A308="Прайс",Смета!C308)</f>
        <v>0</v>
      </c>
      <c r="D496" s="48" t="b">
        <f>IF(Смета!A308="Прайс",Смета!D308)</f>
        <v>0</v>
      </c>
      <c r="E496" s="48" t="b">
        <f>IF(Смета!D308="Прайс",Смета!E308)</f>
        <v>0</v>
      </c>
      <c r="F496" s="48" t="b">
        <f>IF(Смета!E308="Прайс",Смета!F308)</f>
        <v>0</v>
      </c>
      <c r="G496" s="48" t="b">
        <f>IF(Смета!A308="Прайс",Смета!F308)</f>
        <v>0</v>
      </c>
    </row>
    <row r="497" spans="2:7" hidden="1">
      <c r="B497" s="48" t="b">
        <f>IF(Смета!A311="Прайс",Смета!B311)</f>
        <v>0</v>
      </c>
      <c r="C497" s="48" t="b">
        <f>IF(Смета!A311="Прайс",Смета!C311)</f>
        <v>0</v>
      </c>
      <c r="D497" s="48" t="b">
        <f>IF(Смета!A311="Прайс",Смета!D311)</f>
        <v>0</v>
      </c>
      <c r="E497" s="48" t="b">
        <f>IF(Смета!D311="Прайс",Смета!E311)</f>
        <v>0</v>
      </c>
      <c r="F497" s="48" t="b">
        <f>IF(Смета!E311="Прайс",Смета!F311)</f>
        <v>0</v>
      </c>
      <c r="G497" s="48" t="b">
        <f>IF(Смета!A311="Прайс",Смета!F311)</f>
        <v>0</v>
      </c>
    </row>
    <row r="498" spans="2:7" hidden="1">
      <c r="B498" s="48" t="b">
        <f>IF(Смета!A313="Прайс",Смета!B313)</f>
        <v>0</v>
      </c>
      <c r="C498" s="48" t="b">
        <f>IF(Смета!A313="Прайс",Смета!C313)</f>
        <v>0</v>
      </c>
      <c r="D498" s="48" t="b">
        <f>IF(Смета!A313="Прайс",Смета!D313)</f>
        <v>0</v>
      </c>
      <c r="E498" s="48" t="b">
        <f>IF(Смета!D313="Прайс",Смета!E313)</f>
        <v>0</v>
      </c>
      <c r="F498" s="48" t="b">
        <f>IF(Смета!E313="Прайс",Смета!F313)</f>
        <v>0</v>
      </c>
      <c r="G498" s="48" t="b">
        <f>IF(Смета!A313="Прайс",Смета!F313)</f>
        <v>0</v>
      </c>
    </row>
    <row r="499" spans="2:7" hidden="1">
      <c r="B499" s="48" t="b">
        <f>IF(Смета!A317="Прайс",Смета!B317)</f>
        <v>0</v>
      </c>
      <c r="C499" s="48" t="b">
        <f>IF(Смета!A317="Прайс",Смета!C317)</f>
        <v>0</v>
      </c>
      <c r="D499" s="48" t="b">
        <f>IF(Смета!A317="Прайс",Смета!D317)</f>
        <v>0</v>
      </c>
      <c r="E499" s="48" t="b">
        <f>IF(Смета!D317="Прайс",Смета!E317)</f>
        <v>0</v>
      </c>
      <c r="F499" s="48" t="b">
        <f>IF(Смета!E317="Прайс",Смета!F317)</f>
        <v>0</v>
      </c>
      <c r="G499" s="48" t="b">
        <f>IF(Смета!A317="Прайс",Смета!F317)</f>
        <v>0</v>
      </c>
    </row>
    <row r="500" spans="2:7" hidden="1">
      <c r="B500" s="48" t="b">
        <f>IF(Смета!A321="Прайс",Смета!B321)</f>
        <v>0</v>
      </c>
      <c r="C500" s="48" t="b">
        <f>IF(Смета!A321="Прайс",Смета!C321)</f>
        <v>0</v>
      </c>
      <c r="D500" s="48" t="b">
        <f>IF(Смета!A321="Прайс",Смета!D321)</f>
        <v>0</v>
      </c>
      <c r="E500" s="48" t="b">
        <f>IF(Смета!D321="Прайс",Смета!E321)</f>
        <v>0</v>
      </c>
      <c r="F500" s="48" t="b">
        <f>IF(Смета!E321="Прайс",Смета!F321)</f>
        <v>0</v>
      </c>
      <c r="G500" s="48" t="b">
        <f>IF(Смета!A321="Прайс",Смета!F321)</f>
        <v>0</v>
      </c>
    </row>
    <row r="501" spans="2:7" hidden="1">
      <c r="B501" s="48" t="b">
        <f>IF(Смета!A327="Прайс",Смета!B327)</f>
        <v>0</v>
      </c>
      <c r="C501" s="48" t="b">
        <f>IF(Смета!A327="Прайс",Смета!C327)</f>
        <v>0</v>
      </c>
      <c r="D501" s="48" t="b">
        <f>IF(Смета!A327="Прайс",Смета!D327)</f>
        <v>0</v>
      </c>
      <c r="E501" s="48" t="b">
        <f>IF(Смета!D327="Прайс",Смета!E327)</f>
        <v>0</v>
      </c>
      <c r="F501" s="48" t="b">
        <f>IF(Смета!E327="Прайс",Смета!F327)</f>
        <v>0</v>
      </c>
      <c r="G501" s="48" t="b">
        <f>IF(Смета!A327="Прайс",Смета!F327)</f>
        <v>0</v>
      </c>
    </row>
    <row r="502" spans="2:7" hidden="1">
      <c r="B502" s="48" t="b">
        <f>IF(Смета!A328="Прайс",Смета!B328)</f>
        <v>0</v>
      </c>
      <c r="C502" s="48" t="b">
        <f>IF(Смета!A328="Прайс",Смета!C328)</f>
        <v>0</v>
      </c>
      <c r="D502" s="48" t="b">
        <f>IF(Смета!A328="Прайс",Смета!D328)</f>
        <v>0</v>
      </c>
      <c r="E502" s="48" t="b">
        <f>IF(Смета!D328="Прайс",Смета!E328)</f>
        <v>0</v>
      </c>
      <c r="F502" s="48" t="b">
        <f>IF(Смета!E328="Прайс",Смета!F328)</f>
        <v>0</v>
      </c>
      <c r="G502" s="48" t="b">
        <f>IF(Смета!A328="Прайс",Смета!F328)</f>
        <v>0</v>
      </c>
    </row>
    <row r="503" spans="2:7" hidden="1">
      <c r="B503" s="48" t="b">
        <f>IF(Смета!A330="Прайс",Смета!B330)</f>
        <v>0</v>
      </c>
      <c r="C503" s="48" t="b">
        <f>IF(Смета!A330="Прайс",Смета!C330)</f>
        <v>0</v>
      </c>
      <c r="D503" s="48" t="b">
        <f>IF(Смета!A330="Прайс",Смета!D330)</f>
        <v>0</v>
      </c>
      <c r="E503" s="48" t="b">
        <f>IF(Смета!D330="Прайс",Смета!E330)</f>
        <v>0</v>
      </c>
      <c r="F503" s="48" t="b">
        <f>IF(Смета!E330="Прайс",Смета!F330)</f>
        <v>0</v>
      </c>
      <c r="G503" s="48" t="b">
        <f>IF(Смета!A330="Прайс",Смета!F330)</f>
        <v>0</v>
      </c>
    </row>
    <row r="504" spans="2:7" hidden="1">
      <c r="B504" s="48" t="b">
        <f>IF(Смета!A331="Прайс",Смета!B331)</f>
        <v>0</v>
      </c>
      <c r="C504" s="48" t="b">
        <f>IF(Смета!A331="Прайс",Смета!C331)</f>
        <v>0</v>
      </c>
      <c r="D504" s="48" t="b">
        <f>IF(Смета!A331="Прайс",Смета!D331)</f>
        <v>0</v>
      </c>
      <c r="E504" s="48" t="b">
        <f>IF(Смета!D331="Прайс",Смета!E331)</f>
        <v>0</v>
      </c>
      <c r="F504" s="48" t="b">
        <f>IF(Смета!E331="Прайс",Смета!F331)</f>
        <v>0</v>
      </c>
      <c r="G504" s="48" t="b">
        <f>IF(Смета!A331="Прайс",Смета!F331)</f>
        <v>0</v>
      </c>
    </row>
    <row r="505" spans="2:7" hidden="1">
      <c r="B505" s="48" t="b">
        <f>IF(Смета!A333="Прайс",Смета!B333)</f>
        <v>0</v>
      </c>
      <c r="C505" s="48" t="b">
        <f>IF(Смета!A333="Прайс",Смета!C333)</f>
        <v>0</v>
      </c>
      <c r="D505" s="48" t="b">
        <f>IF(Смета!A333="Прайс",Смета!D333)</f>
        <v>0</v>
      </c>
      <c r="E505" s="48" t="b">
        <f>IF(Смета!D333="Прайс",Смета!E333)</f>
        <v>0</v>
      </c>
      <c r="F505" s="48" t="b">
        <f>IF(Смета!E333="Прайс",Смета!F333)</f>
        <v>0</v>
      </c>
      <c r="G505" s="48" t="b">
        <f>IF(Смета!A333="Прайс",Смета!F333)</f>
        <v>0</v>
      </c>
    </row>
    <row r="506" spans="2:7" hidden="1">
      <c r="B506" s="48" t="b">
        <f>IF(Смета!A336="Прайс",Смета!B336)</f>
        <v>0</v>
      </c>
      <c r="C506" s="48" t="b">
        <f>IF(Смета!A336="Прайс",Смета!C336)</f>
        <v>0</v>
      </c>
      <c r="D506" s="48" t="b">
        <f>IF(Смета!A336="Прайс",Смета!D336)</f>
        <v>0</v>
      </c>
      <c r="E506" s="48" t="b">
        <f>IF(Смета!D336="Прайс",Смета!E336)</f>
        <v>0</v>
      </c>
      <c r="F506" s="48" t="b">
        <f>IF(Смета!E336="Прайс",Смета!F336)</f>
        <v>0</v>
      </c>
      <c r="G506" s="48" t="b">
        <f>IF(Смета!A336="Прайс",Смета!F336)</f>
        <v>0</v>
      </c>
    </row>
    <row r="507" spans="2:7" hidden="1">
      <c r="B507" s="48" t="b">
        <f>IF(Смета!A341="Прайс",Смета!B341)</f>
        <v>0</v>
      </c>
      <c r="C507" s="48" t="b">
        <f>IF(Смета!A341="Прайс",Смета!C341)</f>
        <v>0</v>
      </c>
      <c r="D507" s="48" t="b">
        <f>IF(Смета!A341="Прайс",Смета!D341)</f>
        <v>0</v>
      </c>
      <c r="E507" s="48" t="b">
        <f>IF(Смета!D341="Прайс",Смета!E341)</f>
        <v>0</v>
      </c>
      <c r="F507" s="48" t="b">
        <f>IF(Смета!E341="Прайс",Смета!F341)</f>
        <v>0</v>
      </c>
      <c r="G507" s="48" t="b">
        <f>IF(Смета!A341="Прайс",Смета!F341)</f>
        <v>0</v>
      </c>
    </row>
    <row r="508" spans="2:7" hidden="1">
      <c r="B508" s="48" t="b">
        <f>IF(Смета!A347="Прайс",Смета!B347)</f>
        <v>0</v>
      </c>
      <c r="C508" s="48" t="b">
        <f>IF(Смета!A347="Прайс",Смета!C347)</f>
        <v>0</v>
      </c>
      <c r="D508" s="48" t="b">
        <f>IF(Смета!A347="Прайс",Смета!D347)</f>
        <v>0</v>
      </c>
      <c r="E508" s="48" t="b">
        <f>IF(Смета!D347="Прайс",Смета!E347)</f>
        <v>0</v>
      </c>
      <c r="F508" s="48" t="b">
        <f>IF(Смета!E347="Прайс",Смета!F347)</f>
        <v>0</v>
      </c>
      <c r="G508" s="48" t="b">
        <f>IF(Смета!A347="Прайс",Смета!F347)</f>
        <v>0</v>
      </c>
    </row>
    <row r="509" spans="2:7" hidden="1">
      <c r="B509" s="48" t="b">
        <f>IF(Смета!A350="Прайс",Смета!B350)</f>
        <v>0</v>
      </c>
      <c r="C509" s="48" t="b">
        <f>IF(Смета!A350="Прайс",Смета!C350)</f>
        <v>0</v>
      </c>
      <c r="D509" s="48" t="b">
        <f>IF(Смета!A350="Прайс",Смета!D350)</f>
        <v>0</v>
      </c>
      <c r="E509" s="48" t="b">
        <f>IF(Смета!D350="Прайс",Смета!E350)</f>
        <v>0</v>
      </c>
      <c r="F509" s="48" t="b">
        <f>IF(Смета!E350="Прайс",Смета!F350)</f>
        <v>0</v>
      </c>
      <c r="G509" s="48" t="b">
        <f>IF(Смета!A350="Прайс",Смета!F350)</f>
        <v>0</v>
      </c>
    </row>
    <row r="510" spans="2:7" hidden="1">
      <c r="B510" s="48" t="b">
        <f>IF(Смета!A354="Прайс",Смета!B354)</f>
        <v>0</v>
      </c>
      <c r="C510" s="48" t="b">
        <f>IF(Смета!A354="Прайс",Смета!C354)</f>
        <v>0</v>
      </c>
      <c r="D510" s="48" t="b">
        <f>IF(Смета!A354="Прайс",Смета!D354)</f>
        <v>0</v>
      </c>
      <c r="E510" s="48" t="b">
        <f>IF(Смета!D354="Прайс",Смета!E354)</f>
        <v>0</v>
      </c>
      <c r="F510" s="48" t="b">
        <f>IF(Смета!E354="Прайс",Смета!F354)</f>
        <v>0</v>
      </c>
      <c r="G510" s="48" t="b">
        <f>IF(Смета!A354="Прайс",Смета!F354)</f>
        <v>0</v>
      </c>
    </row>
    <row r="511" spans="2:7" hidden="1">
      <c r="B511" s="48" t="b">
        <f>IF(Смета!A358="Прайс",Смета!B358)</f>
        <v>0</v>
      </c>
      <c r="C511" s="48" t="b">
        <f>IF(Смета!A358="Прайс",Смета!C358)</f>
        <v>0</v>
      </c>
      <c r="D511" s="48" t="b">
        <f>IF(Смета!A358="Прайс",Смета!D358)</f>
        <v>0</v>
      </c>
      <c r="E511" s="48" t="b">
        <f>IF(Смета!D358="Прайс",Смета!E358)</f>
        <v>0</v>
      </c>
      <c r="F511" s="48" t="b">
        <f>IF(Смета!E358="Прайс",Смета!F358)</f>
        <v>0</v>
      </c>
      <c r="G511" s="48" t="b">
        <f>IF(Смета!A358="Прайс",Смета!F358)</f>
        <v>0</v>
      </c>
    </row>
    <row r="512" spans="2:7" hidden="1">
      <c r="B512" s="48" t="b">
        <f>IF(Смета!A359="Прайс",Смета!B359)</f>
        <v>0</v>
      </c>
      <c r="C512" s="48" t="b">
        <f>IF(Смета!A359="Прайс",Смета!C359)</f>
        <v>0</v>
      </c>
      <c r="D512" s="48" t="b">
        <f>IF(Смета!A359="Прайс",Смета!D359)</f>
        <v>0</v>
      </c>
      <c r="E512" s="48" t="b">
        <f>IF(Смета!D359="Прайс",Смета!E359)</f>
        <v>0</v>
      </c>
      <c r="F512" s="48" t="b">
        <f>IF(Смета!E359="Прайс",Смета!F359)</f>
        <v>0</v>
      </c>
      <c r="G512" s="48" t="b">
        <f>IF(Смета!A359="Прайс",Смета!F359)</f>
        <v>0</v>
      </c>
    </row>
    <row r="513" spans="2:7" hidden="1">
      <c r="B513" s="48" t="b">
        <f>IF(Смета!A360="Прайс",Смета!B360)</f>
        <v>0</v>
      </c>
      <c r="C513" s="48" t="b">
        <f>IF(Смета!A360="Прайс",Смета!C360)</f>
        <v>0</v>
      </c>
      <c r="D513" s="48" t="b">
        <f>IF(Смета!A360="Прайс",Смета!D360)</f>
        <v>0</v>
      </c>
      <c r="E513" s="48" t="b">
        <f>IF(Смета!D360="Прайс",Смета!E360)</f>
        <v>0</v>
      </c>
      <c r="F513" s="48" t="b">
        <f>IF(Смета!E360="Прайс",Смета!F360)</f>
        <v>0</v>
      </c>
      <c r="G513" s="48" t="b">
        <f>IF(Смета!A360="Прайс",Смета!F360)</f>
        <v>0</v>
      </c>
    </row>
    <row r="514" spans="2:7" hidden="1">
      <c r="B514" s="48" t="b">
        <f>IF(Смета!A364="Прайс",Смета!B364)</f>
        <v>0</v>
      </c>
      <c r="C514" s="48" t="b">
        <f>IF(Смета!A364="Прайс",Смета!C364)</f>
        <v>0</v>
      </c>
      <c r="D514" s="48" t="b">
        <f>IF(Смета!A364="Прайс",Смета!D364)</f>
        <v>0</v>
      </c>
      <c r="E514" s="48" t="b">
        <f>IF(Смета!D364="Прайс",Смета!E364)</f>
        <v>0</v>
      </c>
      <c r="F514" s="48" t="b">
        <f>IF(Смета!E364="Прайс",Смета!F364)</f>
        <v>0</v>
      </c>
      <c r="G514" s="48" t="b">
        <f>IF(Смета!A364="Прайс",Смета!F364)</f>
        <v>0</v>
      </c>
    </row>
    <row r="515" spans="2:7" hidden="1">
      <c r="B515" s="48" t="b">
        <f>IF(Смета!A368="Прайс",Смета!B368)</f>
        <v>0</v>
      </c>
      <c r="C515" s="48" t="b">
        <f>IF(Смета!A368="Прайс",Смета!C368)</f>
        <v>0</v>
      </c>
      <c r="D515" s="48" t="b">
        <f>IF(Смета!A368="Прайс",Смета!D368)</f>
        <v>0</v>
      </c>
      <c r="E515" s="48" t="b">
        <f>IF(Смета!D368="Прайс",Смета!E368)</f>
        <v>0</v>
      </c>
      <c r="F515" s="48" t="b">
        <f>IF(Смета!E368="Прайс",Смета!F368)</f>
        <v>0</v>
      </c>
      <c r="G515" s="48" t="b">
        <f>IF(Смета!A368="Прайс",Смета!F368)</f>
        <v>0</v>
      </c>
    </row>
    <row r="516" spans="2:7" hidden="1">
      <c r="B516" s="48" t="b">
        <f>IF(Смета!A370="Прайс",Смета!B370)</f>
        <v>0</v>
      </c>
      <c r="C516" s="48" t="b">
        <f>IF(Смета!A370="Прайс",Смета!C370)</f>
        <v>0</v>
      </c>
      <c r="D516" s="48" t="b">
        <f>IF(Смета!A370="Прайс",Смета!D370)</f>
        <v>0</v>
      </c>
      <c r="E516" s="48" t="b">
        <f>IF(Смета!D370="Прайс",Смета!E370)</f>
        <v>0</v>
      </c>
      <c r="F516" s="48" t="b">
        <f>IF(Смета!E370="Прайс",Смета!F370)</f>
        <v>0</v>
      </c>
      <c r="G516" s="48" t="b">
        <f>IF(Смета!A370="Прайс",Смета!F370)</f>
        <v>0</v>
      </c>
    </row>
    <row r="517" spans="2:7" hidden="1">
      <c r="B517" s="48" t="b">
        <f>IF(Смета!A374="Прайс",Смета!B374)</f>
        <v>0</v>
      </c>
      <c r="C517" s="48" t="b">
        <f>IF(Смета!A374="Прайс",Смета!C374)</f>
        <v>0</v>
      </c>
      <c r="D517" s="48" t="b">
        <f>IF(Смета!A374="Прайс",Смета!D374)</f>
        <v>0</v>
      </c>
      <c r="E517" s="48" t="b">
        <f>IF(Смета!D374="Прайс",Смета!E374)</f>
        <v>0</v>
      </c>
      <c r="F517" s="48" t="b">
        <f>IF(Смета!E374="Прайс",Смета!F374)</f>
        <v>0</v>
      </c>
      <c r="G517" s="48" t="b">
        <f>IF(Смета!A374="Прайс",Смета!F374)</f>
        <v>0</v>
      </c>
    </row>
    <row r="518" spans="2:7" hidden="1">
      <c r="B518" s="65" t="b">
        <f>IF(Смета!A381="Прайс",Смета!B381)</f>
        <v>0</v>
      </c>
      <c r="C518" s="65" t="b">
        <f>IF(Смета!A381="Прайс",Смета!C381)</f>
        <v>0</v>
      </c>
      <c r="D518" s="65" t="b">
        <f>IF(Смета!A381="Прайс",Смета!D381)</f>
        <v>0</v>
      </c>
      <c r="E518" s="65" t="b">
        <f>IF(Смета!D381="Прайс",Смета!E381)</f>
        <v>0</v>
      </c>
      <c r="F518" s="65" t="b">
        <f>IF(Смета!E381="Прайс",Смета!F381)</f>
        <v>0</v>
      </c>
      <c r="G518" s="65" t="b">
        <f>IF(Смета!A381="Прайс",Смета!F381)</f>
        <v>0</v>
      </c>
    </row>
    <row r="519" spans="2:7" hidden="1">
      <c r="B519" s="65" t="b">
        <f>IF(Смета!A399="Прайс",Смета!B399)</f>
        <v>0</v>
      </c>
      <c r="C519" s="65" t="b">
        <f>IF(Смета!A399="Прайс",Смета!C399)</f>
        <v>0</v>
      </c>
      <c r="D519" s="65" t="b">
        <f>IF(Смета!A399="Прайс",Смета!D399)</f>
        <v>0</v>
      </c>
      <c r="E519" s="65" t="b">
        <f>IF(Смета!D399="Прайс",Смета!E399)</f>
        <v>0</v>
      </c>
      <c r="F519" s="65" t="b">
        <f>IF(Смета!E399="Прайс",Смета!F399)</f>
        <v>0</v>
      </c>
      <c r="G519" s="65" t="b">
        <f>IF(Смета!A399="Прайс",Смета!F399)</f>
        <v>0</v>
      </c>
    </row>
    <row r="520" spans="2:7" hidden="1">
      <c r="B520" s="65" t="b">
        <f>IF(Смета!A400="Прайс",Смета!B400)</f>
        <v>0</v>
      </c>
      <c r="C520" s="65" t="b">
        <f>IF(Смета!A400="Прайс",Смета!C400)</f>
        <v>0</v>
      </c>
      <c r="D520" s="65" t="b">
        <f>IF(Смета!A400="Прайс",Смета!D400)</f>
        <v>0</v>
      </c>
      <c r="E520" s="65" t="b">
        <f>IF(Смета!D400="Прайс",Смета!E400)</f>
        <v>0</v>
      </c>
      <c r="F520" s="65" t="b">
        <f>IF(Смета!E400="Прайс",Смета!F400)</f>
        <v>0</v>
      </c>
      <c r="G520" s="65" t="b">
        <f>IF(Смета!A400="Прайс",Смета!F400)</f>
        <v>0</v>
      </c>
    </row>
    <row r="521" spans="2:7" hidden="1">
      <c r="B521" s="65" t="b">
        <f>IF(Смета!A418="Прайс",Смета!B418)</f>
        <v>0</v>
      </c>
      <c r="C521" s="65" t="b">
        <f>IF(Смета!A418="Прайс",Смета!C418)</f>
        <v>0</v>
      </c>
      <c r="D521" s="65" t="b">
        <f>IF(Смета!A418="Прайс",Смета!D418)</f>
        <v>0</v>
      </c>
      <c r="E521" s="65" t="b">
        <f>IF(Смета!D418="Прайс",Смета!E418)</f>
        <v>0</v>
      </c>
      <c r="F521" s="65" t="b">
        <f>IF(Смета!E418="Прайс",Смета!F418)</f>
        <v>0</v>
      </c>
      <c r="G521" s="65" t="b">
        <f>IF(Смета!A418="Прайс",Смета!F418)</f>
        <v>0</v>
      </c>
    </row>
    <row r="522" spans="2:7" hidden="1">
      <c r="B522" s="65" t="b">
        <f>IF(Смета!A434="Прайс",Смета!B434)</f>
        <v>0</v>
      </c>
      <c r="C522" s="65" t="b">
        <f>IF(Смета!A434="Прайс",Смета!C434)</f>
        <v>0</v>
      </c>
      <c r="D522" s="65" t="b">
        <f>IF(Смета!A434="Прайс",Смета!D434)</f>
        <v>0</v>
      </c>
      <c r="E522" s="65" t="b">
        <f>IF(Смета!D434="Прайс",Смета!E434)</f>
        <v>0</v>
      </c>
      <c r="F522" s="65" t="b">
        <f>IF(Смета!E434="Прайс",Смета!F434)</f>
        <v>0</v>
      </c>
      <c r="G522" s="65" t="b">
        <f>IF(Смета!A434="Прайс",Смета!F434)</f>
        <v>0</v>
      </c>
    </row>
    <row r="523" spans="2:7" hidden="1">
      <c r="B523" s="65" t="e">
        <f>IF(Смета!#REF!="Прайс",Смета!#REF!)</f>
        <v>#REF!</v>
      </c>
      <c r="C523" s="65" t="e">
        <f>IF(Смета!#REF!="Прайс",Смета!#REF!)</f>
        <v>#REF!</v>
      </c>
      <c r="D523" s="65" t="e">
        <f>IF(Смета!#REF!="Прайс",Смета!#REF!)</f>
        <v>#REF!</v>
      </c>
      <c r="E523" s="65" t="e">
        <f>IF(Смета!#REF!="Прайс",Смета!#REF!)</f>
        <v>#REF!</v>
      </c>
      <c r="F523" s="65" t="e">
        <f>IF(Смета!#REF!="Прайс",Смета!#REF!)</f>
        <v>#REF!</v>
      </c>
      <c r="G523" s="65" t="e">
        <f>IF(Смета!#REF!="Прайс",Смета!#REF!)</f>
        <v>#REF!</v>
      </c>
    </row>
    <row r="524" spans="2:7" hidden="1">
      <c r="B524" s="65" t="b">
        <f>IF(Смета!A445="Прайс",Смета!B445)</f>
        <v>0</v>
      </c>
      <c r="C524" s="65" t="b">
        <f>IF(Смета!A445="Прайс",Смета!C445)</f>
        <v>0</v>
      </c>
      <c r="D524" s="65" t="b">
        <f>IF(Смета!A445="Прайс",Смета!D445)</f>
        <v>0</v>
      </c>
      <c r="E524" s="65" t="b">
        <f>IF(Смета!D445="Прайс",Смета!E445)</f>
        <v>0</v>
      </c>
      <c r="F524" s="65" t="b">
        <f>IF(Смета!E445="Прайс",Смета!F445)</f>
        <v>0</v>
      </c>
      <c r="G524" s="65" t="b">
        <f>IF(Смета!A445="Прайс",Смета!F445)</f>
        <v>0</v>
      </c>
    </row>
    <row r="525" spans="2:7" hidden="1">
      <c r="B525" s="65" t="b">
        <f>IF(Смета!A446="Прайс",Смета!B446)</f>
        <v>0</v>
      </c>
      <c r="C525" s="65" t="b">
        <f>IF(Смета!A446="Прайс",Смета!C446)</f>
        <v>0</v>
      </c>
      <c r="D525" s="65" t="b">
        <f>IF(Смета!A446="Прайс",Смета!D446)</f>
        <v>0</v>
      </c>
      <c r="E525" s="65" t="b">
        <f>IF(Смета!D446="Прайс",Смета!E446)</f>
        <v>0</v>
      </c>
      <c r="F525" s="65" t="b">
        <f>IF(Смета!E446="Прайс",Смета!F446)</f>
        <v>0</v>
      </c>
      <c r="G525" s="65" t="b">
        <f>IF(Смета!A446="Прайс",Смета!F446)</f>
        <v>0</v>
      </c>
    </row>
    <row r="526" spans="2:7" hidden="1">
      <c r="B526" s="65" t="b">
        <f>IF(Смета!A447="Прайс",Смета!B447)</f>
        <v>0</v>
      </c>
      <c r="C526" s="65" t="b">
        <f>IF(Смета!A447="Прайс",Смета!C447)</f>
        <v>0</v>
      </c>
      <c r="D526" s="65" t="b">
        <f>IF(Смета!A447="Прайс",Смета!D447)</f>
        <v>0</v>
      </c>
      <c r="E526" s="65" t="b">
        <f>IF(Смета!D447="Прайс",Смета!E447)</f>
        <v>0</v>
      </c>
      <c r="F526" s="65" t="b">
        <f>IF(Смета!E447="Прайс",Смета!F447)</f>
        <v>0</v>
      </c>
      <c r="G526" s="65" t="b">
        <f>IF(Смета!A447="Прайс",Смета!F447)</f>
        <v>0</v>
      </c>
    </row>
    <row r="527" spans="2:7" hidden="1">
      <c r="B527" s="65" t="b">
        <f>IF(Смета!A449="Прайс",Смета!B449)</f>
        <v>0</v>
      </c>
      <c r="C527" s="65" t="b">
        <f>IF(Смета!A449="Прайс",Смета!C449)</f>
        <v>0</v>
      </c>
      <c r="D527" s="65" t="b">
        <f>IF(Смета!A449="Прайс",Смета!D449)</f>
        <v>0</v>
      </c>
      <c r="E527" s="65" t="b">
        <f>IF(Смета!D449="Прайс",Смета!E449)</f>
        <v>0</v>
      </c>
      <c r="F527" s="65" t="b">
        <f>IF(Смета!E449="Прайс",Смета!F449)</f>
        <v>0</v>
      </c>
      <c r="G527" s="65" t="b">
        <f>IF(Смета!A449="Прайс",Смета!F449)</f>
        <v>0</v>
      </c>
    </row>
    <row r="528" spans="2:7" hidden="1">
      <c r="B528" s="65" t="b">
        <f>IF(Смета!A450="Прайс",Смета!B450)</f>
        <v>0</v>
      </c>
      <c r="C528" s="65" t="b">
        <f>IF(Смета!A450="Прайс",Смета!C450)</f>
        <v>0</v>
      </c>
      <c r="D528" s="65" t="b">
        <f>IF(Смета!A450="Прайс",Смета!D450)</f>
        <v>0</v>
      </c>
      <c r="E528" s="65" t="b">
        <f>IF(Смета!D450="Прайс",Смета!E450)</f>
        <v>0</v>
      </c>
      <c r="F528" s="65" t="b">
        <f>IF(Смета!E450="Прайс",Смета!F450)</f>
        <v>0</v>
      </c>
      <c r="G528" s="65" t="b">
        <f>IF(Смета!A450="Прайс",Смета!F450)</f>
        <v>0</v>
      </c>
    </row>
    <row r="529" spans="2:7" hidden="1">
      <c r="B529" s="65" t="b">
        <f>IF(Смета!A451="Прайс",Смета!B451)</f>
        <v>0</v>
      </c>
      <c r="C529" s="65" t="b">
        <f>IF(Смета!A451="Прайс",Смета!C451)</f>
        <v>0</v>
      </c>
      <c r="D529" s="65" t="b">
        <f>IF(Смета!A451="Прайс",Смета!D451)</f>
        <v>0</v>
      </c>
      <c r="E529" s="65" t="b">
        <f>IF(Смета!D451="Прайс",Смета!E451)</f>
        <v>0</v>
      </c>
      <c r="F529" s="65" t="b">
        <f>IF(Смета!E451="Прайс",Смета!F451)</f>
        <v>0</v>
      </c>
      <c r="G529" s="65" t="b">
        <f>IF(Смета!A451="Прайс",Смета!F451)</f>
        <v>0</v>
      </c>
    </row>
    <row r="530" spans="2:7" hidden="1">
      <c r="B530" s="65" t="b">
        <f>IF(Смета!A452="Прайс",Смета!B452)</f>
        <v>0</v>
      </c>
      <c r="C530" s="65" t="b">
        <f>IF(Смета!A452="Прайс",Смета!C452)</f>
        <v>0</v>
      </c>
      <c r="D530" s="65" t="b">
        <f>IF(Смета!A452="Прайс",Смета!D452)</f>
        <v>0</v>
      </c>
      <c r="E530" s="65" t="b">
        <f>IF(Смета!D452="Прайс",Смета!E452)</f>
        <v>0</v>
      </c>
      <c r="F530" s="65" t="b">
        <f>IF(Смета!E452="Прайс",Смета!F452)</f>
        <v>0</v>
      </c>
      <c r="G530" s="65" t="b">
        <f>IF(Смета!A452="Прайс",Смета!F452)</f>
        <v>0</v>
      </c>
    </row>
    <row r="531" spans="2:7" hidden="1">
      <c r="B531" s="65" t="b">
        <f>IF(Смета!A453="Прайс",Смета!B453)</f>
        <v>0</v>
      </c>
      <c r="C531" s="65" t="b">
        <f>IF(Смета!A453="Прайс",Смета!C453)</f>
        <v>0</v>
      </c>
      <c r="D531" s="65" t="b">
        <f>IF(Смета!A453="Прайс",Смета!D453)</f>
        <v>0</v>
      </c>
      <c r="E531" s="65" t="b">
        <f>IF(Смета!D453="Прайс",Смета!E453)</f>
        <v>0</v>
      </c>
      <c r="F531" s="65" t="b">
        <f>IF(Смета!E453="Прайс",Смета!F453)</f>
        <v>0</v>
      </c>
      <c r="G531" s="65" t="b">
        <f>IF(Смета!A453="Прайс",Смета!F453)</f>
        <v>0</v>
      </c>
    </row>
    <row r="532" spans="2:7" hidden="1">
      <c r="B532" s="65" t="b">
        <f>IF(Смета!A454="Прайс",Смета!B454)</f>
        <v>0</v>
      </c>
      <c r="C532" s="65" t="b">
        <f>IF(Смета!A454="Прайс",Смета!C454)</f>
        <v>0</v>
      </c>
      <c r="D532" s="65" t="b">
        <f>IF(Смета!A454="Прайс",Смета!D454)</f>
        <v>0</v>
      </c>
      <c r="E532" s="65" t="b">
        <f>IF(Смета!D454="Прайс",Смета!E454)</f>
        <v>0</v>
      </c>
      <c r="F532" s="65" t="b">
        <f>IF(Смета!E454="Прайс",Смета!F454)</f>
        <v>0</v>
      </c>
      <c r="G532" s="65" t="b">
        <f>IF(Смета!A454="Прайс",Смета!F454)</f>
        <v>0</v>
      </c>
    </row>
    <row r="533" spans="2:7" hidden="1">
      <c r="B533" s="65" t="b">
        <f>IF(Смета!A455="Прайс",Смета!B455)</f>
        <v>0</v>
      </c>
      <c r="C533" s="65" t="b">
        <f>IF(Смета!A455="Прайс",Смета!C455)</f>
        <v>0</v>
      </c>
      <c r="D533" s="65" t="b">
        <f>IF(Смета!A455="Прайс",Смета!D455)</f>
        <v>0</v>
      </c>
      <c r="E533" s="65" t="b">
        <f>IF(Смета!D455="Прайс",Смета!E455)</f>
        <v>0</v>
      </c>
      <c r="F533" s="65" t="b">
        <f>IF(Смета!E455="Прайс",Смета!F455)</f>
        <v>0</v>
      </c>
      <c r="G533" s="65" t="b">
        <f>IF(Смета!A455="Прайс",Смета!F455)</f>
        <v>0</v>
      </c>
    </row>
    <row r="534" spans="2:7" hidden="1">
      <c r="B534" s="65" t="b">
        <f>IF(Смета!A456="Прайс",Смета!B456)</f>
        <v>0</v>
      </c>
      <c r="C534" s="65" t="b">
        <f>IF(Смета!A456="Прайс",Смета!C456)</f>
        <v>0</v>
      </c>
      <c r="D534" s="65" t="b">
        <f>IF(Смета!A456="Прайс",Смета!D456)</f>
        <v>0</v>
      </c>
      <c r="E534" s="65" t="b">
        <f>IF(Смета!D456="Прайс",Смета!E456)</f>
        <v>0</v>
      </c>
      <c r="F534" s="65" t="b">
        <f>IF(Смета!E456="Прайс",Смета!F456)</f>
        <v>0</v>
      </c>
      <c r="G534" s="65" t="b">
        <f>IF(Смета!A456="Прайс",Смета!F456)</f>
        <v>0</v>
      </c>
    </row>
    <row r="535" spans="2:7" hidden="1">
      <c r="B535" s="65" t="b">
        <f>IF(Смета!A457="Прайс",Смета!B457)</f>
        <v>0</v>
      </c>
      <c r="C535" s="65" t="b">
        <f>IF(Смета!A457="Прайс",Смета!C457)</f>
        <v>0</v>
      </c>
      <c r="D535" s="65" t="b">
        <f>IF(Смета!A457="Прайс",Смета!D457)</f>
        <v>0</v>
      </c>
      <c r="E535" s="65" t="b">
        <f>IF(Смета!D457="Прайс",Смета!E457)</f>
        <v>0</v>
      </c>
      <c r="F535" s="65" t="b">
        <f>IF(Смета!E457="Прайс",Смета!F457)</f>
        <v>0</v>
      </c>
      <c r="G535" s="65" t="b">
        <f>IF(Смета!A457="Прайс",Смета!F457)</f>
        <v>0</v>
      </c>
    </row>
    <row r="536" spans="2:7" hidden="1">
      <c r="B536" s="65" t="b">
        <f>IF(Смета!A458="Прайс",Смета!B458)</f>
        <v>0</v>
      </c>
      <c r="C536" s="65" t="b">
        <f>IF(Смета!A458="Прайс",Смета!C458)</f>
        <v>0</v>
      </c>
      <c r="D536" s="65" t="b">
        <f>IF(Смета!A458="Прайс",Смета!D458)</f>
        <v>0</v>
      </c>
      <c r="E536" s="65" t="b">
        <f>IF(Смета!D458="Прайс",Смета!E458)</f>
        <v>0</v>
      </c>
      <c r="F536" s="65" t="b">
        <f>IF(Смета!E458="Прайс",Смета!F458)</f>
        <v>0</v>
      </c>
      <c r="G536" s="65" t="b">
        <f>IF(Смета!A458="Прайс",Смета!F458)</f>
        <v>0</v>
      </c>
    </row>
    <row r="537" spans="2:7" hidden="1">
      <c r="B537" s="65" t="b">
        <f>IF(Смета!A459="Прайс",Смета!B459)</f>
        <v>0</v>
      </c>
      <c r="C537" s="65" t="b">
        <f>IF(Смета!A459="Прайс",Смета!C459)</f>
        <v>0</v>
      </c>
      <c r="D537" s="65" t="b">
        <f>IF(Смета!A459="Прайс",Смета!D459)</f>
        <v>0</v>
      </c>
      <c r="E537" s="65" t="b">
        <f>IF(Смета!D459="Прайс",Смета!E459)</f>
        <v>0</v>
      </c>
      <c r="F537" s="65" t="b">
        <f>IF(Смета!E459="Прайс",Смета!F459)</f>
        <v>0</v>
      </c>
      <c r="G537" s="65" t="b">
        <f>IF(Смета!A459="Прайс",Смета!F459)</f>
        <v>0</v>
      </c>
    </row>
    <row r="538" spans="2:7" hidden="1">
      <c r="B538" s="65" t="b">
        <f>IF(Смета!A460="Прайс",Смета!B460)</f>
        <v>0</v>
      </c>
      <c r="C538" s="65" t="b">
        <f>IF(Смета!A460="Прайс",Смета!C460)</f>
        <v>0</v>
      </c>
      <c r="D538" s="65" t="b">
        <f>IF(Смета!A460="Прайс",Смета!D460)</f>
        <v>0</v>
      </c>
      <c r="E538" s="65" t="b">
        <f>IF(Смета!D460="Прайс",Смета!E460)</f>
        <v>0</v>
      </c>
      <c r="F538" s="65" t="b">
        <f>IF(Смета!E460="Прайс",Смета!F460)</f>
        <v>0</v>
      </c>
      <c r="G538" s="65" t="b">
        <f>IF(Смета!A460="Прайс",Смета!F460)</f>
        <v>0</v>
      </c>
    </row>
    <row r="539" spans="2:7" hidden="1">
      <c r="B539" s="65" t="b">
        <f>IF(Смета!A461="Прайс",Смета!B461)</f>
        <v>0</v>
      </c>
      <c r="C539" s="65" t="b">
        <f>IF(Смета!A461="Прайс",Смета!C461)</f>
        <v>0</v>
      </c>
      <c r="D539" s="65" t="b">
        <f>IF(Смета!A461="Прайс",Смета!D461)</f>
        <v>0</v>
      </c>
      <c r="E539" s="65" t="b">
        <f>IF(Смета!D461="Прайс",Смета!E461)</f>
        <v>0</v>
      </c>
      <c r="F539" s="65" t="b">
        <f>IF(Смета!E461="Прайс",Смета!F461)</f>
        <v>0</v>
      </c>
      <c r="G539" s="65" t="b">
        <f>IF(Смета!A461="Прайс",Смета!F461)</f>
        <v>0</v>
      </c>
    </row>
    <row r="540" spans="2:7" hidden="1">
      <c r="B540" s="65" t="b">
        <f>IF(Смета!A462="Прайс",Смета!B462)</f>
        <v>0</v>
      </c>
      <c r="C540" s="65" t="b">
        <f>IF(Смета!A462="Прайс",Смета!C462)</f>
        <v>0</v>
      </c>
      <c r="D540" s="65" t="b">
        <f>IF(Смета!A462="Прайс",Смета!D462)</f>
        <v>0</v>
      </c>
      <c r="E540" s="65" t="b">
        <f>IF(Смета!D462="Прайс",Смета!E462)</f>
        <v>0</v>
      </c>
      <c r="F540" s="65" t="b">
        <f>IF(Смета!E462="Прайс",Смета!F462)</f>
        <v>0</v>
      </c>
      <c r="G540" s="65" t="b">
        <f>IF(Смета!A462="Прайс",Смета!F462)</f>
        <v>0</v>
      </c>
    </row>
    <row r="541" spans="2:7" hidden="1">
      <c r="B541" s="65" t="b">
        <f>IF(Смета!A463="Прайс",Смета!B463)</f>
        <v>0</v>
      </c>
      <c r="C541" s="65" t="b">
        <f>IF(Смета!A463="Прайс",Смета!C463)</f>
        <v>0</v>
      </c>
      <c r="D541" s="65" t="b">
        <f>IF(Смета!A463="Прайс",Смета!D463)</f>
        <v>0</v>
      </c>
      <c r="E541" s="65" t="b">
        <f>IF(Смета!D463="Прайс",Смета!E463)</f>
        <v>0</v>
      </c>
      <c r="F541" s="65" t="b">
        <f>IF(Смета!E463="Прайс",Смета!F463)</f>
        <v>0</v>
      </c>
      <c r="G541" s="65" t="b">
        <f>IF(Смета!A463="Прайс",Смета!F463)</f>
        <v>0</v>
      </c>
    </row>
    <row r="542" spans="2:7" hidden="1">
      <c r="B542" s="65" t="b">
        <f>IF(Смета!A464="Прайс",Смета!B464)</f>
        <v>0</v>
      </c>
      <c r="C542" s="65" t="b">
        <f>IF(Смета!A464="Прайс",Смета!C464)</f>
        <v>0</v>
      </c>
      <c r="D542" s="65" t="b">
        <f>IF(Смета!A464="Прайс",Смета!D464)</f>
        <v>0</v>
      </c>
      <c r="E542" s="65" t="b">
        <f>IF(Смета!D464="Прайс",Смета!E464)</f>
        <v>0</v>
      </c>
      <c r="F542" s="65" t="b">
        <f>IF(Смета!E464="Прайс",Смета!F464)</f>
        <v>0</v>
      </c>
      <c r="G542" s="65" t="b">
        <f>IF(Смета!A464="Прайс",Смета!F464)</f>
        <v>0</v>
      </c>
    </row>
    <row r="543" spans="2:7" hidden="1">
      <c r="B543" s="65" t="b">
        <f>IF(Смета!A465="Прайс",Смета!B465)</f>
        <v>0</v>
      </c>
      <c r="C543" s="65" t="b">
        <f>IF(Смета!A465="Прайс",Смета!C465)</f>
        <v>0</v>
      </c>
      <c r="D543" s="65" t="b">
        <f>IF(Смета!A465="Прайс",Смета!D465)</f>
        <v>0</v>
      </c>
      <c r="E543" s="65" t="b">
        <f>IF(Смета!D465="Прайс",Смета!E465)</f>
        <v>0</v>
      </c>
      <c r="F543" s="65" t="b">
        <f>IF(Смета!E465="Прайс",Смета!F465)</f>
        <v>0</v>
      </c>
      <c r="G543" s="65" t="b">
        <f>IF(Смета!A465="Прайс",Смета!F465)</f>
        <v>0</v>
      </c>
    </row>
    <row r="544" spans="2:7" hidden="1">
      <c r="B544" s="65" t="b">
        <f>IF(Смета!A466="Прайс",Смета!B466)</f>
        <v>0</v>
      </c>
      <c r="C544" s="65" t="b">
        <f>IF(Смета!A466="Прайс",Смета!C466)</f>
        <v>0</v>
      </c>
      <c r="D544" s="65" t="b">
        <f>IF(Смета!A466="Прайс",Смета!D466)</f>
        <v>0</v>
      </c>
      <c r="E544" s="65" t="b">
        <f>IF(Смета!D466="Прайс",Смета!E466)</f>
        <v>0</v>
      </c>
      <c r="F544" s="65" t="b">
        <f>IF(Смета!E466="Прайс",Смета!F466)</f>
        <v>0</v>
      </c>
      <c r="G544" s="65" t="b">
        <f>IF(Смета!A466="Прайс",Смета!F466)</f>
        <v>0</v>
      </c>
    </row>
    <row r="545" spans="2:7" hidden="1">
      <c r="B545" s="65" t="b">
        <f>IF(Смета!A467="Прайс",Смета!B467)</f>
        <v>0</v>
      </c>
      <c r="C545" s="65" t="b">
        <f>IF(Смета!A467="Прайс",Смета!C467)</f>
        <v>0</v>
      </c>
      <c r="D545" s="65" t="b">
        <f>IF(Смета!A467="Прайс",Смета!D467)</f>
        <v>0</v>
      </c>
      <c r="E545" s="65" t="b">
        <f>IF(Смета!D467="Прайс",Смета!E467)</f>
        <v>0</v>
      </c>
      <c r="F545" s="65" t="b">
        <f>IF(Смета!E467="Прайс",Смета!F467)</f>
        <v>0</v>
      </c>
      <c r="G545" s="65" t="b">
        <f>IF(Смета!A467="Прайс",Смета!F467)</f>
        <v>0</v>
      </c>
    </row>
    <row r="546" spans="2:7" hidden="1">
      <c r="B546" s="65" t="b">
        <f>IF(Смета!A468="Прайс",Смета!B468)</f>
        <v>0</v>
      </c>
      <c r="C546" s="65" t="b">
        <f>IF(Смета!A468="Прайс",Смета!C468)</f>
        <v>0</v>
      </c>
      <c r="D546" s="65" t="b">
        <f>IF(Смета!A468="Прайс",Смета!D468)</f>
        <v>0</v>
      </c>
      <c r="E546" s="65" t="b">
        <f>IF(Смета!D468="Прайс",Смета!E468)</f>
        <v>0</v>
      </c>
      <c r="F546" s="65" t="b">
        <f>IF(Смета!E468="Прайс",Смета!F468)</f>
        <v>0</v>
      </c>
      <c r="G546" s="65" t="b">
        <f>IF(Смета!A468="Прайс",Смета!F468)</f>
        <v>0</v>
      </c>
    </row>
    <row r="547" spans="2:7" hidden="1">
      <c r="B547" s="65" t="b">
        <f>IF(Смета!A469="Прайс",Смета!B469)</f>
        <v>0</v>
      </c>
      <c r="C547" s="65" t="b">
        <f>IF(Смета!A469="Прайс",Смета!C469)</f>
        <v>0</v>
      </c>
      <c r="D547" s="65" t="b">
        <f>IF(Смета!A469="Прайс",Смета!D469)</f>
        <v>0</v>
      </c>
      <c r="E547" s="65" t="b">
        <f>IF(Смета!D469="Прайс",Смета!E469)</f>
        <v>0</v>
      </c>
      <c r="F547" s="65" t="b">
        <f>IF(Смета!E469="Прайс",Смета!F469)</f>
        <v>0</v>
      </c>
      <c r="G547" s="65" t="b">
        <f>IF(Смета!A469="Прайс",Смета!F469)</f>
        <v>0</v>
      </c>
    </row>
    <row r="548" spans="2:7" hidden="1">
      <c r="B548" s="65" t="b">
        <f>IF(Смета!A470="Прайс",Смета!B470)</f>
        <v>0</v>
      </c>
      <c r="C548" s="65" t="b">
        <f>IF(Смета!A470="Прайс",Смета!C470)</f>
        <v>0</v>
      </c>
      <c r="D548" s="65" t="b">
        <f>IF(Смета!A470="Прайс",Смета!D470)</f>
        <v>0</v>
      </c>
      <c r="E548" s="65" t="b">
        <f>IF(Смета!D470="Прайс",Смета!E470)</f>
        <v>0</v>
      </c>
      <c r="F548" s="65" t="b">
        <f>IF(Смета!E470="Прайс",Смета!F470)</f>
        <v>0</v>
      </c>
      <c r="G548" s="65" t="b">
        <f>IF(Смета!A470="Прайс",Смета!F470)</f>
        <v>0</v>
      </c>
    </row>
    <row r="549" spans="2:7" hidden="1">
      <c r="B549" s="65" t="b">
        <f>IF(Смета!A471="Прайс",Смета!B471)</f>
        <v>0</v>
      </c>
      <c r="C549" s="65" t="b">
        <f>IF(Смета!A471="Прайс",Смета!C471)</f>
        <v>0</v>
      </c>
      <c r="D549" s="65" t="b">
        <f>IF(Смета!A471="Прайс",Смета!D471)</f>
        <v>0</v>
      </c>
      <c r="E549" s="65" t="b">
        <f>IF(Смета!D471="Прайс",Смета!E471)</f>
        <v>0</v>
      </c>
      <c r="F549" s="65" t="b">
        <f>IF(Смета!E471="Прайс",Смета!F471)</f>
        <v>0</v>
      </c>
      <c r="G549" s="65" t="b">
        <f>IF(Смета!A471="Прайс",Смета!F471)</f>
        <v>0</v>
      </c>
    </row>
    <row r="550" spans="2:7" hidden="1">
      <c r="B550" s="65" t="b">
        <f>IF(Смета!A472="Прайс",Смета!B472)</f>
        <v>0</v>
      </c>
      <c r="C550" s="65" t="b">
        <f>IF(Смета!A472="Прайс",Смета!C472)</f>
        <v>0</v>
      </c>
      <c r="D550" s="65" t="b">
        <f>IF(Смета!A472="Прайс",Смета!D472)</f>
        <v>0</v>
      </c>
      <c r="E550" s="65" t="b">
        <f>IF(Смета!D472="Прайс",Смета!E472)</f>
        <v>0</v>
      </c>
      <c r="F550" s="65" t="b">
        <f>IF(Смета!E472="Прайс",Смета!F472)</f>
        <v>0</v>
      </c>
      <c r="G550" s="65" t="b">
        <f>IF(Смета!A472="Прайс",Смета!F472)</f>
        <v>0</v>
      </c>
    </row>
    <row r="551" spans="2:7" hidden="1">
      <c r="B551" s="65" t="b">
        <f>IF(Смета!A473="Прайс",Смета!B473)</f>
        <v>0</v>
      </c>
      <c r="C551" s="65" t="b">
        <f>IF(Смета!A473="Прайс",Смета!C473)</f>
        <v>0</v>
      </c>
      <c r="D551" s="65" t="b">
        <f>IF(Смета!A473="Прайс",Смета!D473)</f>
        <v>0</v>
      </c>
      <c r="E551" s="65" t="b">
        <f>IF(Смета!D473="Прайс",Смета!E473)</f>
        <v>0</v>
      </c>
      <c r="F551" s="65" t="b">
        <f>IF(Смета!E473="Прайс",Смета!F473)</f>
        <v>0</v>
      </c>
      <c r="G551" s="65" t="b">
        <f>IF(Смета!A473="Прайс",Смета!F473)</f>
        <v>0</v>
      </c>
    </row>
    <row r="552" spans="2:7" hidden="1">
      <c r="B552" s="65" t="b">
        <f>IF(Смета!A474="Прайс",Смета!B474)</f>
        <v>0</v>
      </c>
      <c r="C552" s="65" t="b">
        <f>IF(Смета!A474="Прайс",Смета!C474)</f>
        <v>0</v>
      </c>
      <c r="D552" s="65" t="b">
        <f>IF(Смета!A474="Прайс",Смета!D474)</f>
        <v>0</v>
      </c>
      <c r="E552" s="65" t="b">
        <f>IF(Смета!D474="Прайс",Смета!E474)</f>
        <v>0</v>
      </c>
      <c r="F552" s="65" t="b">
        <f>IF(Смета!E474="Прайс",Смета!F474)</f>
        <v>0</v>
      </c>
      <c r="G552" s="65" t="b">
        <f>IF(Смета!A474="Прайс",Смета!F474)</f>
        <v>0</v>
      </c>
    </row>
    <row r="553" spans="2:7" hidden="1">
      <c r="B553" s="65" t="b">
        <f>IF(Смета!A475="Прайс",Смета!B475)</f>
        <v>0</v>
      </c>
      <c r="C553" s="65" t="b">
        <f>IF(Смета!A475="Прайс",Смета!C475)</f>
        <v>0</v>
      </c>
      <c r="D553" s="65" t="b">
        <f>IF(Смета!A475="Прайс",Смета!D475)</f>
        <v>0</v>
      </c>
      <c r="E553" s="65" t="b">
        <f>IF(Смета!D475="Прайс",Смета!E475)</f>
        <v>0</v>
      </c>
      <c r="F553" s="65" t="b">
        <f>IF(Смета!E475="Прайс",Смета!F475)</f>
        <v>0</v>
      </c>
      <c r="G553" s="65" t="b">
        <f>IF(Смета!A475="Прайс",Смета!F475)</f>
        <v>0</v>
      </c>
    </row>
    <row r="554" spans="2:7" hidden="1">
      <c r="B554" s="65" t="b">
        <f>IF(Смета!A476="Прайс",Смета!B476)</f>
        <v>0</v>
      </c>
      <c r="C554" s="65" t="b">
        <f>IF(Смета!A476="Прайс",Смета!C476)</f>
        <v>0</v>
      </c>
      <c r="D554" s="65" t="b">
        <f>IF(Смета!A476="Прайс",Смета!D476)</f>
        <v>0</v>
      </c>
      <c r="E554" s="65" t="b">
        <f>IF(Смета!D476="Прайс",Смета!E476)</f>
        <v>0</v>
      </c>
      <c r="F554" s="65" t="b">
        <f>IF(Смета!E476="Прайс",Смета!F476)</f>
        <v>0</v>
      </c>
      <c r="G554" s="65" t="b">
        <f>IF(Смета!A476="Прайс",Смета!F476)</f>
        <v>0</v>
      </c>
    </row>
    <row r="555" spans="2:7" hidden="1">
      <c r="B555" s="65" t="b">
        <f>IF(Смета!A477="Прайс",Смета!B477)</f>
        <v>0</v>
      </c>
      <c r="C555" s="65" t="b">
        <f>IF(Смета!A477="Прайс",Смета!C477)</f>
        <v>0</v>
      </c>
      <c r="D555" s="65" t="b">
        <f>IF(Смета!A477="Прайс",Смета!D477)</f>
        <v>0</v>
      </c>
      <c r="E555" s="65" t="b">
        <f>IF(Смета!D477="Прайс",Смета!E477)</f>
        <v>0</v>
      </c>
      <c r="F555" s="65" t="b">
        <f>IF(Смета!E477="Прайс",Смета!F477)</f>
        <v>0</v>
      </c>
      <c r="G555" s="65" t="b">
        <f>IF(Смета!A477="Прайс",Смета!F477)</f>
        <v>0</v>
      </c>
    </row>
    <row r="556" spans="2:7" hidden="1">
      <c r="B556" s="65" t="b">
        <f>IF(Смета!A478="Прайс",Смета!B478)</f>
        <v>0</v>
      </c>
      <c r="C556" s="65" t="b">
        <f>IF(Смета!A478="Прайс",Смета!C478)</f>
        <v>0</v>
      </c>
      <c r="D556" s="65" t="b">
        <f>IF(Смета!A478="Прайс",Смета!D478)</f>
        <v>0</v>
      </c>
      <c r="E556" s="65" t="b">
        <f>IF(Смета!D478="Прайс",Смета!E478)</f>
        <v>0</v>
      </c>
      <c r="F556" s="65" t="b">
        <f>IF(Смета!E478="Прайс",Смета!F478)</f>
        <v>0</v>
      </c>
      <c r="G556" s="65" t="b">
        <f>IF(Смета!A478="Прайс",Смета!F478)</f>
        <v>0</v>
      </c>
    </row>
    <row r="557" spans="2:7" hidden="1">
      <c r="B557" s="65" t="b">
        <f>IF(Смета!A479="Прайс",Смета!B479)</f>
        <v>0</v>
      </c>
      <c r="C557" s="65" t="b">
        <f>IF(Смета!A479="Прайс",Смета!C479)</f>
        <v>0</v>
      </c>
      <c r="D557" s="65" t="b">
        <f>IF(Смета!A479="Прайс",Смета!D479)</f>
        <v>0</v>
      </c>
      <c r="E557" s="65" t="b">
        <f>IF(Смета!D479="Прайс",Смета!E479)</f>
        <v>0</v>
      </c>
      <c r="F557" s="65" t="b">
        <f>IF(Смета!E479="Прайс",Смета!F479)</f>
        <v>0</v>
      </c>
      <c r="G557" s="65" t="b">
        <f>IF(Смета!A479="Прайс",Смета!F479)</f>
        <v>0</v>
      </c>
    </row>
    <row r="558" spans="2:7" hidden="1">
      <c r="B558" s="65" t="b">
        <f>IF(Смета!A480="Прайс",Смета!B480)</f>
        <v>0</v>
      </c>
      <c r="C558" s="65" t="b">
        <f>IF(Смета!A480="Прайс",Смета!C480)</f>
        <v>0</v>
      </c>
      <c r="D558" s="65" t="b">
        <f>IF(Смета!A480="Прайс",Смета!D480)</f>
        <v>0</v>
      </c>
      <c r="E558" s="65" t="b">
        <f>IF(Смета!D480="Прайс",Смета!E480)</f>
        <v>0</v>
      </c>
      <c r="F558" s="65" t="b">
        <f>IF(Смета!E480="Прайс",Смета!F480)</f>
        <v>0</v>
      </c>
      <c r="G558" s="65" t="b">
        <f>IF(Смета!A480="Прайс",Смета!F480)</f>
        <v>0</v>
      </c>
    </row>
    <row r="559" spans="2:7" hidden="1">
      <c r="B559" s="65" t="b">
        <f>IF(Смета!A481="Прайс",Смета!B481)</f>
        <v>0</v>
      </c>
      <c r="C559" s="65" t="b">
        <f>IF(Смета!A481="Прайс",Смета!C481)</f>
        <v>0</v>
      </c>
      <c r="D559" s="65" t="b">
        <f>IF(Смета!A481="Прайс",Смета!D481)</f>
        <v>0</v>
      </c>
      <c r="E559" s="65" t="b">
        <f>IF(Смета!D481="Прайс",Смета!E481)</f>
        <v>0</v>
      </c>
      <c r="F559" s="65" t="b">
        <f>IF(Смета!E481="Прайс",Смета!F481)</f>
        <v>0</v>
      </c>
      <c r="G559" s="65" t="b">
        <f>IF(Смета!A481="Прайс",Смета!F481)</f>
        <v>0</v>
      </c>
    </row>
    <row r="560" spans="2:7" hidden="1">
      <c r="B560" s="65" t="b">
        <f>IF(Смета!A482="Прайс",Смета!B482)</f>
        <v>0</v>
      </c>
      <c r="C560" s="65" t="b">
        <f>IF(Смета!A482="Прайс",Смета!C482)</f>
        <v>0</v>
      </c>
      <c r="D560" s="65" t="b">
        <f>IF(Смета!A482="Прайс",Смета!D482)</f>
        <v>0</v>
      </c>
      <c r="E560" s="65" t="b">
        <f>IF(Смета!D482="Прайс",Смета!E482)</f>
        <v>0</v>
      </c>
      <c r="F560" s="65" t="b">
        <f>IF(Смета!E482="Прайс",Смета!F482)</f>
        <v>0</v>
      </c>
      <c r="G560" s="65" t="b">
        <f>IF(Смета!A482="Прайс",Смета!F482)</f>
        <v>0</v>
      </c>
    </row>
    <row r="561" spans="2:7" hidden="1">
      <c r="B561" s="65" t="b">
        <f>IF(Смета!A483="Прайс",Смета!B483)</f>
        <v>0</v>
      </c>
      <c r="C561" s="65" t="b">
        <f>IF(Смета!A483="Прайс",Смета!C483)</f>
        <v>0</v>
      </c>
      <c r="D561" s="65" t="b">
        <f>IF(Смета!A483="Прайс",Смета!D483)</f>
        <v>0</v>
      </c>
      <c r="E561" s="65" t="b">
        <f>IF(Смета!D483="Прайс",Смета!E483)</f>
        <v>0</v>
      </c>
      <c r="F561" s="65" t="b">
        <f>IF(Смета!E483="Прайс",Смета!F483)</f>
        <v>0</v>
      </c>
      <c r="G561" s="65" t="b">
        <f>IF(Смета!A483="Прайс",Смета!F483)</f>
        <v>0</v>
      </c>
    </row>
    <row r="562" spans="2:7" hidden="1">
      <c r="B562" s="65" t="b">
        <f>IF(Смета!A484="Прайс",Смета!B484)</f>
        <v>0</v>
      </c>
      <c r="C562" s="65" t="b">
        <f>IF(Смета!A484="Прайс",Смета!C484)</f>
        <v>0</v>
      </c>
      <c r="D562" s="65" t="b">
        <f>IF(Смета!A484="Прайс",Смета!D484)</f>
        <v>0</v>
      </c>
      <c r="E562" s="65" t="b">
        <f>IF(Смета!D484="Прайс",Смета!E484)</f>
        <v>0</v>
      </c>
      <c r="F562" s="65" t="b">
        <f>IF(Смета!E484="Прайс",Смета!F484)</f>
        <v>0</v>
      </c>
      <c r="G562" s="65" t="b">
        <f>IF(Смета!A484="Прайс",Смета!F484)</f>
        <v>0</v>
      </c>
    </row>
    <row r="563" spans="2:7" hidden="1">
      <c r="B563" s="65" t="b">
        <f>IF(Смета!A485="Прайс",Смета!B485)</f>
        <v>0</v>
      </c>
      <c r="C563" s="65" t="b">
        <f>IF(Смета!A485="Прайс",Смета!C485)</f>
        <v>0</v>
      </c>
      <c r="D563" s="65" t="b">
        <f>IF(Смета!A485="Прайс",Смета!D485)</f>
        <v>0</v>
      </c>
      <c r="E563" s="65" t="b">
        <f>IF(Смета!D485="Прайс",Смета!E485)</f>
        <v>0</v>
      </c>
      <c r="F563" s="65" t="b">
        <f>IF(Смета!E485="Прайс",Смета!F485)</f>
        <v>0</v>
      </c>
      <c r="G563" s="65" t="b">
        <f>IF(Смета!A485="Прайс",Смета!F485)</f>
        <v>0</v>
      </c>
    </row>
    <row r="564" spans="2:7" hidden="1">
      <c r="B564" s="65" t="b">
        <f>IF(Смета!A486="Прайс",Смета!B486)</f>
        <v>0</v>
      </c>
      <c r="C564" s="65" t="b">
        <f>IF(Смета!A486="Прайс",Смета!C486)</f>
        <v>0</v>
      </c>
      <c r="D564" s="65" t="b">
        <f>IF(Смета!A486="Прайс",Смета!D486)</f>
        <v>0</v>
      </c>
      <c r="E564" s="65" t="b">
        <f>IF(Смета!D486="Прайс",Смета!E486)</f>
        <v>0</v>
      </c>
      <c r="F564" s="65" t="b">
        <f>IF(Смета!E486="Прайс",Смета!F486)</f>
        <v>0</v>
      </c>
      <c r="G564" s="65" t="b">
        <f>IF(Смета!A486="Прайс",Смета!F486)</f>
        <v>0</v>
      </c>
    </row>
    <row r="565" spans="2:7" hidden="1">
      <c r="B565" s="65" t="b">
        <f>IF(Смета!A487="Прайс",Смета!B487)</f>
        <v>0</v>
      </c>
      <c r="C565" s="65" t="b">
        <f>IF(Смета!A487="Прайс",Смета!C487)</f>
        <v>0</v>
      </c>
      <c r="D565" s="65" t="b">
        <f>IF(Смета!A487="Прайс",Смета!D487)</f>
        <v>0</v>
      </c>
      <c r="E565" s="65" t="b">
        <f>IF(Смета!D487="Прайс",Смета!E487)</f>
        <v>0</v>
      </c>
      <c r="F565" s="65" t="b">
        <f>IF(Смета!E487="Прайс",Смета!F487)</f>
        <v>0</v>
      </c>
      <c r="G565" s="65" t="b">
        <f>IF(Смета!A487="Прайс",Смета!F487)</f>
        <v>0</v>
      </c>
    </row>
    <row r="566" spans="2:7" hidden="1">
      <c r="B566" s="65" t="b">
        <f>IF(Смета!A488="Прайс",Смета!B488)</f>
        <v>0</v>
      </c>
      <c r="C566" s="65" t="b">
        <f>IF(Смета!A488="Прайс",Смета!C488)</f>
        <v>0</v>
      </c>
      <c r="D566" s="65" t="b">
        <f>IF(Смета!A488="Прайс",Смета!D488)</f>
        <v>0</v>
      </c>
      <c r="E566" s="65" t="b">
        <f>IF(Смета!D488="Прайс",Смета!E488)</f>
        <v>0</v>
      </c>
      <c r="F566" s="65" t="b">
        <f>IF(Смета!E488="Прайс",Смета!F488)</f>
        <v>0</v>
      </c>
      <c r="G566" s="65" t="b">
        <f>IF(Смета!A488="Прайс",Смета!F488)</f>
        <v>0</v>
      </c>
    </row>
    <row r="567" spans="2:7" hidden="1">
      <c r="B567" s="65" t="b">
        <f>IF(Смета!A489="Прайс",Смета!B489)</f>
        <v>0</v>
      </c>
      <c r="C567" s="65" t="b">
        <f>IF(Смета!A489="Прайс",Смета!C489)</f>
        <v>0</v>
      </c>
      <c r="D567" s="65" t="b">
        <f>IF(Смета!A489="Прайс",Смета!D489)</f>
        <v>0</v>
      </c>
      <c r="E567" s="65" t="b">
        <f>IF(Смета!D489="Прайс",Смета!E489)</f>
        <v>0</v>
      </c>
      <c r="F567" s="65" t="b">
        <f>IF(Смета!E489="Прайс",Смета!F489)</f>
        <v>0</v>
      </c>
      <c r="G567" s="65" t="b">
        <f>IF(Смета!A489="Прайс",Смета!F489)</f>
        <v>0</v>
      </c>
    </row>
    <row r="568" spans="2:7" hidden="1">
      <c r="B568" s="65" t="b">
        <f>IF(Смета!A490="Прайс",Смета!B490)</f>
        <v>0</v>
      </c>
      <c r="C568" s="65" t="b">
        <f>IF(Смета!A490="Прайс",Смета!C490)</f>
        <v>0</v>
      </c>
      <c r="D568" s="65" t="b">
        <f>IF(Смета!A490="Прайс",Смета!D490)</f>
        <v>0</v>
      </c>
      <c r="E568" s="65" t="b">
        <f>IF(Смета!D490="Прайс",Смета!E490)</f>
        <v>0</v>
      </c>
      <c r="F568" s="65" t="b">
        <f>IF(Смета!E490="Прайс",Смета!F490)</f>
        <v>0</v>
      </c>
      <c r="G568" s="65" t="b">
        <f>IF(Смета!A490="Прайс",Смета!F490)</f>
        <v>0</v>
      </c>
    </row>
    <row r="569" spans="2:7" hidden="1">
      <c r="B569" s="65" t="b">
        <f>IF(Смета!A491="Прайс",Смета!B491)</f>
        <v>0</v>
      </c>
      <c r="C569" s="65" t="b">
        <f>IF(Смета!A491="Прайс",Смета!C491)</f>
        <v>0</v>
      </c>
      <c r="D569" s="65" t="b">
        <f>IF(Смета!A491="Прайс",Смета!D491)</f>
        <v>0</v>
      </c>
      <c r="E569" s="65" t="b">
        <f>IF(Смета!D491="Прайс",Смета!E491)</f>
        <v>0</v>
      </c>
      <c r="F569" s="65" t="b">
        <f>IF(Смета!E491="Прайс",Смета!F491)</f>
        <v>0</v>
      </c>
      <c r="G569" s="65" t="b">
        <f>IF(Смета!A491="Прайс",Смета!F491)</f>
        <v>0</v>
      </c>
    </row>
    <row r="570" spans="2:7" hidden="1">
      <c r="B570" s="65" t="b">
        <f>IF(Смета!A492="Прайс",Смета!B492)</f>
        <v>0</v>
      </c>
      <c r="C570" s="65" t="b">
        <f>IF(Смета!A492="Прайс",Смета!C492)</f>
        <v>0</v>
      </c>
      <c r="D570" s="65" t="b">
        <f>IF(Смета!A492="Прайс",Смета!D492)</f>
        <v>0</v>
      </c>
      <c r="E570" s="65" t="b">
        <f>IF(Смета!D492="Прайс",Смета!E492)</f>
        <v>0</v>
      </c>
      <c r="F570" s="65" t="b">
        <f>IF(Смета!E492="Прайс",Смета!F492)</f>
        <v>0</v>
      </c>
      <c r="G570" s="65" t="b">
        <f>IF(Смета!A492="Прайс",Смета!F492)</f>
        <v>0</v>
      </c>
    </row>
    <row r="571" spans="2:7" hidden="1">
      <c r="B571" s="65" t="b">
        <f>IF(Смета!A493="Прайс",Смета!B493)</f>
        <v>0</v>
      </c>
      <c r="C571" s="65" t="b">
        <f>IF(Смета!A493="Прайс",Смета!C493)</f>
        <v>0</v>
      </c>
      <c r="D571" s="65" t="b">
        <f>IF(Смета!A493="Прайс",Смета!D493)</f>
        <v>0</v>
      </c>
      <c r="E571" s="65" t="b">
        <f>IF(Смета!D493="Прайс",Смета!E493)</f>
        <v>0</v>
      </c>
      <c r="F571" s="65" t="b">
        <f>IF(Смета!E493="Прайс",Смета!F493)</f>
        <v>0</v>
      </c>
      <c r="G571" s="65" t="b">
        <f>IF(Смета!A493="Прайс",Смета!F493)</f>
        <v>0</v>
      </c>
    </row>
    <row r="572" spans="2:7" hidden="1">
      <c r="B572" s="65" t="b">
        <f>IF(Смета!A494="Прайс",Смета!B494)</f>
        <v>0</v>
      </c>
      <c r="C572" s="65" t="b">
        <f>IF(Смета!A494="Прайс",Смета!C494)</f>
        <v>0</v>
      </c>
      <c r="D572" s="65" t="b">
        <f>IF(Смета!A494="Прайс",Смета!D494)</f>
        <v>0</v>
      </c>
      <c r="E572" s="65" t="b">
        <f>IF(Смета!D494="Прайс",Смета!E494)</f>
        <v>0</v>
      </c>
      <c r="F572" s="65" t="b">
        <f>IF(Смета!E494="Прайс",Смета!F494)</f>
        <v>0</v>
      </c>
      <c r="G572" s="65" t="b">
        <f>IF(Смета!A494="Прайс",Смета!F494)</f>
        <v>0</v>
      </c>
    </row>
    <row r="573" spans="2:7" hidden="1">
      <c r="B573" s="65" t="b">
        <f>IF(Смета!A495="Прайс",Смета!B495)</f>
        <v>0</v>
      </c>
      <c r="C573" s="65" t="b">
        <f>IF(Смета!A495="Прайс",Смета!C495)</f>
        <v>0</v>
      </c>
      <c r="D573" s="65" t="b">
        <f>IF(Смета!A495="Прайс",Смета!D495)</f>
        <v>0</v>
      </c>
      <c r="E573" s="65" t="b">
        <f>IF(Смета!D495="Прайс",Смета!E495)</f>
        <v>0</v>
      </c>
      <c r="F573" s="65" t="b">
        <f>IF(Смета!E495="Прайс",Смета!F495)</f>
        <v>0</v>
      </c>
      <c r="G573" s="65" t="b">
        <f>IF(Смета!A495="Прайс",Смета!F495)</f>
        <v>0</v>
      </c>
    </row>
    <row r="574" spans="2:7" hidden="1">
      <c r="B574" s="65" t="b">
        <f>IF(Смета!A496="Прайс",Смета!B496)</f>
        <v>0</v>
      </c>
      <c r="C574" s="65" t="b">
        <f>IF(Смета!A496="Прайс",Смета!C496)</f>
        <v>0</v>
      </c>
      <c r="D574" s="65" t="b">
        <f>IF(Смета!A496="Прайс",Смета!D496)</f>
        <v>0</v>
      </c>
      <c r="E574" s="65" t="b">
        <f>IF(Смета!D496="Прайс",Смета!E496)</f>
        <v>0</v>
      </c>
      <c r="F574" s="65" t="b">
        <f>IF(Смета!E496="Прайс",Смета!F496)</f>
        <v>0</v>
      </c>
      <c r="G574" s="65" t="b">
        <f>IF(Смета!A496="Прайс",Смета!F496)</f>
        <v>0</v>
      </c>
    </row>
    <row r="575" spans="2:7" hidden="1">
      <c r="B575" s="65" t="b">
        <f>IF(Смета!A497="Прайс",Смета!B497)</f>
        <v>0</v>
      </c>
      <c r="C575" s="65" t="b">
        <f>IF(Смета!A497="Прайс",Смета!C497)</f>
        <v>0</v>
      </c>
      <c r="D575" s="65" t="b">
        <f>IF(Смета!A497="Прайс",Смета!D497)</f>
        <v>0</v>
      </c>
      <c r="E575" s="65" t="b">
        <f>IF(Смета!D497="Прайс",Смета!E497)</f>
        <v>0</v>
      </c>
      <c r="F575" s="65" t="b">
        <f>IF(Смета!E497="Прайс",Смета!F497)</f>
        <v>0</v>
      </c>
      <c r="G575" s="65" t="b">
        <f>IF(Смета!A497="Прайс",Смета!F497)</f>
        <v>0</v>
      </c>
    </row>
    <row r="576" spans="2:7" hidden="1">
      <c r="B576" s="65" t="b">
        <f>IF(Смета!A498="Прайс",Смета!B498)</f>
        <v>0</v>
      </c>
      <c r="C576" s="65" t="b">
        <f>IF(Смета!A498="Прайс",Смета!C498)</f>
        <v>0</v>
      </c>
      <c r="D576" s="65" t="b">
        <f>IF(Смета!A498="Прайс",Смета!D498)</f>
        <v>0</v>
      </c>
      <c r="E576" s="65" t="b">
        <f>IF(Смета!D498="Прайс",Смета!E498)</f>
        <v>0</v>
      </c>
      <c r="F576" s="65" t="b">
        <f>IF(Смета!E498="Прайс",Смета!F498)</f>
        <v>0</v>
      </c>
      <c r="G576" s="65" t="b">
        <f>IF(Смета!A498="Прайс",Смета!F498)</f>
        <v>0</v>
      </c>
    </row>
    <row r="577" spans="2:7" hidden="1">
      <c r="B577" s="65" t="b">
        <f>IF(Смета!A499="Прайс",Смета!B499)</f>
        <v>0</v>
      </c>
      <c r="C577" s="65" t="b">
        <f>IF(Смета!A499="Прайс",Смета!C499)</f>
        <v>0</v>
      </c>
      <c r="D577" s="65" t="b">
        <f>IF(Смета!A499="Прайс",Смета!D499)</f>
        <v>0</v>
      </c>
      <c r="E577" s="65" t="b">
        <f>IF(Смета!D499="Прайс",Смета!E499)</f>
        <v>0</v>
      </c>
      <c r="F577" s="65" t="b">
        <f>IF(Смета!E499="Прайс",Смета!F499)</f>
        <v>0</v>
      </c>
      <c r="G577" s="65" t="b">
        <f>IF(Смета!A499="Прайс",Смета!F499)</f>
        <v>0</v>
      </c>
    </row>
    <row r="578" spans="2:7" hidden="1">
      <c r="B578" s="65" t="b">
        <f>IF(Смета!A500="Прайс",Смета!B500)</f>
        <v>0</v>
      </c>
      <c r="C578" s="65" t="b">
        <f>IF(Смета!A500="Прайс",Смета!C500)</f>
        <v>0</v>
      </c>
      <c r="D578" s="65" t="b">
        <f>IF(Смета!A500="Прайс",Смета!D500)</f>
        <v>0</v>
      </c>
      <c r="E578" s="65" t="b">
        <f>IF(Смета!D500="Прайс",Смета!E500)</f>
        <v>0</v>
      </c>
      <c r="F578" s="65" t="b">
        <f>IF(Смета!E500="Прайс",Смета!F500)</f>
        <v>0</v>
      </c>
      <c r="G578" s="65" t="b">
        <f>IF(Смета!A500="Прайс",Смета!F500)</f>
        <v>0</v>
      </c>
    </row>
    <row r="579" spans="2:7" hidden="1">
      <c r="B579" s="65" t="b">
        <f>IF(Смета!A501="Прайс",Смета!B501)</f>
        <v>0</v>
      </c>
      <c r="C579" s="65" t="b">
        <f>IF(Смета!A501="Прайс",Смета!C501)</f>
        <v>0</v>
      </c>
      <c r="D579" s="65" t="b">
        <f>IF(Смета!A501="Прайс",Смета!D501)</f>
        <v>0</v>
      </c>
      <c r="E579" s="65" t="b">
        <f>IF(Смета!D501="Прайс",Смета!E501)</f>
        <v>0</v>
      </c>
      <c r="F579" s="65" t="b">
        <f>IF(Смета!E501="Прайс",Смета!F501)</f>
        <v>0</v>
      </c>
      <c r="G579" s="65" t="b">
        <f>IF(Смета!A501="Прайс",Смета!F501)</f>
        <v>0</v>
      </c>
    </row>
    <row r="580" spans="2:7" hidden="1">
      <c r="B580" s="65" t="b">
        <f>IF(Смета!A502="Прайс",Смета!B502)</f>
        <v>0</v>
      </c>
      <c r="C580" s="65" t="b">
        <f>IF(Смета!A502="Прайс",Смета!C502)</f>
        <v>0</v>
      </c>
      <c r="D580" s="65" t="b">
        <f>IF(Смета!A502="Прайс",Смета!D502)</f>
        <v>0</v>
      </c>
      <c r="E580" s="65" t="b">
        <f>IF(Смета!D502="Прайс",Смета!E502)</f>
        <v>0</v>
      </c>
      <c r="F580" s="65" t="b">
        <f>IF(Смета!E502="Прайс",Смета!F502)</f>
        <v>0</v>
      </c>
      <c r="G580" s="65" t="b">
        <f>IF(Смета!A502="Прайс",Смета!F502)</f>
        <v>0</v>
      </c>
    </row>
    <row r="581" spans="2:7" hidden="1">
      <c r="B581" s="65" t="b">
        <f>IF(Смета!A503="Прайс",Смета!B503)</f>
        <v>0</v>
      </c>
      <c r="C581" s="65" t="b">
        <f>IF(Смета!A503="Прайс",Смета!C503)</f>
        <v>0</v>
      </c>
      <c r="D581" s="65" t="b">
        <f>IF(Смета!A503="Прайс",Смета!D503)</f>
        <v>0</v>
      </c>
      <c r="E581" s="65" t="b">
        <f>IF(Смета!D503="Прайс",Смета!E503)</f>
        <v>0</v>
      </c>
      <c r="F581" s="65" t="b">
        <f>IF(Смета!E503="Прайс",Смета!F503)</f>
        <v>0</v>
      </c>
      <c r="G581" s="65" t="b">
        <f>IF(Смета!A503="Прайс",Смета!F503)</f>
        <v>0</v>
      </c>
    </row>
    <row r="582" spans="2:7" hidden="1">
      <c r="B582" s="65" t="b">
        <f>IF(Смета!A504="Прайс",Смета!B504)</f>
        <v>0</v>
      </c>
      <c r="C582" s="65" t="b">
        <f>IF(Смета!A504="Прайс",Смета!C504)</f>
        <v>0</v>
      </c>
      <c r="D582" s="65" t="b">
        <f>IF(Смета!A504="Прайс",Смета!D504)</f>
        <v>0</v>
      </c>
      <c r="E582" s="65" t="b">
        <f>IF(Смета!D504="Прайс",Смета!E504)</f>
        <v>0</v>
      </c>
      <c r="F582" s="65" t="b">
        <f>IF(Смета!E504="Прайс",Смета!F504)</f>
        <v>0</v>
      </c>
      <c r="G582" s="65" t="b">
        <f>IF(Смета!A504="Прайс",Смета!F504)</f>
        <v>0</v>
      </c>
    </row>
    <row r="583" spans="2:7" hidden="1">
      <c r="B583" s="65" t="b">
        <f>IF(Смета!A505="Прайс",Смета!B505)</f>
        <v>0</v>
      </c>
      <c r="C583" s="65" t="b">
        <f>IF(Смета!A505="Прайс",Смета!C505)</f>
        <v>0</v>
      </c>
      <c r="D583" s="65" t="b">
        <f>IF(Смета!A505="Прайс",Смета!D505)</f>
        <v>0</v>
      </c>
      <c r="E583" s="65" t="b">
        <f>IF(Смета!D505="Прайс",Смета!E505)</f>
        <v>0</v>
      </c>
      <c r="F583" s="65" t="b">
        <f>IF(Смета!E505="Прайс",Смета!F505)</f>
        <v>0</v>
      </c>
      <c r="G583" s="65" t="b">
        <f>IF(Смета!A505="Прайс",Смета!F505)</f>
        <v>0</v>
      </c>
    </row>
    <row r="584" spans="2:7" hidden="1">
      <c r="B584" s="65" t="b">
        <f>IF(Смета!A506="Прайс",Смета!B506)</f>
        <v>0</v>
      </c>
      <c r="C584" s="65" t="b">
        <f>IF(Смета!A506="Прайс",Смета!C506)</f>
        <v>0</v>
      </c>
      <c r="D584" s="65" t="b">
        <f>IF(Смета!A506="Прайс",Смета!D506)</f>
        <v>0</v>
      </c>
      <c r="E584" s="65" t="b">
        <f>IF(Смета!D506="Прайс",Смета!E506)</f>
        <v>0</v>
      </c>
      <c r="F584" s="65" t="b">
        <f>IF(Смета!E506="Прайс",Смета!F506)</f>
        <v>0</v>
      </c>
      <c r="G584" s="65" t="b">
        <f>IF(Смета!A506="Прайс",Смета!F506)</f>
        <v>0</v>
      </c>
    </row>
    <row r="585" spans="2:7" hidden="1">
      <c r="B585" s="65" t="b">
        <f>IF(Смета!A507="Прайс",Смета!B507)</f>
        <v>0</v>
      </c>
      <c r="C585" s="65" t="b">
        <f>IF(Смета!A507="Прайс",Смета!C507)</f>
        <v>0</v>
      </c>
      <c r="D585" s="65" t="b">
        <f>IF(Смета!A507="Прайс",Смета!D507)</f>
        <v>0</v>
      </c>
      <c r="E585" s="65" t="b">
        <f>IF(Смета!D507="Прайс",Смета!E507)</f>
        <v>0</v>
      </c>
      <c r="F585" s="65" t="b">
        <f>IF(Смета!E507="Прайс",Смета!F507)</f>
        <v>0</v>
      </c>
      <c r="G585" s="65" t="b">
        <f>IF(Смета!A507="Прайс",Смета!F507)</f>
        <v>0</v>
      </c>
    </row>
    <row r="586" spans="2:7" hidden="1">
      <c r="B586" s="65" t="b">
        <f>IF(Смета!A508="Прайс",Смета!B508)</f>
        <v>0</v>
      </c>
      <c r="C586" s="65" t="b">
        <f>IF(Смета!A508="Прайс",Смета!C508)</f>
        <v>0</v>
      </c>
      <c r="D586" s="65" t="b">
        <f>IF(Смета!A508="Прайс",Смета!D508)</f>
        <v>0</v>
      </c>
      <c r="E586" s="65" t="b">
        <f>IF(Смета!D508="Прайс",Смета!E508)</f>
        <v>0</v>
      </c>
      <c r="F586" s="65" t="b">
        <f>IF(Смета!E508="Прайс",Смета!F508)</f>
        <v>0</v>
      </c>
      <c r="G586" s="65" t="b">
        <f>IF(Смета!A508="Прайс",Смета!F508)</f>
        <v>0</v>
      </c>
    </row>
    <row r="587" spans="2:7" hidden="1">
      <c r="B587" s="65" t="b">
        <f>IF(Смета!A509="Прайс",Смета!B509)</f>
        <v>0</v>
      </c>
      <c r="C587" s="65" t="b">
        <f>IF(Смета!A509="Прайс",Смета!C509)</f>
        <v>0</v>
      </c>
      <c r="D587" s="65" t="b">
        <f>IF(Смета!A509="Прайс",Смета!D509)</f>
        <v>0</v>
      </c>
      <c r="E587" s="65" t="b">
        <f>IF(Смета!D509="Прайс",Смета!E509)</f>
        <v>0</v>
      </c>
      <c r="F587" s="65" t="b">
        <f>IF(Смета!E509="Прайс",Смета!F509)</f>
        <v>0</v>
      </c>
      <c r="G587" s="65" t="b">
        <f>IF(Смета!A509="Прайс",Смета!F509)</f>
        <v>0</v>
      </c>
    </row>
    <row r="588" spans="2:7" hidden="1">
      <c r="B588" s="65" t="b">
        <f>IF(Смета!A510="Прайс",Смета!B510)</f>
        <v>0</v>
      </c>
      <c r="C588" s="65" t="b">
        <f>IF(Смета!A510="Прайс",Смета!C510)</f>
        <v>0</v>
      </c>
      <c r="D588" s="65" t="b">
        <f>IF(Смета!A510="Прайс",Смета!D510)</f>
        <v>0</v>
      </c>
      <c r="E588" s="65" t="b">
        <f>IF(Смета!D510="Прайс",Смета!E510)</f>
        <v>0</v>
      </c>
      <c r="F588" s="65" t="b">
        <f>IF(Смета!E510="Прайс",Смета!F510)</f>
        <v>0</v>
      </c>
      <c r="G588" s="65" t="b">
        <f>IF(Смета!A510="Прайс",Смета!F510)</f>
        <v>0</v>
      </c>
    </row>
    <row r="589" spans="2:7" hidden="1">
      <c r="B589" s="65" t="b">
        <f>IF(Смета!A511="Прайс",Смета!B511)</f>
        <v>0</v>
      </c>
      <c r="C589" s="65" t="b">
        <f>IF(Смета!A511="Прайс",Смета!C511)</f>
        <v>0</v>
      </c>
      <c r="D589" s="65" t="b">
        <f>IF(Смета!A511="Прайс",Смета!D511)</f>
        <v>0</v>
      </c>
      <c r="E589" s="65" t="b">
        <f>IF(Смета!D511="Прайс",Смета!E511)</f>
        <v>0</v>
      </c>
      <c r="F589" s="65" t="b">
        <f>IF(Смета!E511="Прайс",Смета!F511)</f>
        <v>0</v>
      </c>
      <c r="G589" s="65" t="b">
        <f>IF(Смета!A511="Прайс",Смета!F511)</f>
        <v>0</v>
      </c>
    </row>
    <row r="590" spans="2:7" hidden="1">
      <c r="B590" s="65" t="b">
        <f>IF(Смета!A512="Прайс",Смета!B512)</f>
        <v>0</v>
      </c>
      <c r="C590" s="65" t="b">
        <f>IF(Смета!A512="Прайс",Смета!C512)</f>
        <v>0</v>
      </c>
      <c r="D590" s="65" t="b">
        <f>IF(Смета!A512="Прайс",Смета!D512)</f>
        <v>0</v>
      </c>
      <c r="E590" s="65" t="b">
        <f>IF(Смета!D512="Прайс",Смета!E512)</f>
        <v>0</v>
      </c>
      <c r="F590" s="65" t="b">
        <f>IF(Смета!E512="Прайс",Смета!F512)</f>
        <v>0</v>
      </c>
      <c r="G590" s="65" t="b">
        <f>IF(Смета!A512="Прайс",Смета!F512)</f>
        <v>0</v>
      </c>
    </row>
    <row r="591" spans="2:7" hidden="1">
      <c r="B591" s="65" t="b">
        <f>IF(Смета!A513="Прайс",Смета!B513)</f>
        <v>0</v>
      </c>
      <c r="C591" s="65" t="b">
        <f>IF(Смета!A513="Прайс",Смета!C513)</f>
        <v>0</v>
      </c>
      <c r="D591" s="65" t="b">
        <f>IF(Смета!A513="Прайс",Смета!D513)</f>
        <v>0</v>
      </c>
      <c r="E591" s="65" t="b">
        <f>IF(Смета!D513="Прайс",Смета!E513)</f>
        <v>0</v>
      </c>
      <c r="F591" s="65" t="b">
        <f>IF(Смета!E513="Прайс",Смета!F513)</f>
        <v>0</v>
      </c>
      <c r="G591" s="65" t="b">
        <f>IF(Смета!A513="Прайс",Смета!F513)</f>
        <v>0</v>
      </c>
    </row>
    <row r="592" spans="2:7" hidden="1">
      <c r="B592" s="65" t="b">
        <f>IF(Смета!A514="Прайс",Смета!B514)</f>
        <v>0</v>
      </c>
      <c r="C592" s="65" t="b">
        <f>IF(Смета!A514="Прайс",Смета!C514)</f>
        <v>0</v>
      </c>
      <c r="D592" s="65" t="b">
        <f>IF(Смета!A514="Прайс",Смета!D514)</f>
        <v>0</v>
      </c>
      <c r="E592" s="65" t="b">
        <f>IF(Смета!D514="Прайс",Смета!E514)</f>
        <v>0</v>
      </c>
      <c r="F592" s="65" t="b">
        <f>IF(Смета!E514="Прайс",Смета!F514)</f>
        <v>0</v>
      </c>
      <c r="G592" s="65" t="b">
        <f>IF(Смета!A514="Прайс",Смета!F514)</f>
        <v>0</v>
      </c>
    </row>
    <row r="593" spans="2:7" hidden="1">
      <c r="B593" s="65" t="b">
        <f>IF(Смета!A515="Прайс",Смета!B515)</f>
        <v>0</v>
      </c>
      <c r="C593" s="65" t="b">
        <f>IF(Смета!A515="Прайс",Смета!C515)</f>
        <v>0</v>
      </c>
      <c r="D593" s="65" t="b">
        <f>IF(Смета!A515="Прайс",Смета!D515)</f>
        <v>0</v>
      </c>
      <c r="E593" s="65" t="b">
        <f>IF(Смета!D515="Прайс",Смета!E515)</f>
        <v>0</v>
      </c>
      <c r="F593" s="65" t="b">
        <f>IF(Смета!E515="Прайс",Смета!F515)</f>
        <v>0</v>
      </c>
      <c r="G593" s="65" t="b">
        <f>IF(Смета!A515="Прайс",Смета!F515)</f>
        <v>0</v>
      </c>
    </row>
    <row r="594" spans="2:7" hidden="1">
      <c r="B594" s="65" t="b">
        <f>IF(Смета!A516="Прайс",Смета!B516)</f>
        <v>0</v>
      </c>
      <c r="C594" s="65" t="b">
        <f>IF(Смета!A516="Прайс",Смета!C516)</f>
        <v>0</v>
      </c>
      <c r="D594" s="65" t="b">
        <f>IF(Смета!A516="Прайс",Смета!D516)</f>
        <v>0</v>
      </c>
      <c r="E594" s="65" t="b">
        <f>IF(Смета!D516="Прайс",Смета!E516)</f>
        <v>0</v>
      </c>
      <c r="F594" s="65" t="b">
        <f>IF(Смета!E516="Прайс",Смета!F516)</f>
        <v>0</v>
      </c>
      <c r="G594" s="65" t="b">
        <f>IF(Смета!A516="Прайс",Смета!F516)</f>
        <v>0</v>
      </c>
    </row>
    <row r="595" spans="2:7" hidden="1">
      <c r="B595" s="65" t="b">
        <f>IF(Смета!A517="Прайс",Смета!B517)</f>
        <v>0</v>
      </c>
      <c r="C595" s="65" t="b">
        <f>IF(Смета!A517="Прайс",Смета!C517)</f>
        <v>0</v>
      </c>
      <c r="D595" s="65" t="b">
        <f>IF(Смета!A517="Прайс",Смета!D517)</f>
        <v>0</v>
      </c>
      <c r="E595" s="65" t="b">
        <f>IF(Смета!D517="Прайс",Смета!E517)</f>
        <v>0</v>
      </c>
      <c r="F595" s="65" t="b">
        <f>IF(Смета!E517="Прайс",Смета!F517)</f>
        <v>0</v>
      </c>
      <c r="G595" s="65" t="b">
        <f>IF(Смета!A517="Прайс",Смета!F517)</f>
        <v>0</v>
      </c>
    </row>
    <row r="596" spans="2:7" hidden="1">
      <c r="B596" s="65" t="b">
        <f>IF(Смета!A518="Прайс",Смета!B518)</f>
        <v>0</v>
      </c>
      <c r="C596" s="65" t="b">
        <f>IF(Смета!A518="Прайс",Смета!C518)</f>
        <v>0</v>
      </c>
      <c r="D596" s="65" t="b">
        <f>IF(Смета!A518="Прайс",Смета!D518)</f>
        <v>0</v>
      </c>
      <c r="E596" s="65" t="b">
        <f>IF(Смета!D518="Прайс",Смета!E518)</f>
        <v>0</v>
      </c>
      <c r="F596" s="65" t="b">
        <f>IF(Смета!E518="Прайс",Смета!F518)</f>
        <v>0</v>
      </c>
      <c r="G596" s="65" t="b">
        <f>IF(Смета!A518="Прайс",Смета!F518)</f>
        <v>0</v>
      </c>
    </row>
    <row r="597" spans="2:7" hidden="1">
      <c r="B597" s="65" t="b">
        <f>IF(Смета!A519="Прайс",Смета!B519)</f>
        <v>0</v>
      </c>
      <c r="C597" s="65" t="b">
        <f>IF(Смета!A519="Прайс",Смета!C519)</f>
        <v>0</v>
      </c>
      <c r="D597" s="65" t="b">
        <f>IF(Смета!A519="Прайс",Смета!D519)</f>
        <v>0</v>
      </c>
      <c r="E597" s="65" t="b">
        <f>IF(Смета!D519="Прайс",Смета!E519)</f>
        <v>0</v>
      </c>
      <c r="F597" s="65" t="b">
        <f>IF(Смета!E519="Прайс",Смета!F519)</f>
        <v>0</v>
      </c>
      <c r="G597" s="65" t="b">
        <f>IF(Смета!A519="Прайс",Смета!F519)</f>
        <v>0</v>
      </c>
    </row>
    <row r="598" spans="2:7" hidden="1">
      <c r="B598" s="65" t="b">
        <f>IF(Смета!A520="Прайс",Смета!B520)</f>
        <v>0</v>
      </c>
      <c r="C598" s="65" t="b">
        <f>IF(Смета!A520="Прайс",Смета!C520)</f>
        <v>0</v>
      </c>
      <c r="D598" s="65" t="b">
        <f>IF(Смета!A520="Прайс",Смета!D520)</f>
        <v>0</v>
      </c>
      <c r="E598" s="65" t="b">
        <f>IF(Смета!D520="Прайс",Смета!E520)</f>
        <v>0</v>
      </c>
      <c r="F598" s="65" t="b">
        <f>IF(Смета!E520="Прайс",Смета!F520)</f>
        <v>0</v>
      </c>
      <c r="G598" s="65" t="b">
        <f>IF(Смета!A520="Прайс",Смета!F520)</f>
        <v>0</v>
      </c>
    </row>
    <row r="599" spans="2:7" hidden="1">
      <c r="B599" s="65" t="b">
        <f>IF(Смета!A521="Прайс",Смета!B521)</f>
        <v>0</v>
      </c>
      <c r="C599" s="65" t="b">
        <f>IF(Смета!A521="Прайс",Смета!C521)</f>
        <v>0</v>
      </c>
      <c r="D599" s="65" t="b">
        <f>IF(Смета!A521="Прайс",Смета!D521)</f>
        <v>0</v>
      </c>
      <c r="E599" s="65" t="b">
        <f>IF(Смета!D521="Прайс",Смета!E521)</f>
        <v>0</v>
      </c>
      <c r="F599" s="65" t="b">
        <f>IF(Смета!E521="Прайс",Смета!F521)</f>
        <v>0</v>
      </c>
      <c r="G599" s="65" t="b">
        <f>IF(Смета!A521="Прайс",Смета!F521)</f>
        <v>0</v>
      </c>
    </row>
    <row r="600" spans="2:7" hidden="1">
      <c r="B600" s="65" t="b">
        <f>IF(Смета!A522="Прайс",Смета!B522)</f>
        <v>0</v>
      </c>
      <c r="C600" s="65" t="b">
        <f>IF(Смета!A522="Прайс",Смета!C522)</f>
        <v>0</v>
      </c>
      <c r="D600" s="65" t="b">
        <f>IF(Смета!A522="Прайс",Смета!D522)</f>
        <v>0</v>
      </c>
      <c r="E600" s="65" t="b">
        <f>IF(Смета!D522="Прайс",Смета!E522)</f>
        <v>0</v>
      </c>
      <c r="F600" s="65" t="b">
        <f>IF(Смета!E522="Прайс",Смета!F522)</f>
        <v>0</v>
      </c>
      <c r="G600" s="65" t="b">
        <f>IF(Смета!A522="Прайс",Смета!F522)</f>
        <v>0</v>
      </c>
    </row>
    <row r="601" spans="2:7" hidden="1">
      <c r="B601" s="65" t="b">
        <f>IF(Смета!A523="Прайс",Смета!B523)</f>
        <v>0</v>
      </c>
      <c r="C601" s="65" t="b">
        <f>IF(Смета!A523="Прайс",Смета!C523)</f>
        <v>0</v>
      </c>
      <c r="D601" s="65" t="b">
        <f>IF(Смета!A523="Прайс",Смета!D523)</f>
        <v>0</v>
      </c>
      <c r="E601" s="65" t="b">
        <f>IF(Смета!D523="Прайс",Смета!E523)</f>
        <v>0</v>
      </c>
      <c r="F601" s="65" t="b">
        <f>IF(Смета!E523="Прайс",Смета!F523)</f>
        <v>0</v>
      </c>
      <c r="G601" s="65" t="b">
        <f>IF(Смета!A523="Прайс",Смета!F523)</f>
        <v>0</v>
      </c>
    </row>
    <row r="602" spans="2:7" hidden="1">
      <c r="B602" s="65" t="b">
        <f>IF(Смета!A524="Прайс",Смета!B524)</f>
        <v>0</v>
      </c>
      <c r="C602" s="65" t="b">
        <f>IF(Смета!A524="Прайс",Смета!C524)</f>
        <v>0</v>
      </c>
      <c r="D602" s="65" t="b">
        <f>IF(Смета!A524="Прайс",Смета!D524)</f>
        <v>0</v>
      </c>
      <c r="E602" s="65" t="b">
        <f>IF(Смета!D524="Прайс",Смета!E524)</f>
        <v>0</v>
      </c>
      <c r="F602" s="65" t="b">
        <f>IF(Смета!E524="Прайс",Смета!F524)</f>
        <v>0</v>
      </c>
      <c r="G602" s="65" t="b">
        <f>IF(Смета!A524="Прайс",Смета!F524)</f>
        <v>0</v>
      </c>
    </row>
    <row r="603" spans="2:7" hidden="1">
      <c r="B603" s="65" t="b">
        <f>IF(Смета!A525="Прайс",Смета!B525)</f>
        <v>0</v>
      </c>
      <c r="C603" s="65" t="b">
        <f>IF(Смета!A525="Прайс",Смета!C525)</f>
        <v>0</v>
      </c>
      <c r="D603" s="65" t="b">
        <f>IF(Смета!A525="Прайс",Смета!D525)</f>
        <v>0</v>
      </c>
      <c r="E603" s="65" t="b">
        <f>IF(Смета!D525="Прайс",Смета!E525)</f>
        <v>0</v>
      </c>
      <c r="F603" s="65" t="b">
        <f>IF(Смета!E525="Прайс",Смета!F525)</f>
        <v>0</v>
      </c>
      <c r="G603" s="65" t="b">
        <f>IF(Смета!A525="Прайс",Смета!F525)</f>
        <v>0</v>
      </c>
    </row>
    <row r="604" spans="2:7" hidden="1">
      <c r="B604" s="65" t="b">
        <f>IF(Смета!A526="Прайс",Смета!B526)</f>
        <v>0</v>
      </c>
      <c r="C604" s="65" t="b">
        <f>IF(Смета!A526="Прайс",Смета!C526)</f>
        <v>0</v>
      </c>
      <c r="D604" s="65" t="b">
        <f>IF(Смета!A526="Прайс",Смета!D526)</f>
        <v>0</v>
      </c>
      <c r="E604" s="65" t="b">
        <f>IF(Смета!D526="Прайс",Смета!E526)</f>
        <v>0</v>
      </c>
      <c r="F604" s="65" t="b">
        <f>IF(Смета!E526="Прайс",Смета!F526)</f>
        <v>0</v>
      </c>
      <c r="G604" s="65" t="b">
        <f>IF(Смета!A526="Прайс",Смета!F526)</f>
        <v>0</v>
      </c>
    </row>
    <row r="605" spans="2:7" hidden="1">
      <c r="B605" s="65" t="b">
        <f>IF(Смета!A527="Прайс",Смета!B527)</f>
        <v>0</v>
      </c>
      <c r="C605" s="65" t="b">
        <f>IF(Смета!A527="Прайс",Смета!C527)</f>
        <v>0</v>
      </c>
      <c r="D605" s="65" t="b">
        <f>IF(Смета!A527="Прайс",Смета!D527)</f>
        <v>0</v>
      </c>
      <c r="E605" s="65" t="b">
        <f>IF(Смета!D527="Прайс",Смета!E527)</f>
        <v>0</v>
      </c>
      <c r="F605" s="65" t="b">
        <f>IF(Смета!E527="Прайс",Смета!F527)</f>
        <v>0</v>
      </c>
      <c r="G605" s="65" t="b">
        <f>IF(Смета!A527="Прайс",Смета!F527)</f>
        <v>0</v>
      </c>
    </row>
    <row r="606" spans="2:7" hidden="1">
      <c r="B606" s="65" t="b">
        <f>IF(Смета!A528="Прайс",Смета!B528)</f>
        <v>0</v>
      </c>
      <c r="C606" s="65" t="b">
        <f>IF(Смета!A528="Прайс",Смета!C528)</f>
        <v>0</v>
      </c>
      <c r="D606" s="65" t="b">
        <f>IF(Смета!A528="Прайс",Смета!D528)</f>
        <v>0</v>
      </c>
      <c r="E606" s="65" t="b">
        <f>IF(Смета!D528="Прайс",Смета!E528)</f>
        <v>0</v>
      </c>
      <c r="F606" s="65" t="b">
        <f>IF(Смета!E528="Прайс",Смета!F528)</f>
        <v>0</v>
      </c>
      <c r="G606" s="65" t="b">
        <f>IF(Смета!A528="Прайс",Смета!F528)</f>
        <v>0</v>
      </c>
    </row>
    <row r="607" spans="2:7" hidden="1">
      <c r="B607" s="65" t="b">
        <f>IF(Смета!A529="Прайс",Смета!B529)</f>
        <v>0</v>
      </c>
      <c r="C607" s="65" t="b">
        <f>IF(Смета!A529="Прайс",Смета!C529)</f>
        <v>0</v>
      </c>
      <c r="D607" s="65" t="b">
        <f>IF(Смета!A529="Прайс",Смета!D529)</f>
        <v>0</v>
      </c>
      <c r="E607" s="65" t="b">
        <f>IF(Смета!D529="Прайс",Смета!E529)</f>
        <v>0</v>
      </c>
      <c r="F607" s="65" t="b">
        <f>IF(Смета!E529="Прайс",Смета!F529)</f>
        <v>0</v>
      </c>
      <c r="G607" s="65" t="b">
        <f>IF(Смета!A529="Прайс",Смета!F529)</f>
        <v>0</v>
      </c>
    </row>
    <row r="608" spans="2:7" hidden="1">
      <c r="B608" s="65" t="b">
        <f>IF(Смета!A530="Прайс",Смета!B530)</f>
        <v>0</v>
      </c>
      <c r="C608" s="65" t="b">
        <f>IF(Смета!A530="Прайс",Смета!C530)</f>
        <v>0</v>
      </c>
      <c r="D608" s="65" t="b">
        <f>IF(Смета!A530="Прайс",Смета!D530)</f>
        <v>0</v>
      </c>
      <c r="E608" s="65" t="b">
        <f>IF(Смета!D530="Прайс",Смета!E530)</f>
        <v>0</v>
      </c>
      <c r="F608" s="65" t="b">
        <f>IF(Смета!E530="Прайс",Смета!F530)</f>
        <v>0</v>
      </c>
      <c r="G608" s="65" t="b">
        <f>IF(Смета!A530="Прайс",Смета!F530)</f>
        <v>0</v>
      </c>
    </row>
    <row r="609" spans="2:7" hidden="1">
      <c r="B609" s="65" t="b">
        <f>IF(Смета!A531="Прайс",Смета!B531)</f>
        <v>0</v>
      </c>
      <c r="C609" s="65" t="b">
        <f>IF(Смета!A531="Прайс",Смета!C531)</f>
        <v>0</v>
      </c>
      <c r="D609" s="65" t="b">
        <f>IF(Смета!A531="Прайс",Смета!D531)</f>
        <v>0</v>
      </c>
      <c r="E609" s="65" t="b">
        <f>IF(Смета!D531="Прайс",Смета!E531)</f>
        <v>0</v>
      </c>
      <c r="F609" s="65" t="b">
        <f>IF(Смета!E531="Прайс",Смета!F531)</f>
        <v>0</v>
      </c>
      <c r="G609" s="65" t="b">
        <f>IF(Смета!A531="Прайс",Смета!F531)</f>
        <v>0</v>
      </c>
    </row>
    <row r="610" spans="2:7" hidden="1">
      <c r="B610" s="65" t="b">
        <f>IF(Смета!A532="Прайс",Смета!B532)</f>
        <v>0</v>
      </c>
      <c r="C610" s="65" t="b">
        <f>IF(Смета!A532="Прайс",Смета!C532)</f>
        <v>0</v>
      </c>
      <c r="D610" s="65" t="b">
        <f>IF(Смета!A532="Прайс",Смета!D532)</f>
        <v>0</v>
      </c>
      <c r="E610" s="65" t="b">
        <f>IF(Смета!D532="Прайс",Смета!E532)</f>
        <v>0</v>
      </c>
      <c r="F610" s="65" t="b">
        <f>IF(Смета!E532="Прайс",Смета!F532)</f>
        <v>0</v>
      </c>
      <c r="G610" s="65" t="b">
        <f>IF(Смета!A532="Прайс",Смета!F532)</f>
        <v>0</v>
      </c>
    </row>
    <row r="611" spans="2:7" hidden="1">
      <c r="B611" s="65" t="b">
        <f>IF(Смета!A533="Прайс",Смета!B533)</f>
        <v>0</v>
      </c>
      <c r="C611" s="65" t="b">
        <f>IF(Смета!A533="Прайс",Смета!C533)</f>
        <v>0</v>
      </c>
      <c r="D611" s="65" t="b">
        <f>IF(Смета!A533="Прайс",Смета!D533)</f>
        <v>0</v>
      </c>
      <c r="E611" s="65" t="b">
        <f>IF(Смета!D533="Прайс",Смета!E533)</f>
        <v>0</v>
      </c>
      <c r="F611" s="65" t="b">
        <f>IF(Смета!E533="Прайс",Смета!F533)</f>
        <v>0</v>
      </c>
      <c r="G611" s="65" t="b">
        <f>IF(Смета!A533="Прайс",Смета!F533)</f>
        <v>0</v>
      </c>
    </row>
    <row r="612" spans="2:7" hidden="1">
      <c r="B612" s="65" t="b">
        <f>IF(Смета!A534="Прайс",Смета!B534)</f>
        <v>0</v>
      </c>
      <c r="C612" s="65" t="b">
        <f>IF(Смета!A534="Прайс",Смета!C534)</f>
        <v>0</v>
      </c>
      <c r="D612" s="65" t="b">
        <f>IF(Смета!A534="Прайс",Смета!D534)</f>
        <v>0</v>
      </c>
      <c r="E612" s="65" t="b">
        <f>IF(Смета!D534="Прайс",Смета!E534)</f>
        <v>0</v>
      </c>
      <c r="F612" s="65" t="b">
        <f>IF(Смета!E534="Прайс",Смета!F534)</f>
        <v>0</v>
      </c>
      <c r="G612" s="65" t="b">
        <f>IF(Смета!A534="Прайс",Смета!F534)</f>
        <v>0</v>
      </c>
    </row>
    <row r="613" spans="2:7" hidden="1">
      <c r="B613" s="65" t="b">
        <f>IF(Смета!A535="Прайс",Смета!B535)</f>
        <v>0</v>
      </c>
      <c r="C613" s="65" t="b">
        <f>IF(Смета!A535="Прайс",Смета!C535)</f>
        <v>0</v>
      </c>
      <c r="D613" s="65" t="b">
        <f>IF(Смета!A535="Прайс",Смета!D535)</f>
        <v>0</v>
      </c>
      <c r="E613" s="65" t="b">
        <f>IF(Смета!D535="Прайс",Смета!E535)</f>
        <v>0</v>
      </c>
      <c r="F613" s="65" t="b">
        <f>IF(Смета!E535="Прайс",Смета!F535)</f>
        <v>0</v>
      </c>
      <c r="G613" s="65" t="b">
        <f>IF(Смета!A535="Прайс",Смета!F535)</f>
        <v>0</v>
      </c>
    </row>
    <row r="614" spans="2:7" hidden="1">
      <c r="B614" s="65" t="b">
        <f>IF(Смета!A536="Прайс",Смета!B536)</f>
        <v>0</v>
      </c>
      <c r="C614" s="65" t="b">
        <f>IF(Смета!A536="Прайс",Смета!C536)</f>
        <v>0</v>
      </c>
      <c r="D614" s="65" t="b">
        <f>IF(Смета!A536="Прайс",Смета!D536)</f>
        <v>0</v>
      </c>
      <c r="E614" s="65" t="b">
        <f>IF(Смета!D536="Прайс",Смета!E536)</f>
        <v>0</v>
      </c>
      <c r="F614" s="65" t="b">
        <f>IF(Смета!E536="Прайс",Смета!F536)</f>
        <v>0</v>
      </c>
      <c r="G614" s="65" t="b">
        <f>IF(Смета!A536="Прайс",Смета!F536)</f>
        <v>0</v>
      </c>
    </row>
    <row r="615" spans="2:7" hidden="1">
      <c r="B615" s="65" t="b">
        <f>IF(Смета!A537="Прайс",Смета!B537)</f>
        <v>0</v>
      </c>
      <c r="C615" s="65" t="b">
        <f>IF(Смета!A537="Прайс",Смета!C537)</f>
        <v>0</v>
      </c>
      <c r="D615" s="65" t="b">
        <f>IF(Смета!A537="Прайс",Смета!D537)</f>
        <v>0</v>
      </c>
      <c r="E615" s="65" t="b">
        <f>IF(Смета!D537="Прайс",Смета!E537)</f>
        <v>0</v>
      </c>
      <c r="F615" s="65" t="b">
        <f>IF(Смета!E537="Прайс",Смета!F537)</f>
        <v>0</v>
      </c>
      <c r="G615" s="65" t="b">
        <f>IF(Смета!A537="Прайс",Смета!F537)</f>
        <v>0</v>
      </c>
    </row>
    <row r="616" spans="2:7" hidden="1">
      <c r="B616" s="65" t="b">
        <f>IF(Смета!A538="Прайс",Смета!B538)</f>
        <v>0</v>
      </c>
      <c r="C616" s="65" t="b">
        <f>IF(Смета!A538="Прайс",Смета!C538)</f>
        <v>0</v>
      </c>
      <c r="D616" s="65" t="b">
        <f>IF(Смета!A538="Прайс",Смета!D538)</f>
        <v>0</v>
      </c>
      <c r="E616" s="65" t="b">
        <f>IF(Смета!D538="Прайс",Смета!E538)</f>
        <v>0</v>
      </c>
      <c r="F616" s="65" t="b">
        <f>IF(Смета!E538="Прайс",Смета!F538)</f>
        <v>0</v>
      </c>
      <c r="G616" s="65" t="b">
        <f>IF(Смета!A538="Прайс",Смета!F538)</f>
        <v>0</v>
      </c>
    </row>
    <row r="617" spans="2:7" hidden="1">
      <c r="B617" s="65" t="b">
        <f>IF(Смета!A539="Прайс",Смета!B539)</f>
        <v>0</v>
      </c>
      <c r="C617" s="65" t="b">
        <f>IF(Смета!A539="Прайс",Смета!C539)</f>
        <v>0</v>
      </c>
      <c r="D617" s="65" t="b">
        <f>IF(Смета!A539="Прайс",Смета!D539)</f>
        <v>0</v>
      </c>
      <c r="E617" s="65" t="b">
        <f>IF(Смета!D539="Прайс",Смета!E539)</f>
        <v>0</v>
      </c>
      <c r="F617" s="65" t="b">
        <f>IF(Смета!E539="Прайс",Смета!F539)</f>
        <v>0</v>
      </c>
      <c r="G617" s="65" t="b">
        <f>IF(Смета!A539="Прайс",Смета!F539)</f>
        <v>0</v>
      </c>
    </row>
    <row r="618" spans="2:7" hidden="1">
      <c r="B618" s="65" t="b">
        <f>IF(Смета!A540="Прайс",Смета!B540)</f>
        <v>0</v>
      </c>
      <c r="C618" s="65" t="b">
        <f>IF(Смета!A540="Прайс",Смета!C540)</f>
        <v>0</v>
      </c>
      <c r="D618" s="65" t="b">
        <f>IF(Смета!A540="Прайс",Смета!D540)</f>
        <v>0</v>
      </c>
      <c r="E618" s="65" t="b">
        <f>IF(Смета!D540="Прайс",Смета!E540)</f>
        <v>0</v>
      </c>
      <c r="F618" s="65" t="b">
        <f>IF(Смета!E540="Прайс",Смета!F540)</f>
        <v>0</v>
      </c>
      <c r="G618" s="65" t="b">
        <f>IF(Смета!A540="Прайс",Смета!F540)</f>
        <v>0</v>
      </c>
    </row>
    <row r="619" spans="2:7" hidden="1">
      <c r="B619" s="65" t="b">
        <f>IF(Смета!A541="Прайс",Смета!B541)</f>
        <v>0</v>
      </c>
      <c r="C619" s="65" t="b">
        <f>IF(Смета!A541="Прайс",Смета!C541)</f>
        <v>0</v>
      </c>
      <c r="D619" s="65" t="b">
        <f>IF(Смета!A541="Прайс",Смета!D541)</f>
        <v>0</v>
      </c>
      <c r="E619" s="65" t="b">
        <f>IF(Смета!D541="Прайс",Смета!E541)</f>
        <v>0</v>
      </c>
      <c r="F619" s="65" t="b">
        <f>IF(Смета!E541="Прайс",Смета!F541)</f>
        <v>0</v>
      </c>
      <c r="G619" s="65" t="b">
        <f>IF(Смета!A541="Прайс",Смета!F541)</f>
        <v>0</v>
      </c>
    </row>
    <row r="620" spans="2:7" hidden="1">
      <c r="B620" s="65" t="b">
        <f>IF(Смета!A542="Прайс",Смета!B542)</f>
        <v>0</v>
      </c>
      <c r="C620" s="65" t="b">
        <f>IF(Смета!A542="Прайс",Смета!C542)</f>
        <v>0</v>
      </c>
      <c r="D620" s="65" t="b">
        <f>IF(Смета!A542="Прайс",Смета!D542)</f>
        <v>0</v>
      </c>
      <c r="E620" s="65" t="b">
        <f>IF(Смета!D542="Прайс",Смета!E542)</f>
        <v>0</v>
      </c>
      <c r="F620" s="65" t="b">
        <f>IF(Смета!E542="Прайс",Смета!F542)</f>
        <v>0</v>
      </c>
      <c r="G620" s="65" t="b">
        <f>IF(Смета!A542="Прайс",Смета!F542)</f>
        <v>0</v>
      </c>
    </row>
    <row r="621" spans="2:7" hidden="1">
      <c r="B621" s="65" t="b">
        <f>IF(Смета!A543="Прайс",Смета!B543)</f>
        <v>0</v>
      </c>
      <c r="C621" s="65" t="b">
        <f>IF(Смета!A543="Прайс",Смета!C543)</f>
        <v>0</v>
      </c>
      <c r="D621" s="65" t="b">
        <f>IF(Смета!A543="Прайс",Смета!D543)</f>
        <v>0</v>
      </c>
      <c r="E621" s="65" t="b">
        <f>IF(Смета!D543="Прайс",Смета!E543)</f>
        <v>0</v>
      </c>
      <c r="F621" s="65" t="b">
        <f>IF(Смета!E543="Прайс",Смета!F543)</f>
        <v>0</v>
      </c>
      <c r="G621" s="65" t="b">
        <f>IF(Смета!A543="Прайс",Смета!F543)</f>
        <v>0</v>
      </c>
    </row>
    <row r="622" spans="2:7" hidden="1">
      <c r="B622" s="65" t="b">
        <f>IF(Смета!A544="Прайс",Смета!B544)</f>
        <v>0</v>
      </c>
      <c r="C622" s="65" t="b">
        <f>IF(Смета!A544="Прайс",Смета!C544)</f>
        <v>0</v>
      </c>
      <c r="D622" s="65" t="b">
        <f>IF(Смета!A544="Прайс",Смета!D544)</f>
        <v>0</v>
      </c>
      <c r="E622" s="65" t="b">
        <f>IF(Смета!D544="Прайс",Смета!E544)</f>
        <v>0</v>
      </c>
      <c r="F622" s="65" t="b">
        <f>IF(Смета!E544="Прайс",Смета!F544)</f>
        <v>0</v>
      </c>
      <c r="G622" s="65" t="b">
        <f>IF(Смета!A544="Прайс",Смета!F544)</f>
        <v>0</v>
      </c>
    </row>
    <row r="623" spans="2:7" hidden="1">
      <c r="B623" s="65" t="b">
        <f>IF(Смета!A545="Прайс",Смета!B545)</f>
        <v>0</v>
      </c>
      <c r="C623" s="65" t="b">
        <f>IF(Смета!A545="Прайс",Смета!C545)</f>
        <v>0</v>
      </c>
      <c r="D623" s="65" t="b">
        <f>IF(Смета!A545="Прайс",Смета!D545)</f>
        <v>0</v>
      </c>
      <c r="E623" s="65" t="b">
        <f>IF(Смета!D545="Прайс",Смета!E545)</f>
        <v>0</v>
      </c>
      <c r="F623" s="65" t="b">
        <f>IF(Смета!E545="Прайс",Смета!F545)</f>
        <v>0</v>
      </c>
      <c r="G623" s="65" t="b">
        <f>IF(Смета!A545="Прайс",Смета!F545)</f>
        <v>0</v>
      </c>
    </row>
    <row r="624" spans="2:7" hidden="1">
      <c r="B624" s="65" t="b">
        <f>IF(Смета!A546="Прайс",Смета!B546)</f>
        <v>0</v>
      </c>
      <c r="C624" s="65" t="b">
        <f>IF(Смета!A546="Прайс",Смета!C546)</f>
        <v>0</v>
      </c>
      <c r="D624" s="65" t="b">
        <f>IF(Смета!A546="Прайс",Смета!D546)</f>
        <v>0</v>
      </c>
      <c r="E624" s="65" t="b">
        <f>IF(Смета!D546="Прайс",Смета!E546)</f>
        <v>0</v>
      </c>
      <c r="F624" s="65" t="b">
        <f>IF(Смета!E546="Прайс",Смета!F546)</f>
        <v>0</v>
      </c>
      <c r="G624" s="65" t="b">
        <f>IF(Смета!A546="Прайс",Смета!F546)</f>
        <v>0</v>
      </c>
    </row>
    <row r="625" spans="2:7" hidden="1">
      <c r="B625" s="65" t="b">
        <f>IF(Смета!A547="Прайс",Смета!B547)</f>
        <v>0</v>
      </c>
      <c r="C625" s="65" t="b">
        <f>IF(Смета!A547="Прайс",Смета!C547)</f>
        <v>0</v>
      </c>
      <c r="D625" s="65" t="b">
        <f>IF(Смета!A547="Прайс",Смета!D547)</f>
        <v>0</v>
      </c>
      <c r="E625" s="65" t="b">
        <f>IF(Смета!D547="Прайс",Смета!E547)</f>
        <v>0</v>
      </c>
      <c r="F625" s="65" t="b">
        <f>IF(Смета!E547="Прайс",Смета!F547)</f>
        <v>0</v>
      </c>
      <c r="G625" s="65" t="b">
        <f>IF(Смета!A547="Прайс",Смета!F547)</f>
        <v>0</v>
      </c>
    </row>
    <row r="626" spans="2:7" hidden="1">
      <c r="B626" s="65" t="b">
        <f>IF(Смета!A548="Прайс",Смета!B548)</f>
        <v>0</v>
      </c>
      <c r="C626" s="65" t="b">
        <f>IF(Смета!A548="Прайс",Смета!C548)</f>
        <v>0</v>
      </c>
      <c r="D626" s="65" t="b">
        <f>IF(Смета!A548="Прайс",Смета!D548)</f>
        <v>0</v>
      </c>
      <c r="E626" s="65" t="b">
        <f>IF(Смета!D548="Прайс",Смета!E548)</f>
        <v>0</v>
      </c>
      <c r="F626" s="65" t="b">
        <f>IF(Смета!E548="Прайс",Смета!F548)</f>
        <v>0</v>
      </c>
      <c r="G626" s="65" t="b">
        <f>IF(Смета!A548="Прайс",Смета!F548)</f>
        <v>0</v>
      </c>
    </row>
    <row r="627" spans="2:7" hidden="1">
      <c r="B627" s="65" t="b">
        <f>IF(Смета!A549="Прайс",Смета!B549)</f>
        <v>0</v>
      </c>
      <c r="C627" s="65" t="b">
        <f>IF(Смета!A549="Прайс",Смета!C549)</f>
        <v>0</v>
      </c>
      <c r="D627" s="65" t="b">
        <f>IF(Смета!A549="Прайс",Смета!D549)</f>
        <v>0</v>
      </c>
      <c r="E627" s="65" t="b">
        <f>IF(Смета!D549="Прайс",Смета!E549)</f>
        <v>0</v>
      </c>
      <c r="F627" s="65" t="b">
        <f>IF(Смета!E549="Прайс",Смета!F549)</f>
        <v>0</v>
      </c>
      <c r="G627" s="65" t="b">
        <f>IF(Смета!A549="Прайс",Смета!F549)</f>
        <v>0</v>
      </c>
    </row>
    <row r="628" spans="2:7" hidden="1">
      <c r="B628" s="65" t="b">
        <f>IF(Смета!A550="Прайс",Смета!B550)</f>
        <v>0</v>
      </c>
      <c r="C628" s="65" t="b">
        <f>IF(Смета!A550="Прайс",Смета!C550)</f>
        <v>0</v>
      </c>
      <c r="D628" s="65" t="b">
        <f>IF(Смета!A550="Прайс",Смета!D550)</f>
        <v>0</v>
      </c>
      <c r="E628" s="65" t="b">
        <f>IF(Смета!D550="Прайс",Смета!E550)</f>
        <v>0</v>
      </c>
      <c r="F628" s="65" t="b">
        <f>IF(Смета!E550="Прайс",Смета!F550)</f>
        <v>0</v>
      </c>
      <c r="G628" s="65" t="b">
        <f>IF(Смета!A550="Прайс",Смета!F550)</f>
        <v>0</v>
      </c>
    </row>
    <row r="629" spans="2:7" hidden="1">
      <c r="B629" s="65" t="b">
        <f>IF(Смета!A551="Прайс",Смета!B551)</f>
        <v>0</v>
      </c>
      <c r="C629" s="65" t="b">
        <f>IF(Смета!A551="Прайс",Смета!C551)</f>
        <v>0</v>
      </c>
      <c r="D629" s="65" t="b">
        <f>IF(Смета!A551="Прайс",Смета!D551)</f>
        <v>0</v>
      </c>
      <c r="E629" s="65" t="b">
        <f>IF(Смета!D551="Прайс",Смета!E551)</f>
        <v>0</v>
      </c>
      <c r="F629" s="65" t="b">
        <f>IF(Смета!E551="Прайс",Смета!F551)</f>
        <v>0</v>
      </c>
      <c r="G629" s="65" t="b">
        <f>IF(Смета!A551="Прайс",Смета!F551)</f>
        <v>0</v>
      </c>
    </row>
    <row r="630" spans="2:7" hidden="1">
      <c r="B630" s="65" t="b">
        <f>IF(Смета!A552="Прайс",Смета!B552)</f>
        <v>0</v>
      </c>
      <c r="C630" s="65" t="b">
        <f>IF(Смета!A552="Прайс",Смета!C552)</f>
        <v>0</v>
      </c>
      <c r="D630" s="65" t="b">
        <f>IF(Смета!A552="Прайс",Смета!D552)</f>
        <v>0</v>
      </c>
      <c r="E630" s="65" t="b">
        <f>IF(Смета!D552="Прайс",Смета!E552)</f>
        <v>0</v>
      </c>
      <c r="F630" s="65" t="b">
        <f>IF(Смета!E552="Прайс",Смета!F552)</f>
        <v>0</v>
      </c>
      <c r="G630" s="65" t="b">
        <f>IF(Смета!A552="Прайс",Смета!F552)</f>
        <v>0</v>
      </c>
    </row>
    <row r="631" spans="2:7" hidden="1">
      <c r="B631" s="65" t="b">
        <f>IF(Смета!A553="Прайс",Смета!B553)</f>
        <v>0</v>
      </c>
      <c r="C631" s="65" t="b">
        <f>IF(Смета!A553="Прайс",Смета!C553)</f>
        <v>0</v>
      </c>
      <c r="D631" s="65" t="b">
        <f>IF(Смета!A553="Прайс",Смета!D553)</f>
        <v>0</v>
      </c>
      <c r="E631" s="65" t="b">
        <f>IF(Смета!D553="Прайс",Смета!E553)</f>
        <v>0</v>
      </c>
      <c r="F631" s="65" t="b">
        <f>IF(Смета!E553="Прайс",Смета!F553)</f>
        <v>0</v>
      </c>
      <c r="G631" s="65" t="b">
        <f>IF(Смета!A553="Прайс",Смета!F553)</f>
        <v>0</v>
      </c>
    </row>
    <row r="632" spans="2:7" hidden="1">
      <c r="B632" s="65" t="b">
        <f>IF(Смета!A554="Прайс",Смета!B554)</f>
        <v>0</v>
      </c>
      <c r="C632" s="65" t="b">
        <f>IF(Смета!A554="Прайс",Смета!C554)</f>
        <v>0</v>
      </c>
      <c r="D632" s="65" t="b">
        <f>IF(Смета!A554="Прайс",Смета!D554)</f>
        <v>0</v>
      </c>
      <c r="E632" s="65" t="b">
        <f>IF(Смета!D554="Прайс",Смета!E554)</f>
        <v>0</v>
      </c>
      <c r="F632" s="65" t="b">
        <f>IF(Смета!E554="Прайс",Смета!F554)</f>
        <v>0</v>
      </c>
      <c r="G632" s="65" t="b">
        <f>IF(Смета!A554="Прайс",Смета!F554)</f>
        <v>0</v>
      </c>
    </row>
    <row r="633" spans="2:7" hidden="1">
      <c r="B633" s="65" t="b">
        <f>IF(Смета!A555="Прайс",Смета!B555)</f>
        <v>0</v>
      </c>
      <c r="C633" s="65" t="b">
        <f>IF(Смета!A555="Прайс",Смета!C555)</f>
        <v>0</v>
      </c>
      <c r="D633" s="65" t="b">
        <f>IF(Смета!A555="Прайс",Смета!D555)</f>
        <v>0</v>
      </c>
      <c r="E633" s="65" t="b">
        <f>IF(Смета!D555="Прайс",Смета!E555)</f>
        <v>0</v>
      </c>
      <c r="F633" s="65" t="b">
        <f>IF(Смета!E555="Прайс",Смета!F555)</f>
        <v>0</v>
      </c>
      <c r="G633" s="65" t="b">
        <f>IF(Смета!A555="Прайс",Смета!F555)</f>
        <v>0</v>
      </c>
    </row>
    <row r="634" spans="2:7" hidden="1">
      <c r="B634" s="65" t="b">
        <f>IF(Смета!A556="Прайс",Смета!B556)</f>
        <v>0</v>
      </c>
      <c r="C634" s="65" t="b">
        <f>IF(Смета!A556="Прайс",Смета!C556)</f>
        <v>0</v>
      </c>
      <c r="D634" s="65" t="b">
        <f>IF(Смета!A556="Прайс",Смета!D556)</f>
        <v>0</v>
      </c>
      <c r="E634" s="65" t="b">
        <f>IF(Смета!D556="Прайс",Смета!E556)</f>
        <v>0</v>
      </c>
      <c r="F634" s="65" t="b">
        <f>IF(Смета!E556="Прайс",Смета!F556)</f>
        <v>0</v>
      </c>
      <c r="G634" s="65" t="b">
        <f>IF(Смета!A556="Прайс",Смета!F556)</f>
        <v>0</v>
      </c>
    </row>
    <row r="635" spans="2:7" hidden="1">
      <c r="B635" s="65" t="b">
        <f>IF(Смета!A557="Прайс",Смета!B557)</f>
        <v>0</v>
      </c>
      <c r="C635" s="65" t="b">
        <f>IF(Смета!A557="Прайс",Смета!C557)</f>
        <v>0</v>
      </c>
      <c r="D635" s="65" t="b">
        <f>IF(Смета!A557="Прайс",Смета!D557)</f>
        <v>0</v>
      </c>
      <c r="E635" s="65" t="b">
        <f>IF(Смета!D557="Прайс",Смета!E557)</f>
        <v>0</v>
      </c>
      <c r="F635" s="65" t="b">
        <f>IF(Смета!E557="Прайс",Смета!F557)</f>
        <v>0</v>
      </c>
      <c r="G635" s="65" t="b">
        <f>IF(Смета!A557="Прайс",Смета!F557)</f>
        <v>0</v>
      </c>
    </row>
    <row r="636" spans="2:7" hidden="1">
      <c r="B636" s="65" t="b">
        <f>IF(Смета!A558="Прайс",Смета!B558)</f>
        <v>0</v>
      </c>
      <c r="C636" s="65" t="b">
        <f>IF(Смета!A558="Прайс",Смета!C558)</f>
        <v>0</v>
      </c>
      <c r="D636" s="65" t="b">
        <f>IF(Смета!A558="Прайс",Смета!D558)</f>
        <v>0</v>
      </c>
      <c r="E636" s="65" t="b">
        <f>IF(Смета!D558="Прайс",Смета!E558)</f>
        <v>0</v>
      </c>
      <c r="F636" s="65" t="b">
        <f>IF(Смета!E558="Прайс",Смета!F558)</f>
        <v>0</v>
      </c>
      <c r="G636" s="65" t="b">
        <f>IF(Смета!A558="Прайс",Смета!F558)</f>
        <v>0</v>
      </c>
    </row>
    <row r="637" spans="2:7" hidden="1">
      <c r="B637" s="65" t="b">
        <f>IF(Смета!A559="Прайс",Смета!B559)</f>
        <v>0</v>
      </c>
      <c r="C637" s="65" t="b">
        <f>IF(Смета!A559="Прайс",Смета!C559)</f>
        <v>0</v>
      </c>
      <c r="D637" s="65" t="b">
        <f>IF(Смета!A559="Прайс",Смета!D559)</f>
        <v>0</v>
      </c>
      <c r="E637" s="65" t="b">
        <f>IF(Смета!D559="Прайс",Смета!E559)</f>
        <v>0</v>
      </c>
      <c r="F637" s="65" t="b">
        <f>IF(Смета!E559="Прайс",Смета!F559)</f>
        <v>0</v>
      </c>
      <c r="G637" s="65" t="b">
        <f>IF(Смета!A559="Прайс",Смета!F559)</f>
        <v>0</v>
      </c>
    </row>
    <row r="638" spans="2:7" hidden="1">
      <c r="B638" s="65" t="b">
        <f>IF(Смета!A560="Прайс",Смета!B560)</f>
        <v>0</v>
      </c>
      <c r="C638" s="65" t="b">
        <f>IF(Смета!A560="Прайс",Смета!C560)</f>
        <v>0</v>
      </c>
      <c r="D638" s="65" t="b">
        <f>IF(Смета!A560="Прайс",Смета!D560)</f>
        <v>0</v>
      </c>
      <c r="E638" s="65" t="b">
        <f>IF(Смета!D560="Прайс",Смета!E560)</f>
        <v>0</v>
      </c>
      <c r="F638" s="65" t="b">
        <f>IF(Смета!E560="Прайс",Смета!F560)</f>
        <v>0</v>
      </c>
      <c r="G638" s="65" t="b">
        <f>IF(Смета!A560="Прайс",Смета!F560)</f>
        <v>0</v>
      </c>
    </row>
    <row r="639" spans="2:7" hidden="1">
      <c r="B639" s="65" t="b">
        <f>IF(Смета!A561="Прайс",Смета!B561)</f>
        <v>0</v>
      </c>
      <c r="C639" s="65" t="b">
        <f>IF(Смета!A561="Прайс",Смета!C561)</f>
        <v>0</v>
      </c>
      <c r="D639" s="65" t="b">
        <f>IF(Смета!A561="Прайс",Смета!D561)</f>
        <v>0</v>
      </c>
      <c r="E639" s="65" t="b">
        <f>IF(Смета!D561="Прайс",Смета!E561)</f>
        <v>0</v>
      </c>
      <c r="F639" s="65" t="b">
        <f>IF(Смета!E561="Прайс",Смета!F561)</f>
        <v>0</v>
      </c>
      <c r="G639" s="65" t="b">
        <f>IF(Смета!A561="Прайс",Смета!F561)</f>
        <v>0</v>
      </c>
    </row>
    <row r="640" spans="2:7" hidden="1">
      <c r="B640" s="65" t="b">
        <f>IF(Смета!A562="Прайс",Смета!B562)</f>
        <v>0</v>
      </c>
      <c r="C640" s="65" t="b">
        <f>IF(Смета!A562="Прайс",Смета!C562)</f>
        <v>0</v>
      </c>
      <c r="D640" s="65" t="b">
        <f>IF(Смета!A562="Прайс",Смета!D562)</f>
        <v>0</v>
      </c>
      <c r="E640" s="65" t="b">
        <f>IF(Смета!D562="Прайс",Смета!E562)</f>
        <v>0</v>
      </c>
      <c r="F640" s="65" t="b">
        <f>IF(Смета!E562="Прайс",Смета!F562)</f>
        <v>0</v>
      </c>
      <c r="G640" s="65" t="b">
        <f>IF(Смета!A562="Прайс",Смета!F562)</f>
        <v>0</v>
      </c>
    </row>
    <row r="641" spans="2:7" hidden="1">
      <c r="B641" s="65" t="b">
        <f>IF(Смета!A563="Прайс",Смета!B563)</f>
        <v>0</v>
      </c>
      <c r="C641" s="65" t="b">
        <f>IF(Смета!A563="Прайс",Смета!C563)</f>
        <v>0</v>
      </c>
      <c r="D641" s="65" t="b">
        <f>IF(Смета!A563="Прайс",Смета!D563)</f>
        <v>0</v>
      </c>
      <c r="E641" s="65" t="b">
        <f>IF(Смета!D563="Прайс",Смета!E563)</f>
        <v>0</v>
      </c>
      <c r="F641" s="65" t="b">
        <f>IF(Смета!E563="Прайс",Смета!F563)</f>
        <v>0</v>
      </c>
      <c r="G641" s="65" t="b">
        <f>IF(Смета!A563="Прайс",Смета!F563)</f>
        <v>0</v>
      </c>
    </row>
    <row r="642" spans="2:7" hidden="1">
      <c r="B642" s="65" t="b">
        <f>IF(Смета!A564="Прайс",Смета!B564)</f>
        <v>0</v>
      </c>
      <c r="C642" s="65" t="b">
        <f>IF(Смета!A564="Прайс",Смета!C564)</f>
        <v>0</v>
      </c>
      <c r="D642" s="65" t="b">
        <f>IF(Смета!A564="Прайс",Смета!D564)</f>
        <v>0</v>
      </c>
      <c r="E642" s="65" t="b">
        <f>IF(Смета!D564="Прайс",Смета!E564)</f>
        <v>0</v>
      </c>
      <c r="F642" s="65" t="b">
        <f>IF(Смета!E564="Прайс",Смета!F564)</f>
        <v>0</v>
      </c>
      <c r="G642" s="65" t="b">
        <f>IF(Смета!A564="Прайс",Смета!F564)</f>
        <v>0</v>
      </c>
    </row>
    <row r="643" spans="2:7" hidden="1">
      <c r="B643" s="65" t="b">
        <f>IF(Смета!A565="Прайс",Смета!B565)</f>
        <v>0</v>
      </c>
      <c r="C643" s="65" t="b">
        <f>IF(Смета!A565="Прайс",Смета!C565)</f>
        <v>0</v>
      </c>
      <c r="D643" s="65" t="b">
        <f>IF(Смета!A565="Прайс",Смета!D565)</f>
        <v>0</v>
      </c>
      <c r="E643" s="65" t="b">
        <f>IF(Смета!D565="Прайс",Смета!E565)</f>
        <v>0</v>
      </c>
      <c r="F643" s="65" t="b">
        <f>IF(Смета!E565="Прайс",Смета!F565)</f>
        <v>0</v>
      </c>
      <c r="G643" s="65" t="b">
        <f>IF(Смета!A565="Прайс",Смета!F565)</f>
        <v>0</v>
      </c>
    </row>
    <row r="644" spans="2:7" hidden="1">
      <c r="B644" s="65" t="b">
        <f>IF(Смета!A566="Прайс",Смета!B566)</f>
        <v>0</v>
      </c>
      <c r="C644" s="65" t="b">
        <f>IF(Смета!A566="Прайс",Смета!C566)</f>
        <v>0</v>
      </c>
      <c r="D644" s="65" t="b">
        <f>IF(Смета!A566="Прайс",Смета!D566)</f>
        <v>0</v>
      </c>
      <c r="E644" s="65" t="b">
        <f>IF(Смета!D566="Прайс",Смета!E566)</f>
        <v>0</v>
      </c>
      <c r="F644" s="65" t="b">
        <f>IF(Смета!E566="Прайс",Смета!F566)</f>
        <v>0</v>
      </c>
      <c r="G644" s="65" t="b">
        <f>IF(Смета!A566="Прайс",Смета!F566)</f>
        <v>0</v>
      </c>
    </row>
    <row r="645" spans="2:7" hidden="1">
      <c r="B645" s="65" t="b">
        <f>IF(Смета!A567="Прайс",Смета!B567)</f>
        <v>0</v>
      </c>
      <c r="C645" s="65" t="b">
        <f>IF(Смета!A567="Прайс",Смета!C567)</f>
        <v>0</v>
      </c>
      <c r="D645" s="65" t="b">
        <f>IF(Смета!A567="Прайс",Смета!D567)</f>
        <v>0</v>
      </c>
      <c r="E645" s="65" t="b">
        <f>IF(Смета!D567="Прайс",Смета!E567)</f>
        <v>0</v>
      </c>
      <c r="F645" s="65" t="b">
        <f>IF(Смета!E567="Прайс",Смета!F567)</f>
        <v>0</v>
      </c>
      <c r="G645" s="65" t="b">
        <f>IF(Смета!A567="Прайс",Смета!F567)</f>
        <v>0</v>
      </c>
    </row>
    <row r="646" spans="2:7" hidden="1">
      <c r="B646" s="65" t="b">
        <f>IF(Смета!A568="Прайс",Смета!B568)</f>
        <v>0</v>
      </c>
      <c r="C646" s="65" t="b">
        <f>IF(Смета!A568="Прайс",Смета!C568)</f>
        <v>0</v>
      </c>
      <c r="D646" s="65" t="b">
        <f>IF(Смета!A568="Прайс",Смета!D568)</f>
        <v>0</v>
      </c>
      <c r="E646" s="65" t="b">
        <f>IF(Смета!D568="Прайс",Смета!E568)</f>
        <v>0</v>
      </c>
      <c r="F646" s="65" t="b">
        <f>IF(Смета!E568="Прайс",Смета!F568)</f>
        <v>0</v>
      </c>
      <c r="G646" s="65" t="b">
        <f>IF(Смета!A568="Прайс",Смета!F568)</f>
        <v>0</v>
      </c>
    </row>
    <row r="647" spans="2:7" hidden="1">
      <c r="B647" s="65" t="b">
        <f>IF(Смета!A569="Прайс",Смета!B569)</f>
        <v>0</v>
      </c>
      <c r="C647" s="65" t="b">
        <f>IF(Смета!A569="Прайс",Смета!C569)</f>
        <v>0</v>
      </c>
      <c r="D647" s="65" t="b">
        <f>IF(Смета!A569="Прайс",Смета!D569)</f>
        <v>0</v>
      </c>
      <c r="E647" s="65" t="b">
        <f>IF(Смета!D569="Прайс",Смета!E569)</f>
        <v>0</v>
      </c>
      <c r="F647" s="65" t="b">
        <f>IF(Смета!E569="Прайс",Смета!F569)</f>
        <v>0</v>
      </c>
      <c r="G647" s="65" t="b">
        <f>IF(Смета!A569="Прайс",Смета!F569)</f>
        <v>0</v>
      </c>
    </row>
    <row r="648" spans="2:7" hidden="1">
      <c r="B648" s="65" t="b">
        <f>IF(Смета!A570="Прайс",Смета!B570)</f>
        <v>0</v>
      </c>
      <c r="C648" s="65" t="b">
        <f>IF(Смета!A570="Прайс",Смета!C570)</f>
        <v>0</v>
      </c>
      <c r="D648" s="65" t="b">
        <f>IF(Смета!A570="Прайс",Смета!D570)</f>
        <v>0</v>
      </c>
      <c r="E648" s="65" t="b">
        <f>IF(Смета!D570="Прайс",Смета!E570)</f>
        <v>0</v>
      </c>
      <c r="F648" s="65" t="b">
        <f>IF(Смета!E570="Прайс",Смета!F570)</f>
        <v>0</v>
      </c>
      <c r="G648" s="65" t="b">
        <f>IF(Смета!A570="Прайс",Смета!F570)</f>
        <v>0</v>
      </c>
    </row>
    <row r="649" spans="2:7" hidden="1">
      <c r="B649" s="65" t="b">
        <f>IF(Смета!A571="Прайс",Смета!B571)</f>
        <v>0</v>
      </c>
      <c r="C649" s="65" t="b">
        <f>IF(Смета!A571="Прайс",Смета!C571)</f>
        <v>0</v>
      </c>
      <c r="D649" s="65" t="b">
        <f>IF(Смета!A571="Прайс",Смета!D571)</f>
        <v>0</v>
      </c>
      <c r="E649" s="65" t="b">
        <f>IF(Смета!D571="Прайс",Смета!E571)</f>
        <v>0</v>
      </c>
      <c r="F649" s="65" t="b">
        <f>IF(Смета!E571="Прайс",Смета!F571)</f>
        <v>0</v>
      </c>
      <c r="G649" s="65" t="b">
        <f>IF(Смета!A571="Прайс",Смета!F571)</f>
        <v>0</v>
      </c>
    </row>
    <row r="650" spans="2:7" hidden="1">
      <c r="B650" s="65" t="b">
        <f>IF(Смета!A572="Прайс",Смета!B572)</f>
        <v>0</v>
      </c>
      <c r="C650" s="65" t="b">
        <f>IF(Смета!A572="Прайс",Смета!C572)</f>
        <v>0</v>
      </c>
      <c r="D650" s="65" t="b">
        <f>IF(Смета!A572="Прайс",Смета!D572)</f>
        <v>0</v>
      </c>
      <c r="E650" s="65" t="b">
        <f>IF(Смета!D572="Прайс",Смета!E572)</f>
        <v>0</v>
      </c>
      <c r="F650" s="65" t="b">
        <f>IF(Смета!E572="Прайс",Смета!F572)</f>
        <v>0</v>
      </c>
      <c r="G650" s="65" t="b">
        <f>IF(Смета!A572="Прайс",Смета!F572)</f>
        <v>0</v>
      </c>
    </row>
    <row r="651" spans="2:7" hidden="1">
      <c r="B651" s="65" t="b">
        <f>IF(Смета!A573="Прайс",Смета!B573)</f>
        <v>0</v>
      </c>
      <c r="C651" s="65" t="b">
        <f>IF(Смета!A573="Прайс",Смета!C573)</f>
        <v>0</v>
      </c>
      <c r="D651" s="65" t="b">
        <f>IF(Смета!A573="Прайс",Смета!D573)</f>
        <v>0</v>
      </c>
      <c r="E651" s="65" t="b">
        <f>IF(Смета!D573="Прайс",Смета!E573)</f>
        <v>0</v>
      </c>
      <c r="F651" s="65" t="b">
        <f>IF(Смета!E573="Прайс",Смета!F573)</f>
        <v>0</v>
      </c>
      <c r="G651" s="65" t="b">
        <f>IF(Смета!A573="Прайс",Смета!F573)</f>
        <v>0</v>
      </c>
    </row>
    <row r="652" spans="2:7" hidden="1">
      <c r="B652" s="65" t="b">
        <f>IF(Смета!A574="Прайс",Смета!B574)</f>
        <v>0</v>
      </c>
      <c r="C652" s="65" t="b">
        <f>IF(Смета!A574="Прайс",Смета!C574)</f>
        <v>0</v>
      </c>
      <c r="D652" s="65" t="b">
        <f>IF(Смета!A574="Прайс",Смета!D574)</f>
        <v>0</v>
      </c>
      <c r="E652" s="65" t="b">
        <f>IF(Смета!D574="Прайс",Смета!E574)</f>
        <v>0</v>
      </c>
      <c r="F652" s="65" t="b">
        <f>IF(Смета!E574="Прайс",Смета!F574)</f>
        <v>0</v>
      </c>
      <c r="G652" s="65" t="b">
        <f>IF(Смета!A574="Прайс",Смета!F574)</f>
        <v>0</v>
      </c>
    </row>
    <row r="653" spans="2:7" hidden="1">
      <c r="B653" s="65" t="b">
        <f>IF(Смета!A575="Прайс",Смета!B575)</f>
        <v>0</v>
      </c>
      <c r="C653" s="65" t="b">
        <f>IF(Смета!A575="Прайс",Смета!C575)</f>
        <v>0</v>
      </c>
      <c r="D653" s="65" t="b">
        <f>IF(Смета!A575="Прайс",Смета!D575)</f>
        <v>0</v>
      </c>
      <c r="E653" s="65" t="b">
        <f>IF(Смета!D575="Прайс",Смета!E575)</f>
        <v>0</v>
      </c>
      <c r="F653" s="65" t="b">
        <f>IF(Смета!E575="Прайс",Смета!F575)</f>
        <v>0</v>
      </c>
      <c r="G653" s="65" t="b">
        <f>IF(Смета!A575="Прайс",Смета!F575)</f>
        <v>0</v>
      </c>
    </row>
    <row r="654" spans="2:7" hidden="1">
      <c r="B654" s="65" t="b">
        <f>IF(Смета!A576="Прайс",Смета!B576)</f>
        <v>0</v>
      </c>
      <c r="C654" s="65" t="b">
        <f>IF(Смета!A576="Прайс",Смета!C576)</f>
        <v>0</v>
      </c>
      <c r="D654" s="65" t="b">
        <f>IF(Смета!A576="Прайс",Смета!D576)</f>
        <v>0</v>
      </c>
      <c r="E654" s="65" t="b">
        <f>IF(Смета!D576="Прайс",Смета!E576)</f>
        <v>0</v>
      </c>
      <c r="F654" s="65" t="b">
        <f>IF(Смета!E576="Прайс",Смета!F576)</f>
        <v>0</v>
      </c>
      <c r="G654" s="65" t="b">
        <f>IF(Смета!A576="Прайс",Смета!F576)</f>
        <v>0</v>
      </c>
    </row>
    <row r="655" spans="2:7" hidden="1">
      <c r="B655" s="65" t="b">
        <f>IF(Смета!A577="Прайс",Смета!B577)</f>
        <v>0</v>
      </c>
      <c r="C655" s="65" t="b">
        <f>IF(Смета!A577="Прайс",Смета!C577)</f>
        <v>0</v>
      </c>
      <c r="D655" s="65" t="b">
        <f>IF(Смета!A577="Прайс",Смета!D577)</f>
        <v>0</v>
      </c>
      <c r="E655" s="65" t="b">
        <f>IF(Смета!D577="Прайс",Смета!E577)</f>
        <v>0</v>
      </c>
      <c r="F655" s="65" t="b">
        <f>IF(Смета!E577="Прайс",Смета!F577)</f>
        <v>0</v>
      </c>
      <c r="G655" s="65" t="b">
        <f>IF(Смета!A577="Прайс",Смета!F577)</f>
        <v>0</v>
      </c>
    </row>
    <row r="656" spans="2:7" hidden="1">
      <c r="B656" s="65" t="b">
        <f>IF(Смета!A578="Прайс",Смета!B578)</f>
        <v>0</v>
      </c>
      <c r="C656" s="65" t="b">
        <f>IF(Смета!A578="Прайс",Смета!C578)</f>
        <v>0</v>
      </c>
      <c r="D656" s="65" t="b">
        <f>IF(Смета!A578="Прайс",Смета!D578)</f>
        <v>0</v>
      </c>
      <c r="E656" s="65" t="b">
        <f>IF(Смета!D578="Прайс",Смета!E578)</f>
        <v>0</v>
      </c>
      <c r="F656" s="65" t="b">
        <f>IF(Смета!E578="Прайс",Смета!F578)</f>
        <v>0</v>
      </c>
      <c r="G656" s="65" t="b">
        <f>IF(Смета!A578="Прайс",Смета!F578)</f>
        <v>0</v>
      </c>
    </row>
    <row r="657" spans="2:7" hidden="1">
      <c r="B657" s="65" t="b">
        <f>IF(Смета!A579="Прайс",Смета!B579)</f>
        <v>0</v>
      </c>
      <c r="C657" s="65" t="b">
        <f>IF(Смета!A579="Прайс",Смета!C579)</f>
        <v>0</v>
      </c>
      <c r="D657" s="65" t="b">
        <f>IF(Смета!A579="Прайс",Смета!D579)</f>
        <v>0</v>
      </c>
      <c r="E657" s="65" t="b">
        <f>IF(Смета!D579="Прайс",Смета!E579)</f>
        <v>0</v>
      </c>
      <c r="F657" s="65" t="b">
        <f>IF(Смета!E579="Прайс",Смета!F579)</f>
        <v>0</v>
      </c>
      <c r="G657" s="65" t="b">
        <f>IF(Смета!A579="Прайс",Смета!F579)</f>
        <v>0</v>
      </c>
    </row>
    <row r="658" spans="2:7" hidden="1">
      <c r="B658" s="65" t="b">
        <f>IF(Смета!A580="Прайс",Смета!B580)</f>
        <v>0</v>
      </c>
      <c r="C658" s="65" t="b">
        <f>IF(Смета!A580="Прайс",Смета!C580)</f>
        <v>0</v>
      </c>
      <c r="D658" s="65" t="b">
        <f>IF(Смета!A580="Прайс",Смета!D580)</f>
        <v>0</v>
      </c>
      <c r="E658" s="65" t="b">
        <f>IF(Смета!D580="Прайс",Смета!E580)</f>
        <v>0</v>
      </c>
      <c r="F658" s="65" t="b">
        <f>IF(Смета!E580="Прайс",Смета!F580)</f>
        <v>0</v>
      </c>
      <c r="G658" s="65" t="b">
        <f>IF(Смета!A580="Прайс",Смета!F580)</f>
        <v>0</v>
      </c>
    </row>
    <row r="659" spans="2:7" hidden="1">
      <c r="B659" s="65" t="b">
        <f>IF(Смета!A581="Прайс",Смета!B581)</f>
        <v>0</v>
      </c>
      <c r="C659" s="65" t="b">
        <f>IF(Смета!A581="Прайс",Смета!C581)</f>
        <v>0</v>
      </c>
      <c r="D659" s="65" t="b">
        <f>IF(Смета!A581="Прайс",Смета!D581)</f>
        <v>0</v>
      </c>
      <c r="E659" s="65" t="b">
        <f>IF(Смета!D581="Прайс",Смета!E581)</f>
        <v>0</v>
      </c>
      <c r="F659" s="65" t="b">
        <f>IF(Смета!E581="Прайс",Смета!F581)</f>
        <v>0</v>
      </c>
      <c r="G659" s="65" t="b">
        <f>IF(Смета!A581="Прайс",Смета!F581)</f>
        <v>0</v>
      </c>
    </row>
    <row r="660" spans="2:7" hidden="1">
      <c r="B660" s="65" t="b">
        <f>IF(Смета!A582="Прайс",Смета!B582)</f>
        <v>0</v>
      </c>
      <c r="C660" s="65" t="b">
        <f>IF(Смета!A582="Прайс",Смета!C582)</f>
        <v>0</v>
      </c>
      <c r="D660" s="65" t="b">
        <f>IF(Смета!A582="Прайс",Смета!D582)</f>
        <v>0</v>
      </c>
      <c r="E660" s="65" t="b">
        <f>IF(Смета!D582="Прайс",Смета!E582)</f>
        <v>0</v>
      </c>
      <c r="F660" s="65" t="b">
        <f>IF(Смета!E582="Прайс",Смета!F582)</f>
        <v>0</v>
      </c>
      <c r="G660" s="65" t="b">
        <f>IF(Смета!A582="Прайс",Смета!F582)</f>
        <v>0</v>
      </c>
    </row>
    <row r="661" spans="2:7" hidden="1">
      <c r="B661" s="65" t="b">
        <f>IF(Смета!A583="Прайс",Смета!B583)</f>
        <v>0</v>
      </c>
      <c r="C661" s="65" t="b">
        <f>IF(Смета!A583="Прайс",Смета!C583)</f>
        <v>0</v>
      </c>
      <c r="D661" s="65" t="b">
        <f>IF(Смета!A583="Прайс",Смета!D583)</f>
        <v>0</v>
      </c>
      <c r="E661" s="65" t="b">
        <f>IF(Смета!D583="Прайс",Смета!E583)</f>
        <v>0</v>
      </c>
      <c r="F661" s="65" t="b">
        <f>IF(Смета!E583="Прайс",Смета!F583)</f>
        <v>0</v>
      </c>
      <c r="G661" s="65" t="b">
        <f>IF(Смета!A583="Прайс",Смета!F583)</f>
        <v>0</v>
      </c>
    </row>
    <row r="662" spans="2:7" hidden="1">
      <c r="B662" s="65" t="b">
        <f>IF(Смета!A584="Прайс",Смета!B584)</f>
        <v>0</v>
      </c>
      <c r="C662" s="65" t="b">
        <f>IF(Смета!A584="Прайс",Смета!C584)</f>
        <v>0</v>
      </c>
      <c r="D662" s="65" t="b">
        <f>IF(Смета!A584="Прайс",Смета!D584)</f>
        <v>0</v>
      </c>
      <c r="E662" s="65" t="b">
        <f>IF(Смета!D584="Прайс",Смета!E584)</f>
        <v>0</v>
      </c>
      <c r="F662" s="65" t="b">
        <f>IF(Смета!E584="Прайс",Смета!F584)</f>
        <v>0</v>
      </c>
      <c r="G662" s="65" t="b">
        <f>IF(Смета!A584="Прайс",Смета!F584)</f>
        <v>0</v>
      </c>
    </row>
    <row r="663" spans="2:7" hidden="1">
      <c r="B663" s="65" t="b">
        <f>IF(Смета!A585="Прайс",Смета!B585)</f>
        <v>0</v>
      </c>
      <c r="C663" s="65" t="b">
        <f>IF(Смета!A585="Прайс",Смета!C585)</f>
        <v>0</v>
      </c>
      <c r="D663" s="65" t="b">
        <f>IF(Смета!A585="Прайс",Смета!D585)</f>
        <v>0</v>
      </c>
      <c r="E663" s="65" t="b">
        <f>IF(Смета!D585="Прайс",Смета!E585)</f>
        <v>0</v>
      </c>
      <c r="F663" s="65" t="b">
        <f>IF(Смета!E585="Прайс",Смета!F585)</f>
        <v>0</v>
      </c>
      <c r="G663" s="65" t="b">
        <f>IF(Смета!A585="Прайс",Смета!F585)</f>
        <v>0</v>
      </c>
    </row>
    <row r="664" spans="2:7" hidden="1">
      <c r="B664" s="65" t="b">
        <f>IF(Смета!A586="Прайс",Смета!B586)</f>
        <v>0</v>
      </c>
      <c r="C664" s="65" t="b">
        <f>IF(Смета!A586="Прайс",Смета!C586)</f>
        <v>0</v>
      </c>
      <c r="D664" s="65" t="b">
        <f>IF(Смета!A586="Прайс",Смета!D586)</f>
        <v>0</v>
      </c>
      <c r="E664" s="65" t="b">
        <f>IF(Смета!D586="Прайс",Смета!E586)</f>
        <v>0</v>
      </c>
      <c r="F664" s="65" t="b">
        <f>IF(Смета!E586="Прайс",Смета!F586)</f>
        <v>0</v>
      </c>
      <c r="G664" s="65" t="b">
        <f>IF(Смета!A586="Прайс",Смета!F586)</f>
        <v>0</v>
      </c>
    </row>
    <row r="665" spans="2:7" hidden="1">
      <c r="B665" s="65" t="b">
        <f>IF(Смета!A587="Прайс",Смета!B587)</f>
        <v>0</v>
      </c>
      <c r="C665" s="65" t="b">
        <f>IF(Смета!A587="Прайс",Смета!C587)</f>
        <v>0</v>
      </c>
      <c r="D665" s="65" t="b">
        <f>IF(Смета!A587="Прайс",Смета!D587)</f>
        <v>0</v>
      </c>
      <c r="E665" s="65" t="b">
        <f>IF(Смета!D587="Прайс",Смета!E587)</f>
        <v>0</v>
      </c>
      <c r="F665" s="65" t="b">
        <f>IF(Смета!E587="Прайс",Смета!F587)</f>
        <v>0</v>
      </c>
      <c r="G665" s="65" t="b">
        <f>IF(Смета!A587="Прайс",Смета!F587)</f>
        <v>0</v>
      </c>
    </row>
    <row r="666" spans="2:7" hidden="1">
      <c r="B666" s="65" t="b">
        <f>IF(Смета!A588="Прайс",Смета!B588)</f>
        <v>0</v>
      </c>
      <c r="C666" s="65" t="b">
        <f>IF(Смета!A588="Прайс",Смета!C588)</f>
        <v>0</v>
      </c>
      <c r="D666" s="65" t="b">
        <f>IF(Смета!A588="Прайс",Смета!D588)</f>
        <v>0</v>
      </c>
      <c r="E666" s="65" t="b">
        <f>IF(Смета!D588="Прайс",Смета!E588)</f>
        <v>0</v>
      </c>
      <c r="F666" s="65" t="b">
        <f>IF(Смета!E588="Прайс",Смета!F588)</f>
        <v>0</v>
      </c>
      <c r="G666" s="65" t="b">
        <f>IF(Смета!A588="Прайс",Смета!F588)</f>
        <v>0</v>
      </c>
    </row>
    <row r="667" spans="2:7" hidden="1">
      <c r="B667" s="65" t="b">
        <f>IF(Смета!A589="Прайс",Смета!B589)</f>
        <v>0</v>
      </c>
      <c r="C667" s="65" t="b">
        <f>IF(Смета!A589="Прайс",Смета!C589)</f>
        <v>0</v>
      </c>
      <c r="D667" s="65" t="b">
        <f>IF(Смета!A589="Прайс",Смета!D589)</f>
        <v>0</v>
      </c>
      <c r="E667" s="65" t="b">
        <f>IF(Смета!D589="Прайс",Смета!E589)</f>
        <v>0</v>
      </c>
      <c r="F667" s="65" t="b">
        <f>IF(Смета!E589="Прайс",Смета!F589)</f>
        <v>0</v>
      </c>
      <c r="G667" s="65" t="b">
        <f>IF(Смета!A589="Прайс",Смета!F589)</f>
        <v>0</v>
      </c>
    </row>
    <row r="668" spans="2:7" hidden="1">
      <c r="B668" s="65" t="b">
        <f>IF(Смета!A590="Прайс",Смета!B590)</f>
        <v>0</v>
      </c>
      <c r="C668" s="65" t="b">
        <f>IF(Смета!A590="Прайс",Смета!C590)</f>
        <v>0</v>
      </c>
      <c r="D668" s="65" t="b">
        <f>IF(Смета!A590="Прайс",Смета!D590)</f>
        <v>0</v>
      </c>
      <c r="E668" s="65" t="b">
        <f>IF(Смета!D590="Прайс",Смета!E590)</f>
        <v>0</v>
      </c>
      <c r="F668" s="65" t="b">
        <f>IF(Смета!E590="Прайс",Смета!F590)</f>
        <v>0</v>
      </c>
      <c r="G668" s="65" t="b">
        <f>IF(Смета!A590="Прайс",Смета!F590)</f>
        <v>0</v>
      </c>
    </row>
    <row r="669" spans="2:7" hidden="1">
      <c r="B669" s="65" t="b">
        <f>IF(Смета!A591="Прайс",Смета!B591)</f>
        <v>0</v>
      </c>
      <c r="C669" s="65" t="b">
        <f>IF(Смета!A591="Прайс",Смета!C591)</f>
        <v>0</v>
      </c>
      <c r="D669" s="65" t="b">
        <f>IF(Смета!A591="Прайс",Смета!D591)</f>
        <v>0</v>
      </c>
      <c r="E669" s="65" t="b">
        <f>IF(Смета!D591="Прайс",Смета!E591)</f>
        <v>0</v>
      </c>
      <c r="F669" s="65" t="b">
        <f>IF(Смета!E591="Прайс",Смета!F591)</f>
        <v>0</v>
      </c>
      <c r="G669" s="65" t="b">
        <f>IF(Смета!A591="Прайс",Смета!F591)</f>
        <v>0</v>
      </c>
    </row>
    <row r="670" spans="2:7" hidden="1">
      <c r="B670" s="65" t="b">
        <f>IF(Смета!A592="Прайс",Смета!B592)</f>
        <v>0</v>
      </c>
      <c r="C670" s="65" t="b">
        <f>IF(Смета!A592="Прайс",Смета!C592)</f>
        <v>0</v>
      </c>
      <c r="D670" s="65" t="b">
        <f>IF(Смета!A592="Прайс",Смета!D592)</f>
        <v>0</v>
      </c>
      <c r="E670" s="65" t="b">
        <f>IF(Смета!D592="Прайс",Смета!E592)</f>
        <v>0</v>
      </c>
      <c r="F670" s="65" t="b">
        <f>IF(Смета!E592="Прайс",Смета!F592)</f>
        <v>0</v>
      </c>
      <c r="G670" s="65" t="b">
        <f>IF(Смета!A592="Прайс",Смета!F592)</f>
        <v>0</v>
      </c>
    </row>
    <row r="671" spans="2:7" hidden="1">
      <c r="B671" s="65" t="b">
        <f>IF(Смета!A593="Прайс",Смета!B593)</f>
        <v>0</v>
      </c>
      <c r="C671" s="65" t="b">
        <f>IF(Смета!A593="Прайс",Смета!C593)</f>
        <v>0</v>
      </c>
      <c r="D671" s="65" t="b">
        <f>IF(Смета!A593="Прайс",Смета!D593)</f>
        <v>0</v>
      </c>
      <c r="E671" s="65" t="b">
        <f>IF(Смета!D593="Прайс",Смета!E593)</f>
        <v>0</v>
      </c>
      <c r="F671" s="65" t="b">
        <f>IF(Смета!E593="Прайс",Смета!F593)</f>
        <v>0</v>
      </c>
      <c r="G671" s="65" t="b">
        <f>IF(Смета!A593="Прайс",Смета!F593)</f>
        <v>0</v>
      </c>
    </row>
    <row r="672" spans="2:7" hidden="1">
      <c r="B672" s="65" t="b">
        <f>IF(Смета!A594="Прайс",Смета!B594)</f>
        <v>0</v>
      </c>
      <c r="C672" s="65" t="b">
        <f>IF(Смета!A594="Прайс",Смета!C594)</f>
        <v>0</v>
      </c>
      <c r="D672" s="65" t="b">
        <f>IF(Смета!A594="Прайс",Смета!D594)</f>
        <v>0</v>
      </c>
      <c r="E672" s="65" t="b">
        <f>IF(Смета!D594="Прайс",Смета!E594)</f>
        <v>0</v>
      </c>
      <c r="F672" s="65" t="b">
        <f>IF(Смета!E594="Прайс",Смета!F594)</f>
        <v>0</v>
      </c>
      <c r="G672" s="65" t="b">
        <f>IF(Смета!A594="Прайс",Смета!F594)</f>
        <v>0</v>
      </c>
    </row>
    <row r="673" spans="2:7" hidden="1">
      <c r="B673" s="65" t="b">
        <f>IF(Смета!A595="Прайс",Смета!B595)</f>
        <v>0</v>
      </c>
      <c r="C673" s="65" t="b">
        <f>IF(Смета!A595="Прайс",Смета!C595)</f>
        <v>0</v>
      </c>
      <c r="D673" s="65" t="b">
        <f>IF(Смета!A595="Прайс",Смета!D595)</f>
        <v>0</v>
      </c>
      <c r="E673" s="65" t="b">
        <f>IF(Смета!D595="Прайс",Смета!E595)</f>
        <v>0</v>
      </c>
      <c r="F673" s="65" t="b">
        <f>IF(Смета!E595="Прайс",Смета!F595)</f>
        <v>0</v>
      </c>
      <c r="G673" s="65" t="b">
        <f>IF(Смета!A595="Прайс",Смета!F595)</f>
        <v>0</v>
      </c>
    </row>
    <row r="674" spans="2:7" hidden="1">
      <c r="B674" s="65" t="b">
        <f>IF(Смета!A596="Прайс",Смета!B596)</f>
        <v>0</v>
      </c>
      <c r="C674" s="65" t="b">
        <f>IF(Смета!A596="Прайс",Смета!C596)</f>
        <v>0</v>
      </c>
      <c r="D674" s="65" t="b">
        <f>IF(Смета!A596="Прайс",Смета!D596)</f>
        <v>0</v>
      </c>
      <c r="E674" s="65" t="b">
        <f>IF(Смета!D596="Прайс",Смета!E596)</f>
        <v>0</v>
      </c>
      <c r="F674" s="65" t="b">
        <f>IF(Смета!E596="Прайс",Смета!F596)</f>
        <v>0</v>
      </c>
      <c r="G674" s="65" t="b">
        <f>IF(Смета!A596="Прайс",Смета!F596)</f>
        <v>0</v>
      </c>
    </row>
    <row r="675" spans="2:7" hidden="1">
      <c r="B675" s="65" t="b">
        <f>IF(Смета!A597="Прайс",Смета!B597)</f>
        <v>0</v>
      </c>
      <c r="C675" s="65" t="b">
        <f>IF(Смета!A597="Прайс",Смета!C597)</f>
        <v>0</v>
      </c>
      <c r="D675" s="65" t="b">
        <f>IF(Смета!A597="Прайс",Смета!D597)</f>
        <v>0</v>
      </c>
      <c r="E675" s="65" t="b">
        <f>IF(Смета!D597="Прайс",Смета!E597)</f>
        <v>0</v>
      </c>
      <c r="F675" s="65" t="b">
        <f>IF(Смета!E597="Прайс",Смета!F597)</f>
        <v>0</v>
      </c>
      <c r="G675" s="65" t="b">
        <f>IF(Смета!A597="Прайс",Смета!F597)</f>
        <v>0</v>
      </c>
    </row>
    <row r="676" spans="2:7" hidden="1">
      <c r="B676" s="65" t="b">
        <f>IF(Смета!A598="Прайс",Смета!B598)</f>
        <v>0</v>
      </c>
      <c r="C676" s="65" t="b">
        <f>IF(Смета!A598="Прайс",Смета!C598)</f>
        <v>0</v>
      </c>
      <c r="D676" s="65" t="b">
        <f>IF(Смета!A598="Прайс",Смета!D598)</f>
        <v>0</v>
      </c>
      <c r="E676" s="65" t="b">
        <f>IF(Смета!D598="Прайс",Смета!E598)</f>
        <v>0</v>
      </c>
      <c r="F676" s="65" t="b">
        <f>IF(Смета!E598="Прайс",Смета!F598)</f>
        <v>0</v>
      </c>
      <c r="G676" s="65" t="b">
        <f>IF(Смета!A598="Прайс",Смета!F598)</f>
        <v>0</v>
      </c>
    </row>
    <row r="677" spans="2:7" hidden="1">
      <c r="B677" s="65" t="b">
        <f>IF(Смета!A599="Прайс",Смета!B599)</f>
        <v>0</v>
      </c>
      <c r="C677" s="65" t="b">
        <f>IF(Смета!A599="Прайс",Смета!C599)</f>
        <v>0</v>
      </c>
      <c r="D677" s="65" t="b">
        <f>IF(Смета!A599="Прайс",Смета!D599)</f>
        <v>0</v>
      </c>
      <c r="E677" s="65" t="b">
        <f>IF(Смета!D599="Прайс",Смета!E599)</f>
        <v>0</v>
      </c>
      <c r="F677" s="65" t="b">
        <f>IF(Смета!E599="Прайс",Смета!F599)</f>
        <v>0</v>
      </c>
      <c r="G677" s="65" t="b">
        <f>IF(Смета!A599="Прайс",Смета!F599)</f>
        <v>0</v>
      </c>
    </row>
    <row r="678" spans="2:7" hidden="1">
      <c r="B678" s="65" t="b">
        <f>IF(Смета!A600="Прайс",Смета!B600)</f>
        <v>0</v>
      </c>
      <c r="C678" s="65" t="b">
        <f>IF(Смета!A600="Прайс",Смета!C600)</f>
        <v>0</v>
      </c>
      <c r="D678" s="65" t="b">
        <f>IF(Смета!A600="Прайс",Смета!D600)</f>
        <v>0</v>
      </c>
      <c r="E678" s="65" t="b">
        <f>IF(Смета!D600="Прайс",Смета!E600)</f>
        <v>0</v>
      </c>
      <c r="F678" s="65" t="b">
        <f>IF(Смета!E600="Прайс",Смета!F600)</f>
        <v>0</v>
      </c>
      <c r="G678" s="65" t="b">
        <f>IF(Смета!A600="Прайс",Смета!F600)</f>
        <v>0</v>
      </c>
    </row>
    <row r="679" spans="2:7" hidden="1">
      <c r="B679" s="65" t="b">
        <f>IF(Смета!A601="Прайс",Смета!B601)</f>
        <v>0</v>
      </c>
      <c r="C679" s="65" t="b">
        <f>IF(Смета!A601="Прайс",Смета!C601)</f>
        <v>0</v>
      </c>
      <c r="D679" s="65" t="b">
        <f>IF(Смета!A601="Прайс",Смета!D601)</f>
        <v>0</v>
      </c>
      <c r="E679" s="65" t="b">
        <f>IF(Смета!D601="Прайс",Смета!E601)</f>
        <v>0</v>
      </c>
      <c r="F679" s="65" t="b">
        <f>IF(Смета!E601="Прайс",Смета!F601)</f>
        <v>0</v>
      </c>
      <c r="G679" s="65" t="b">
        <f>IF(Смета!A601="Прайс",Смета!F601)</f>
        <v>0</v>
      </c>
    </row>
    <row r="680" spans="2:7" hidden="1">
      <c r="B680" s="65" t="b">
        <f>IF(Смета!A602="Прайс",Смета!B602)</f>
        <v>0</v>
      </c>
      <c r="C680" s="65" t="b">
        <f>IF(Смета!A602="Прайс",Смета!C602)</f>
        <v>0</v>
      </c>
      <c r="D680" s="65" t="b">
        <f>IF(Смета!A602="Прайс",Смета!D602)</f>
        <v>0</v>
      </c>
      <c r="E680" s="65" t="b">
        <f>IF(Смета!D602="Прайс",Смета!E602)</f>
        <v>0</v>
      </c>
      <c r="F680" s="65" t="b">
        <f>IF(Смета!E602="Прайс",Смета!F602)</f>
        <v>0</v>
      </c>
      <c r="G680" s="65" t="b">
        <f>IF(Смета!A602="Прайс",Смета!F602)</f>
        <v>0</v>
      </c>
    </row>
    <row r="681" spans="2:7" hidden="1">
      <c r="B681" s="65" t="b">
        <f>IF(Смета!A603="Прайс",Смета!B603)</f>
        <v>0</v>
      </c>
      <c r="C681" s="65" t="b">
        <f>IF(Смета!A603="Прайс",Смета!C603)</f>
        <v>0</v>
      </c>
      <c r="D681" s="65" t="b">
        <f>IF(Смета!A603="Прайс",Смета!D603)</f>
        <v>0</v>
      </c>
      <c r="E681" s="65" t="b">
        <f>IF(Смета!D603="Прайс",Смета!E603)</f>
        <v>0</v>
      </c>
      <c r="F681" s="65" t="b">
        <f>IF(Смета!E603="Прайс",Смета!F603)</f>
        <v>0</v>
      </c>
      <c r="G681" s="65" t="b">
        <f>IF(Смета!A603="Прайс",Смета!F603)</f>
        <v>0</v>
      </c>
    </row>
    <row r="682" spans="2:7" hidden="1">
      <c r="B682" s="65" t="b">
        <f>IF(Смета!A604="Прайс",Смета!B604)</f>
        <v>0</v>
      </c>
      <c r="C682" s="65" t="b">
        <f>IF(Смета!A604="Прайс",Смета!C604)</f>
        <v>0</v>
      </c>
      <c r="D682" s="65" t="b">
        <f>IF(Смета!A604="Прайс",Смета!D604)</f>
        <v>0</v>
      </c>
      <c r="E682" s="65" t="b">
        <f>IF(Смета!D604="Прайс",Смета!E604)</f>
        <v>0</v>
      </c>
      <c r="F682" s="65" t="b">
        <f>IF(Смета!E604="Прайс",Смета!F604)</f>
        <v>0</v>
      </c>
      <c r="G682" s="65" t="b">
        <f>IF(Смета!A604="Прайс",Смета!F604)</f>
        <v>0</v>
      </c>
    </row>
    <row r="683" spans="2:7" hidden="1">
      <c r="B683" s="65" t="b">
        <f>IF(Смета!A605="Прайс",Смета!B605)</f>
        <v>0</v>
      </c>
      <c r="C683" s="65" t="b">
        <f>IF(Смета!A605="Прайс",Смета!C605)</f>
        <v>0</v>
      </c>
      <c r="D683" s="65" t="b">
        <f>IF(Смета!A605="Прайс",Смета!D605)</f>
        <v>0</v>
      </c>
      <c r="E683" s="65" t="b">
        <f>IF(Смета!D605="Прайс",Смета!E605)</f>
        <v>0</v>
      </c>
      <c r="F683" s="65" t="b">
        <f>IF(Смета!E605="Прайс",Смета!F605)</f>
        <v>0</v>
      </c>
      <c r="G683" s="65" t="b">
        <f>IF(Смета!A605="Прайс",Смета!F605)</f>
        <v>0</v>
      </c>
    </row>
    <row r="684" spans="2:7" hidden="1">
      <c r="B684" s="65" t="b">
        <f>IF(Смета!A606="Прайс",Смета!B606)</f>
        <v>0</v>
      </c>
      <c r="C684" s="65" t="b">
        <f>IF(Смета!A606="Прайс",Смета!C606)</f>
        <v>0</v>
      </c>
      <c r="D684" s="65" t="b">
        <f>IF(Смета!A606="Прайс",Смета!D606)</f>
        <v>0</v>
      </c>
      <c r="E684" s="65" t="b">
        <f>IF(Смета!D606="Прайс",Смета!E606)</f>
        <v>0</v>
      </c>
      <c r="F684" s="65" t="b">
        <f>IF(Смета!E606="Прайс",Смета!F606)</f>
        <v>0</v>
      </c>
      <c r="G684" s="65" t="b">
        <f>IF(Смета!A606="Прайс",Смета!F606)</f>
        <v>0</v>
      </c>
    </row>
    <row r="685" spans="2:7" hidden="1">
      <c r="B685" s="65" t="b">
        <f>IF(Смета!A607="Прайс",Смета!B607)</f>
        <v>0</v>
      </c>
      <c r="C685" s="65" t="b">
        <f>IF(Смета!A607="Прайс",Смета!C607)</f>
        <v>0</v>
      </c>
      <c r="D685" s="65" t="b">
        <f>IF(Смета!A607="Прайс",Смета!D607)</f>
        <v>0</v>
      </c>
      <c r="E685" s="65" t="b">
        <f>IF(Смета!D607="Прайс",Смета!E607)</f>
        <v>0</v>
      </c>
      <c r="F685" s="65" t="b">
        <f>IF(Смета!E607="Прайс",Смета!F607)</f>
        <v>0</v>
      </c>
      <c r="G685" s="65" t="b">
        <f>IF(Смета!A607="Прайс",Смета!F607)</f>
        <v>0</v>
      </c>
    </row>
    <row r="686" spans="2:7" hidden="1">
      <c r="B686" s="65" t="b">
        <f>IF(Смета!A608="Прайс",Смета!B608)</f>
        <v>0</v>
      </c>
      <c r="C686" s="65" t="b">
        <f>IF(Смета!A608="Прайс",Смета!C608)</f>
        <v>0</v>
      </c>
      <c r="D686" s="65" t="b">
        <f>IF(Смета!A608="Прайс",Смета!D608)</f>
        <v>0</v>
      </c>
      <c r="E686" s="65" t="b">
        <f>IF(Смета!D608="Прайс",Смета!E608)</f>
        <v>0</v>
      </c>
      <c r="F686" s="65" t="b">
        <f>IF(Смета!E608="Прайс",Смета!F608)</f>
        <v>0</v>
      </c>
      <c r="G686" s="65" t="b">
        <f>IF(Смета!A608="Прайс",Смета!F608)</f>
        <v>0</v>
      </c>
    </row>
    <row r="687" spans="2:7" hidden="1">
      <c r="B687" s="65" t="b">
        <f>IF(Смета!A609="Прайс",Смета!B609)</f>
        <v>0</v>
      </c>
      <c r="C687" s="65" t="b">
        <f>IF(Смета!A609="Прайс",Смета!C609)</f>
        <v>0</v>
      </c>
      <c r="D687" s="65" t="b">
        <f>IF(Смета!A609="Прайс",Смета!D609)</f>
        <v>0</v>
      </c>
      <c r="E687" s="65" t="b">
        <f>IF(Смета!D609="Прайс",Смета!E609)</f>
        <v>0</v>
      </c>
      <c r="F687" s="65" t="b">
        <f>IF(Смета!E609="Прайс",Смета!F609)</f>
        <v>0</v>
      </c>
      <c r="G687" s="65" t="b">
        <f>IF(Смета!A609="Прайс",Смета!F609)</f>
        <v>0</v>
      </c>
    </row>
    <row r="688" spans="2:7" hidden="1">
      <c r="B688" s="65" t="b">
        <f>IF(Смета!A610="Прайс",Смета!B610)</f>
        <v>0</v>
      </c>
      <c r="C688" s="65" t="b">
        <f>IF(Смета!A610="Прайс",Смета!C610)</f>
        <v>0</v>
      </c>
      <c r="D688" s="65" t="b">
        <f>IF(Смета!A610="Прайс",Смета!D610)</f>
        <v>0</v>
      </c>
      <c r="E688" s="65" t="b">
        <f>IF(Смета!D610="Прайс",Смета!E610)</f>
        <v>0</v>
      </c>
      <c r="F688" s="65" t="b">
        <f>IF(Смета!E610="Прайс",Смета!F610)</f>
        <v>0</v>
      </c>
      <c r="G688" s="65" t="b">
        <f>IF(Смета!A610="Прайс",Смета!F610)</f>
        <v>0</v>
      </c>
    </row>
    <row r="689" spans="2:7" hidden="1">
      <c r="B689" s="65" t="b">
        <f>IF(Смета!A611="Прайс",Смета!B611)</f>
        <v>0</v>
      </c>
      <c r="C689" s="65" t="b">
        <f>IF(Смета!A611="Прайс",Смета!C611)</f>
        <v>0</v>
      </c>
      <c r="D689" s="65" t="b">
        <f>IF(Смета!A611="Прайс",Смета!D611)</f>
        <v>0</v>
      </c>
      <c r="E689" s="65" t="b">
        <f>IF(Смета!D611="Прайс",Смета!E611)</f>
        <v>0</v>
      </c>
      <c r="F689" s="65" t="b">
        <f>IF(Смета!E611="Прайс",Смета!F611)</f>
        <v>0</v>
      </c>
      <c r="G689" s="65" t="b">
        <f>IF(Смета!A611="Прайс",Смета!F611)</f>
        <v>0</v>
      </c>
    </row>
    <row r="690" spans="2:7" hidden="1">
      <c r="B690" s="65" t="b">
        <f>IF(Смета!A612="Прайс",Смета!B612)</f>
        <v>0</v>
      </c>
      <c r="C690" s="65" t="b">
        <f>IF(Смета!A612="Прайс",Смета!C612)</f>
        <v>0</v>
      </c>
      <c r="D690" s="65" t="b">
        <f>IF(Смета!A612="Прайс",Смета!D612)</f>
        <v>0</v>
      </c>
      <c r="E690" s="65" t="b">
        <f>IF(Смета!D612="Прайс",Смета!E612)</f>
        <v>0</v>
      </c>
      <c r="F690" s="65" t="b">
        <f>IF(Смета!E612="Прайс",Смета!F612)</f>
        <v>0</v>
      </c>
      <c r="G690" s="65" t="b">
        <f>IF(Смета!A612="Прайс",Смета!F612)</f>
        <v>0</v>
      </c>
    </row>
    <row r="691" spans="2:7" hidden="1">
      <c r="B691" s="65" t="b">
        <f>IF(Смета!A613="Прайс",Смета!B613)</f>
        <v>0</v>
      </c>
      <c r="C691" s="65" t="b">
        <f>IF(Смета!A613="Прайс",Смета!C613)</f>
        <v>0</v>
      </c>
      <c r="D691" s="65" t="b">
        <f>IF(Смета!A613="Прайс",Смета!D613)</f>
        <v>0</v>
      </c>
      <c r="E691" s="65" t="b">
        <f>IF(Смета!D613="Прайс",Смета!E613)</f>
        <v>0</v>
      </c>
      <c r="F691" s="65" t="b">
        <f>IF(Смета!E613="Прайс",Смета!F613)</f>
        <v>0</v>
      </c>
      <c r="G691" s="65" t="b">
        <f>IF(Смета!A613="Прайс",Смета!F613)</f>
        <v>0</v>
      </c>
    </row>
    <row r="692" spans="2:7" hidden="1">
      <c r="B692" s="65" t="b">
        <f>IF(Смета!A614="Прайс",Смета!B614)</f>
        <v>0</v>
      </c>
      <c r="C692" s="65" t="b">
        <f>IF(Смета!A614="Прайс",Смета!C614)</f>
        <v>0</v>
      </c>
      <c r="D692" s="65" t="b">
        <f>IF(Смета!A614="Прайс",Смета!D614)</f>
        <v>0</v>
      </c>
      <c r="E692" s="65" t="b">
        <f>IF(Смета!D614="Прайс",Смета!E614)</f>
        <v>0</v>
      </c>
      <c r="F692" s="65" t="b">
        <f>IF(Смета!E614="Прайс",Смета!F614)</f>
        <v>0</v>
      </c>
      <c r="G692" s="65" t="b">
        <f>IF(Смета!A614="Прайс",Смета!F614)</f>
        <v>0</v>
      </c>
    </row>
    <row r="693" spans="2:7" hidden="1">
      <c r="B693" s="65" t="b">
        <f>IF(Смета!A615="Прайс",Смета!B615)</f>
        <v>0</v>
      </c>
      <c r="C693" s="65" t="b">
        <f>IF(Смета!A615="Прайс",Смета!C615)</f>
        <v>0</v>
      </c>
      <c r="D693" s="65" t="b">
        <f>IF(Смета!A615="Прайс",Смета!D615)</f>
        <v>0</v>
      </c>
      <c r="E693" s="65" t="b">
        <f>IF(Смета!D615="Прайс",Смета!E615)</f>
        <v>0</v>
      </c>
      <c r="F693" s="65" t="b">
        <f>IF(Смета!E615="Прайс",Смета!F615)</f>
        <v>0</v>
      </c>
      <c r="G693" s="65" t="b">
        <f>IF(Смета!A615="Прайс",Смета!F615)</f>
        <v>0</v>
      </c>
    </row>
    <row r="694" spans="2:7" hidden="1">
      <c r="B694" s="65" t="b">
        <f>IF(Смета!A616="Прайс",Смета!B616)</f>
        <v>0</v>
      </c>
      <c r="C694" s="65" t="b">
        <f>IF(Смета!A616="Прайс",Смета!C616)</f>
        <v>0</v>
      </c>
      <c r="D694" s="65" t="b">
        <f>IF(Смета!A616="Прайс",Смета!D616)</f>
        <v>0</v>
      </c>
      <c r="E694" s="65" t="b">
        <f>IF(Смета!D616="Прайс",Смета!E616)</f>
        <v>0</v>
      </c>
      <c r="F694" s="65" t="b">
        <f>IF(Смета!E616="Прайс",Смета!F616)</f>
        <v>0</v>
      </c>
      <c r="G694" s="65" t="b">
        <f>IF(Смета!A616="Прайс",Смета!F616)</f>
        <v>0</v>
      </c>
    </row>
    <row r="695" spans="2:7" hidden="1">
      <c r="B695" s="65" t="b">
        <f>IF(Смета!A617="Прайс",Смета!B617)</f>
        <v>0</v>
      </c>
      <c r="C695" s="65" t="b">
        <f>IF(Смета!A617="Прайс",Смета!C617)</f>
        <v>0</v>
      </c>
      <c r="D695" s="65" t="b">
        <f>IF(Смета!A617="Прайс",Смета!D617)</f>
        <v>0</v>
      </c>
      <c r="E695" s="65" t="b">
        <f>IF(Смета!D617="Прайс",Смета!E617)</f>
        <v>0</v>
      </c>
      <c r="F695" s="65" t="b">
        <f>IF(Смета!E617="Прайс",Смета!F617)</f>
        <v>0</v>
      </c>
      <c r="G695" s="65" t="b">
        <f>IF(Смета!A617="Прайс",Смета!F617)</f>
        <v>0</v>
      </c>
    </row>
    <row r="696" spans="2:7" hidden="1">
      <c r="B696" s="65" t="b">
        <f>IF(Смета!A618="Прайс",Смета!B618)</f>
        <v>0</v>
      </c>
      <c r="C696" s="65" t="b">
        <f>IF(Смета!A618="Прайс",Смета!C618)</f>
        <v>0</v>
      </c>
      <c r="D696" s="65" t="b">
        <f>IF(Смета!A618="Прайс",Смета!D618)</f>
        <v>0</v>
      </c>
      <c r="E696" s="65" t="b">
        <f>IF(Смета!D618="Прайс",Смета!E618)</f>
        <v>0</v>
      </c>
      <c r="F696" s="65" t="b">
        <f>IF(Смета!E618="Прайс",Смета!F618)</f>
        <v>0</v>
      </c>
      <c r="G696" s="65" t="b">
        <f>IF(Смета!A618="Прайс",Смета!F618)</f>
        <v>0</v>
      </c>
    </row>
    <row r="697" spans="2:7" hidden="1">
      <c r="B697" s="65" t="b">
        <f>IF(Смета!A619="Прайс",Смета!B619)</f>
        <v>0</v>
      </c>
      <c r="C697" s="65" t="b">
        <f>IF(Смета!A619="Прайс",Смета!C619)</f>
        <v>0</v>
      </c>
      <c r="D697" s="65" t="b">
        <f>IF(Смета!A619="Прайс",Смета!D619)</f>
        <v>0</v>
      </c>
      <c r="E697" s="65" t="b">
        <f>IF(Смета!D619="Прайс",Смета!E619)</f>
        <v>0</v>
      </c>
      <c r="F697" s="65" t="b">
        <f>IF(Смета!E619="Прайс",Смета!F619)</f>
        <v>0</v>
      </c>
      <c r="G697" s="65" t="b">
        <f>IF(Смета!A619="Прайс",Смета!F619)</f>
        <v>0</v>
      </c>
    </row>
    <row r="698" spans="2:7" hidden="1">
      <c r="B698" s="65" t="b">
        <f>IF(Смета!A620="Прайс",Смета!B620)</f>
        <v>0</v>
      </c>
      <c r="C698" s="65" t="b">
        <f>IF(Смета!A620="Прайс",Смета!C620)</f>
        <v>0</v>
      </c>
      <c r="D698" s="65" t="b">
        <f>IF(Смета!A620="Прайс",Смета!D620)</f>
        <v>0</v>
      </c>
      <c r="E698" s="65" t="b">
        <f>IF(Смета!D620="Прайс",Смета!E620)</f>
        <v>0</v>
      </c>
      <c r="F698" s="65" t="b">
        <f>IF(Смета!E620="Прайс",Смета!F620)</f>
        <v>0</v>
      </c>
      <c r="G698" s="65" t="b">
        <f>IF(Смета!A620="Прайс",Смета!F620)</f>
        <v>0</v>
      </c>
    </row>
    <row r="699" spans="2:7" hidden="1">
      <c r="B699" s="65" t="b">
        <f>IF(Смета!A621="Прайс",Смета!B621)</f>
        <v>0</v>
      </c>
      <c r="C699" s="65" t="b">
        <f>IF(Смета!A621="Прайс",Смета!C621)</f>
        <v>0</v>
      </c>
      <c r="D699" s="65" t="b">
        <f>IF(Смета!A621="Прайс",Смета!D621)</f>
        <v>0</v>
      </c>
      <c r="E699" s="65" t="b">
        <f>IF(Смета!D621="Прайс",Смета!E621)</f>
        <v>0</v>
      </c>
      <c r="F699" s="65" t="b">
        <f>IF(Смета!E621="Прайс",Смета!F621)</f>
        <v>0</v>
      </c>
      <c r="G699" s="65" t="b">
        <f>IF(Смета!A621="Прайс",Смета!F621)</f>
        <v>0</v>
      </c>
    </row>
    <row r="700" spans="2:7" hidden="1">
      <c r="B700" s="65" t="b">
        <f>IF(Смета!A622="Прайс",Смета!B622)</f>
        <v>0</v>
      </c>
      <c r="C700" s="65" t="b">
        <f>IF(Смета!A622="Прайс",Смета!C622)</f>
        <v>0</v>
      </c>
      <c r="D700" s="65" t="b">
        <f>IF(Смета!A622="Прайс",Смета!D622)</f>
        <v>0</v>
      </c>
      <c r="E700" s="65" t="b">
        <f>IF(Смета!D622="Прайс",Смета!E622)</f>
        <v>0</v>
      </c>
      <c r="F700" s="65" t="b">
        <f>IF(Смета!E622="Прайс",Смета!F622)</f>
        <v>0</v>
      </c>
      <c r="G700" s="65" t="b">
        <f>IF(Смета!A622="Прайс",Смета!F622)</f>
        <v>0</v>
      </c>
    </row>
    <row r="701" spans="2:7" hidden="1">
      <c r="B701" s="65" t="b">
        <f>IF(Смета!A623="Прайс",Смета!B623)</f>
        <v>0</v>
      </c>
      <c r="C701" s="65" t="b">
        <f>IF(Смета!A623="Прайс",Смета!C623)</f>
        <v>0</v>
      </c>
      <c r="D701" s="65" t="b">
        <f>IF(Смета!A623="Прайс",Смета!D623)</f>
        <v>0</v>
      </c>
      <c r="E701" s="65" t="b">
        <f>IF(Смета!D623="Прайс",Смета!E623)</f>
        <v>0</v>
      </c>
      <c r="F701" s="65" t="b">
        <f>IF(Смета!E623="Прайс",Смета!F623)</f>
        <v>0</v>
      </c>
      <c r="G701" s="65" t="b">
        <f>IF(Смета!A623="Прайс",Смета!F623)</f>
        <v>0</v>
      </c>
    </row>
    <row r="702" spans="2:7" hidden="1">
      <c r="B702" s="65" t="b">
        <f>IF(Смета!A624="Прайс",Смета!B624)</f>
        <v>0</v>
      </c>
      <c r="C702" s="65" t="b">
        <f>IF(Смета!A624="Прайс",Смета!C624)</f>
        <v>0</v>
      </c>
      <c r="D702" s="65" t="b">
        <f>IF(Смета!A624="Прайс",Смета!D624)</f>
        <v>0</v>
      </c>
      <c r="E702" s="65" t="b">
        <f>IF(Смета!D624="Прайс",Смета!E624)</f>
        <v>0</v>
      </c>
      <c r="F702" s="65" t="b">
        <f>IF(Смета!E624="Прайс",Смета!F624)</f>
        <v>0</v>
      </c>
      <c r="G702" s="65" t="b">
        <f>IF(Смета!A624="Прайс",Смета!F624)</f>
        <v>0</v>
      </c>
    </row>
    <row r="703" spans="2:7" hidden="1">
      <c r="B703" s="65" t="b">
        <f>IF(Смета!A625="Прайс",Смета!B625)</f>
        <v>0</v>
      </c>
      <c r="C703" s="65" t="b">
        <f>IF(Смета!A625="Прайс",Смета!C625)</f>
        <v>0</v>
      </c>
      <c r="D703" s="65" t="b">
        <f>IF(Смета!A625="Прайс",Смета!D625)</f>
        <v>0</v>
      </c>
      <c r="E703" s="65" t="b">
        <f>IF(Смета!D625="Прайс",Смета!E625)</f>
        <v>0</v>
      </c>
      <c r="F703" s="65" t="b">
        <f>IF(Смета!E625="Прайс",Смета!F625)</f>
        <v>0</v>
      </c>
      <c r="G703" s="65" t="b">
        <f>IF(Смета!A625="Прайс",Смета!F625)</f>
        <v>0</v>
      </c>
    </row>
    <row r="704" spans="2:7" hidden="1">
      <c r="B704" s="65" t="b">
        <f>IF(Смета!A626="Прайс",Смета!B626)</f>
        <v>0</v>
      </c>
      <c r="C704" s="65" t="b">
        <f>IF(Смета!A626="Прайс",Смета!C626)</f>
        <v>0</v>
      </c>
      <c r="D704" s="65" t="b">
        <f>IF(Смета!A626="Прайс",Смета!D626)</f>
        <v>0</v>
      </c>
      <c r="E704" s="65" t="b">
        <f>IF(Смета!D626="Прайс",Смета!E626)</f>
        <v>0</v>
      </c>
      <c r="F704" s="65" t="b">
        <f>IF(Смета!E626="Прайс",Смета!F626)</f>
        <v>0</v>
      </c>
      <c r="G704" s="65" t="b">
        <f>IF(Смета!A626="Прайс",Смета!F626)</f>
        <v>0</v>
      </c>
    </row>
    <row r="705" spans="2:7" hidden="1">
      <c r="B705" s="65" t="b">
        <f>IF(Смета!A627="Прайс",Смета!B627)</f>
        <v>0</v>
      </c>
      <c r="C705" s="65" t="b">
        <f>IF(Смета!A627="Прайс",Смета!C627)</f>
        <v>0</v>
      </c>
      <c r="D705" s="65" t="b">
        <f>IF(Смета!A627="Прайс",Смета!D627)</f>
        <v>0</v>
      </c>
      <c r="E705" s="65" t="b">
        <f>IF(Смета!D627="Прайс",Смета!E627)</f>
        <v>0</v>
      </c>
      <c r="F705" s="65" t="b">
        <f>IF(Смета!E627="Прайс",Смета!F627)</f>
        <v>0</v>
      </c>
      <c r="G705" s="65" t="b">
        <f>IF(Смета!A627="Прайс",Смета!F627)</f>
        <v>0</v>
      </c>
    </row>
    <row r="706" spans="2:7" hidden="1">
      <c r="B706" s="65" t="b">
        <f>IF(Смета!A628="Прайс",Смета!B628)</f>
        <v>0</v>
      </c>
      <c r="C706" s="65" t="b">
        <f>IF(Смета!A628="Прайс",Смета!C628)</f>
        <v>0</v>
      </c>
      <c r="D706" s="65" t="b">
        <f>IF(Смета!A628="Прайс",Смета!D628)</f>
        <v>0</v>
      </c>
      <c r="E706" s="65" t="b">
        <f>IF(Смета!D628="Прайс",Смета!E628)</f>
        <v>0</v>
      </c>
      <c r="F706" s="65" t="b">
        <f>IF(Смета!E628="Прайс",Смета!F628)</f>
        <v>0</v>
      </c>
      <c r="G706" s="65" t="b">
        <f>IF(Смета!A628="Прайс",Смета!F628)</f>
        <v>0</v>
      </c>
    </row>
    <row r="707" spans="2:7" hidden="1">
      <c r="B707" s="65" t="b">
        <f>IF(Смета!A629="Прайс",Смета!B629)</f>
        <v>0</v>
      </c>
      <c r="C707" s="65" t="b">
        <f>IF(Смета!A629="Прайс",Смета!C629)</f>
        <v>0</v>
      </c>
      <c r="D707" s="65" t="b">
        <f>IF(Смета!A629="Прайс",Смета!D629)</f>
        <v>0</v>
      </c>
      <c r="E707" s="65" t="b">
        <f>IF(Смета!D629="Прайс",Смета!E629)</f>
        <v>0</v>
      </c>
      <c r="F707" s="65" t="b">
        <f>IF(Смета!E629="Прайс",Смета!F629)</f>
        <v>0</v>
      </c>
      <c r="G707" s="65" t="b">
        <f>IF(Смета!A629="Прайс",Смета!F629)</f>
        <v>0</v>
      </c>
    </row>
    <row r="708" spans="2:7" hidden="1">
      <c r="B708" s="65" t="b">
        <f>IF(Смета!A630="Прайс",Смета!B630)</f>
        <v>0</v>
      </c>
      <c r="C708" s="65" t="b">
        <f>IF(Смета!A630="Прайс",Смета!C630)</f>
        <v>0</v>
      </c>
      <c r="D708" s="65" t="b">
        <f>IF(Смета!A630="Прайс",Смета!D630)</f>
        <v>0</v>
      </c>
      <c r="E708" s="65" t="b">
        <f>IF(Смета!D630="Прайс",Смета!E630)</f>
        <v>0</v>
      </c>
      <c r="F708" s="65" t="b">
        <f>IF(Смета!E630="Прайс",Смета!F630)</f>
        <v>0</v>
      </c>
      <c r="G708" s="65" t="b">
        <f>IF(Смета!A630="Прайс",Смета!F630)</f>
        <v>0</v>
      </c>
    </row>
    <row r="709" spans="2:7" hidden="1">
      <c r="B709" s="65" t="b">
        <f>IF(Смета!A631="Прайс",Смета!B631)</f>
        <v>0</v>
      </c>
      <c r="C709" s="65" t="b">
        <f>IF(Смета!A631="Прайс",Смета!C631)</f>
        <v>0</v>
      </c>
      <c r="D709" s="65" t="b">
        <f>IF(Смета!A631="Прайс",Смета!D631)</f>
        <v>0</v>
      </c>
      <c r="E709" s="65" t="b">
        <f>IF(Смета!D631="Прайс",Смета!E631)</f>
        <v>0</v>
      </c>
      <c r="F709" s="65" t="b">
        <f>IF(Смета!E631="Прайс",Смета!F631)</f>
        <v>0</v>
      </c>
      <c r="G709" s="65" t="b">
        <f>IF(Смета!A631="Прайс",Смета!F631)</f>
        <v>0</v>
      </c>
    </row>
    <row r="710" spans="2:7" hidden="1">
      <c r="B710" s="65" t="b">
        <f>IF(Смета!A632="Прайс",Смета!B632)</f>
        <v>0</v>
      </c>
      <c r="C710" s="65" t="b">
        <f>IF(Смета!A632="Прайс",Смета!C632)</f>
        <v>0</v>
      </c>
      <c r="D710" s="65" t="b">
        <f>IF(Смета!A632="Прайс",Смета!D632)</f>
        <v>0</v>
      </c>
      <c r="E710" s="65" t="b">
        <f>IF(Смета!D632="Прайс",Смета!E632)</f>
        <v>0</v>
      </c>
      <c r="F710" s="65" t="b">
        <f>IF(Смета!E632="Прайс",Смета!F632)</f>
        <v>0</v>
      </c>
      <c r="G710" s="65" t="b">
        <f>IF(Смета!A632="Прайс",Смета!F632)</f>
        <v>0</v>
      </c>
    </row>
    <row r="711" spans="2:7" hidden="1">
      <c r="B711" s="65" t="b">
        <f>IF(Смета!A633="Прайс",Смета!B633)</f>
        <v>0</v>
      </c>
      <c r="C711" s="65" t="b">
        <f>IF(Смета!A633="Прайс",Смета!C633)</f>
        <v>0</v>
      </c>
      <c r="D711" s="65" t="b">
        <f>IF(Смета!A633="Прайс",Смета!D633)</f>
        <v>0</v>
      </c>
      <c r="E711" s="65" t="b">
        <f>IF(Смета!D633="Прайс",Смета!E633)</f>
        <v>0</v>
      </c>
      <c r="F711" s="65" t="b">
        <f>IF(Смета!E633="Прайс",Смета!F633)</f>
        <v>0</v>
      </c>
      <c r="G711" s="65" t="b">
        <f>IF(Смета!A633="Прайс",Смета!F633)</f>
        <v>0</v>
      </c>
    </row>
    <row r="712" spans="2:7" hidden="1">
      <c r="B712" s="65" t="b">
        <f>IF(Смета!A634="Прайс",Смета!B634)</f>
        <v>0</v>
      </c>
      <c r="C712" s="65" t="b">
        <f>IF(Смета!A634="Прайс",Смета!C634)</f>
        <v>0</v>
      </c>
      <c r="D712" s="65" t="b">
        <f>IF(Смета!A634="Прайс",Смета!D634)</f>
        <v>0</v>
      </c>
      <c r="E712" s="65" t="b">
        <f>IF(Смета!D634="Прайс",Смета!E634)</f>
        <v>0</v>
      </c>
      <c r="F712" s="65" t="b">
        <f>IF(Смета!E634="Прайс",Смета!F634)</f>
        <v>0</v>
      </c>
      <c r="G712" s="65" t="b">
        <f>IF(Смета!A634="Прайс",Смета!F634)</f>
        <v>0</v>
      </c>
    </row>
    <row r="713" spans="2:7" hidden="1">
      <c r="B713" s="65" t="b">
        <f>IF(Смета!A635="Прайс",Смета!B635)</f>
        <v>0</v>
      </c>
      <c r="C713" s="65" t="b">
        <f>IF(Смета!A635="Прайс",Смета!C635)</f>
        <v>0</v>
      </c>
      <c r="D713" s="65" t="b">
        <f>IF(Смета!A635="Прайс",Смета!D635)</f>
        <v>0</v>
      </c>
      <c r="E713" s="65" t="b">
        <f>IF(Смета!D635="Прайс",Смета!E635)</f>
        <v>0</v>
      </c>
      <c r="F713" s="65" t="b">
        <f>IF(Смета!E635="Прайс",Смета!F635)</f>
        <v>0</v>
      </c>
      <c r="G713" s="65" t="b">
        <f>IF(Смета!A635="Прайс",Смета!F635)</f>
        <v>0</v>
      </c>
    </row>
    <row r="714" spans="2:7" hidden="1">
      <c r="B714" s="65" t="b">
        <f>IF(Смета!A636="Прайс",Смета!B636)</f>
        <v>0</v>
      </c>
      <c r="C714" s="65" t="b">
        <f>IF(Смета!A636="Прайс",Смета!C636)</f>
        <v>0</v>
      </c>
      <c r="D714" s="65" t="b">
        <f>IF(Смета!A636="Прайс",Смета!D636)</f>
        <v>0</v>
      </c>
      <c r="E714" s="65" t="b">
        <f>IF(Смета!D636="Прайс",Смета!E636)</f>
        <v>0</v>
      </c>
      <c r="F714" s="65" t="b">
        <f>IF(Смета!E636="Прайс",Смета!F636)</f>
        <v>0</v>
      </c>
      <c r="G714" s="65" t="b">
        <f>IF(Смета!A636="Прайс",Смета!F636)</f>
        <v>0</v>
      </c>
    </row>
    <row r="715" spans="2:7" hidden="1">
      <c r="B715" s="65" t="b">
        <f>IF(Смета!A637="Прайс",Смета!B637)</f>
        <v>0</v>
      </c>
      <c r="C715" s="65" t="b">
        <f>IF(Смета!A637="Прайс",Смета!C637)</f>
        <v>0</v>
      </c>
      <c r="D715" s="65" t="b">
        <f>IF(Смета!A637="Прайс",Смета!D637)</f>
        <v>0</v>
      </c>
      <c r="E715" s="65" t="b">
        <f>IF(Смета!D637="Прайс",Смета!E637)</f>
        <v>0</v>
      </c>
      <c r="F715" s="65" t="b">
        <f>IF(Смета!E637="Прайс",Смета!F637)</f>
        <v>0</v>
      </c>
      <c r="G715" s="65" t="b">
        <f>IF(Смета!A637="Прайс",Смета!F637)</f>
        <v>0</v>
      </c>
    </row>
    <row r="716" spans="2:7" hidden="1">
      <c r="B716" s="65" t="b">
        <f>IF(Смета!A638="Прайс",Смета!B638)</f>
        <v>0</v>
      </c>
      <c r="C716" s="65" t="b">
        <f>IF(Смета!A638="Прайс",Смета!C638)</f>
        <v>0</v>
      </c>
      <c r="D716" s="65" t="b">
        <f>IF(Смета!A638="Прайс",Смета!D638)</f>
        <v>0</v>
      </c>
      <c r="E716" s="65" t="b">
        <f>IF(Смета!D638="Прайс",Смета!E638)</f>
        <v>0</v>
      </c>
      <c r="F716" s="65" t="b">
        <f>IF(Смета!E638="Прайс",Смета!F638)</f>
        <v>0</v>
      </c>
      <c r="G716" s="65" t="b">
        <f>IF(Смета!A638="Прайс",Смета!F638)</f>
        <v>0</v>
      </c>
    </row>
    <row r="717" spans="2:7" hidden="1">
      <c r="B717" s="65" t="b">
        <f>IF(Смета!A639="Прайс",Смета!B639)</f>
        <v>0</v>
      </c>
      <c r="C717" s="65" t="b">
        <f>IF(Смета!A639="Прайс",Смета!C639)</f>
        <v>0</v>
      </c>
      <c r="D717" s="65" t="b">
        <f>IF(Смета!A639="Прайс",Смета!D639)</f>
        <v>0</v>
      </c>
      <c r="E717" s="65" t="b">
        <f>IF(Смета!D639="Прайс",Смета!E639)</f>
        <v>0</v>
      </c>
      <c r="F717" s="65" t="b">
        <f>IF(Смета!E639="Прайс",Смета!F639)</f>
        <v>0</v>
      </c>
      <c r="G717" s="65" t="b">
        <f>IF(Смета!A639="Прайс",Смета!F639)</f>
        <v>0</v>
      </c>
    </row>
    <row r="718" spans="2:7" hidden="1">
      <c r="B718" s="65" t="b">
        <f>IF(Смета!A640="Прайс",Смета!B640)</f>
        <v>0</v>
      </c>
      <c r="C718" s="65" t="b">
        <f>IF(Смета!A640="Прайс",Смета!C640)</f>
        <v>0</v>
      </c>
      <c r="D718" s="65" t="b">
        <f>IF(Смета!A640="Прайс",Смета!D640)</f>
        <v>0</v>
      </c>
      <c r="E718" s="65" t="b">
        <f>IF(Смета!D640="Прайс",Смета!E640)</f>
        <v>0</v>
      </c>
      <c r="F718" s="65" t="b">
        <f>IF(Смета!E640="Прайс",Смета!F640)</f>
        <v>0</v>
      </c>
      <c r="G718" s="65" t="b">
        <f>IF(Смета!A640="Прайс",Смета!F640)</f>
        <v>0</v>
      </c>
    </row>
    <row r="719" spans="2:7" hidden="1">
      <c r="B719" s="65" t="b">
        <f>IF(Смета!A641="Прайс",Смета!B641)</f>
        <v>0</v>
      </c>
      <c r="C719" s="65" t="b">
        <f>IF(Смета!A641="Прайс",Смета!C641)</f>
        <v>0</v>
      </c>
      <c r="D719" s="65" t="b">
        <f>IF(Смета!A641="Прайс",Смета!D641)</f>
        <v>0</v>
      </c>
      <c r="E719" s="65" t="b">
        <f>IF(Смета!D641="Прайс",Смета!E641)</f>
        <v>0</v>
      </c>
      <c r="F719" s="65" t="b">
        <f>IF(Смета!E641="Прайс",Смета!F641)</f>
        <v>0</v>
      </c>
      <c r="G719" s="65" t="b">
        <f>IF(Смета!A641="Прайс",Смета!F641)</f>
        <v>0</v>
      </c>
    </row>
    <row r="720" spans="2:7" hidden="1">
      <c r="B720" s="65" t="b">
        <f>IF(Смета!A642="Прайс",Смета!B642)</f>
        <v>0</v>
      </c>
      <c r="D720" s="65" t="b">
        <f>IF(Смета!A642="Прайс",Смета!D642)</f>
        <v>0</v>
      </c>
      <c r="E720" s="65" t="b">
        <f>IF(Смета!D642="Прайс",Смета!E642)</f>
        <v>0</v>
      </c>
      <c r="F720" s="65" t="b">
        <f>IF(Смета!E642="Прайс",Смета!F642)</f>
        <v>0</v>
      </c>
      <c r="G720" s="65" t="b">
        <f>IF(Смета!A642="Прайс",Смета!F642)</f>
        <v>0</v>
      </c>
    </row>
    <row r="721" spans="2:7" hidden="1">
      <c r="B721" s="65" t="b">
        <f>IF(Смета!A643="Прайс",Смета!B643)</f>
        <v>0</v>
      </c>
      <c r="D721" s="65" t="b">
        <f>IF(Смета!A643="Прайс",Смета!D643)</f>
        <v>0</v>
      </c>
      <c r="E721" s="65" t="b">
        <f>IF(Смета!D643="Прайс",Смета!E643)</f>
        <v>0</v>
      </c>
      <c r="F721" s="65" t="b">
        <f>IF(Смета!E643="Прайс",Смета!F643)</f>
        <v>0</v>
      </c>
      <c r="G721" s="65" t="b">
        <f>IF(Смета!A643="Прайс",Смета!F643)</f>
        <v>0</v>
      </c>
    </row>
    <row r="722" spans="2:7" hidden="1">
      <c r="B722" s="65" t="b">
        <f>IF(Смета!A644="Прайс",Смета!B644)</f>
        <v>0</v>
      </c>
      <c r="D722" s="65" t="b">
        <f>IF(Смета!A644="Прайс",Смета!D644)</f>
        <v>0</v>
      </c>
      <c r="E722" s="65" t="b">
        <f>IF(Смета!D644="Прайс",Смета!E644)</f>
        <v>0</v>
      </c>
      <c r="F722" s="65" t="b">
        <f>IF(Смета!E644="Прайс",Смета!F644)</f>
        <v>0</v>
      </c>
      <c r="G722" s="65" t="b">
        <f>IF(Смета!A644="Прайс",Смета!F644)</f>
        <v>0</v>
      </c>
    </row>
    <row r="723" spans="2:7" hidden="1">
      <c r="B723" s="65" t="b">
        <f>IF(Смета!A645="Прайс",Смета!B645)</f>
        <v>0</v>
      </c>
      <c r="D723" s="65" t="b">
        <f>IF(Смета!A645="Прайс",Смета!D645)</f>
        <v>0</v>
      </c>
      <c r="E723" s="65" t="b">
        <f>IF(Смета!D645="Прайс",Смета!E645)</f>
        <v>0</v>
      </c>
      <c r="F723" s="65" t="b">
        <f>IF(Смета!E645="Прайс",Смета!F645)</f>
        <v>0</v>
      </c>
      <c r="G723" s="65" t="b">
        <f>IF(Смета!A645="Прайс",Смета!F645)</f>
        <v>0</v>
      </c>
    </row>
    <row r="724" spans="2:7" hidden="1">
      <c r="B724" s="65" t="b">
        <f>IF(Смета!A646="Прайс",Смета!B646)</f>
        <v>0</v>
      </c>
      <c r="D724" s="65" t="b">
        <f>IF(Смета!A646="Прайс",Смета!D646)</f>
        <v>0</v>
      </c>
      <c r="E724" s="65" t="b">
        <f>IF(Смета!D646="Прайс",Смета!E646)</f>
        <v>0</v>
      </c>
      <c r="F724" s="65" t="b">
        <f>IF(Смета!E646="Прайс",Смета!F646)</f>
        <v>0</v>
      </c>
      <c r="G724" s="65" t="b">
        <f>IF(Смета!A646="Прайс",Смета!F646)</f>
        <v>0</v>
      </c>
    </row>
    <row r="725" spans="2:7" hidden="1">
      <c r="B725" s="65" t="b">
        <f>IF(Смета!A647="Прайс",Смета!B647)</f>
        <v>0</v>
      </c>
      <c r="D725" s="65" t="b">
        <f>IF(Смета!A647="Прайс",Смета!D647)</f>
        <v>0</v>
      </c>
      <c r="E725" s="65" t="b">
        <f>IF(Смета!D647="Прайс",Смета!E647)</f>
        <v>0</v>
      </c>
      <c r="F725" s="65" t="b">
        <f>IF(Смета!E647="Прайс",Смета!F647)</f>
        <v>0</v>
      </c>
      <c r="G725" s="65" t="b">
        <f>IF(Смета!A647="Прайс",Смета!F647)</f>
        <v>0</v>
      </c>
    </row>
    <row r="726" spans="2:7" hidden="1">
      <c r="B726" s="65" t="b">
        <f>IF(Смета!A648="Прайс",Смета!B648)</f>
        <v>0</v>
      </c>
      <c r="D726" s="65" t="b">
        <f>IF(Смета!A648="Прайс",Смета!D648)</f>
        <v>0</v>
      </c>
      <c r="E726" s="65" t="b">
        <f>IF(Смета!D648="Прайс",Смета!E648)</f>
        <v>0</v>
      </c>
      <c r="F726" s="65" t="b">
        <f>IF(Смета!E648="Прайс",Смета!F648)</f>
        <v>0</v>
      </c>
      <c r="G726" s="65" t="b">
        <f>IF(Смета!A648="Прайс",Смета!F648)</f>
        <v>0</v>
      </c>
    </row>
    <row r="727" spans="2:7" hidden="1">
      <c r="B727" s="65" t="b">
        <f>IF(Смета!A649="Прайс",Смета!B649)</f>
        <v>0</v>
      </c>
      <c r="D727" s="65" t="b">
        <f>IF(Смета!A649="Прайс",Смета!D649)</f>
        <v>0</v>
      </c>
      <c r="E727" s="65" t="b">
        <f>IF(Смета!D649="Прайс",Смета!E649)</f>
        <v>0</v>
      </c>
      <c r="F727" s="65" t="b">
        <f>IF(Смета!E649="Прайс",Смета!F649)</f>
        <v>0</v>
      </c>
      <c r="G727" s="65" t="b">
        <f>IF(Смета!A649="Прайс",Смета!F649)</f>
        <v>0</v>
      </c>
    </row>
    <row r="728" spans="2:7" hidden="1">
      <c r="B728" s="65" t="b">
        <f>IF(Смета!A650="Прайс",Смета!B650)</f>
        <v>0</v>
      </c>
      <c r="D728" s="65" t="b">
        <f>IF(Смета!A650="Прайс",Смета!D650)</f>
        <v>0</v>
      </c>
      <c r="E728" s="65" t="b">
        <f>IF(Смета!D650="Прайс",Смета!E650)</f>
        <v>0</v>
      </c>
      <c r="F728" s="65" t="b">
        <f>IF(Смета!E650="Прайс",Смета!F650)</f>
        <v>0</v>
      </c>
      <c r="G728" s="65" t="b">
        <f>IF(Смета!A650="Прайс",Смета!F650)</f>
        <v>0</v>
      </c>
    </row>
    <row r="729" spans="2:7" hidden="1">
      <c r="B729" s="65" t="b">
        <f>IF(Смета!A651="Прайс",Смета!B651)</f>
        <v>0</v>
      </c>
      <c r="D729" s="65" t="b">
        <f>IF(Смета!A651="Прайс",Смета!D651)</f>
        <v>0</v>
      </c>
      <c r="E729" s="65" t="b">
        <f>IF(Смета!D651="Прайс",Смета!E651)</f>
        <v>0</v>
      </c>
      <c r="F729" s="65" t="b">
        <f>IF(Смета!E651="Прайс",Смета!F651)</f>
        <v>0</v>
      </c>
      <c r="G729" s="65" t="b">
        <f>IF(Смета!A651="Прайс",Смета!F651)</f>
        <v>0</v>
      </c>
    </row>
    <row r="730" spans="2:7" hidden="1">
      <c r="B730" s="65" t="b">
        <f>IF(Смета!A652="Прайс",Смета!B652)</f>
        <v>0</v>
      </c>
      <c r="D730" s="65" t="b">
        <f>IF(Смета!A652="Прайс",Смета!D652)</f>
        <v>0</v>
      </c>
      <c r="E730" s="65" t="b">
        <f>IF(Смета!D652="Прайс",Смета!E652)</f>
        <v>0</v>
      </c>
      <c r="F730" s="65" t="b">
        <f>IF(Смета!E652="Прайс",Смета!F652)</f>
        <v>0</v>
      </c>
      <c r="G730" s="65" t="b">
        <f>IF(Смета!A652="Прайс",Смета!F652)</f>
        <v>0</v>
      </c>
    </row>
    <row r="731" spans="2:7" hidden="1">
      <c r="B731" s="65" t="b">
        <f>IF(Смета!A653="Прайс",Смета!B653)</f>
        <v>0</v>
      </c>
      <c r="D731" s="65" t="b">
        <f>IF(Смета!A653="Прайс",Смета!D653)</f>
        <v>0</v>
      </c>
      <c r="E731" s="65" t="b">
        <f>IF(Смета!D653="Прайс",Смета!E653)</f>
        <v>0</v>
      </c>
      <c r="F731" s="65" t="b">
        <f>IF(Смета!E653="Прайс",Смета!F653)</f>
        <v>0</v>
      </c>
      <c r="G731" s="65" t="b">
        <f>IF(Смета!A653="Прайс",Смета!F653)</f>
        <v>0</v>
      </c>
    </row>
    <row r="732" spans="2:7" hidden="1">
      <c r="B732" s="65" t="b">
        <f>IF(Смета!A654="Прайс",Смета!B654)</f>
        <v>0</v>
      </c>
      <c r="D732" s="65" t="b">
        <f>IF(Смета!A654="Прайс",Смета!D654)</f>
        <v>0</v>
      </c>
      <c r="E732" s="65" t="b">
        <f>IF(Смета!D654="Прайс",Смета!E654)</f>
        <v>0</v>
      </c>
      <c r="F732" s="65" t="b">
        <f>IF(Смета!E654="Прайс",Смета!F654)</f>
        <v>0</v>
      </c>
      <c r="G732" s="65" t="b">
        <f>IF(Смета!A654="Прайс",Смета!F654)</f>
        <v>0</v>
      </c>
    </row>
    <row r="733" spans="2:7" hidden="1">
      <c r="B733" s="65" t="b">
        <f>IF(Смета!A655="Прайс",Смета!B655)</f>
        <v>0</v>
      </c>
      <c r="D733" s="65" t="b">
        <f>IF(Смета!A655="Прайс",Смета!D655)</f>
        <v>0</v>
      </c>
      <c r="E733" s="65" t="b">
        <f>IF(Смета!D655="Прайс",Смета!E655)</f>
        <v>0</v>
      </c>
      <c r="F733" s="65" t="b">
        <f>IF(Смета!E655="Прайс",Смета!F655)</f>
        <v>0</v>
      </c>
      <c r="G733" s="65" t="b">
        <f>IF(Смета!A655="Прайс",Смета!F655)</f>
        <v>0</v>
      </c>
    </row>
    <row r="734" spans="2:7" hidden="1">
      <c r="B734" s="65" t="b">
        <f>IF(Смета!A656="Прайс",Смета!B656)</f>
        <v>0</v>
      </c>
      <c r="D734" s="65" t="b">
        <f>IF(Смета!A656="Прайс",Смета!D656)</f>
        <v>0</v>
      </c>
      <c r="E734" s="65" t="b">
        <f>IF(Смета!D656="Прайс",Смета!E656)</f>
        <v>0</v>
      </c>
      <c r="F734" s="65" t="b">
        <f>IF(Смета!E656="Прайс",Смета!F656)</f>
        <v>0</v>
      </c>
      <c r="G734" s="65" t="b">
        <f>IF(Смета!A656="Прайс",Смета!F656)</f>
        <v>0</v>
      </c>
    </row>
    <row r="735" spans="2:7" hidden="1">
      <c r="B735" s="65" t="b">
        <f>IF(Смета!A657="Прайс",Смета!B657)</f>
        <v>0</v>
      </c>
      <c r="D735" s="65" t="b">
        <f>IF(Смета!A657="Прайс",Смета!D657)</f>
        <v>0</v>
      </c>
      <c r="E735" s="65" t="b">
        <f>IF(Смета!D657="Прайс",Смета!E657)</f>
        <v>0</v>
      </c>
      <c r="F735" s="65" t="b">
        <f>IF(Смета!E657="Прайс",Смета!F657)</f>
        <v>0</v>
      </c>
      <c r="G735" s="65" t="b">
        <f>IF(Смета!A657="Прайс",Смета!F657)</f>
        <v>0</v>
      </c>
    </row>
    <row r="736" spans="2:7" hidden="1">
      <c r="B736" s="65" t="b">
        <f>IF(Смета!A658="Прайс",Смета!B658)</f>
        <v>0</v>
      </c>
      <c r="D736" s="65" t="b">
        <f>IF(Смета!A658="Прайс",Смета!D658)</f>
        <v>0</v>
      </c>
      <c r="E736" s="65" t="b">
        <f>IF(Смета!D658="Прайс",Смета!E658)</f>
        <v>0</v>
      </c>
      <c r="F736" s="65" t="b">
        <f>IF(Смета!E658="Прайс",Смета!F658)</f>
        <v>0</v>
      </c>
      <c r="G736" s="65" t="b">
        <f>IF(Смета!A658="Прайс",Смета!F658)</f>
        <v>0</v>
      </c>
    </row>
    <row r="737" spans="2:7" hidden="1">
      <c r="B737" s="65" t="b">
        <f>IF(Смета!A659="Прайс",Смета!B659)</f>
        <v>0</v>
      </c>
      <c r="D737" s="65" t="b">
        <f>IF(Смета!A659="Прайс",Смета!D659)</f>
        <v>0</v>
      </c>
      <c r="E737" s="65" t="b">
        <f>IF(Смета!D659="Прайс",Смета!E659)</f>
        <v>0</v>
      </c>
      <c r="F737" s="65" t="b">
        <f>IF(Смета!E659="Прайс",Смета!F659)</f>
        <v>0</v>
      </c>
      <c r="G737" s="65" t="b">
        <f>IF(Смета!A659="Прайс",Смета!F659)</f>
        <v>0</v>
      </c>
    </row>
    <row r="738" spans="2:7" hidden="1">
      <c r="B738" s="65" t="b">
        <f>IF(Смета!A660="Прайс",Смета!B660)</f>
        <v>0</v>
      </c>
      <c r="D738" s="65" t="b">
        <f>IF(Смета!A660="Прайс",Смета!D660)</f>
        <v>0</v>
      </c>
      <c r="E738" s="65" t="b">
        <f>IF(Смета!D660="Прайс",Смета!E660)</f>
        <v>0</v>
      </c>
      <c r="F738" s="65" t="b">
        <f>IF(Смета!E660="Прайс",Смета!F660)</f>
        <v>0</v>
      </c>
      <c r="G738" s="65" t="b">
        <f>IF(Смета!A660="Прайс",Смета!F660)</f>
        <v>0</v>
      </c>
    </row>
    <row r="739" spans="2:7" hidden="1">
      <c r="B739" s="65" t="b">
        <f>IF(Смета!A661="Прайс",Смета!B661)</f>
        <v>0</v>
      </c>
      <c r="D739" s="65" t="b">
        <f>IF(Смета!A661="Прайс",Смета!D661)</f>
        <v>0</v>
      </c>
      <c r="E739" s="65" t="b">
        <f>IF(Смета!D661="Прайс",Смета!E661)</f>
        <v>0</v>
      </c>
      <c r="F739" s="65" t="b">
        <f>IF(Смета!E661="Прайс",Смета!F661)</f>
        <v>0</v>
      </c>
      <c r="G739" s="65" t="b">
        <f>IF(Смета!A661="Прайс",Смета!F661)</f>
        <v>0</v>
      </c>
    </row>
    <row r="740" spans="2:7" hidden="1">
      <c r="B740" s="65" t="b">
        <f>IF(Смета!A662="Прайс",Смета!B662)</f>
        <v>0</v>
      </c>
      <c r="D740" s="65" t="b">
        <f>IF(Смета!A662="Прайс",Смета!D662)</f>
        <v>0</v>
      </c>
      <c r="E740" s="65" t="b">
        <f>IF(Смета!D662="Прайс",Смета!E662)</f>
        <v>0</v>
      </c>
      <c r="F740" s="65" t="b">
        <f>IF(Смета!E662="Прайс",Смета!F662)</f>
        <v>0</v>
      </c>
      <c r="G740" s="65" t="b">
        <f>IF(Смета!A662="Прайс",Смета!F662)</f>
        <v>0</v>
      </c>
    </row>
    <row r="741" spans="2:7" hidden="1">
      <c r="B741" s="65" t="b">
        <f>IF(Смета!A663="Прайс",Смета!B663)</f>
        <v>0</v>
      </c>
      <c r="D741" s="65" t="b">
        <f>IF(Смета!A663="Прайс",Смета!D663)</f>
        <v>0</v>
      </c>
      <c r="E741" s="65" t="b">
        <f>IF(Смета!D663="Прайс",Смета!E663)</f>
        <v>0</v>
      </c>
      <c r="F741" s="65" t="b">
        <f>IF(Смета!E663="Прайс",Смета!F663)</f>
        <v>0</v>
      </c>
      <c r="G741" s="65" t="b">
        <f>IF(Смета!A663="Прайс",Смета!F663)</f>
        <v>0</v>
      </c>
    </row>
    <row r="742" spans="2:7" hidden="1">
      <c r="B742" s="65" t="b">
        <f>IF(Смета!A664="Прайс",Смета!B664)</f>
        <v>0</v>
      </c>
      <c r="D742" s="65" t="b">
        <f>IF(Смета!A664="Прайс",Смета!D664)</f>
        <v>0</v>
      </c>
      <c r="E742" s="65" t="b">
        <f>IF(Смета!D664="Прайс",Смета!E664)</f>
        <v>0</v>
      </c>
      <c r="F742" s="65" t="b">
        <f>IF(Смета!E664="Прайс",Смета!F664)</f>
        <v>0</v>
      </c>
      <c r="G742" s="65" t="b">
        <f>IF(Смета!A664="Прайс",Смета!F664)</f>
        <v>0</v>
      </c>
    </row>
    <row r="743" spans="2:7" hidden="1">
      <c r="B743" s="65" t="b">
        <f>IF(Смета!A665="Прайс",Смета!B665)</f>
        <v>0</v>
      </c>
      <c r="D743" s="65" t="b">
        <f>IF(Смета!A665="Прайс",Смета!D665)</f>
        <v>0</v>
      </c>
      <c r="E743" s="65" t="b">
        <f>IF(Смета!D665="Прайс",Смета!E665)</f>
        <v>0</v>
      </c>
      <c r="F743" s="65" t="b">
        <f>IF(Смета!E665="Прайс",Смета!F665)</f>
        <v>0</v>
      </c>
      <c r="G743" s="65" t="b">
        <f>IF(Смета!A665="Прайс",Смета!F665)</f>
        <v>0</v>
      </c>
    </row>
    <row r="744" spans="2:7" hidden="1">
      <c r="B744" s="65" t="b">
        <f>IF(Смета!A666="Прайс",Смета!B666)</f>
        <v>0</v>
      </c>
      <c r="D744" s="65" t="b">
        <f>IF(Смета!A666="Прайс",Смета!D666)</f>
        <v>0</v>
      </c>
      <c r="E744" s="65" t="b">
        <f>IF(Смета!D666="Прайс",Смета!E666)</f>
        <v>0</v>
      </c>
      <c r="F744" s="65" t="b">
        <f>IF(Смета!E666="Прайс",Смета!F666)</f>
        <v>0</v>
      </c>
      <c r="G744" s="65" t="b">
        <f>IF(Смета!A666="Прайс",Смета!F666)</f>
        <v>0</v>
      </c>
    </row>
    <row r="745" spans="2:7" hidden="1">
      <c r="B745" s="65" t="b">
        <f>IF(Смета!A667="Прайс",Смета!B667)</f>
        <v>0</v>
      </c>
      <c r="D745" s="65" t="b">
        <f>IF(Смета!A667="Прайс",Смета!D667)</f>
        <v>0</v>
      </c>
      <c r="E745" s="65" t="b">
        <f>IF(Смета!D667="Прайс",Смета!E667)</f>
        <v>0</v>
      </c>
      <c r="F745" s="65" t="b">
        <f>IF(Смета!E667="Прайс",Смета!F667)</f>
        <v>0</v>
      </c>
      <c r="G745" s="65" t="b">
        <f>IF(Смета!A667="Прайс",Смета!F667)</f>
        <v>0</v>
      </c>
    </row>
    <row r="746" spans="2:7" hidden="1">
      <c r="B746" s="65" t="b">
        <f>IF(Смета!A668="Прайс",Смета!B668)</f>
        <v>0</v>
      </c>
      <c r="D746" s="65" t="b">
        <f>IF(Смета!A668="Прайс",Смета!D668)</f>
        <v>0</v>
      </c>
      <c r="E746" s="65" t="b">
        <f>IF(Смета!D668="Прайс",Смета!E668)</f>
        <v>0</v>
      </c>
      <c r="F746" s="65" t="b">
        <f>IF(Смета!E668="Прайс",Смета!F668)</f>
        <v>0</v>
      </c>
      <c r="G746" s="65" t="b">
        <f>IF(Смета!A668="Прайс",Смета!F668)</f>
        <v>0</v>
      </c>
    </row>
    <row r="747" spans="2:7" hidden="1">
      <c r="B747" s="65" t="b">
        <f>IF(Смета!A669="Прайс",Смета!B669)</f>
        <v>0</v>
      </c>
      <c r="D747" s="65" t="b">
        <f>IF(Смета!A669="Прайс",Смета!D669)</f>
        <v>0</v>
      </c>
      <c r="E747" s="65" t="b">
        <f>IF(Смета!D669="Прайс",Смета!E669)</f>
        <v>0</v>
      </c>
      <c r="F747" s="65" t="b">
        <f>IF(Смета!E669="Прайс",Смета!F669)</f>
        <v>0</v>
      </c>
      <c r="G747" s="65" t="b">
        <f>IF(Смета!A669="Прайс",Смета!F669)</f>
        <v>0</v>
      </c>
    </row>
    <row r="748" spans="2:7" hidden="1">
      <c r="B748" s="65" t="b">
        <f>IF(Смета!A670="Прайс",Смета!B670)</f>
        <v>0</v>
      </c>
      <c r="D748" s="65" t="b">
        <f>IF(Смета!A670="Прайс",Смета!D670)</f>
        <v>0</v>
      </c>
      <c r="E748" s="65" t="b">
        <f>IF(Смета!D670="Прайс",Смета!E670)</f>
        <v>0</v>
      </c>
      <c r="F748" s="65" t="b">
        <f>IF(Смета!E670="Прайс",Смета!F670)</f>
        <v>0</v>
      </c>
      <c r="G748" s="65" t="b">
        <f>IF(Смета!A670="Прайс",Смета!F670)</f>
        <v>0</v>
      </c>
    </row>
    <row r="749" spans="2:7" hidden="1">
      <c r="B749" s="65" t="b">
        <f>IF(Смета!A671="Прайс",Смета!B671)</f>
        <v>0</v>
      </c>
      <c r="D749" s="65" t="b">
        <f>IF(Смета!A671="Прайс",Смета!D671)</f>
        <v>0</v>
      </c>
      <c r="E749" s="65" t="b">
        <f>IF(Смета!D671="Прайс",Смета!E671)</f>
        <v>0</v>
      </c>
      <c r="F749" s="65" t="b">
        <f>IF(Смета!E671="Прайс",Смета!F671)</f>
        <v>0</v>
      </c>
      <c r="G749" s="65" t="b">
        <f>IF(Смета!A671="Прайс",Смета!F671)</f>
        <v>0</v>
      </c>
    </row>
    <row r="750" spans="2:7" hidden="1">
      <c r="B750" s="65" t="b">
        <f>IF(Смета!A672="Прайс",Смета!B672)</f>
        <v>0</v>
      </c>
      <c r="D750" s="65" t="b">
        <f>IF(Смета!A672="Прайс",Смета!D672)</f>
        <v>0</v>
      </c>
      <c r="E750" s="65" t="b">
        <f>IF(Смета!D672="Прайс",Смета!E672)</f>
        <v>0</v>
      </c>
      <c r="F750" s="65" t="b">
        <f>IF(Смета!E672="Прайс",Смета!F672)</f>
        <v>0</v>
      </c>
      <c r="G750" s="65" t="b">
        <f>IF(Смета!A672="Прайс",Смета!F672)</f>
        <v>0</v>
      </c>
    </row>
    <row r="751" spans="2:7" hidden="1">
      <c r="B751" s="65" t="b">
        <f>IF(Смета!A673="Прайс",Смета!B673)</f>
        <v>0</v>
      </c>
      <c r="D751" s="65" t="b">
        <f>IF(Смета!A673="Прайс",Смета!D673)</f>
        <v>0</v>
      </c>
      <c r="E751" s="65" t="b">
        <f>IF(Смета!D673="Прайс",Смета!E673)</f>
        <v>0</v>
      </c>
      <c r="F751" s="65" t="b">
        <f>IF(Смета!E673="Прайс",Смета!F673)</f>
        <v>0</v>
      </c>
      <c r="G751" s="65" t="b">
        <f>IF(Смета!A673="Прайс",Смета!F673)</f>
        <v>0</v>
      </c>
    </row>
    <row r="752" spans="2:7" hidden="1">
      <c r="B752" s="65" t="b">
        <f>IF(Смета!A674="Прайс",Смета!B674)</f>
        <v>0</v>
      </c>
      <c r="D752" s="65" t="b">
        <f>IF(Смета!A674="Прайс",Смета!D674)</f>
        <v>0</v>
      </c>
      <c r="E752" s="65" t="b">
        <f>IF(Смета!D674="Прайс",Смета!E674)</f>
        <v>0</v>
      </c>
      <c r="F752" s="65" t="b">
        <f>IF(Смета!E674="Прайс",Смета!F674)</f>
        <v>0</v>
      </c>
      <c r="G752" s="65" t="b">
        <f>IF(Смета!A674="Прайс",Смета!F674)</f>
        <v>0</v>
      </c>
    </row>
    <row r="753" spans="2:7" hidden="1">
      <c r="B753" s="65" t="b">
        <f>IF(Смета!A675="Прайс",Смета!B675)</f>
        <v>0</v>
      </c>
      <c r="D753" s="65" t="b">
        <f>IF(Смета!A675="Прайс",Смета!D675)</f>
        <v>0</v>
      </c>
      <c r="E753" s="65" t="b">
        <f>IF(Смета!D675="Прайс",Смета!E675)</f>
        <v>0</v>
      </c>
      <c r="F753" s="65" t="b">
        <f>IF(Смета!E675="Прайс",Смета!F675)</f>
        <v>0</v>
      </c>
      <c r="G753" s="65" t="b">
        <f>IF(Смета!A675="Прайс",Смета!F675)</f>
        <v>0</v>
      </c>
    </row>
    <row r="754" spans="2:7" hidden="1">
      <c r="B754" s="65" t="b">
        <f>IF(Смета!A676="Прайс",Смета!B676)</f>
        <v>0</v>
      </c>
      <c r="D754" s="65" t="b">
        <f>IF(Смета!A676="Прайс",Смета!D676)</f>
        <v>0</v>
      </c>
      <c r="E754" s="65" t="b">
        <f>IF(Смета!D676="Прайс",Смета!E676)</f>
        <v>0</v>
      </c>
      <c r="F754" s="65" t="b">
        <f>IF(Смета!E676="Прайс",Смета!F676)</f>
        <v>0</v>
      </c>
      <c r="G754" s="65" t="b">
        <f>IF(Смета!A676="Прайс",Смета!F676)</f>
        <v>0</v>
      </c>
    </row>
    <row r="755" spans="2:7" hidden="1">
      <c r="B755" s="65" t="b">
        <f>IF(Смета!A677="Прайс",Смета!B677)</f>
        <v>0</v>
      </c>
      <c r="D755" s="65" t="b">
        <f>IF(Смета!A677="Прайс",Смета!D677)</f>
        <v>0</v>
      </c>
      <c r="E755" s="65" t="b">
        <f>IF(Смета!D677="Прайс",Смета!E677)</f>
        <v>0</v>
      </c>
      <c r="F755" s="65" t="b">
        <f>IF(Смета!E677="Прайс",Смета!F677)</f>
        <v>0</v>
      </c>
      <c r="G755" s="65" t="b">
        <f>IF(Смета!A677="Прайс",Смета!F677)</f>
        <v>0</v>
      </c>
    </row>
    <row r="756" spans="2:7" hidden="1">
      <c r="B756" s="65" t="b">
        <f>IF(Смета!A678="Прайс",Смета!B678)</f>
        <v>0</v>
      </c>
    </row>
    <row r="757" spans="2:7" hidden="1">
      <c r="B757" s="65" t="b">
        <f>IF(Смета!A679="Прайс",Смета!B679)</f>
        <v>0</v>
      </c>
    </row>
    <row r="758" spans="2:7" hidden="1">
      <c r="B758" s="65" t="b">
        <f>IF(Смета!A680="Прайс",Смета!B680)</f>
        <v>0</v>
      </c>
    </row>
    <row r="759" spans="2:7" hidden="1">
      <c r="B759" s="65" t="b">
        <f>IF(Смета!A681="Прайс",Смета!B681)</f>
        <v>0</v>
      </c>
    </row>
    <row r="760" spans="2:7" hidden="1">
      <c r="B760" s="65" t="b">
        <f>IF(Смета!A682="Прайс",Смета!B682)</f>
        <v>0</v>
      </c>
    </row>
    <row r="761" spans="2:7" hidden="1">
      <c r="B761" s="65" t="b">
        <f>IF(Смета!A683="Прайс",Смета!B683)</f>
        <v>0</v>
      </c>
    </row>
    <row r="762" spans="2:7" hidden="1">
      <c r="B762" s="65" t="b">
        <f>IF(Смета!A684="Прайс",Смета!B684)</f>
        <v>0</v>
      </c>
    </row>
    <row r="763" spans="2:7" hidden="1">
      <c r="B763" s="65" t="b">
        <f>IF(Смета!A685="Прайс",Смета!B685)</f>
        <v>0</v>
      </c>
    </row>
    <row r="764" spans="2:7" hidden="1">
      <c r="B764" s="65" t="b">
        <f>IF(Смета!A686="Прайс",Смета!B686)</f>
        <v>0</v>
      </c>
    </row>
    <row r="765" spans="2:7" hidden="1">
      <c r="B765" s="65" t="b">
        <f>IF(Смета!A687="Прайс",Смета!B687)</f>
        <v>0</v>
      </c>
    </row>
    <row r="766" spans="2:7" hidden="1">
      <c r="B766" s="65" t="b">
        <f>IF(Смета!A688="Прайс",Смета!B688)</f>
        <v>0</v>
      </c>
    </row>
    <row r="767" spans="2:7" hidden="1">
      <c r="B767" s="65" t="b">
        <f>IF(Смета!A689="Прайс",Смета!B689)</f>
        <v>0</v>
      </c>
    </row>
    <row r="768" spans="2:7" hidden="1">
      <c r="B768" s="65" t="b">
        <f>IF(Смета!A690="Прайс",Смета!B690)</f>
        <v>0</v>
      </c>
    </row>
    <row r="769" spans="2:7" hidden="1">
      <c r="B769" s="65" t="b">
        <f>IF(Смета!A691="Прайс",Смета!B691)</f>
        <v>0</v>
      </c>
    </row>
    <row r="770" spans="2:7" hidden="1">
      <c r="B770" s="65" t="b">
        <f>IF(Смета!A692="Прайс",Смета!B692)</f>
        <v>0</v>
      </c>
    </row>
    <row r="771" spans="2:7" hidden="1">
      <c r="B771" s="65" t="b">
        <f>IF(Смета!A693="Прайс",Смета!B693)</f>
        <v>0</v>
      </c>
    </row>
    <row r="772" spans="2:7" hidden="1">
      <c r="B772" s="65" t="b">
        <f>IF(Смета!A694="Прайс",Смета!B694)</f>
        <v>0</v>
      </c>
    </row>
    <row r="773" spans="2:7" hidden="1">
      <c r="B773" s="65" t="b">
        <f>IF(Смета!A695="Прайс",Смета!B695)</f>
        <v>0</v>
      </c>
    </row>
    <row r="774" spans="2:7" hidden="1">
      <c r="B774" s="65" t="b">
        <f>IF(Смета!A696="Прайс",Смета!B696)</f>
        <v>0</v>
      </c>
    </row>
    <row r="775" spans="2:7" hidden="1">
      <c r="B775" s="65" t="b">
        <f>IF(Смета!A697="Прайс",Смета!B697)</f>
        <v>0</v>
      </c>
    </row>
    <row r="776" spans="2:7" hidden="1">
      <c r="B776" s="65" t="b">
        <f>IF(Смета!A698="Прайс",Смета!B698)</f>
        <v>0</v>
      </c>
    </row>
    <row r="777" spans="2:7" hidden="1">
      <c r="B777" s="65" t="b">
        <f>IF(Смета!A699="Прайс",Смета!B699)</f>
        <v>0</v>
      </c>
    </row>
    <row r="778" spans="2:7" hidden="1">
      <c r="B778" s="65" t="b">
        <f>IF(Смета!A700="Прайс",Смета!B700)</f>
        <v>0</v>
      </c>
    </row>
    <row r="779" spans="2:7" hidden="1">
      <c r="B779" s="65" t="b">
        <f>IF(Смета!A701="Прайс",Смета!B701)</f>
        <v>0</v>
      </c>
    </row>
    <row r="781" spans="2:7">
      <c r="B781"/>
      <c r="C781"/>
      <c r="D781"/>
      <c r="E781"/>
      <c r="F781"/>
      <c r="G781"/>
    </row>
    <row r="782" spans="2:7">
      <c r="B782"/>
      <c r="C782"/>
      <c r="D782" t="s">
        <v>384</v>
      </c>
      <c r="E782" t="s">
        <v>383</v>
      </c>
      <c r="F782"/>
      <c r="G782"/>
    </row>
    <row r="783" spans="2:7">
      <c r="B783" t="s">
        <v>227</v>
      </c>
      <c r="C783" t="s">
        <v>22</v>
      </c>
      <c r="D783" s="161">
        <v>4</v>
      </c>
      <c r="E783" s="161">
        <v>192.852</v>
      </c>
      <c r="F783"/>
      <c r="G783"/>
    </row>
    <row r="784" spans="2:7">
      <c r="B784" t="s">
        <v>385</v>
      </c>
      <c r="C784"/>
      <c r="D784" s="161">
        <v>4</v>
      </c>
      <c r="E784" s="161">
        <v>192.852</v>
      </c>
      <c r="F784"/>
      <c r="G784"/>
    </row>
    <row r="785" spans="2:7">
      <c r="B785" t="s">
        <v>229</v>
      </c>
      <c r="C785" t="s">
        <v>22</v>
      </c>
      <c r="D785" s="161">
        <v>1</v>
      </c>
      <c r="E785" s="161">
        <v>668.32700000000011</v>
      </c>
      <c r="F785"/>
      <c r="G785"/>
    </row>
    <row r="786" spans="2:7">
      <c r="B786" t="s">
        <v>386</v>
      </c>
      <c r="C786"/>
      <c r="D786" s="161">
        <v>1</v>
      </c>
      <c r="E786" s="161">
        <v>668.32700000000011</v>
      </c>
      <c r="F786"/>
      <c r="G786"/>
    </row>
    <row r="787" spans="2:7">
      <c r="B787" t="s">
        <v>226</v>
      </c>
      <c r="C787" t="s">
        <v>22</v>
      </c>
      <c r="D787" s="161">
        <v>1</v>
      </c>
      <c r="E787" s="161">
        <v>1287.8030000000001</v>
      </c>
      <c r="F787"/>
      <c r="G787"/>
    </row>
    <row r="788" spans="2:7">
      <c r="B788" t="s">
        <v>387</v>
      </c>
      <c r="C788"/>
      <c r="D788" s="161">
        <v>1</v>
      </c>
      <c r="E788" s="161">
        <v>1287.8030000000001</v>
      </c>
      <c r="F788"/>
      <c r="G788"/>
    </row>
    <row r="789" spans="2:7">
      <c r="B789" t="s">
        <v>90</v>
      </c>
      <c r="C789" t="s">
        <v>91</v>
      </c>
      <c r="D789" s="161">
        <v>2.47555E-3</v>
      </c>
      <c r="E789" s="161">
        <v>67000</v>
      </c>
      <c r="F789"/>
      <c r="G789"/>
    </row>
    <row r="790" spans="2:7">
      <c r="B790" t="s">
        <v>388</v>
      </c>
      <c r="C790"/>
      <c r="D790" s="161">
        <v>2.47555E-3</v>
      </c>
      <c r="E790" s="161">
        <v>67000</v>
      </c>
      <c r="F790"/>
      <c r="G790"/>
    </row>
    <row r="791" spans="2:7">
      <c r="B791" t="s">
        <v>259</v>
      </c>
      <c r="C791" t="s">
        <v>22</v>
      </c>
      <c r="D791" s="161">
        <v>22</v>
      </c>
      <c r="E791" s="161">
        <v>1498</v>
      </c>
      <c r="F791"/>
      <c r="G791"/>
    </row>
    <row r="792" spans="2:7">
      <c r="B792" t="s">
        <v>389</v>
      </c>
      <c r="C792"/>
      <c r="D792" s="161">
        <v>22</v>
      </c>
      <c r="E792" s="161">
        <v>1498</v>
      </c>
      <c r="F792"/>
      <c r="G792"/>
    </row>
    <row r="793" spans="2:7">
      <c r="B793" t="s">
        <v>148</v>
      </c>
      <c r="C793" t="s">
        <v>95</v>
      </c>
      <c r="D793" s="161">
        <v>8.1764449999999989E-2</v>
      </c>
      <c r="E793" s="161">
        <v>572</v>
      </c>
      <c r="F793"/>
      <c r="G793"/>
    </row>
    <row r="794" spans="2:7">
      <c r="B794" t="s">
        <v>390</v>
      </c>
      <c r="C794"/>
      <c r="D794" s="161">
        <v>8.1764449999999989E-2</v>
      </c>
      <c r="E794" s="161">
        <v>572</v>
      </c>
      <c r="F794"/>
      <c r="G794"/>
    </row>
    <row r="795" spans="2:7">
      <c r="B795" t="s">
        <v>250</v>
      </c>
      <c r="C795" t="s">
        <v>22</v>
      </c>
      <c r="D795" s="161">
        <v>13</v>
      </c>
      <c r="E795" s="161">
        <v>158.54300000000001</v>
      </c>
      <c r="F795"/>
      <c r="G795"/>
    </row>
    <row r="796" spans="2:7">
      <c r="B796" t="s">
        <v>391</v>
      </c>
      <c r="C796"/>
      <c r="D796" s="161">
        <v>13</v>
      </c>
      <c r="E796" s="161">
        <v>158.54300000000001</v>
      </c>
      <c r="F796"/>
      <c r="G796"/>
    </row>
    <row r="797" spans="2:7">
      <c r="B797" t="s">
        <v>100</v>
      </c>
      <c r="C797" t="s">
        <v>0</v>
      </c>
      <c r="D797" s="161">
        <v>244.66051350000004</v>
      </c>
      <c r="E797" s="161">
        <v>498.48</v>
      </c>
      <c r="F797"/>
      <c r="G797"/>
    </row>
    <row r="798" spans="2:7">
      <c r="B798" t="s">
        <v>392</v>
      </c>
      <c r="C798"/>
      <c r="D798" s="161">
        <v>244.66051350000004</v>
      </c>
      <c r="E798" s="161">
        <v>498.48</v>
      </c>
      <c r="F798"/>
      <c r="G798"/>
    </row>
    <row r="799" spans="2:7">
      <c r="B799" t="s">
        <v>93</v>
      </c>
      <c r="C799" t="s">
        <v>0</v>
      </c>
      <c r="D799" s="161">
        <v>66.843756000000013</v>
      </c>
      <c r="E799" s="161">
        <v>249.24</v>
      </c>
      <c r="F799"/>
      <c r="G799"/>
    </row>
    <row r="800" spans="2:7">
      <c r="B800" t="s">
        <v>393</v>
      </c>
      <c r="C800"/>
      <c r="D800" s="161">
        <v>66.843756000000013</v>
      </c>
      <c r="E800" s="161">
        <v>249.24</v>
      </c>
      <c r="F800"/>
      <c r="G800"/>
    </row>
    <row r="801" spans="2:7">
      <c r="B801" t="s">
        <v>169</v>
      </c>
      <c r="C801" t="s">
        <v>0</v>
      </c>
      <c r="D801" s="161">
        <v>50.995130000000003</v>
      </c>
      <c r="E801" s="161">
        <v>202</v>
      </c>
      <c r="F801"/>
      <c r="G801"/>
    </row>
    <row r="802" spans="2:7">
      <c r="B802" t="s">
        <v>394</v>
      </c>
      <c r="C802"/>
      <c r="D802" s="161">
        <v>50.995130000000003</v>
      </c>
      <c r="E802" s="161">
        <v>202</v>
      </c>
      <c r="F802"/>
      <c r="G802"/>
    </row>
    <row r="803" spans="2:7">
      <c r="B803" t="s">
        <v>232</v>
      </c>
      <c r="C803" t="s">
        <v>0</v>
      </c>
      <c r="D803" s="161">
        <v>415</v>
      </c>
      <c r="E803" s="161">
        <v>5.4119999999999999</v>
      </c>
      <c r="F803"/>
      <c r="G803"/>
    </row>
    <row r="804" spans="2:7">
      <c r="B804" t="s">
        <v>395</v>
      </c>
      <c r="C804"/>
      <c r="D804" s="161">
        <v>415</v>
      </c>
      <c r="E804" s="161">
        <v>5.4119999999999999</v>
      </c>
      <c r="F804"/>
      <c r="G804"/>
    </row>
    <row r="805" spans="2:7">
      <c r="B805" t="s">
        <v>233</v>
      </c>
      <c r="C805" t="s">
        <v>29</v>
      </c>
      <c r="D805" s="161">
        <v>50</v>
      </c>
      <c r="E805" s="161">
        <v>9.1080000000000005</v>
      </c>
      <c r="F805"/>
      <c r="G805"/>
    </row>
    <row r="806" spans="2:7">
      <c r="B806" t="s">
        <v>396</v>
      </c>
      <c r="C806"/>
      <c r="D806" s="161">
        <v>50</v>
      </c>
      <c r="E806" s="161">
        <v>9.1080000000000005</v>
      </c>
      <c r="F806"/>
      <c r="G806"/>
    </row>
    <row r="807" spans="2:7">
      <c r="B807" t="s">
        <v>129</v>
      </c>
      <c r="C807" t="s">
        <v>95</v>
      </c>
      <c r="D807" s="161">
        <v>64.207499999999996</v>
      </c>
      <c r="E807" s="161">
        <v>57</v>
      </c>
      <c r="F807"/>
      <c r="G807"/>
    </row>
    <row r="808" spans="2:7">
      <c r="B808" t="s">
        <v>397</v>
      </c>
      <c r="C808"/>
      <c r="D808" s="161">
        <v>64.207499999999996</v>
      </c>
      <c r="E808" s="161">
        <v>57</v>
      </c>
      <c r="F808"/>
      <c r="G808"/>
    </row>
    <row r="809" spans="2:7">
      <c r="B809" t="s">
        <v>98</v>
      </c>
      <c r="C809" t="s">
        <v>95</v>
      </c>
      <c r="D809" s="161">
        <v>82.114280000000008</v>
      </c>
      <c r="E809" s="161">
        <v>166.8</v>
      </c>
      <c r="F809"/>
      <c r="G809"/>
    </row>
    <row r="810" spans="2:7">
      <c r="B810"/>
      <c r="C810" t="s">
        <v>99</v>
      </c>
      <c r="D810" s="161">
        <v>23.262340000000002</v>
      </c>
      <c r="E810" s="161">
        <v>389.20000000000005</v>
      </c>
      <c r="F810"/>
      <c r="G810"/>
    </row>
    <row r="811" spans="2:7">
      <c r="B811" t="s">
        <v>398</v>
      </c>
      <c r="C811"/>
      <c r="D811" s="161">
        <v>105.37662</v>
      </c>
      <c r="E811" s="161">
        <v>556</v>
      </c>
      <c r="F811"/>
      <c r="G811"/>
    </row>
    <row r="812" spans="2:7">
      <c r="B812" t="s">
        <v>120</v>
      </c>
      <c r="C812" t="s">
        <v>22</v>
      </c>
      <c r="D812" s="161">
        <v>8</v>
      </c>
      <c r="E812" s="161">
        <v>8960</v>
      </c>
      <c r="F812"/>
      <c r="G812"/>
    </row>
    <row r="813" spans="2:7">
      <c r="B813" t="s">
        <v>399</v>
      </c>
      <c r="C813"/>
      <c r="D813" s="161">
        <v>8</v>
      </c>
      <c r="E813" s="161">
        <v>8960</v>
      </c>
      <c r="F813"/>
      <c r="G813"/>
    </row>
    <row r="814" spans="2:7">
      <c r="B814" t="s">
        <v>115</v>
      </c>
      <c r="C814" t="s">
        <v>22</v>
      </c>
      <c r="D814" s="161">
        <v>1</v>
      </c>
      <c r="E814" s="161">
        <v>28230</v>
      </c>
      <c r="F814"/>
      <c r="G814"/>
    </row>
    <row r="815" spans="2:7">
      <c r="B815" t="s">
        <v>400</v>
      </c>
      <c r="C815"/>
      <c r="D815" s="161">
        <v>1</v>
      </c>
      <c r="E815" s="161">
        <v>28230</v>
      </c>
      <c r="F815"/>
      <c r="G815"/>
    </row>
    <row r="816" spans="2:7">
      <c r="B816" t="s">
        <v>124</v>
      </c>
      <c r="C816" t="s">
        <v>22</v>
      </c>
      <c r="D816" s="161">
        <v>2</v>
      </c>
      <c r="E816" s="161">
        <v>18960</v>
      </c>
      <c r="F816"/>
      <c r="G816"/>
    </row>
    <row r="817" spans="2:7">
      <c r="B817" t="s">
        <v>401</v>
      </c>
      <c r="C817"/>
      <c r="D817" s="161">
        <v>2</v>
      </c>
      <c r="E817" s="161">
        <v>18960</v>
      </c>
      <c r="F817"/>
      <c r="G817"/>
    </row>
    <row r="818" spans="2:7">
      <c r="B818" t="s">
        <v>373</v>
      </c>
      <c r="C818" t="s">
        <v>0</v>
      </c>
      <c r="D818" s="161">
        <v>14.938000000000002</v>
      </c>
      <c r="E818" s="161">
        <v>2400</v>
      </c>
      <c r="F818"/>
      <c r="G818"/>
    </row>
    <row r="819" spans="2:7">
      <c r="B819" t="s">
        <v>402</v>
      </c>
      <c r="C819"/>
      <c r="D819" s="161">
        <v>14.938000000000002</v>
      </c>
      <c r="E819" s="161">
        <v>2400</v>
      </c>
      <c r="F819"/>
      <c r="G819"/>
    </row>
    <row r="820" spans="2:7">
      <c r="B820" t="s">
        <v>234</v>
      </c>
      <c r="C820" t="s">
        <v>22</v>
      </c>
      <c r="D820" s="161">
        <v>400</v>
      </c>
      <c r="E820" s="161">
        <v>1.7160000000000002</v>
      </c>
      <c r="F820"/>
      <c r="G820"/>
    </row>
    <row r="821" spans="2:7">
      <c r="B821" t="s">
        <v>403</v>
      </c>
      <c r="C821"/>
      <c r="D821" s="161">
        <v>400</v>
      </c>
      <c r="E821" s="161">
        <v>1.7160000000000002</v>
      </c>
      <c r="F821"/>
      <c r="G821"/>
    </row>
    <row r="822" spans="2:7">
      <c r="B822" t="s">
        <v>235</v>
      </c>
      <c r="C822" t="s">
        <v>22</v>
      </c>
      <c r="D822" s="161">
        <v>80</v>
      </c>
      <c r="E822" s="161">
        <v>2.1339999999999999</v>
      </c>
      <c r="F822"/>
      <c r="G822"/>
    </row>
    <row r="823" spans="2:7">
      <c r="B823" t="s">
        <v>404</v>
      </c>
      <c r="C823"/>
      <c r="D823" s="161">
        <v>80</v>
      </c>
      <c r="E823" s="161">
        <v>2.1339999999999999</v>
      </c>
      <c r="F823"/>
      <c r="G823"/>
    </row>
    <row r="824" spans="2:7">
      <c r="B824" t="s">
        <v>228</v>
      </c>
      <c r="C824" t="s">
        <v>22</v>
      </c>
      <c r="D824" s="161">
        <v>10</v>
      </c>
      <c r="E824" s="161">
        <v>1973.4</v>
      </c>
      <c r="F824"/>
      <c r="G824"/>
    </row>
    <row r="825" spans="2:7">
      <c r="B825" t="s">
        <v>405</v>
      </c>
      <c r="C825"/>
      <c r="D825" s="161">
        <v>10</v>
      </c>
      <c r="E825" s="161">
        <v>1973.4</v>
      </c>
      <c r="F825"/>
      <c r="G825"/>
    </row>
    <row r="826" spans="2:7">
      <c r="B826" t="s">
        <v>97</v>
      </c>
      <c r="C826" t="s">
        <v>29</v>
      </c>
      <c r="D826" s="161">
        <v>214.09392000000003</v>
      </c>
      <c r="E826" s="161">
        <v>58.099999999999994</v>
      </c>
      <c r="F826"/>
      <c r="G826"/>
    </row>
    <row r="827" spans="2:7">
      <c r="B827" t="s">
        <v>406</v>
      </c>
      <c r="C827"/>
      <c r="D827" s="161">
        <v>214.09392000000003</v>
      </c>
      <c r="E827" s="161">
        <v>58.099999999999994</v>
      </c>
      <c r="F827"/>
      <c r="G827"/>
    </row>
    <row r="828" spans="2:7">
      <c r="B828" t="s">
        <v>114</v>
      </c>
      <c r="C828" t="s">
        <v>22</v>
      </c>
      <c r="D828" s="161">
        <v>3</v>
      </c>
      <c r="E828" s="161">
        <v>1500</v>
      </c>
      <c r="F828"/>
      <c r="G828"/>
    </row>
    <row r="829" spans="2:7">
      <c r="B829" t="s">
        <v>407</v>
      </c>
      <c r="C829"/>
      <c r="D829" s="161">
        <v>3</v>
      </c>
      <c r="E829" s="161">
        <v>1500</v>
      </c>
      <c r="F829"/>
      <c r="G829"/>
    </row>
    <row r="830" spans="2:7">
      <c r="B830" t="s">
        <v>161</v>
      </c>
      <c r="C830" t="s">
        <v>22</v>
      </c>
      <c r="D830" s="161">
        <v>3.52</v>
      </c>
      <c r="E830" s="161">
        <v>0.35</v>
      </c>
      <c r="F830"/>
      <c r="G830"/>
    </row>
    <row r="831" spans="2:7">
      <c r="B831" t="s">
        <v>408</v>
      </c>
      <c r="C831"/>
      <c r="D831" s="161">
        <v>3.52</v>
      </c>
      <c r="E831" s="161">
        <v>0.35</v>
      </c>
      <c r="F831"/>
      <c r="G831"/>
    </row>
    <row r="832" spans="2:7">
      <c r="B832" t="s">
        <v>87</v>
      </c>
      <c r="C832" t="s">
        <v>22</v>
      </c>
      <c r="D832" s="161">
        <v>1162.2135513333335</v>
      </c>
      <c r="E832" s="161">
        <v>8.3999999999999986</v>
      </c>
      <c r="F832"/>
      <c r="G832"/>
    </row>
    <row r="833" spans="2:7">
      <c r="B833" t="s">
        <v>409</v>
      </c>
      <c r="C833"/>
      <c r="D833" s="161">
        <v>1162.2135513333335</v>
      </c>
      <c r="E833" s="161">
        <v>8.3999999999999986</v>
      </c>
      <c r="F833"/>
      <c r="G833"/>
    </row>
    <row r="834" spans="2:7">
      <c r="B834" t="s">
        <v>177</v>
      </c>
      <c r="C834" t="s">
        <v>22</v>
      </c>
      <c r="D834" s="161">
        <v>24.065999999999999</v>
      </c>
      <c r="E834" s="161">
        <v>8.5</v>
      </c>
      <c r="F834"/>
      <c r="G834"/>
    </row>
    <row r="835" spans="2:7">
      <c r="B835" t="s">
        <v>410</v>
      </c>
      <c r="C835"/>
      <c r="D835" s="161">
        <v>24.065999999999999</v>
      </c>
      <c r="E835" s="161">
        <v>8.5</v>
      </c>
      <c r="F835"/>
      <c r="G835"/>
    </row>
    <row r="836" spans="2:7">
      <c r="B836" t="s">
        <v>163</v>
      </c>
      <c r="C836" t="s">
        <v>22</v>
      </c>
      <c r="D836" s="161">
        <v>1</v>
      </c>
      <c r="E836" s="161">
        <v>7.2</v>
      </c>
      <c r="F836"/>
      <c r="G836"/>
    </row>
    <row r="837" spans="2:7">
      <c r="B837" t="s">
        <v>411</v>
      </c>
      <c r="C837"/>
      <c r="D837" s="161">
        <v>1</v>
      </c>
      <c r="E837" s="161">
        <v>7.2</v>
      </c>
      <c r="F837"/>
      <c r="G837"/>
    </row>
    <row r="838" spans="2:7">
      <c r="B838" t="s">
        <v>162</v>
      </c>
      <c r="C838" t="s">
        <v>22</v>
      </c>
      <c r="D838" s="161">
        <v>1</v>
      </c>
      <c r="E838" s="161">
        <v>7.2</v>
      </c>
      <c r="F838"/>
      <c r="G838"/>
    </row>
    <row r="839" spans="2:7">
      <c r="B839" t="s">
        <v>412</v>
      </c>
      <c r="C839"/>
      <c r="D839" s="161">
        <v>1</v>
      </c>
      <c r="E839" s="161">
        <v>7.2</v>
      </c>
      <c r="F839"/>
      <c r="G839"/>
    </row>
    <row r="840" spans="2:7">
      <c r="B840" t="s">
        <v>127</v>
      </c>
      <c r="C840" t="s">
        <v>22</v>
      </c>
      <c r="D840" s="161">
        <v>3</v>
      </c>
      <c r="E840" s="161">
        <v>34</v>
      </c>
      <c r="F840"/>
      <c r="G840"/>
    </row>
    <row r="841" spans="2:7">
      <c r="B841" t="s">
        <v>413</v>
      </c>
      <c r="C841"/>
      <c r="D841" s="161">
        <v>3</v>
      </c>
      <c r="E841" s="161">
        <v>34</v>
      </c>
      <c r="F841"/>
      <c r="G841"/>
    </row>
    <row r="842" spans="2:7">
      <c r="B842" t="s">
        <v>183</v>
      </c>
      <c r="C842" t="s">
        <v>95</v>
      </c>
      <c r="D842" s="161">
        <v>73.686500000000009</v>
      </c>
      <c r="E842" s="161">
        <v>380.4</v>
      </c>
      <c r="F842"/>
      <c r="G842"/>
    </row>
    <row r="843" spans="2:7">
      <c r="B843" t="s">
        <v>414</v>
      </c>
      <c r="C843"/>
      <c r="D843" s="161">
        <v>73.686500000000009</v>
      </c>
      <c r="E843" s="161">
        <v>380.4</v>
      </c>
      <c r="F843"/>
      <c r="G843"/>
    </row>
    <row r="844" spans="2:7">
      <c r="B844" t="s">
        <v>237</v>
      </c>
      <c r="C844" t="s">
        <v>29</v>
      </c>
      <c r="D844" s="161">
        <v>178.5</v>
      </c>
      <c r="E844" s="161">
        <v>23.638999999999999</v>
      </c>
      <c r="F844"/>
      <c r="G844"/>
    </row>
    <row r="845" spans="2:7">
      <c r="B845" t="s">
        <v>415</v>
      </c>
      <c r="C845"/>
      <c r="D845" s="161">
        <v>178.5</v>
      </c>
      <c r="E845" s="161">
        <v>23.638999999999999</v>
      </c>
      <c r="F845"/>
      <c r="G845"/>
    </row>
    <row r="846" spans="2:7">
      <c r="B846" t="s">
        <v>236</v>
      </c>
      <c r="C846" t="s">
        <v>29</v>
      </c>
      <c r="D846" s="161">
        <v>218</v>
      </c>
      <c r="E846" s="161">
        <v>37.884</v>
      </c>
      <c r="F846"/>
      <c r="G846"/>
    </row>
    <row r="847" spans="2:7">
      <c r="B847" t="s">
        <v>416</v>
      </c>
      <c r="C847"/>
      <c r="D847" s="161">
        <v>218</v>
      </c>
      <c r="E847" s="161">
        <v>37.884</v>
      </c>
      <c r="F847"/>
      <c r="G847"/>
    </row>
    <row r="848" spans="2:7">
      <c r="B848" t="s">
        <v>238</v>
      </c>
      <c r="C848" t="s">
        <v>29</v>
      </c>
      <c r="D848" s="161">
        <v>36.75</v>
      </c>
      <c r="E848" s="161">
        <v>65.208000000000013</v>
      </c>
      <c r="F848"/>
      <c r="G848"/>
    </row>
    <row r="849" spans="2:7">
      <c r="B849" t="s">
        <v>417</v>
      </c>
      <c r="C849"/>
      <c r="D849" s="161">
        <v>36.75</v>
      </c>
      <c r="E849" s="161">
        <v>65.208000000000013</v>
      </c>
      <c r="F849"/>
      <c r="G849"/>
    </row>
    <row r="850" spans="2:7">
      <c r="B850" t="s">
        <v>243</v>
      </c>
      <c r="C850" t="s">
        <v>29</v>
      </c>
      <c r="D850" s="161">
        <v>52.5</v>
      </c>
      <c r="E850" s="161">
        <v>157.751</v>
      </c>
      <c r="F850"/>
      <c r="G850"/>
    </row>
    <row r="851" spans="2:7">
      <c r="B851" t="s">
        <v>418</v>
      </c>
      <c r="C851"/>
      <c r="D851" s="161">
        <v>52.5</v>
      </c>
      <c r="E851" s="161">
        <v>157.751</v>
      </c>
      <c r="F851"/>
      <c r="G851"/>
    </row>
    <row r="852" spans="2:7">
      <c r="B852" t="s">
        <v>92</v>
      </c>
      <c r="C852" t="s">
        <v>22</v>
      </c>
      <c r="D852" s="161">
        <v>428.34120000000001</v>
      </c>
      <c r="E852" s="161">
        <v>37.5</v>
      </c>
      <c r="F852"/>
      <c r="G852"/>
    </row>
    <row r="853" spans="2:7">
      <c r="B853" t="s">
        <v>419</v>
      </c>
      <c r="C853"/>
      <c r="D853" s="161">
        <v>428.34120000000001</v>
      </c>
      <c r="E853" s="161">
        <v>37.5</v>
      </c>
      <c r="F853"/>
      <c r="G853"/>
    </row>
    <row r="854" spans="2:7">
      <c r="B854" t="s">
        <v>158</v>
      </c>
      <c r="C854" t="s">
        <v>95</v>
      </c>
      <c r="D854" s="161">
        <v>3.1779000000000006</v>
      </c>
      <c r="E854" s="161">
        <v>119.07</v>
      </c>
      <c r="F854"/>
      <c r="G854"/>
    </row>
    <row r="855" spans="2:7">
      <c r="B855" t="s">
        <v>420</v>
      </c>
      <c r="C855"/>
      <c r="D855" s="161">
        <v>3.1779000000000006</v>
      </c>
      <c r="E855" s="161">
        <v>119.07</v>
      </c>
      <c r="F855"/>
      <c r="G855"/>
    </row>
    <row r="856" spans="2:7">
      <c r="B856" t="s">
        <v>137</v>
      </c>
      <c r="C856" t="s">
        <v>95</v>
      </c>
      <c r="D856" s="161">
        <v>57.036000000000008</v>
      </c>
      <c r="E856" s="161">
        <v>24</v>
      </c>
      <c r="F856"/>
      <c r="G856"/>
    </row>
    <row r="857" spans="2:7">
      <c r="B857" t="s">
        <v>421</v>
      </c>
      <c r="C857"/>
      <c r="D857" s="161">
        <v>57.036000000000008</v>
      </c>
      <c r="E857" s="161">
        <v>24</v>
      </c>
      <c r="F857"/>
      <c r="G857"/>
    </row>
    <row r="858" spans="2:7">
      <c r="B858" t="s">
        <v>147</v>
      </c>
      <c r="C858" t="s">
        <v>95</v>
      </c>
      <c r="D858" s="161">
        <v>0.8176000000000001</v>
      </c>
      <c r="E858" s="161">
        <v>310</v>
      </c>
      <c r="F858"/>
      <c r="G858"/>
    </row>
    <row r="859" spans="2:7">
      <c r="B859" t="s">
        <v>422</v>
      </c>
      <c r="C859"/>
      <c r="D859" s="161">
        <v>0.8176000000000001</v>
      </c>
      <c r="E859" s="161">
        <v>310</v>
      </c>
      <c r="F859"/>
      <c r="G859"/>
    </row>
    <row r="860" spans="2:7">
      <c r="B860" t="s">
        <v>126</v>
      </c>
      <c r="C860" t="s">
        <v>117</v>
      </c>
      <c r="D860" s="161">
        <v>6.5677500000000002</v>
      </c>
      <c r="E860" s="161">
        <v>420</v>
      </c>
      <c r="F860"/>
      <c r="G860"/>
    </row>
    <row r="861" spans="2:7">
      <c r="B861" t="s">
        <v>423</v>
      </c>
      <c r="C861"/>
      <c r="D861" s="161">
        <v>6.5677500000000002</v>
      </c>
      <c r="E861" s="161">
        <v>420</v>
      </c>
      <c r="F861"/>
      <c r="G861"/>
    </row>
    <row r="862" spans="2:7">
      <c r="B862" t="s">
        <v>128</v>
      </c>
      <c r="C862" t="s">
        <v>95</v>
      </c>
      <c r="D862" s="161">
        <v>43.084125</v>
      </c>
      <c r="E862" s="161">
        <v>11.17</v>
      </c>
      <c r="F862"/>
      <c r="G862"/>
    </row>
    <row r="863" spans="2:7">
      <c r="B863" t="s">
        <v>424</v>
      </c>
      <c r="C863"/>
      <c r="D863" s="161">
        <v>43.084125</v>
      </c>
      <c r="E863" s="161">
        <v>11.17</v>
      </c>
      <c r="F863"/>
      <c r="G863"/>
    </row>
    <row r="864" spans="2:7">
      <c r="B864" t="s">
        <v>130</v>
      </c>
      <c r="C864" t="s">
        <v>72</v>
      </c>
      <c r="D864" s="161">
        <v>1.5629599999999999</v>
      </c>
      <c r="E864" s="161">
        <v>64080</v>
      </c>
      <c r="F864"/>
      <c r="G864"/>
    </row>
    <row r="865" spans="2:7">
      <c r="B865" t="s">
        <v>425</v>
      </c>
      <c r="C865"/>
      <c r="D865" s="161">
        <v>1.5629599999999999</v>
      </c>
      <c r="E865" s="161">
        <v>64080</v>
      </c>
      <c r="F865"/>
      <c r="G865"/>
    </row>
    <row r="866" spans="2:7">
      <c r="B866" t="s">
        <v>184</v>
      </c>
      <c r="C866" t="s">
        <v>149</v>
      </c>
      <c r="D866" s="161">
        <v>159.5363175</v>
      </c>
      <c r="E866" s="161">
        <v>679.24</v>
      </c>
      <c r="F866"/>
      <c r="G866"/>
    </row>
    <row r="867" spans="2:7">
      <c r="B867" t="s">
        <v>426</v>
      </c>
      <c r="C867"/>
      <c r="D867" s="161">
        <v>159.5363175</v>
      </c>
      <c r="E867" s="161">
        <v>679.24</v>
      </c>
      <c r="F867"/>
      <c r="G867"/>
    </row>
    <row r="868" spans="2:7">
      <c r="B868" t="s">
        <v>131</v>
      </c>
      <c r="C868" t="s">
        <v>22</v>
      </c>
      <c r="D868" s="161">
        <v>2076.75</v>
      </c>
      <c r="E868" s="161">
        <v>0.4</v>
      </c>
      <c r="F868"/>
      <c r="G868"/>
    </row>
    <row r="869" spans="2:7">
      <c r="B869" t="s">
        <v>427</v>
      </c>
      <c r="C869"/>
      <c r="D869" s="161">
        <v>2076.75</v>
      </c>
      <c r="E869" s="161">
        <v>0.4</v>
      </c>
      <c r="F869"/>
      <c r="G869"/>
    </row>
    <row r="870" spans="2:7">
      <c r="B870" t="s">
        <v>255</v>
      </c>
      <c r="C870" t="s">
        <v>22</v>
      </c>
      <c r="D870" s="161">
        <v>74.800000000000011</v>
      </c>
      <c r="E870" s="161">
        <v>41.183999999999997</v>
      </c>
      <c r="F870"/>
      <c r="G870"/>
    </row>
    <row r="871" spans="2:7">
      <c r="B871" t="s">
        <v>428</v>
      </c>
      <c r="C871"/>
      <c r="D871" s="161">
        <v>74.800000000000011</v>
      </c>
      <c r="E871" s="161">
        <v>41.183999999999997</v>
      </c>
      <c r="F871"/>
      <c r="G871"/>
    </row>
    <row r="872" spans="2:7">
      <c r="B872" t="s">
        <v>157</v>
      </c>
      <c r="C872" t="s">
        <v>0</v>
      </c>
      <c r="D872" s="161">
        <v>6.3558000000000012</v>
      </c>
      <c r="E872" s="161">
        <v>532</v>
      </c>
      <c r="F872"/>
      <c r="G872"/>
    </row>
    <row r="873" spans="2:7">
      <c r="B873" t="s">
        <v>429</v>
      </c>
      <c r="C873"/>
      <c r="D873" s="161">
        <v>6.3558000000000012</v>
      </c>
      <c r="E873" s="161">
        <v>532</v>
      </c>
      <c r="F873"/>
      <c r="G873"/>
    </row>
    <row r="874" spans="2:7">
      <c r="B874" t="s">
        <v>240</v>
      </c>
      <c r="C874" t="s">
        <v>29</v>
      </c>
      <c r="D874" s="161">
        <v>10.35</v>
      </c>
      <c r="E874" s="161">
        <v>242.88000000000002</v>
      </c>
      <c r="F874"/>
      <c r="G874"/>
    </row>
    <row r="875" spans="2:7">
      <c r="B875" t="s">
        <v>430</v>
      </c>
      <c r="C875"/>
      <c r="D875" s="161">
        <v>10.35</v>
      </c>
      <c r="E875" s="161">
        <v>242.88000000000002</v>
      </c>
      <c r="F875"/>
      <c r="G875"/>
    </row>
    <row r="876" spans="2:7">
      <c r="B876" t="s">
        <v>155</v>
      </c>
      <c r="C876" t="s">
        <v>95</v>
      </c>
      <c r="D876" s="161">
        <v>100.98</v>
      </c>
      <c r="E876" s="161">
        <v>15.36</v>
      </c>
      <c r="F876"/>
      <c r="G876"/>
    </row>
    <row r="877" spans="2:7">
      <c r="B877" t="s">
        <v>431</v>
      </c>
      <c r="C877"/>
      <c r="D877" s="161">
        <v>100.98</v>
      </c>
      <c r="E877" s="161">
        <v>15.36</v>
      </c>
      <c r="F877"/>
      <c r="G877"/>
    </row>
    <row r="878" spans="2:7">
      <c r="B878" t="s">
        <v>122</v>
      </c>
      <c r="C878" t="s">
        <v>29</v>
      </c>
      <c r="D878" s="161">
        <v>46.224000000000004</v>
      </c>
      <c r="E878" s="161">
        <v>132</v>
      </c>
      <c r="F878"/>
      <c r="G878"/>
    </row>
    <row r="879" spans="2:7">
      <c r="B879" t="s">
        <v>432</v>
      </c>
      <c r="C879"/>
      <c r="D879" s="161">
        <v>46.224000000000004</v>
      </c>
      <c r="E879" s="161">
        <v>132</v>
      </c>
      <c r="F879"/>
      <c r="G879"/>
    </row>
    <row r="880" spans="2:7">
      <c r="B880" t="s">
        <v>188</v>
      </c>
      <c r="C880" t="s">
        <v>29</v>
      </c>
      <c r="D880" s="161">
        <v>17.334000000000003</v>
      </c>
      <c r="E880" s="161">
        <v>214.2</v>
      </c>
      <c r="F880"/>
      <c r="G880"/>
    </row>
    <row r="881" spans="2:7">
      <c r="B881" t="s">
        <v>433</v>
      </c>
      <c r="C881"/>
      <c r="D881" s="161">
        <v>17.334000000000003</v>
      </c>
      <c r="E881" s="161">
        <v>214.2</v>
      </c>
      <c r="F881"/>
      <c r="G881"/>
    </row>
    <row r="882" spans="2:7">
      <c r="B882" t="s">
        <v>146</v>
      </c>
      <c r="C882" t="s">
        <v>0</v>
      </c>
      <c r="D882" s="161">
        <v>26.863999999999997</v>
      </c>
      <c r="E882" s="161">
        <v>124</v>
      </c>
      <c r="F882"/>
      <c r="G882"/>
    </row>
    <row r="883" spans="2:7">
      <c r="B883" t="s">
        <v>434</v>
      </c>
      <c r="C883"/>
      <c r="D883" s="161">
        <v>26.863999999999997</v>
      </c>
      <c r="E883" s="161">
        <v>124</v>
      </c>
      <c r="F883"/>
      <c r="G883"/>
    </row>
    <row r="884" spans="2:7">
      <c r="B884" t="s">
        <v>125</v>
      </c>
      <c r="C884" t="s">
        <v>0</v>
      </c>
      <c r="D884" s="161">
        <v>18.597750000000001</v>
      </c>
      <c r="E884" s="161">
        <v>3180</v>
      </c>
      <c r="F884"/>
      <c r="G884"/>
    </row>
    <row r="885" spans="2:7">
      <c r="B885" t="s">
        <v>435</v>
      </c>
      <c r="C885"/>
      <c r="D885" s="161">
        <v>18.597750000000001</v>
      </c>
      <c r="E885" s="161">
        <v>3180</v>
      </c>
    </row>
    <row r="886" spans="2:7">
      <c r="B886" t="s">
        <v>168</v>
      </c>
      <c r="C886" t="s">
        <v>22</v>
      </c>
      <c r="D886" s="161">
        <v>12</v>
      </c>
      <c r="E886" s="161">
        <v>145</v>
      </c>
    </row>
    <row r="887" spans="2:7">
      <c r="B887" t="s">
        <v>436</v>
      </c>
      <c r="C887"/>
      <c r="D887" s="161">
        <v>12</v>
      </c>
      <c r="E887" s="161">
        <v>145</v>
      </c>
    </row>
    <row r="888" spans="2:7">
      <c r="B888" t="s">
        <v>328</v>
      </c>
      <c r="C888" t="s">
        <v>117</v>
      </c>
      <c r="D888" s="161">
        <v>13</v>
      </c>
      <c r="E888" s="161">
        <v>390</v>
      </c>
    </row>
    <row r="889" spans="2:7">
      <c r="B889" t="s">
        <v>437</v>
      </c>
      <c r="C889"/>
      <c r="D889" s="161">
        <v>13</v>
      </c>
      <c r="E889" s="161">
        <v>390</v>
      </c>
    </row>
    <row r="890" spans="2:7">
      <c r="B890" t="s">
        <v>118</v>
      </c>
      <c r="C890" t="s">
        <v>117</v>
      </c>
      <c r="D890" s="161">
        <v>3</v>
      </c>
      <c r="E890" s="161">
        <v>783.96</v>
      </c>
    </row>
    <row r="891" spans="2:7">
      <c r="B891" t="s">
        <v>438</v>
      </c>
      <c r="C891"/>
      <c r="D891" s="161">
        <v>3</v>
      </c>
      <c r="E891" s="161">
        <v>783.96</v>
      </c>
    </row>
    <row r="892" spans="2:7">
      <c r="B892" t="s">
        <v>160</v>
      </c>
      <c r="C892" t="s">
        <v>29</v>
      </c>
      <c r="D892" s="161">
        <v>9.4160000000000021</v>
      </c>
      <c r="E892" s="161">
        <v>66.099999999999994</v>
      </c>
    </row>
    <row r="893" spans="2:7">
      <c r="B893" t="s">
        <v>439</v>
      </c>
      <c r="C893"/>
      <c r="D893" s="161">
        <v>9.4160000000000021</v>
      </c>
      <c r="E893" s="161">
        <v>66.099999999999994</v>
      </c>
    </row>
    <row r="894" spans="2:7">
      <c r="B894" t="s">
        <v>372</v>
      </c>
      <c r="C894" t="s">
        <v>0</v>
      </c>
      <c r="D894" s="161">
        <v>117.03766999999999</v>
      </c>
      <c r="E894" s="161">
        <v>4740</v>
      </c>
    </row>
    <row r="895" spans="2:7">
      <c r="B895" t="s">
        <v>440</v>
      </c>
      <c r="C895"/>
      <c r="D895" s="161">
        <v>117.03766999999999</v>
      </c>
      <c r="E895" s="161">
        <v>4740</v>
      </c>
    </row>
    <row r="896" spans="2:7">
      <c r="B896" t="s">
        <v>133</v>
      </c>
      <c r="C896" t="s">
        <v>0</v>
      </c>
      <c r="D896" s="161">
        <v>28.358000000000004</v>
      </c>
      <c r="E896" s="161">
        <v>249</v>
      </c>
    </row>
    <row r="897" spans="2:5">
      <c r="B897" t="s">
        <v>441</v>
      </c>
      <c r="C897"/>
      <c r="D897" s="161">
        <v>28.358000000000004</v>
      </c>
      <c r="E897" s="161">
        <v>249</v>
      </c>
    </row>
    <row r="898" spans="2:5">
      <c r="B898" t="s">
        <v>154</v>
      </c>
      <c r="C898" t="s">
        <v>0</v>
      </c>
      <c r="D898" s="161">
        <v>12.9969</v>
      </c>
      <c r="E898" s="161">
        <v>734</v>
      </c>
    </row>
    <row r="899" spans="2:5">
      <c r="B899" t="s">
        <v>442</v>
      </c>
      <c r="C899"/>
      <c r="D899" s="161">
        <v>12.9969</v>
      </c>
      <c r="E899" s="161">
        <v>734</v>
      </c>
    </row>
    <row r="900" spans="2:5">
      <c r="B900" t="s">
        <v>105</v>
      </c>
      <c r="C900" t="s">
        <v>0</v>
      </c>
      <c r="D900" s="161">
        <v>100.89309600000001</v>
      </c>
      <c r="E900" s="161">
        <v>699.72</v>
      </c>
    </row>
    <row r="901" spans="2:5">
      <c r="B901" t="s">
        <v>443</v>
      </c>
      <c r="C901"/>
      <c r="D901" s="161">
        <v>100.89309600000001</v>
      </c>
      <c r="E901" s="161">
        <v>699.72</v>
      </c>
    </row>
    <row r="902" spans="2:5">
      <c r="B902" t="s">
        <v>101</v>
      </c>
      <c r="C902" t="s">
        <v>29</v>
      </c>
      <c r="D902" s="161">
        <v>87.052880000000016</v>
      </c>
      <c r="E902" s="161">
        <v>102</v>
      </c>
    </row>
    <row r="903" spans="2:5">
      <c r="B903" t="s">
        <v>444</v>
      </c>
      <c r="C903"/>
      <c r="D903" s="161">
        <v>87.052880000000016</v>
      </c>
      <c r="E903" s="161">
        <v>102</v>
      </c>
    </row>
    <row r="904" spans="2:5">
      <c r="B904" t="s">
        <v>111</v>
      </c>
      <c r="C904" t="s">
        <v>29</v>
      </c>
      <c r="D904" s="161">
        <v>145.06394000000003</v>
      </c>
      <c r="E904" s="161">
        <v>44.099999999999994</v>
      </c>
    </row>
    <row r="905" spans="2:5">
      <c r="B905" t="s">
        <v>445</v>
      </c>
      <c r="C905"/>
      <c r="D905" s="161">
        <v>145.06394000000003</v>
      </c>
      <c r="E905" s="161">
        <v>44.099999999999994</v>
      </c>
    </row>
    <row r="906" spans="2:5">
      <c r="B906" t="s">
        <v>106</v>
      </c>
      <c r="C906" t="s">
        <v>29</v>
      </c>
      <c r="D906" s="161">
        <v>35.100376000000004</v>
      </c>
      <c r="E906" s="161">
        <v>27.1</v>
      </c>
    </row>
    <row r="907" spans="2:5">
      <c r="B907" t="s">
        <v>446</v>
      </c>
      <c r="C907"/>
      <c r="D907" s="161">
        <v>35.100376000000004</v>
      </c>
      <c r="E907" s="161">
        <v>27.1</v>
      </c>
    </row>
    <row r="908" spans="2:5">
      <c r="B908" t="s">
        <v>108</v>
      </c>
      <c r="C908" t="s">
        <v>22</v>
      </c>
      <c r="D908" s="161">
        <v>92.18235</v>
      </c>
      <c r="E908" s="161">
        <v>17.5</v>
      </c>
    </row>
    <row r="909" spans="2:5">
      <c r="B909" t="s">
        <v>447</v>
      </c>
      <c r="C909"/>
      <c r="D909" s="161">
        <v>92.18235</v>
      </c>
      <c r="E909" s="161">
        <v>17.5</v>
      </c>
    </row>
    <row r="910" spans="2:5">
      <c r="B910" t="s">
        <v>175</v>
      </c>
      <c r="C910" t="s">
        <v>0</v>
      </c>
      <c r="D910" s="161">
        <v>31.686900000000001</v>
      </c>
      <c r="E910" s="161">
        <v>270</v>
      </c>
    </row>
    <row r="911" spans="2:5">
      <c r="B911" t="s">
        <v>448</v>
      </c>
      <c r="C911"/>
      <c r="D911" s="161">
        <v>31.686900000000001</v>
      </c>
      <c r="E911" s="161">
        <v>270</v>
      </c>
    </row>
    <row r="912" spans="2:5">
      <c r="B912" t="s">
        <v>264</v>
      </c>
      <c r="C912" t="s">
        <v>29</v>
      </c>
      <c r="D912" s="161">
        <v>10.1043</v>
      </c>
      <c r="E912" s="161">
        <v>695.5</v>
      </c>
    </row>
    <row r="913" spans="2:5">
      <c r="B913" t="s">
        <v>449</v>
      </c>
      <c r="C913"/>
      <c r="D913" s="161">
        <v>10.1043</v>
      </c>
      <c r="E913" s="161">
        <v>695.5</v>
      </c>
    </row>
    <row r="914" spans="2:5">
      <c r="B914" t="s">
        <v>248</v>
      </c>
      <c r="C914" t="s">
        <v>22</v>
      </c>
      <c r="D914" s="161">
        <v>35</v>
      </c>
      <c r="E914" s="161">
        <v>13.750000000000002</v>
      </c>
    </row>
    <row r="915" spans="2:5">
      <c r="B915" t="s">
        <v>450</v>
      </c>
      <c r="C915"/>
      <c r="D915" s="161">
        <v>35</v>
      </c>
      <c r="E915" s="161">
        <v>13.750000000000002</v>
      </c>
    </row>
    <row r="916" spans="2:5">
      <c r="B916" t="s">
        <v>332</v>
      </c>
      <c r="C916" t="s">
        <v>72</v>
      </c>
      <c r="D916" s="161">
        <v>1.7647323333333336E-2</v>
      </c>
      <c r="E916" s="161">
        <v>35700</v>
      </c>
    </row>
    <row r="917" spans="2:5">
      <c r="B917" t="s">
        <v>451</v>
      </c>
      <c r="C917"/>
      <c r="D917" s="161">
        <v>1.7647323333333336E-2</v>
      </c>
      <c r="E917" s="161">
        <v>35700</v>
      </c>
    </row>
    <row r="918" spans="2:5">
      <c r="B918" t="s">
        <v>159</v>
      </c>
      <c r="C918" t="s">
        <v>0</v>
      </c>
      <c r="D918" s="161">
        <v>0.9416000000000001</v>
      </c>
      <c r="E918" s="161">
        <v>120</v>
      </c>
    </row>
    <row r="919" spans="2:5">
      <c r="B919" t="s">
        <v>452</v>
      </c>
      <c r="C919"/>
      <c r="D919" s="161">
        <v>0.9416000000000001</v>
      </c>
      <c r="E919" s="161">
        <v>120</v>
      </c>
    </row>
    <row r="920" spans="2:5">
      <c r="B920" t="s">
        <v>112</v>
      </c>
      <c r="C920" t="s">
        <v>29</v>
      </c>
      <c r="D920" s="161">
        <v>195.39545000000001</v>
      </c>
      <c r="E920" s="161">
        <v>78.989999999999995</v>
      </c>
    </row>
    <row r="921" spans="2:5">
      <c r="B921" t="s">
        <v>453</v>
      </c>
      <c r="C921"/>
      <c r="D921" s="161">
        <v>195.39545000000001</v>
      </c>
      <c r="E921" s="161">
        <v>78.989999999999995</v>
      </c>
    </row>
    <row r="922" spans="2:5">
      <c r="B922" t="s">
        <v>109</v>
      </c>
      <c r="C922" t="s">
        <v>22</v>
      </c>
      <c r="D922" s="161">
        <v>838.53452000000004</v>
      </c>
      <c r="E922" s="161">
        <v>1.61</v>
      </c>
    </row>
    <row r="923" spans="2:5">
      <c r="B923" t="s">
        <v>454</v>
      </c>
      <c r="C923"/>
      <c r="D923" s="161">
        <v>838.53452000000004</v>
      </c>
      <c r="E923" s="161">
        <v>1.61</v>
      </c>
    </row>
    <row r="924" spans="2:5">
      <c r="B924" t="s">
        <v>102</v>
      </c>
      <c r="C924" t="s">
        <v>29</v>
      </c>
      <c r="D924" s="161">
        <v>194.30868000000004</v>
      </c>
      <c r="E924" s="161">
        <v>137.01</v>
      </c>
    </row>
    <row r="925" spans="2:5">
      <c r="B925" t="s">
        <v>455</v>
      </c>
      <c r="C925"/>
      <c r="D925" s="161">
        <v>194.30868000000004</v>
      </c>
      <c r="E925" s="161">
        <v>137.01</v>
      </c>
    </row>
    <row r="926" spans="2:5">
      <c r="B926" t="s">
        <v>107</v>
      </c>
      <c r="C926" t="s">
        <v>29</v>
      </c>
      <c r="D926" s="161">
        <v>67.323672000000002</v>
      </c>
      <c r="E926" s="161">
        <v>34.07</v>
      </c>
    </row>
    <row r="927" spans="2:5">
      <c r="B927" t="s">
        <v>456</v>
      </c>
      <c r="C927"/>
      <c r="D927" s="161">
        <v>67.323672000000002</v>
      </c>
      <c r="E927" s="161">
        <v>34.07</v>
      </c>
    </row>
    <row r="928" spans="2:5">
      <c r="B928" t="s">
        <v>249</v>
      </c>
      <c r="C928" t="s">
        <v>22</v>
      </c>
      <c r="D928" s="161">
        <v>35</v>
      </c>
      <c r="E928" s="161">
        <v>91.344000000000008</v>
      </c>
    </row>
    <row r="929" spans="2:5">
      <c r="B929" t="s">
        <v>457</v>
      </c>
      <c r="C929"/>
      <c r="D929" s="161">
        <v>35</v>
      </c>
      <c r="E929" s="161">
        <v>91.344000000000008</v>
      </c>
    </row>
    <row r="930" spans="2:5">
      <c r="B930" t="s">
        <v>119</v>
      </c>
      <c r="C930" t="s">
        <v>22</v>
      </c>
      <c r="D930" s="161">
        <v>90</v>
      </c>
      <c r="E930" s="161">
        <v>56</v>
      </c>
    </row>
    <row r="931" spans="2:5">
      <c r="B931" t="s">
        <v>458</v>
      </c>
      <c r="C931"/>
      <c r="D931" s="161">
        <v>90</v>
      </c>
      <c r="E931" s="161">
        <v>56</v>
      </c>
    </row>
    <row r="932" spans="2:5">
      <c r="B932" t="s">
        <v>150</v>
      </c>
      <c r="C932" t="s">
        <v>22</v>
      </c>
      <c r="D932" s="161">
        <v>4</v>
      </c>
      <c r="E932" s="161">
        <v>430</v>
      </c>
    </row>
    <row r="933" spans="2:5">
      <c r="B933" t="s">
        <v>459</v>
      </c>
      <c r="C933"/>
      <c r="D933" s="161">
        <v>4</v>
      </c>
      <c r="E933" s="161">
        <v>430</v>
      </c>
    </row>
    <row r="934" spans="2:5">
      <c r="B934" t="s">
        <v>251</v>
      </c>
      <c r="C934" t="s">
        <v>22</v>
      </c>
      <c r="D934" s="161">
        <v>22</v>
      </c>
      <c r="E934" s="161">
        <v>154.84700000000004</v>
      </c>
    </row>
    <row r="935" spans="2:5">
      <c r="B935" t="s">
        <v>460</v>
      </c>
      <c r="C935"/>
      <c r="D935" s="161">
        <v>22</v>
      </c>
      <c r="E935" s="161">
        <v>154.84700000000004</v>
      </c>
    </row>
    <row r="936" spans="2:5">
      <c r="B936" t="s">
        <v>151</v>
      </c>
      <c r="C936" t="s">
        <v>22</v>
      </c>
      <c r="D936" s="161">
        <v>152.92250000000001</v>
      </c>
      <c r="E936" s="161">
        <v>0.38</v>
      </c>
    </row>
    <row r="937" spans="2:5">
      <c r="B937" t="s">
        <v>461</v>
      </c>
      <c r="C937"/>
      <c r="D937" s="161">
        <v>152.92250000000001</v>
      </c>
      <c r="E937" s="161">
        <v>0.38</v>
      </c>
    </row>
    <row r="938" spans="2:5">
      <c r="B938" t="s">
        <v>104</v>
      </c>
      <c r="C938" t="s">
        <v>22</v>
      </c>
      <c r="D938" s="161">
        <v>3506.0015000000003</v>
      </c>
      <c r="E938" s="161">
        <v>1.63</v>
      </c>
    </row>
    <row r="939" spans="2:5">
      <c r="B939" t="s">
        <v>462</v>
      </c>
      <c r="C939"/>
      <c r="D939" s="161">
        <v>3506.0015000000003</v>
      </c>
      <c r="E939" s="161">
        <v>1.63</v>
      </c>
    </row>
    <row r="940" spans="2:5">
      <c r="B940" t="s">
        <v>103</v>
      </c>
      <c r="C940" t="s">
        <v>22</v>
      </c>
      <c r="D940" s="161">
        <v>1938</v>
      </c>
      <c r="E940" s="161">
        <v>0.26</v>
      </c>
    </row>
    <row r="941" spans="2:5">
      <c r="B941" t="s">
        <v>463</v>
      </c>
      <c r="C941"/>
      <c r="D941" s="161">
        <v>1938</v>
      </c>
      <c r="E941" s="161">
        <v>0.26</v>
      </c>
    </row>
    <row r="942" spans="2:5">
      <c r="B942" t="s">
        <v>256</v>
      </c>
      <c r="C942" t="s">
        <v>22</v>
      </c>
      <c r="D942" s="161">
        <v>2</v>
      </c>
      <c r="E942" s="161">
        <v>511.50550000000004</v>
      </c>
    </row>
    <row r="943" spans="2:5">
      <c r="B943" t="s">
        <v>464</v>
      </c>
      <c r="C943"/>
      <c r="D943" s="161">
        <v>2</v>
      </c>
      <c r="E943" s="161">
        <v>511.50550000000004</v>
      </c>
    </row>
    <row r="944" spans="2:5">
      <c r="B944" t="s">
        <v>254</v>
      </c>
      <c r="C944" t="s">
        <v>22</v>
      </c>
      <c r="D944" s="161">
        <v>16</v>
      </c>
      <c r="E944" s="161">
        <v>682.04399999999998</v>
      </c>
    </row>
    <row r="945" spans="2:5">
      <c r="B945" t="s">
        <v>465</v>
      </c>
      <c r="C945"/>
      <c r="D945" s="161">
        <v>16</v>
      </c>
      <c r="E945" s="161">
        <v>682.04399999999998</v>
      </c>
    </row>
    <row r="946" spans="2:5">
      <c r="B946" t="s">
        <v>197</v>
      </c>
      <c r="C946" t="s">
        <v>22</v>
      </c>
      <c r="D946" s="161">
        <v>4.4000000000000004</v>
      </c>
      <c r="E946" s="161">
        <v>11.1</v>
      </c>
    </row>
    <row r="947" spans="2:5">
      <c r="B947" t="s">
        <v>466</v>
      </c>
      <c r="C947"/>
      <c r="D947" s="161">
        <v>4.4000000000000004</v>
      </c>
      <c r="E947" s="161">
        <v>11.1</v>
      </c>
    </row>
    <row r="948" spans="2:5">
      <c r="B948" t="s">
        <v>96</v>
      </c>
      <c r="C948" t="s">
        <v>29</v>
      </c>
      <c r="D948" s="161">
        <v>215.10402150000002</v>
      </c>
      <c r="E948" s="161">
        <v>5.68</v>
      </c>
    </row>
    <row r="949" spans="2:5">
      <c r="B949" t="s">
        <v>467</v>
      </c>
      <c r="C949"/>
      <c r="D949" s="161">
        <v>215.10402150000002</v>
      </c>
      <c r="E949" s="161">
        <v>5.68</v>
      </c>
    </row>
    <row r="950" spans="2:5">
      <c r="B950" t="s">
        <v>89</v>
      </c>
      <c r="C950" t="s">
        <v>91</v>
      </c>
      <c r="D950" s="161">
        <v>1.031928436E-2</v>
      </c>
      <c r="E950" s="161">
        <v>173040</v>
      </c>
    </row>
    <row r="951" spans="2:5">
      <c r="B951"/>
      <c r="C951" t="s">
        <v>72</v>
      </c>
      <c r="D951" s="161">
        <v>5.3280000000000001E-2</v>
      </c>
      <c r="E951" s="161">
        <v>57680</v>
      </c>
    </row>
    <row r="952" spans="2:5">
      <c r="B952" t="s">
        <v>468</v>
      </c>
      <c r="C952"/>
      <c r="D952" s="161">
        <v>6.3599284360000008E-2</v>
      </c>
      <c r="E952" s="161">
        <v>230720</v>
      </c>
    </row>
    <row r="953" spans="2:5">
      <c r="B953" t="s">
        <v>143</v>
      </c>
      <c r="C953" t="s">
        <v>0</v>
      </c>
      <c r="D953" s="161">
        <v>8.9937675000000006</v>
      </c>
      <c r="E953" s="161">
        <v>217.20000000000002</v>
      </c>
    </row>
    <row r="954" spans="2:5">
      <c r="B954" t="s">
        <v>469</v>
      </c>
      <c r="C954"/>
      <c r="D954" s="161">
        <v>8.9937675000000006</v>
      </c>
      <c r="E954" s="161">
        <v>217.20000000000002</v>
      </c>
    </row>
    <row r="955" spans="2:5">
      <c r="B955" t="s">
        <v>172</v>
      </c>
      <c r="C955" t="s">
        <v>173</v>
      </c>
      <c r="D955" s="161">
        <v>15.95363175</v>
      </c>
      <c r="E955" s="161">
        <v>131.6</v>
      </c>
    </row>
    <row r="956" spans="2:5">
      <c r="B956" t="s">
        <v>470</v>
      </c>
      <c r="C956"/>
      <c r="D956" s="161">
        <v>15.95363175</v>
      </c>
      <c r="E956" s="161">
        <v>131.6</v>
      </c>
    </row>
    <row r="957" spans="2:5">
      <c r="B957" t="s">
        <v>257</v>
      </c>
      <c r="C957" t="s">
        <v>22</v>
      </c>
      <c r="D957" s="161">
        <v>42</v>
      </c>
      <c r="E957" s="161">
        <v>3700</v>
      </c>
    </row>
    <row r="958" spans="2:5">
      <c r="B958" t="s">
        <v>471</v>
      </c>
      <c r="C958"/>
      <c r="D958" s="161">
        <v>42</v>
      </c>
      <c r="E958" s="161">
        <v>3700</v>
      </c>
    </row>
    <row r="959" spans="2:5">
      <c r="B959" t="s">
        <v>164</v>
      </c>
      <c r="C959" t="s">
        <v>22</v>
      </c>
      <c r="D959" s="161">
        <v>4</v>
      </c>
      <c r="E959" s="161">
        <v>12</v>
      </c>
    </row>
    <row r="960" spans="2:5">
      <c r="B960" t="s">
        <v>472</v>
      </c>
      <c r="C960"/>
      <c r="D960" s="161">
        <v>4</v>
      </c>
      <c r="E960" s="161">
        <v>12</v>
      </c>
    </row>
    <row r="961" spans="2:5">
      <c r="B961" t="s">
        <v>208</v>
      </c>
      <c r="C961" t="s">
        <v>72</v>
      </c>
      <c r="D961" s="161">
        <v>0.47931029400000014</v>
      </c>
      <c r="E961" s="161">
        <v>31500</v>
      </c>
    </row>
    <row r="962" spans="2:5">
      <c r="B962" t="s">
        <v>473</v>
      </c>
      <c r="C962"/>
      <c r="D962" s="161">
        <v>0.47931029400000014</v>
      </c>
      <c r="E962" s="161">
        <v>31500</v>
      </c>
    </row>
    <row r="963" spans="2:5">
      <c r="B963" t="s">
        <v>140</v>
      </c>
      <c r="C963" t="s">
        <v>29</v>
      </c>
      <c r="D963" s="161">
        <v>24.889949999999999</v>
      </c>
      <c r="E963" s="161">
        <v>11.5</v>
      </c>
    </row>
    <row r="964" spans="2:5">
      <c r="B964" t="s">
        <v>474</v>
      </c>
      <c r="C964"/>
      <c r="D964" s="161">
        <v>24.889949999999999</v>
      </c>
      <c r="E964" s="161">
        <v>11.5</v>
      </c>
    </row>
    <row r="965" spans="2:5">
      <c r="B965" t="s">
        <v>138</v>
      </c>
      <c r="C965" t="s">
        <v>95</v>
      </c>
      <c r="D965" s="161">
        <v>121.03530000000001</v>
      </c>
      <c r="E965" s="161">
        <v>14.6</v>
      </c>
    </row>
    <row r="966" spans="2:5">
      <c r="B966" t="s">
        <v>475</v>
      </c>
      <c r="C966"/>
      <c r="D966" s="161">
        <v>121.03530000000001</v>
      </c>
      <c r="E966" s="161">
        <v>14.6</v>
      </c>
    </row>
    <row r="967" spans="2:5">
      <c r="B967" t="s">
        <v>176</v>
      </c>
      <c r="C967" t="s">
        <v>29</v>
      </c>
      <c r="D967" s="161">
        <v>48.615000000000002</v>
      </c>
      <c r="E967" s="161">
        <v>14.7</v>
      </c>
    </row>
    <row r="968" spans="2:5">
      <c r="B968" t="s">
        <v>476</v>
      </c>
      <c r="C968"/>
      <c r="D968" s="161">
        <v>48.615000000000002</v>
      </c>
      <c r="E968" s="161">
        <v>14.7</v>
      </c>
    </row>
    <row r="969" spans="2:5">
      <c r="B969" t="s">
        <v>241</v>
      </c>
      <c r="C969" t="s">
        <v>22</v>
      </c>
      <c r="D969" s="161">
        <v>100</v>
      </c>
      <c r="E969" s="161">
        <v>0.87526999999999999</v>
      </c>
    </row>
    <row r="970" spans="2:5">
      <c r="B970" t="s">
        <v>477</v>
      </c>
      <c r="C970"/>
      <c r="D970" s="161">
        <v>100</v>
      </c>
      <c r="E970" s="161">
        <v>0.87526999999999999</v>
      </c>
    </row>
    <row r="971" spans="2:5">
      <c r="B971" t="s">
        <v>88</v>
      </c>
      <c r="C971" t="s">
        <v>72</v>
      </c>
      <c r="D971" s="161">
        <v>7.0813924991999997</v>
      </c>
      <c r="E971" s="161">
        <v>29000</v>
      </c>
    </row>
    <row r="972" spans="2:5">
      <c r="B972" t="s">
        <v>478</v>
      </c>
      <c r="C972"/>
      <c r="D972" s="161">
        <v>7.0813924991999997</v>
      </c>
      <c r="E972" s="161">
        <v>29000</v>
      </c>
    </row>
    <row r="973" spans="2:5">
      <c r="B973" t="s">
        <v>141</v>
      </c>
      <c r="C973" t="s">
        <v>142</v>
      </c>
      <c r="D973" s="161">
        <v>599.58450000000005</v>
      </c>
      <c r="E973" s="161">
        <v>67.679999999999993</v>
      </c>
    </row>
    <row r="974" spans="2:5">
      <c r="B974" t="s">
        <v>479</v>
      </c>
      <c r="C974"/>
      <c r="D974" s="161">
        <v>599.58450000000005</v>
      </c>
      <c r="E974" s="161">
        <v>67.679999999999993</v>
      </c>
    </row>
    <row r="975" spans="2:5">
      <c r="B975" t="s">
        <v>170</v>
      </c>
      <c r="C975" t="s">
        <v>95</v>
      </c>
      <c r="D975" s="161">
        <v>16.764579999999999</v>
      </c>
      <c r="E975" s="161">
        <v>341.6</v>
      </c>
    </row>
    <row r="976" spans="2:5">
      <c r="B976" t="s">
        <v>480</v>
      </c>
      <c r="C976"/>
      <c r="D976" s="161">
        <v>16.764579999999999</v>
      </c>
      <c r="E976" s="161">
        <v>341.6</v>
      </c>
    </row>
    <row r="977" spans="2:5">
      <c r="B977" t="s">
        <v>171</v>
      </c>
      <c r="C977" t="s">
        <v>95</v>
      </c>
      <c r="D977" s="161">
        <v>150.2491435</v>
      </c>
      <c r="E977" s="161">
        <v>120</v>
      </c>
    </row>
    <row r="978" spans="2:5">
      <c r="B978" t="s">
        <v>481</v>
      </c>
      <c r="C978"/>
      <c r="D978" s="161">
        <v>150.2491435</v>
      </c>
      <c r="E978" s="161">
        <v>120</v>
      </c>
    </row>
    <row r="979" spans="2:5">
      <c r="B979" t="s">
        <v>139</v>
      </c>
      <c r="C979" t="s">
        <v>95</v>
      </c>
      <c r="D979" s="161">
        <v>6200.8454999999994</v>
      </c>
      <c r="E979" s="161">
        <v>67.2</v>
      </c>
    </row>
    <row r="980" spans="2:5">
      <c r="B980" t="s">
        <v>482</v>
      </c>
      <c r="C980"/>
      <c r="D980" s="161">
        <v>6200.8454999999994</v>
      </c>
      <c r="E980" s="161">
        <v>67.2</v>
      </c>
    </row>
    <row r="981" spans="2:5">
      <c r="B981" t="s">
        <v>224</v>
      </c>
      <c r="C981" t="s">
        <v>22</v>
      </c>
      <c r="D981" s="161">
        <v>1</v>
      </c>
      <c r="E981" s="161">
        <v>2884</v>
      </c>
    </row>
    <row r="982" spans="2:5">
      <c r="B982" t="s">
        <v>483</v>
      </c>
      <c r="C982"/>
      <c r="D982" s="161">
        <v>1</v>
      </c>
      <c r="E982" s="161">
        <v>2884</v>
      </c>
    </row>
    <row r="983" spans="2:5">
      <c r="B983" t="s">
        <v>380</v>
      </c>
      <c r="C983" t="s">
        <v>380</v>
      </c>
      <c r="D983" s="161">
        <v>0</v>
      </c>
      <c r="E983" s="161">
        <v>0</v>
      </c>
    </row>
    <row r="984" spans="2:5">
      <c r="B984"/>
      <c r="C984" t="s">
        <v>382</v>
      </c>
      <c r="D984" s="161">
        <v>0</v>
      </c>
      <c r="E984" s="161">
        <v>0</v>
      </c>
    </row>
    <row r="985" spans="2:5">
      <c r="B985" t="s">
        <v>484</v>
      </c>
      <c r="C985"/>
      <c r="D985" s="161">
        <v>0</v>
      </c>
      <c r="E985" s="161">
        <v>0</v>
      </c>
    </row>
    <row r="986" spans="2:5">
      <c r="B986" t="s">
        <v>381</v>
      </c>
      <c r="C986" t="s">
        <v>381</v>
      </c>
      <c r="D986" s="161" t="e">
        <v>#REF!</v>
      </c>
      <c r="E986" s="161" t="e">
        <v>#REF!</v>
      </c>
    </row>
    <row r="987" spans="2:5">
      <c r="B987" t="s">
        <v>485</v>
      </c>
      <c r="C987"/>
      <c r="D987" s="161" t="e">
        <v>#REF!</v>
      </c>
      <c r="E987" s="161" t="e">
        <v>#REF!</v>
      </c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</row>
    <row r="1125" spans="2:3">
      <c r="B1125"/>
    </row>
    <row r="1126" spans="2:3">
      <c r="B1126"/>
    </row>
    <row r="1127" spans="2:3">
      <c r="B1127"/>
    </row>
    <row r="1128" spans="2:3">
      <c r="B1128"/>
    </row>
    <row r="1129" spans="2:3">
      <c r="B1129"/>
    </row>
    <row r="1130" spans="2:3">
      <c r="B1130"/>
    </row>
    <row r="1131" spans="2:3">
      <c r="B1131"/>
    </row>
    <row r="1132" spans="2:3">
      <c r="B1132"/>
    </row>
    <row r="1133" spans="2:3">
      <c r="B1133"/>
    </row>
    <row r="1134" spans="2:3">
      <c r="B1134"/>
    </row>
    <row r="1135" spans="2:3">
      <c r="B1135"/>
    </row>
    <row r="1136" spans="2:3">
      <c r="B1136"/>
    </row>
    <row r="1137" spans="2:2">
      <c r="B1137"/>
    </row>
    <row r="1138" spans="2:2">
      <c r="B1138"/>
    </row>
    <row r="1139" spans="2:2">
      <c r="B1139"/>
    </row>
    <row r="1140" spans="2:2">
      <c r="B1140"/>
    </row>
    <row r="1141" spans="2:2">
      <c r="B1141"/>
    </row>
    <row r="1142" spans="2:2">
      <c r="B1142"/>
    </row>
    <row r="1143" spans="2:2">
      <c r="B1143"/>
    </row>
    <row r="1144" spans="2:2">
      <c r="B1144"/>
    </row>
    <row r="1145" spans="2:2">
      <c r="B1145"/>
    </row>
    <row r="1146" spans="2:2">
      <c r="B1146"/>
    </row>
    <row r="1147" spans="2:2">
      <c r="B1147"/>
    </row>
    <row r="1148" spans="2:2">
      <c r="B1148"/>
    </row>
    <row r="1149" spans="2:2">
      <c r="B1149"/>
    </row>
    <row r="1150" spans="2:2">
      <c r="B1150"/>
    </row>
    <row r="1151" spans="2:2">
      <c r="B1151"/>
    </row>
    <row r="1152" spans="2:2">
      <c r="B1152"/>
    </row>
    <row r="1153" spans="2:2">
      <c r="B1153"/>
    </row>
    <row r="1154" spans="2:2">
      <c r="B1154"/>
    </row>
    <row r="1155" spans="2:2">
      <c r="B1155"/>
    </row>
    <row r="1156" spans="2:2">
      <c r="B1156"/>
    </row>
    <row r="1157" spans="2:2">
      <c r="B1157"/>
    </row>
    <row r="1158" spans="2:2">
      <c r="B1158"/>
    </row>
    <row r="1159" spans="2:2">
      <c r="B1159"/>
    </row>
    <row r="1160" spans="2:2">
      <c r="B1160"/>
    </row>
    <row r="1161" spans="2:2">
      <c r="B1161"/>
    </row>
    <row r="1162" spans="2:2">
      <c r="B1162"/>
    </row>
    <row r="1163" spans="2:2">
      <c r="B1163"/>
    </row>
    <row r="1164" spans="2:2">
      <c r="B1164"/>
    </row>
    <row r="1165" spans="2:2">
      <c r="B1165"/>
    </row>
    <row r="1166" spans="2:2">
      <c r="B1166"/>
    </row>
    <row r="1167" spans="2:2">
      <c r="B1167"/>
    </row>
    <row r="1168" spans="2:2">
      <c r="B1168"/>
    </row>
    <row r="1169" spans="2:2">
      <c r="B1169"/>
    </row>
    <row r="1170" spans="2:2">
      <c r="B1170"/>
    </row>
    <row r="1171" spans="2:2">
      <c r="B1171"/>
    </row>
    <row r="1172" spans="2:2">
      <c r="B1172"/>
    </row>
    <row r="1173" spans="2:2">
      <c r="B1173"/>
    </row>
    <row r="1174" spans="2:2">
      <c r="B1174"/>
    </row>
    <row r="1175" spans="2:2">
      <c r="B1175"/>
    </row>
    <row r="1176" spans="2:2">
      <c r="B1176"/>
    </row>
    <row r="1177" spans="2:2">
      <c r="B1177"/>
    </row>
    <row r="1178" spans="2:2">
      <c r="B1178"/>
    </row>
    <row r="1179" spans="2:2">
      <c r="B1179"/>
    </row>
    <row r="1180" spans="2:2">
      <c r="B1180"/>
    </row>
    <row r="1181" spans="2:2">
      <c r="B1181"/>
    </row>
    <row r="1182" spans="2:2">
      <c r="B1182"/>
    </row>
    <row r="1183" spans="2:2">
      <c r="B1183"/>
    </row>
    <row r="1184" spans="2:2">
      <c r="B1184"/>
    </row>
    <row r="1185" spans="2:2">
      <c r="B1185"/>
    </row>
    <row r="1186" spans="2:2">
      <c r="B1186"/>
    </row>
    <row r="1187" spans="2:2">
      <c r="B1187"/>
    </row>
    <row r="1188" spans="2:2">
      <c r="B1188"/>
    </row>
    <row r="1189" spans="2:2">
      <c r="B1189"/>
    </row>
    <row r="1190" spans="2:2">
      <c r="B1190"/>
    </row>
    <row r="1191" spans="2:2">
      <c r="B1191"/>
    </row>
    <row r="1192" spans="2:2">
      <c r="B1192"/>
    </row>
    <row r="1193" spans="2:2">
      <c r="B1193"/>
    </row>
    <row r="1194" spans="2:2">
      <c r="B1194"/>
    </row>
    <row r="1195" spans="2:2">
      <c r="B1195"/>
    </row>
    <row r="1196" spans="2:2">
      <c r="B1196"/>
    </row>
    <row r="1197" spans="2:2">
      <c r="B1197"/>
    </row>
    <row r="1198" spans="2:2">
      <c r="B1198"/>
    </row>
    <row r="1199" spans="2:2">
      <c r="B1199"/>
    </row>
    <row r="1200" spans="2:2">
      <c r="B1200"/>
    </row>
    <row r="1201" spans="2:2">
      <c r="B1201"/>
    </row>
    <row r="1202" spans="2:2">
      <c r="B1202"/>
    </row>
    <row r="1203" spans="2:2">
      <c r="B1203"/>
    </row>
    <row r="1204" spans="2:2">
      <c r="B1204"/>
    </row>
    <row r="1205" spans="2:2">
      <c r="B1205"/>
    </row>
    <row r="1206" spans="2:2">
      <c r="B1206"/>
    </row>
    <row r="1207" spans="2:2">
      <c r="B1207"/>
    </row>
    <row r="1208" spans="2:2">
      <c r="B1208"/>
    </row>
    <row r="1209" spans="2:2">
      <c r="B1209"/>
    </row>
    <row r="1210" spans="2:2">
      <c r="B1210"/>
    </row>
    <row r="1211" spans="2:2">
      <c r="B1211"/>
    </row>
    <row r="1212" spans="2:2">
      <c r="B1212"/>
    </row>
    <row r="1213" spans="2:2">
      <c r="B1213"/>
    </row>
    <row r="1214" spans="2:2">
      <c r="B1214"/>
    </row>
    <row r="1215" spans="2:2">
      <c r="B1215"/>
    </row>
    <row r="1216" spans="2:2">
      <c r="B1216"/>
    </row>
    <row r="1217" spans="2:2">
      <c r="B1217"/>
    </row>
    <row r="1218" spans="2:2">
      <c r="B1218"/>
    </row>
    <row r="1219" spans="2:2">
      <c r="B1219"/>
    </row>
    <row r="1220" spans="2:2">
      <c r="B1220"/>
    </row>
    <row r="1221" spans="2:2">
      <c r="B1221"/>
    </row>
    <row r="1222" spans="2:2">
      <c r="B1222"/>
    </row>
    <row r="1223" spans="2:2">
      <c r="B1223"/>
    </row>
    <row r="1224" spans="2:2">
      <c r="B1224"/>
    </row>
    <row r="1225" spans="2:2">
      <c r="B1225"/>
    </row>
    <row r="1226" spans="2:2">
      <c r="B1226"/>
    </row>
    <row r="1227" spans="2:2">
      <c r="B1227"/>
    </row>
    <row r="1228" spans="2:2">
      <c r="B1228"/>
    </row>
    <row r="1229" spans="2:2">
      <c r="B1229"/>
    </row>
    <row r="1230" spans="2:2">
      <c r="B1230"/>
    </row>
    <row r="1231" spans="2:2">
      <c r="B1231"/>
    </row>
    <row r="1232" spans="2:2">
      <c r="B1232"/>
    </row>
    <row r="1233" spans="2:2">
      <c r="B1233"/>
    </row>
    <row r="1234" spans="2:2">
      <c r="B1234"/>
    </row>
    <row r="1235" spans="2:2">
      <c r="B1235"/>
    </row>
    <row r="1236" spans="2:2">
      <c r="B1236"/>
    </row>
    <row r="1237" spans="2:2">
      <c r="B1237"/>
    </row>
    <row r="1238" spans="2:2">
      <c r="B1238"/>
    </row>
    <row r="1239" spans="2:2">
      <c r="B1239"/>
    </row>
    <row r="1240" spans="2:2">
      <c r="B1240"/>
    </row>
    <row r="1241" spans="2:2">
      <c r="B1241"/>
    </row>
    <row r="1242" spans="2:2">
      <c r="B1242"/>
    </row>
    <row r="1243" spans="2:2">
      <c r="B1243"/>
    </row>
    <row r="1244" spans="2:2">
      <c r="B1244"/>
    </row>
    <row r="1245" spans="2:2">
      <c r="B1245"/>
    </row>
    <row r="1246" spans="2:2">
      <c r="B1246"/>
    </row>
    <row r="1247" spans="2:2">
      <c r="B1247"/>
    </row>
    <row r="1248" spans="2:2">
      <c r="B1248"/>
    </row>
    <row r="1249" spans="2:2">
      <c r="B1249"/>
    </row>
    <row r="1250" spans="2:2">
      <c r="B1250"/>
    </row>
    <row r="1251" spans="2:2">
      <c r="B1251"/>
    </row>
    <row r="1252" spans="2:2">
      <c r="B1252"/>
    </row>
    <row r="1253" spans="2:2">
      <c r="B1253"/>
    </row>
    <row r="1254" spans="2:2">
      <c r="B1254"/>
    </row>
    <row r="1255" spans="2:2">
      <c r="B1255"/>
    </row>
    <row r="1256" spans="2:2">
      <c r="B1256"/>
    </row>
    <row r="1257" spans="2:2">
      <c r="B1257"/>
    </row>
    <row r="1258" spans="2:2">
      <c r="B1258"/>
    </row>
    <row r="1259" spans="2:2">
      <c r="B1259"/>
    </row>
    <row r="1260" spans="2:2">
      <c r="B1260"/>
    </row>
    <row r="1261" spans="2:2">
      <c r="B1261"/>
    </row>
    <row r="1262" spans="2:2">
      <c r="B1262"/>
    </row>
    <row r="1263" spans="2:2">
      <c r="B1263"/>
    </row>
    <row r="1264" spans="2:2">
      <c r="B1264"/>
    </row>
    <row r="1265" spans="2:2">
      <c r="B1265"/>
    </row>
    <row r="1266" spans="2:2">
      <c r="B1266"/>
    </row>
    <row r="1267" spans="2:2">
      <c r="B1267"/>
    </row>
    <row r="1268" spans="2:2">
      <c r="B1268"/>
    </row>
    <row r="1269" spans="2:2">
      <c r="B1269"/>
    </row>
    <row r="1270" spans="2:2">
      <c r="B1270"/>
    </row>
    <row r="1271" spans="2:2">
      <c r="B1271"/>
    </row>
    <row r="1272" spans="2:2">
      <c r="B1272"/>
    </row>
    <row r="1273" spans="2:2">
      <c r="B1273"/>
    </row>
    <row r="1274" spans="2:2">
      <c r="B1274"/>
    </row>
    <row r="1275" spans="2:2">
      <c r="B1275"/>
    </row>
    <row r="1276" spans="2:2">
      <c r="B1276"/>
    </row>
    <row r="1277" spans="2:2">
      <c r="B1277"/>
    </row>
    <row r="1278" spans="2:2">
      <c r="B1278"/>
    </row>
    <row r="1279" spans="2:2">
      <c r="B1279"/>
    </row>
    <row r="1280" spans="2:2">
      <c r="B1280"/>
    </row>
    <row r="1281" spans="2:2">
      <c r="B1281"/>
    </row>
    <row r="1282" spans="2:2">
      <c r="B1282"/>
    </row>
    <row r="1283" spans="2:2">
      <c r="B1283"/>
    </row>
    <row r="1284" spans="2:2">
      <c r="B1284"/>
    </row>
    <row r="1285" spans="2:2">
      <c r="B1285"/>
    </row>
    <row r="1286" spans="2:2">
      <c r="B1286"/>
    </row>
    <row r="1287" spans="2:2">
      <c r="B1287"/>
    </row>
    <row r="1288" spans="2:2">
      <c r="B1288"/>
    </row>
    <row r="1289" spans="2:2">
      <c r="B1289"/>
    </row>
    <row r="1290" spans="2:2">
      <c r="B1290"/>
    </row>
    <row r="1291" spans="2:2">
      <c r="B1291"/>
    </row>
    <row r="1292" spans="2:2">
      <c r="B1292"/>
    </row>
    <row r="1293" spans="2:2">
      <c r="B1293"/>
    </row>
    <row r="1294" spans="2:2">
      <c r="B1294"/>
    </row>
    <row r="1295" spans="2:2">
      <c r="B1295"/>
    </row>
    <row r="1296" spans="2:2">
      <c r="B1296"/>
    </row>
    <row r="1297" spans="2:2">
      <c r="B1297"/>
    </row>
    <row r="1298" spans="2:2">
      <c r="B1298"/>
    </row>
    <row r="1299" spans="2:2">
      <c r="B1299"/>
    </row>
    <row r="1300" spans="2:2">
      <c r="B1300"/>
    </row>
    <row r="1301" spans="2:2">
      <c r="B1301"/>
    </row>
    <row r="1302" spans="2:2">
      <c r="B1302"/>
    </row>
    <row r="1303" spans="2:2">
      <c r="B1303"/>
    </row>
    <row r="1304" spans="2:2">
      <c r="B1304"/>
    </row>
    <row r="1305" spans="2:2">
      <c r="B1305"/>
    </row>
    <row r="1306" spans="2:2">
      <c r="B1306"/>
    </row>
    <row r="1307" spans="2:2">
      <c r="B1307"/>
    </row>
    <row r="1308" spans="2:2">
      <c r="B1308"/>
    </row>
    <row r="1309" spans="2:2">
      <c r="B1309"/>
    </row>
    <row r="1310" spans="2:2">
      <c r="B1310"/>
    </row>
    <row r="1311" spans="2:2">
      <c r="B1311"/>
    </row>
    <row r="1312" spans="2:2">
      <c r="B1312"/>
    </row>
    <row r="1313" spans="2:2">
      <c r="B1313"/>
    </row>
    <row r="1314" spans="2:2">
      <c r="B1314"/>
    </row>
    <row r="1315" spans="2:2">
      <c r="B1315"/>
    </row>
    <row r="1316" spans="2:2">
      <c r="B1316"/>
    </row>
    <row r="1317" spans="2:2">
      <c r="B1317"/>
    </row>
    <row r="1318" spans="2:2">
      <c r="B1318"/>
    </row>
    <row r="1319" spans="2:2">
      <c r="B1319"/>
    </row>
    <row r="1320" spans="2:2">
      <c r="B1320"/>
    </row>
    <row r="1321" spans="2:2">
      <c r="B1321"/>
    </row>
    <row r="1322" spans="2:2">
      <c r="B1322"/>
    </row>
    <row r="1323" spans="2:2">
      <c r="B1323"/>
    </row>
    <row r="1324" spans="2:2">
      <c r="B1324"/>
    </row>
    <row r="1325" spans="2:2">
      <c r="B1325"/>
    </row>
    <row r="1326" spans="2:2">
      <c r="B1326"/>
    </row>
    <row r="1327" spans="2:2">
      <c r="B1327"/>
    </row>
    <row r="1328" spans="2:2">
      <c r="B1328"/>
    </row>
    <row r="1329" spans="2:2">
      <c r="B1329"/>
    </row>
    <row r="1330" spans="2:2">
      <c r="B1330"/>
    </row>
    <row r="1331" spans="2:2">
      <c r="B1331"/>
    </row>
    <row r="1332" spans="2:2">
      <c r="B1332"/>
    </row>
    <row r="1333" spans="2:2">
      <c r="B1333"/>
    </row>
    <row r="1334" spans="2:2">
      <c r="B1334"/>
    </row>
    <row r="1335" spans="2:2">
      <c r="B1335"/>
    </row>
    <row r="1336" spans="2:2">
      <c r="B1336"/>
    </row>
    <row r="1337" spans="2:2">
      <c r="B1337"/>
    </row>
    <row r="1338" spans="2:2">
      <c r="B1338"/>
    </row>
    <row r="1339" spans="2:2">
      <c r="B1339"/>
    </row>
    <row r="1340" spans="2:2">
      <c r="B1340"/>
    </row>
    <row r="1341" spans="2:2">
      <c r="B1341"/>
    </row>
    <row r="1342" spans="2:2">
      <c r="B1342"/>
    </row>
    <row r="1343" spans="2:2">
      <c r="B1343"/>
    </row>
    <row r="1344" spans="2:2">
      <c r="B1344"/>
    </row>
    <row r="1345" spans="2:2">
      <c r="B1345"/>
    </row>
    <row r="1346" spans="2:2">
      <c r="B1346"/>
    </row>
    <row r="1347" spans="2:2">
      <c r="B1347"/>
    </row>
    <row r="1348" spans="2:2">
      <c r="B1348"/>
    </row>
    <row r="1349" spans="2:2">
      <c r="B1349"/>
    </row>
    <row r="1350" spans="2:2">
      <c r="B1350"/>
    </row>
    <row r="1351" spans="2:2">
      <c r="B1351"/>
    </row>
    <row r="1352" spans="2:2">
      <c r="B1352"/>
    </row>
    <row r="1353" spans="2:2">
      <c r="B1353"/>
    </row>
    <row r="1354" spans="2:2">
      <c r="B1354"/>
    </row>
    <row r="1355" spans="2:2">
      <c r="B1355"/>
    </row>
    <row r="1356" spans="2:2">
      <c r="B1356"/>
    </row>
    <row r="1357" spans="2:2">
      <c r="B1357"/>
    </row>
    <row r="1358" spans="2:2">
      <c r="B1358"/>
    </row>
    <row r="1359" spans="2:2">
      <c r="B1359"/>
    </row>
    <row r="1360" spans="2:2">
      <c r="B1360"/>
    </row>
    <row r="1361" spans="2:2">
      <c r="B1361"/>
    </row>
    <row r="1362" spans="2:2">
      <c r="B1362"/>
    </row>
    <row r="1363" spans="2:2">
      <c r="B1363"/>
    </row>
  </sheetData>
  <sortState ref="B191:G517">
    <sortCondition ref="B190"/>
  </sortState>
  <dataConsolidate>
    <dataRefs count="1">
      <dataRef ref="B191:G193" sheet="Материал"/>
    </dataRefs>
  </dataConsolidate>
  <pageMargins left="0.70866141732283472" right="0.70866141732283472" top="0.74803149606299213" bottom="0.74803149606299213" header="0.31496062992125984" footer="0.31496062992125984"/>
  <pageSetup paperSize="9" scale="90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6"/>
  <sheetViews>
    <sheetView topLeftCell="B1" workbookViewId="0">
      <selection activeCell="B1" sqref="A1:XFD206"/>
    </sheetView>
  </sheetViews>
  <sheetFormatPr defaultRowHeight="15"/>
  <cols>
    <col min="1" max="1" width="9.140625" hidden="1" customWidth="1"/>
    <col min="2" max="2" width="41.28515625" style="65" customWidth="1"/>
    <col min="5" max="5" width="0" hidden="1" customWidth="1"/>
    <col min="7" max="8" width="0" hidden="1" customWidth="1"/>
    <col min="10" max="10" width="0" hidden="1" customWidth="1"/>
  </cols>
  <sheetData>
    <row r="1" spans="1:10">
      <c r="B1" s="246" t="s">
        <v>493</v>
      </c>
      <c r="C1" s="246"/>
      <c r="D1" s="246"/>
      <c r="E1" s="246"/>
      <c r="F1" s="246"/>
      <c r="G1" s="246"/>
      <c r="H1" s="246"/>
      <c r="I1" s="246"/>
    </row>
    <row r="2" spans="1:10">
      <c r="B2" s="166" t="s">
        <v>18</v>
      </c>
    </row>
    <row r="3" spans="1:10">
      <c r="A3" s="52" t="s">
        <v>181</v>
      </c>
      <c r="B3" s="48" t="s">
        <v>90</v>
      </c>
      <c r="C3" s="52" t="s">
        <v>91</v>
      </c>
      <c r="D3" s="52">
        <v>2.3999999999999998E-3</v>
      </c>
      <c r="E3" s="52"/>
      <c r="F3" s="52">
        <v>33500</v>
      </c>
      <c r="G3" s="52"/>
      <c r="H3" s="52"/>
      <c r="I3" s="52">
        <v>35.210175000000007</v>
      </c>
      <c r="J3" s="52"/>
    </row>
    <row r="4" spans="1:10">
      <c r="A4" s="52" t="s">
        <v>181</v>
      </c>
      <c r="B4" s="48" t="s">
        <v>100</v>
      </c>
      <c r="C4" s="52" t="s">
        <v>0</v>
      </c>
      <c r="D4" s="52">
        <v>229.3</v>
      </c>
      <c r="E4" s="52"/>
      <c r="F4" s="52">
        <v>124.62</v>
      </c>
      <c r="G4" s="52"/>
      <c r="H4" s="52"/>
      <c r="I4" s="52">
        <v>25867.373400000004</v>
      </c>
      <c r="J4" s="52"/>
    </row>
    <row r="5" spans="1:10">
      <c r="A5" s="52" t="s">
        <v>181</v>
      </c>
      <c r="B5" s="48" t="s">
        <v>93</v>
      </c>
      <c r="C5" s="52" t="s">
        <v>0</v>
      </c>
      <c r="D5" s="52">
        <v>66.900000000000006</v>
      </c>
      <c r="E5" s="52"/>
      <c r="F5" s="52">
        <v>124.62</v>
      </c>
      <c r="G5" s="52"/>
      <c r="H5" s="52"/>
      <c r="I5" s="52">
        <v>3836.3962927200005</v>
      </c>
      <c r="J5" s="52"/>
    </row>
    <row r="6" spans="1:10">
      <c r="A6" s="52" t="s">
        <v>181</v>
      </c>
      <c r="B6" s="48" t="s">
        <v>98</v>
      </c>
      <c r="C6" s="52" t="s">
        <v>99</v>
      </c>
      <c r="D6" s="52">
        <v>18.5</v>
      </c>
      <c r="E6" s="52"/>
      <c r="F6" s="52">
        <v>55.6</v>
      </c>
      <c r="G6" s="52"/>
      <c r="H6" s="52"/>
      <c r="I6" s="52">
        <v>567.12000000000012</v>
      </c>
      <c r="J6" s="52"/>
    </row>
    <row r="7" spans="1:10">
      <c r="A7" s="52" t="s">
        <v>181</v>
      </c>
      <c r="B7" s="48" t="s">
        <v>331</v>
      </c>
      <c r="C7" s="52" t="s">
        <v>95</v>
      </c>
      <c r="D7" s="52">
        <v>1.6014450000000002</v>
      </c>
      <c r="E7" s="52"/>
      <c r="F7" s="52">
        <v>97.2</v>
      </c>
      <c r="G7" s="52"/>
      <c r="H7" s="52"/>
      <c r="I7" s="52">
        <v>155.66045400000002</v>
      </c>
      <c r="J7" s="52"/>
    </row>
    <row r="8" spans="1:10">
      <c r="A8" s="52" t="s">
        <v>181</v>
      </c>
      <c r="B8" s="48" t="s">
        <v>97</v>
      </c>
      <c r="C8" s="52" t="s">
        <v>29</v>
      </c>
      <c r="D8" s="52">
        <v>156.9</v>
      </c>
      <c r="E8" s="52"/>
      <c r="F8" s="52">
        <v>8.3000000000000007</v>
      </c>
      <c r="G8" s="52"/>
      <c r="H8" s="52"/>
      <c r="I8" s="52">
        <v>507.96000000000004</v>
      </c>
      <c r="J8" s="52"/>
    </row>
    <row r="9" spans="1:10">
      <c r="A9" s="52" t="s">
        <v>181</v>
      </c>
      <c r="B9" s="48" t="s">
        <v>87</v>
      </c>
      <c r="C9" s="52" t="s">
        <v>22</v>
      </c>
      <c r="D9" s="52">
        <v>326</v>
      </c>
      <c r="E9" s="52"/>
      <c r="F9" s="52">
        <v>0.6</v>
      </c>
      <c r="G9" s="52"/>
      <c r="H9" s="52"/>
      <c r="I9" s="52">
        <v>67.442000000000007</v>
      </c>
      <c r="J9" s="52"/>
    </row>
    <row r="10" spans="1:10">
      <c r="A10" s="52" t="s">
        <v>181</v>
      </c>
      <c r="B10" s="48" t="s">
        <v>92</v>
      </c>
      <c r="C10" s="52" t="s">
        <v>22</v>
      </c>
      <c r="D10" s="52">
        <v>430</v>
      </c>
      <c r="E10" s="52"/>
      <c r="F10" s="52">
        <v>12.5</v>
      </c>
      <c r="G10" s="52"/>
      <c r="H10" s="52"/>
      <c r="I10" s="52">
        <v>716.62500000000011</v>
      </c>
      <c r="J10" s="52"/>
    </row>
    <row r="11" spans="1:10" ht="30">
      <c r="A11" s="52" t="s">
        <v>181</v>
      </c>
      <c r="B11" s="48" t="s">
        <v>105</v>
      </c>
      <c r="C11" s="52" t="s">
        <v>0</v>
      </c>
      <c r="D11" s="52">
        <v>89.67</v>
      </c>
      <c r="E11" s="52"/>
      <c r="F11" s="52">
        <v>174.93</v>
      </c>
      <c r="G11" s="52"/>
      <c r="H11" s="52"/>
      <c r="I11" s="52">
        <f>F11*D11</f>
        <v>15685.973100000001</v>
      </c>
      <c r="J11" s="52"/>
    </row>
    <row r="12" spans="1:10">
      <c r="A12" s="52" t="s">
        <v>181</v>
      </c>
      <c r="B12" s="48" t="s">
        <v>101</v>
      </c>
      <c r="C12" s="52" t="s">
        <v>29</v>
      </c>
      <c r="D12" s="52">
        <v>87.05</v>
      </c>
      <c r="E12" s="52"/>
      <c r="F12" s="52">
        <v>34</v>
      </c>
      <c r="G12" s="52"/>
      <c r="H12" s="52"/>
      <c r="I12" s="52">
        <f>F12*D12</f>
        <v>2959.7</v>
      </c>
      <c r="J12" s="52"/>
    </row>
    <row r="13" spans="1:10">
      <c r="A13" s="52" t="s">
        <v>181</v>
      </c>
      <c r="B13" s="48" t="s">
        <v>111</v>
      </c>
      <c r="C13" s="52" t="s">
        <v>29</v>
      </c>
      <c r="D13" s="52">
        <v>18.291</v>
      </c>
      <c r="E13" s="52"/>
      <c r="F13" s="52">
        <v>14.7</v>
      </c>
      <c r="G13" s="52"/>
      <c r="H13" s="52"/>
      <c r="I13" s="52">
        <v>268.8777</v>
      </c>
      <c r="J13" s="52"/>
    </row>
    <row r="14" spans="1:10">
      <c r="A14" s="52" t="s">
        <v>181</v>
      </c>
      <c r="B14" s="48" t="s">
        <v>106</v>
      </c>
      <c r="C14" s="52" t="s">
        <v>29</v>
      </c>
      <c r="D14" s="52">
        <v>35.100376000000004</v>
      </c>
      <c r="E14" s="52"/>
      <c r="F14" s="52">
        <v>27.1</v>
      </c>
      <c r="G14" s="52"/>
      <c r="H14" s="52"/>
      <c r="I14" s="52">
        <v>951.22018960000014</v>
      </c>
      <c r="J14" s="52"/>
    </row>
    <row r="15" spans="1:10">
      <c r="A15" s="52" t="s">
        <v>181</v>
      </c>
      <c r="B15" s="48" t="s">
        <v>108</v>
      </c>
      <c r="C15" s="52" t="s">
        <v>22</v>
      </c>
      <c r="D15" s="52">
        <v>54</v>
      </c>
      <c r="E15" s="52"/>
      <c r="F15" s="52">
        <v>3.5</v>
      </c>
      <c r="G15" s="52"/>
      <c r="H15" s="52"/>
      <c r="I15" s="52">
        <f>F15*D15</f>
        <v>189</v>
      </c>
      <c r="J15" s="52"/>
    </row>
    <row r="16" spans="1:10">
      <c r="A16" s="52" t="s">
        <v>181</v>
      </c>
      <c r="B16" s="48" t="s">
        <v>332</v>
      </c>
      <c r="C16" s="52" t="s">
        <v>72</v>
      </c>
      <c r="D16" s="52">
        <v>1.7647323333333336E-2</v>
      </c>
      <c r="E16" s="52"/>
      <c r="F16" s="52">
        <v>35700</v>
      </c>
      <c r="G16" s="52"/>
      <c r="H16" s="52"/>
      <c r="I16" s="52">
        <v>630.00944300000015</v>
      </c>
      <c r="J16" s="52"/>
    </row>
    <row r="17" spans="1:10">
      <c r="A17" s="52" t="s">
        <v>181</v>
      </c>
      <c r="B17" s="48" t="s">
        <v>112</v>
      </c>
      <c r="C17" s="52" t="s">
        <v>29</v>
      </c>
      <c r="D17" s="52">
        <v>35.7378</v>
      </c>
      <c r="E17" s="52"/>
      <c r="F17" s="52">
        <v>26.33</v>
      </c>
      <c r="G17" s="52"/>
      <c r="H17" s="52"/>
      <c r="I17" s="52">
        <v>940.97627399999999</v>
      </c>
      <c r="J17" s="52"/>
    </row>
    <row r="18" spans="1:10">
      <c r="A18" s="52" t="s">
        <v>181</v>
      </c>
      <c r="B18" s="48" t="s">
        <v>109</v>
      </c>
      <c r="C18" s="52" t="s">
        <v>22</v>
      </c>
      <c r="D18" s="52">
        <v>615</v>
      </c>
      <c r="E18" s="52"/>
      <c r="F18" s="52">
        <v>0.23</v>
      </c>
      <c r="G18" s="52"/>
      <c r="H18" s="52"/>
      <c r="I18" s="52">
        <f>F18*D18</f>
        <v>141.45000000000002</v>
      </c>
      <c r="J18" s="52"/>
    </row>
    <row r="19" spans="1:10">
      <c r="A19" s="52" t="s">
        <v>181</v>
      </c>
      <c r="B19" s="48" t="s">
        <v>102</v>
      </c>
      <c r="C19" s="52" t="s">
        <v>29</v>
      </c>
      <c r="D19" s="52">
        <v>195</v>
      </c>
      <c r="E19" s="52"/>
      <c r="F19" s="52">
        <v>45.67</v>
      </c>
      <c r="G19" s="52"/>
      <c r="H19" s="52"/>
      <c r="I19" s="52">
        <f>F19*D19</f>
        <v>8905.65</v>
      </c>
      <c r="J19" s="52"/>
    </row>
    <row r="20" spans="1:10">
      <c r="A20" s="52" t="s">
        <v>181</v>
      </c>
      <c r="B20" s="48" t="s">
        <v>107</v>
      </c>
      <c r="C20" s="52" t="s">
        <v>29</v>
      </c>
      <c r="D20" s="52">
        <v>67.323672000000002</v>
      </c>
      <c r="E20" s="52"/>
      <c r="F20" s="52">
        <v>34.07</v>
      </c>
      <c r="G20" s="52"/>
      <c r="H20" s="52"/>
      <c r="I20" s="52">
        <v>2293.7175050400001</v>
      </c>
      <c r="J20" s="52"/>
    </row>
    <row r="21" spans="1:10">
      <c r="A21" s="52" t="s">
        <v>181</v>
      </c>
      <c r="B21" s="48" t="s">
        <v>104</v>
      </c>
      <c r="C21" s="52" t="s">
        <v>22</v>
      </c>
      <c r="D21" s="52">
        <v>2409</v>
      </c>
      <c r="E21" s="52"/>
      <c r="F21" s="52">
        <v>0.24</v>
      </c>
      <c r="G21" s="52"/>
      <c r="H21" s="52"/>
      <c r="I21" s="52">
        <f>F21*D21</f>
        <v>578.16</v>
      </c>
      <c r="J21" s="52"/>
    </row>
    <row r="22" spans="1:10">
      <c r="A22" s="52" t="s">
        <v>181</v>
      </c>
      <c r="B22" s="48" t="s">
        <v>103</v>
      </c>
      <c r="C22" s="52" t="s">
        <v>22</v>
      </c>
      <c r="D22" s="52">
        <v>1938</v>
      </c>
      <c r="E22" s="52"/>
      <c r="F22" s="52">
        <v>0.26</v>
      </c>
      <c r="G22" s="52"/>
      <c r="H22" s="52"/>
      <c r="I22" s="52">
        <v>503.88</v>
      </c>
      <c r="J22" s="52"/>
    </row>
    <row r="23" spans="1:10">
      <c r="A23" s="52" t="s">
        <v>181</v>
      </c>
      <c r="B23" s="48" t="s">
        <v>96</v>
      </c>
      <c r="C23" s="52" t="s">
        <v>29</v>
      </c>
      <c r="D23" s="52">
        <v>164</v>
      </c>
      <c r="E23" s="52"/>
      <c r="F23" s="52">
        <v>0.71</v>
      </c>
      <c r="G23" s="52"/>
      <c r="H23" s="52"/>
      <c r="I23" s="52">
        <f>F23*D23</f>
        <v>116.44</v>
      </c>
      <c r="J23" s="52"/>
    </row>
    <row r="24" spans="1:10">
      <c r="A24" s="52" t="s">
        <v>181</v>
      </c>
      <c r="B24" s="48" t="s">
        <v>89</v>
      </c>
      <c r="C24" s="52" t="s">
        <v>91</v>
      </c>
      <c r="D24" s="52">
        <v>1.0999999999999999E-2</v>
      </c>
      <c r="E24" s="52"/>
      <c r="F24" s="52">
        <v>57680</v>
      </c>
      <c r="G24" s="52"/>
      <c r="H24" s="52"/>
      <c r="I24" s="52">
        <f>F24*D24</f>
        <v>634.48</v>
      </c>
      <c r="J24" s="52"/>
    </row>
    <row r="25" spans="1:10">
      <c r="A25" s="52" t="s">
        <v>181</v>
      </c>
      <c r="B25" s="48" t="s">
        <v>208</v>
      </c>
      <c r="C25" s="52" t="s">
        <v>72</v>
      </c>
      <c r="D25" s="52">
        <v>0.47931029400000014</v>
      </c>
      <c r="E25" s="52"/>
      <c r="F25" s="52">
        <v>31500</v>
      </c>
      <c r="G25" s="52"/>
      <c r="H25" s="52"/>
      <c r="I25" s="52">
        <v>15098.274261000004</v>
      </c>
      <c r="J25" s="52"/>
    </row>
    <row r="26" spans="1:10">
      <c r="A26" s="52" t="s">
        <v>181</v>
      </c>
      <c r="B26" s="48" t="s">
        <v>88</v>
      </c>
      <c r="C26" s="52" t="s">
        <v>72</v>
      </c>
      <c r="D26" s="52">
        <v>0.53600000000000003</v>
      </c>
      <c r="E26" s="52"/>
      <c r="F26" s="52">
        <v>5800</v>
      </c>
      <c r="G26" s="52"/>
      <c r="H26" s="52"/>
      <c r="I26" s="52">
        <f>F26*D26</f>
        <v>3108.8</v>
      </c>
      <c r="J26" s="52"/>
    </row>
    <row r="27" spans="1:10">
      <c r="A27" s="52" t="s">
        <v>181</v>
      </c>
      <c r="B27" s="48" t="s">
        <v>170</v>
      </c>
      <c r="C27" s="52" t="s">
        <v>95</v>
      </c>
      <c r="D27" s="52">
        <v>15</v>
      </c>
      <c r="E27" s="52"/>
      <c r="F27" s="52">
        <v>48.8</v>
      </c>
      <c r="G27" s="52"/>
      <c r="H27" s="52"/>
      <c r="I27" s="52">
        <f>F27*D27</f>
        <v>732</v>
      </c>
      <c r="J27" s="52"/>
    </row>
    <row r="28" spans="1:10">
      <c r="A28" s="52" t="s">
        <v>181</v>
      </c>
      <c r="B28" s="48" t="s">
        <v>171</v>
      </c>
      <c r="C28" s="52" t="s">
        <v>95</v>
      </c>
      <c r="D28" s="52">
        <v>114</v>
      </c>
      <c r="E28" s="52"/>
      <c r="F28" s="52">
        <v>15</v>
      </c>
      <c r="G28" s="52"/>
      <c r="H28" s="52"/>
      <c r="I28" s="52">
        <f>F28*D28</f>
        <v>1710</v>
      </c>
      <c r="J28" s="52"/>
    </row>
    <row r="29" spans="1:10">
      <c r="A29" s="52" t="s">
        <v>181</v>
      </c>
      <c r="B29" s="48" t="s">
        <v>329</v>
      </c>
      <c r="C29" s="52" t="s">
        <v>95</v>
      </c>
      <c r="D29" s="52">
        <v>10</v>
      </c>
      <c r="E29" s="52"/>
      <c r="F29" s="52">
        <v>67.8</v>
      </c>
      <c r="G29" s="52"/>
      <c r="H29" s="52"/>
      <c r="I29" s="52">
        <v>678</v>
      </c>
      <c r="J29" s="52"/>
    </row>
    <row r="31" spans="1:10">
      <c r="B31" s="166" t="s">
        <v>21</v>
      </c>
    </row>
    <row r="32" spans="1:10">
      <c r="A32" s="52" t="s">
        <v>181</v>
      </c>
      <c r="B32" s="48" t="s">
        <v>120</v>
      </c>
      <c r="C32" s="52" t="s">
        <v>22</v>
      </c>
      <c r="D32" s="52">
        <v>8</v>
      </c>
      <c r="E32" s="52"/>
      <c r="F32" s="52">
        <v>8960</v>
      </c>
      <c r="G32" s="52"/>
      <c r="H32" s="52"/>
      <c r="I32" s="52">
        <v>71680</v>
      </c>
      <c r="J32" s="52"/>
    </row>
    <row r="33" spans="1:10">
      <c r="A33" s="52" t="s">
        <v>181</v>
      </c>
      <c r="B33" s="48" t="s">
        <v>115</v>
      </c>
      <c r="C33" s="52" t="s">
        <v>22</v>
      </c>
      <c r="D33" s="52">
        <v>1</v>
      </c>
      <c r="E33" s="52"/>
      <c r="F33" s="52">
        <v>28230</v>
      </c>
      <c r="G33" s="52"/>
      <c r="H33" s="52"/>
      <c r="I33" s="52">
        <v>28230</v>
      </c>
      <c r="J33" s="52"/>
    </row>
    <row r="34" spans="1:10" ht="30">
      <c r="A34" s="52" t="s">
        <v>181</v>
      </c>
      <c r="B34" s="48" t="s">
        <v>124</v>
      </c>
      <c r="C34" s="52" t="s">
        <v>22</v>
      </c>
      <c r="D34" s="52">
        <v>2</v>
      </c>
      <c r="E34" s="52"/>
      <c r="F34" s="52">
        <v>18960</v>
      </c>
      <c r="G34" s="52"/>
      <c r="H34" s="52"/>
      <c r="I34" s="52">
        <v>37920</v>
      </c>
      <c r="J34" s="52"/>
    </row>
    <row r="35" spans="1:10">
      <c r="A35" s="52" t="s">
        <v>181</v>
      </c>
      <c r="B35" s="48" t="s">
        <v>114</v>
      </c>
      <c r="C35" s="52" t="s">
        <v>22</v>
      </c>
      <c r="D35" s="52">
        <v>3</v>
      </c>
      <c r="E35" s="52"/>
      <c r="F35" s="52">
        <v>1500</v>
      </c>
      <c r="G35" s="52"/>
      <c r="H35" s="52"/>
      <c r="I35" s="52">
        <v>4500</v>
      </c>
      <c r="J35" s="52"/>
    </row>
    <row r="36" spans="1:10">
      <c r="A36" s="52" t="s">
        <v>181</v>
      </c>
      <c r="B36" s="48" t="s">
        <v>87</v>
      </c>
      <c r="C36" s="52" t="s">
        <v>22</v>
      </c>
      <c r="D36" s="52">
        <v>135</v>
      </c>
      <c r="E36" s="52"/>
      <c r="F36" s="52">
        <v>0.6</v>
      </c>
      <c r="G36" s="52"/>
      <c r="H36" s="52"/>
      <c r="I36" s="52">
        <f>F36*D36</f>
        <v>81</v>
      </c>
      <c r="J36" s="52"/>
    </row>
    <row r="37" spans="1:10">
      <c r="A37" s="52" t="s">
        <v>181</v>
      </c>
      <c r="B37" s="48" t="s">
        <v>127</v>
      </c>
      <c r="C37" s="52" t="s">
        <v>22</v>
      </c>
      <c r="D37" s="52">
        <v>3</v>
      </c>
      <c r="E37" s="52"/>
      <c r="F37" s="52">
        <v>34</v>
      </c>
      <c r="G37" s="52"/>
      <c r="H37" s="52"/>
      <c r="I37" s="52">
        <v>102</v>
      </c>
      <c r="J37" s="52"/>
    </row>
    <row r="38" spans="1:10">
      <c r="A38" s="52" t="s">
        <v>181</v>
      </c>
      <c r="B38" s="48" t="s">
        <v>126</v>
      </c>
      <c r="C38" s="52" t="s">
        <v>117</v>
      </c>
      <c r="D38" s="52">
        <v>2.9430000000000001</v>
      </c>
      <c r="E38" s="52"/>
      <c r="F38" s="52">
        <v>210</v>
      </c>
      <c r="G38" s="52"/>
      <c r="H38" s="52"/>
      <c r="I38" s="52">
        <v>618.03</v>
      </c>
      <c r="J38" s="52"/>
    </row>
    <row r="39" spans="1:10">
      <c r="A39" s="52" t="s">
        <v>181</v>
      </c>
      <c r="B39" s="48" t="s">
        <v>122</v>
      </c>
      <c r="C39" s="52" t="s">
        <v>29</v>
      </c>
      <c r="D39" s="52">
        <v>46.224000000000004</v>
      </c>
      <c r="E39" s="52"/>
      <c r="F39" s="52">
        <v>132</v>
      </c>
      <c r="G39" s="52"/>
      <c r="H39" s="52"/>
      <c r="I39" s="52">
        <v>6101.5680000000002</v>
      </c>
      <c r="J39" s="52"/>
    </row>
    <row r="40" spans="1:10">
      <c r="A40" s="52" t="s">
        <v>181</v>
      </c>
      <c r="B40" s="48" t="s">
        <v>188</v>
      </c>
      <c r="C40" s="52" t="s">
        <v>29</v>
      </c>
      <c r="D40" s="52">
        <v>17.334000000000003</v>
      </c>
      <c r="E40" s="52"/>
      <c r="F40" s="52">
        <v>214.2</v>
      </c>
      <c r="G40" s="52"/>
      <c r="H40" s="52"/>
      <c r="I40" s="52">
        <v>3712.9428000000003</v>
      </c>
      <c r="J40" s="52"/>
    </row>
    <row r="41" spans="1:10">
      <c r="A41" s="52" t="s">
        <v>181</v>
      </c>
      <c r="B41" s="48" t="s">
        <v>125</v>
      </c>
      <c r="C41" s="52" t="s">
        <v>0</v>
      </c>
      <c r="D41" s="52">
        <v>18.597750000000001</v>
      </c>
      <c r="E41" s="52"/>
      <c r="F41" s="52">
        <v>3180</v>
      </c>
      <c r="G41" s="52"/>
      <c r="H41" s="52"/>
      <c r="I41" s="52">
        <v>59140.845000000001</v>
      </c>
      <c r="J41" s="52"/>
    </row>
    <row r="42" spans="1:10">
      <c r="A42" s="52" t="s">
        <v>181</v>
      </c>
      <c r="B42" s="48" t="s">
        <v>328</v>
      </c>
      <c r="C42" s="52" t="s">
        <v>117</v>
      </c>
      <c r="D42" s="52">
        <v>16</v>
      </c>
      <c r="E42" s="52"/>
      <c r="F42" s="52">
        <v>195</v>
      </c>
      <c r="G42" s="52"/>
      <c r="H42" s="52"/>
      <c r="I42" s="52">
        <f>F42*D42</f>
        <v>3120</v>
      </c>
      <c r="J42" s="52"/>
    </row>
    <row r="43" spans="1:10">
      <c r="A43" s="52" t="s">
        <v>181</v>
      </c>
      <c r="B43" s="48" t="s">
        <v>118</v>
      </c>
      <c r="C43" s="52" t="s">
        <v>117</v>
      </c>
      <c r="D43" s="52">
        <v>3</v>
      </c>
      <c r="E43" s="52"/>
      <c r="F43" s="52">
        <v>391.98</v>
      </c>
      <c r="G43" s="52"/>
      <c r="H43" s="52"/>
      <c r="I43" s="52">
        <f>F43*D43</f>
        <v>1175.94</v>
      </c>
      <c r="J43" s="52"/>
    </row>
    <row r="44" spans="1:10">
      <c r="A44" s="52" t="s">
        <v>181</v>
      </c>
      <c r="B44" s="48" t="s">
        <v>264</v>
      </c>
      <c r="C44" s="52" t="s">
        <v>29</v>
      </c>
      <c r="D44" s="52">
        <v>10.1043</v>
      </c>
      <c r="E44" s="52"/>
      <c r="F44" s="52">
        <v>695.5</v>
      </c>
      <c r="G44" s="52"/>
      <c r="H44" s="52"/>
      <c r="I44" s="52">
        <v>7027.5406499999999</v>
      </c>
      <c r="J44" s="52"/>
    </row>
    <row r="45" spans="1:10">
      <c r="A45" s="52" t="s">
        <v>181</v>
      </c>
      <c r="B45" s="48" t="s">
        <v>119</v>
      </c>
      <c r="C45" s="52" t="s">
        <v>22</v>
      </c>
      <c r="D45" s="52">
        <v>90</v>
      </c>
      <c r="E45" s="52"/>
      <c r="F45" s="52">
        <v>14</v>
      </c>
      <c r="G45" s="52"/>
      <c r="H45" s="52"/>
      <c r="I45" s="52">
        <f>F45*D45</f>
        <v>1260</v>
      </c>
      <c r="J45" s="52"/>
    </row>
    <row r="47" spans="1:10">
      <c r="B47" s="166" t="s">
        <v>27</v>
      </c>
    </row>
    <row r="48" spans="1:10">
      <c r="A48" s="52" t="s">
        <v>181</v>
      </c>
      <c r="B48" s="48" t="s">
        <v>148</v>
      </c>
      <c r="C48" s="52" t="s">
        <v>95</v>
      </c>
      <c r="D48" s="52">
        <v>0.05</v>
      </c>
      <c r="E48" s="52"/>
      <c r="F48" s="52">
        <v>44</v>
      </c>
      <c r="G48" s="52"/>
      <c r="H48" s="52"/>
      <c r="I48" s="52">
        <f>F48*D48</f>
        <v>2.2000000000000002</v>
      </c>
      <c r="J48" s="52"/>
    </row>
    <row r="49" spans="1:10">
      <c r="A49" s="52" t="s">
        <v>181</v>
      </c>
      <c r="B49" s="48" t="s">
        <v>100</v>
      </c>
      <c r="C49" s="52" t="s">
        <v>0</v>
      </c>
      <c r="D49" s="52">
        <v>15.387187500000001</v>
      </c>
      <c r="E49" s="52"/>
      <c r="F49" s="52">
        <v>124.62</v>
      </c>
      <c r="G49" s="52"/>
      <c r="H49" s="52"/>
      <c r="I49" s="52">
        <v>1917.5513062500002</v>
      </c>
      <c r="J49" s="52"/>
    </row>
    <row r="50" spans="1:10">
      <c r="A50" s="52" t="s">
        <v>181</v>
      </c>
      <c r="B50" s="48" t="s">
        <v>129</v>
      </c>
      <c r="C50" s="52" t="s">
        <v>95</v>
      </c>
      <c r="D50" s="52">
        <v>64.207499999999996</v>
      </c>
      <c r="E50" s="52"/>
      <c r="F50" s="52">
        <v>57</v>
      </c>
      <c r="G50" s="52"/>
      <c r="H50" s="52"/>
      <c r="I50" s="52">
        <v>3659.8274999999999</v>
      </c>
      <c r="J50" s="52"/>
    </row>
    <row r="51" spans="1:10">
      <c r="A51" s="52" t="s">
        <v>181</v>
      </c>
      <c r="B51" s="48" t="s">
        <v>98</v>
      </c>
      <c r="C51" s="52" t="s">
        <v>95</v>
      </c>
      <c r="D51" s="52">
        <v>61.074680000000001</v>
      </c>
      <c r="E51" s="52"/>
      <c r="F51" s="52">
        <v>55.6</v>
      </c>
      <c r="G51" s="52"/>
      <c r="H51" s="52"/>
      <c r="I51" s="52">
        <v>3395.7522080000003</v>
      </c>
      <c r="J51" s="52"/>
    </row>
    <row r="52" spans="1:10">
      <c r="A52" s="52" t="s">
        <v>181</v>
      </c>
      <c r="B52" s="48" t="s">
        <v>373</v>
      </c>
      <c r="C52" s="52" t="s">
        <v>0</v>
      </c>
      <c r="D52" s="52">
        <v>14.938000000000002</v>
      </c>
      <c r="E52" s="52"/>
      <c r="F52" s="52">
        <v>2400</v>
      </c>
      <c r="G52" s="52"/>
      <c r="H52" s="52"/>
      <c r="I52" s="52">
        <v>35851.200000000004</v>
      </c>
      <c r="J52" s="52"/>
    </row>
    <row r="53" spans="1:10">
      <c r="A53" s="52" t="s">
        <v>181</v>
      </c>
      <c r="B53" s="48" t="s">
        <v>183</v>
      </c>
      <c r="C53" s="52" t="s">
        <v>95</v>
      </c>
      <c r="D53" s="52">
        <v>25</v>
      </c>
      <c r="E53" s="52"/>
      <c r="F53" s="52">
        <v>63.4</v>
      </c>
      <c r="G53" s="52"/>
      <c r="H53" s="52"/>
      <c r="I53" s="52">
        <f>F53*D53</f>
        <v>1585</v>
      </c>
      <c r="J53" s="52"/>
    </row>
    <row r="54" spans="1:10">
      <c r="A54" s="52" t="s">
        <v>181</v>
      </c>
      <c r="B54" s="48" t="s">
        <v>267</v>
      </c>
      <c r="C54" s="52" t="s">
        <v>0</v>
      </c>
      <c r="D54" s="52">
        <v>10.879200000000001</v>
      </c>
      <c r="E54" s="52"/>
      <c r="F54" s="52">
        <v>2320</v>
      </c>
      <c r="G54" s="52"/>
      <c r="H54" s="52"/>
      <c r="I54" s="52">
        <v>25239.744000000002</v>
      </c>
      <c r="J54" s="52"/>
    </row>
    <row r="55" spans="1:10">
      <c r="A55" s="52" t="s">
        <v>181</v>
      </c>
      <c r="B55" s="48" t="s">
        <v>137</v>
      </c>
      <c r="C55" s="52" t="s">
        <v>95</v>
      </c>
      <c r="D55" s="52">
        <v>57.036000000000008</v>
      </c>
      <c r="E55" s="52"/>
      <c r="F55" s="52">
        <v>24</v>
      </c>
      <c r="G55" s="52"/>
      <c r="H55" s="52"/>
      <c r="I55" s="52">
        <v>1368.8640000000003</v>
      </c>
      <c r="J55" s="52"/>
    </row>
    <row r="56" spans="1:10">
      <c r="A56" s="52" t="s">
        <v>181</v>
      </c>
      <c r="B56" s="48" t="s">
        <v>147</v>
      </c>
      <c r="C56" s="52" t="s">
        <v>95</v>
      </c>
      <c r="D56" s="52">
        <v>0.8176000000000001</v>
      </c>
      <c r="E56" s="52"/>
      <c r="F56" s="52">
        <v>310</v>
      </c>
      <c r="G56" s="52"/>
      <c r="H56" s="52"/>
      <c r="I56" s="52">
        <v>253.45600000000005</v>
      </c>
      <c r="J56" s="52"/>
    </row>
    <row r="57" spans="1:10">
      <c r="A57" s="52" t="s">
        <v>181</v>
      </c>
      <c r="B57" s="48" t="s">
        <v>126</v>
      </c>
      <c r="C57" s="52" t="s">
        <v>117</v>
      </c>
      <c r="D57" s="52">
        <v>3.6247499999999997</v>
      </c>
      <c r="E57" s="52"/>
      <c r="F57" s="52">
        <v>210</v>
      </c>
      <c r="G57" s="52"/>
      <c r="H57" s="52"/>
      <c r="I57" s="52">
        <v>761.19749999999999</v>
      </c>
      <c r="J57" s="52"/>
    </row>
    <row r="58" spans="1:10">
      <c r="A58" s="52" t="s">
        <v>181</v>
      </c>
      <c r="B58" s="48" t="s">
        <v>128</v>
      </c>
      <c r="C58" s="52" t="s">
        <v>95</v>
      </c>
      <c r="D58" s="52">
        <v>43.084125</v>
      </c>
      <c r="E58" s="52"/>
      <c r="F58" s="52">
        <v>11.17</v>
      </c>
      <c r="G58" s="52"/>
      <c r="H58" s="52"/>
      <c r="I58" s="52">
        <v>481.24967624999999</v>
      </c>
      <c r="J58" s="52"/>
    </row>
    <row r="59" spans="1:10">
      <c r="A59" s="52" t="s">
        <v>181</v>
      </c>
      <c r="B59" s="48" t="s">
        <v>130</v>
      </c>
      <c r="C59" s="52" t="s">
        <v>72</v>
      </c>
      <c r="D59" s="52">
        <v>0.5</v>
      </c>
      <c r="E59" s="52"/>
      <c r="F59" s="52">
        <v>10680</v>
      </c>
      <c r="G59" s="52"/>
      <c r="H59" s="52"/>
      <c r="I59" s="52">
        <f>F59*D59</f>
        <v>5340</v>
      </c>
      <c r="J59" s="52"/>
    </row>
    <row r="60" spans="1:10" ht="30">
      <c r="A60" s="52" t="s">
        <v>181</v>
      </c>
      <c r="B60" s="48" t="s">
        <v>184</v>
      </c>
      <c r="C60" s="52" t="s">
        <v>149</v>
      </c>
      <c r="D60" s="52">
        <v>140.2885575</v>
      </c>
      <c r="E60" s="52"/>
      <c r="F60" s="52">
        <v>339.62</v>
      </c>
      <c r="G60" s="52"/>
      <c r="H60" s="52"/>
      <c r="I60" s="52">
        <v>47644.799898149999</v>
      </c>
      <c r="J60" s="52"/>
    </row>
    <row r="61" spans="1:10">
      <c r="A61" s="52" t="s">
        <v>181</v>
      </c>
      <c r="B61" s="48" t="s">
        <v>269</v>
      </c>
      <c r="C61" s="52" t="s">
        <v>22</v>
      </c>
      <c r="D61" s="52">
        <v>9</v>
      </c>
      <c r="E61" s="52"/>
      <c r="F61" s="52">
        <v>375</v>
      </c>
      <c r="G61" s="52"/>
      <c r="H61" s="52"/>
      <c r="I61" s="52">
        <v>3375</v>
      </c>
      <c r="J61" s="52"/>
    </row>
    <row r="62" spans="1:10">
      <c r="A62" s="52" t="s">
        <v>181</v>
      </c>
      <c r="B62" s="48" t="s">
        <v>131</v>
      </c>
      <c r="C62" s="52" t="s">
        <v>22</v>
      </c>
      <c r="D62" s="52">
        <v>750</v>
      </c>
      <c r="E62" s="52"/>
      <c r="F62" s="52">
        <v>0.1</v>
      </c>
      <c r="G62" s="52"/>
      <c r="H62" s="52"/>
      <c r="I62" s="52">
        <f>F62*D62</f>
        <v>75</v>
      </c>
      <c r="J62" s="52"/>
    </row>
    <row r="63" spans="1:10">
      <c r="A63" s="52" t="s">
        <v>181</v>
      </c>
      <c r="B63" s="48" t="s">
        <v>146</v>
      </c>
      <c r="C63" s="52" t="s">
        <v>0</v>
      </c>
      <c r="D63" s="52">
        <v>26.863999999999997</v>
      </c>
      <c r="E63" s="52"/>
      <c r="F63" s="52">
        <v>124</v>
      </c>
      <c r="G63" s="52"/>
      <c r="H63" s="52"/>
      <c r="I63" s="52">
        <v>3331.1359999999995</v>
      </c>
      <c r="J63" s="52"/>
    </row>
    <row r="64" spans="1:10">
      <c r="A64" s="52" t="s">
        <v>181</v>
      </c>
      <c r="B64" s="48" t="s">
        <v>328</v>
      </c>
      <c r="C64" s="52" t="s">
        <v>117</v>
      </c>
      <c r="D64" s="52">
        <v>0.2</v>
      </c>
      <c r="E64" s="52"/>
      <c r="F64" s="52">
        <v>195</v>
      </c>
      <c r="G64" s="52"/>
      <c r="H64" s="52"/>
      <c r="I64" s="52">
        <v>39</v>
      </c>
      <c r="J64" s="52"/>
    </row>
    <row r="65" spans="1:10">
      <c r="A65" s="52" t="s">
        <v>181</v>
      </c>
      <c r="B65" s="48" t="s">
        <v>372</v>
      </c>
      <c r="C65" s="52" t="s">
        <v>0</v>
      </c>
      <c r="D65" s="52">
        <v>25.840499999999999</v>
      </c>
      <c r="E65" s="52"/>
      <c r="F65" s="52">
        <v>1320</v>
      </c>
      <c r="G65" s="52"/>
      <c r="H65" s="52"/>
      <c r="I65" s="52">
        <v>34109.46</v>
      </c>
      <c r="J65" s="52"/>
    </row>
    <row r="66" spans="1:10" ht="30">
      <c r="A66" s="52" t="s">
        <v>181</v>
      </c>
      <c r="B66" s="48" t="s">
        <v>133</v>
      </c>
      <c r="C66" s="52" t="s">
        <v>0</v>
      </c>
      <c r="D66" s="52">
        <v>28.358000000000004</v>
      </c>
      <c r="E66" s="52"/>
      <c r="F66" s="52">
        <v>249</v>
      </c>
      <c r="G66" s="52"/>
      <c r="H66" s="52"/>
      <c r="I66" s="52">
        <v>7061.1420000000007</v>
      </c>
      <c r="J66" s="52"/>
    </row>
    <row r="67" spans="1:10" ht="30">
      <c r="A67" s="52" t="s">
        <v>181</v>
      </c>
      <c r="B67" s="48" t="s">
        <v>150</v>
      </c>
      <c r="C67" s="52" t="s">
        <v>22</v>
      </c>
      <c r="D67" s="52">
        <v>4</v>
      </c>
      <c r="E67" s="52"/>
      <c r="F67" s="52">
        <v>430</v>
      </c>
      <c r="G67" s="52"/>
      <c r="H67" s="52"/>
      <c r="I67" s="52">
        <v>1720</v>
      </c>
      <c r="J67" s="52"/>
    </row>
    <row r="68" spans="1:10">
      <c r="A68" s="52" t="s">
        <v>181</v>
      </c>
      <c r="B68" s="48" t="s">
        <v>151</v>
      </c>
      <c r="C68" s="52" t="s">
        <v>22</v>
      </c>
      <c r="D68" s="52">
        <v>80</v>
      </c>
      <c r="E68" s="52"/>
      <c r="F68" s="52">
        <v>0.19</v>
      </c>
      <c r="G68" s="52"/>
      <c r="H68" s="52"/>
      <c r="I68" s="52">
        <v>15.2</v>
      </c>
      <c r="J68" s="52"/>
    </row>
    <row r="69" spans="1:10">
      <c r="A69" s="52" t="s">
        <v>181</v>
      </c>
      <c r="B69" s="48" t="s">
        <v>96</v>
      </c>
      <c r="C69" s="52" t="s">
        <v>29</v>
      </c>
      <c r="D69" s="52">
        <v>9.2323125000000008</v>
      </c>
      <c r="E69" s="52"/>
      <c r="F69" s="52">
        <v>0.71</v>
      </c>
      <c r="G69" s="52"/>
      <c r="H69" s="52"/>
      <c r="I69" s="52">
        <v>6.5549418749999999</v>
      </c>
      <c r="J69" s="52"/>
    </row>
    <row r="70" spans="1:10">
      <c r="A70" s="52" t="s">
        <v>181</v>
      </c>
      <c r="B70" s="48" t="s">
        <v>143</v>
      </c>
      <c r="C70" s="52" t="s">
        <v>0</v>
      </c>
      <c r="D70" s="52">
        <v>8</v>
      </c>
      <c r="E70" s="52"/>
      <c r="F70" s="52">
        <v>72.400000000000006</v>
      </c>
      <c r="G70" s="52"/>
      <c r="H70" s="52"/>
      <c r="I70" s="52">
        <f>F70*D70</f>
        <v>579.20000000000005</v>
      </c>
      <c r="J70" s="52"/>
    </row>
    <row r="71" spans="1:10">
      <c r="A71" s="52" t="s">
        <v>181</v>
      </c>
      <c r="B71" s="48" t="s">
        <v>172</v>
      </c>
      <c r="C71" s="52" t="s">
        <v>173</v>
      </c>
      <c r="D71" s="52">
        <v>14.02885575</v>
      </c>
      <c r="E71" s="52"/>
      <c r="F71" s="52">
        <v>65.8</v>
      </c>
      <c r="G71" s="52"/>
      <c r="H71" s="52"/>
      <c r="I71" s="52">
        <v>923.09870834999992</v>
      </c>
      <c r="J71" s="52"/>
    </row>
    <row r="72" spans="1:10">
      <c r="A72" s="52" t="s">
        <v>181</v>
      </c>
      <c r="B72" s="48" t="s">
        <v>140</v>
      </c>
      <c r="C72" s="52" t="s">
        <v>29</v>
      </c>
      <c r="D72" s="52">
        <v>24.889949999999999</v>
      </c>
      <c r="E72" s="52"/>
      <c r="F72" s="52">
        <v>11.5</v>
      </c>
      <c r="G72" s="52"/>
      <c r="H72" s="52"/>
      <c r="I72" s="52">
        <v>286.23442499999999</v>
      </c>
      <c r="J72" s="52"/>
    </row>
    <row r="73" spans="1:10">
      <c r="A73" s="52" t="s">
        <v>181</v>
      </c>
      <c r="B73" s="48" t="s">
        <v>138</v>
      </c>
      <c r="C73" s="52" t="s">
        <v>95</v>
      </c>
      <c r="D73" s="52">
        <v>81.205200000000005</v>
      </c>
      <c r="E73" s="52"/>
      <c r="F73" s="52">
        <v>7.3</v>
      </c>
      <c r="G73" s="52"/>
      <c r="H73" s="52"/>
      <c r="I73" s="52">
        <v>592.79795999999999</v>
      </c>
      <c r="J73" s="52"/>
    </row>
    <row r="74" spans="1:10">
      <c r="A74" s="52" t="s">
        <v>181</v>
      </c>
      <c r="B74" s="48" t="s">
        <v>141</v>
      </c>
      <c r="C74" s="52" t="s">
        <v>142</v>
      </c>
      <c r="D74" s="52">
        <v>539</v>
      </c>
      <c r="E74" s="52"/>
      <c r="F74" s="52">
        <v>22.56</v>
      </c>
      <c r="G74" s="52"/>
      <c r="H74" s="52"/>
      <c r="I74" s="52">
        <f>F74*D74</f>
        <v>12159.84</v>
      </c>
      <c r="J74" s="52"/>
    </row>
    <row r="75" spans="1:10" ht="16.5" customHeight="1">
      <c r="A75" s="52" t="s">
        <v>181</v>
      </c>
      <c r="B75" s="48" t="s">
        <v>94</v>
      </c>
      <c r="C75" s="52" t="s">
        <v>95</v>
      </c>
      <c r="D75" s="52">
        <v>3.0774375000000003</v>
      </c>
      <c r="E75" s="52"/>
      <c r="F75" s="52">
        <v>15</v>
      </c>
      <c r="G75" s="52"/>
      <c r="H75" s="52"/>
      <c r="I75" s="52">
        <v>46.161562500000002</v>
      </c>
      <c r="J75" s="52"/>
    </row>
    <row r="76" spans="1:10">
      <c r="A76" s="52" t="s">
        <v>181</v>
      </c>
      <c r="B76" s="48" t="s">
        <v>139</v>
      </c>
      <c r="C76" s="52" t="s">
        <v>95</v>
      </c>
      <c r="D76" s="52">
        <v>6147</v>
      </c>
      <c r="E76" s="52"/>
      <c r="F76" s="52">
        <v>11.2</v>
      </c>
      <c r="G76" s="52"/>
      <c r="H76" s="52"/>
      <c r="I76" s="52">
        <f>F76*D76</f>
        <v>68846.399999999994</v>
      </c>
      <c r="J76" s="52"/>
    </row>
    <row r="78" spans="1:10">
      <c r="B78" s="166" t="s">
        <v>30</v>
      </c>
    </row>
    <row r="79" spans="1:10">
      <c r="A79" s="52" t="s">
        <v>181</v>
      </c>
      <c r="B79" s="48" t="s">
        <v>148</v>
      </c>
      <c r="C79" s="52" t="s">
        <v>95</v>
      </c>
      <c r="D79" s="52">
        <v>1.7000000000000001E-2</v>
      </c>
      <c r="E79" s="52"/>
      <c r="F79" s="52">
        <v>44</v>
      </c>
      <c r="G79" s="52"/>
      <c r="H79" s="52"/>
      <c r="I79" s="52">
        <f>F79*D79</f>
        <v>0.748</v>
      </c>
      <c r="J79" s="52"/>
    </row>
    <row r="80" spans="1:10">
      <c r="A80" s="52" t="s">
        <v>181</v>
      </c>
      <c r="B80" s="48" t="s">
        <v>98</v>
      </c>
      <c r="C80" s="52" t="s">
        <v>95</v>
      </c>
      <c r="D80" s="52">
        <v>16.954000000000001</v>
      </c>
      <c r="E80" s="52"/>
      <c r="F80" s="52">
        <v>55.6</v>
      </c>
      <c r="G80" s="52"/>
      <c r="H80" s="52"/>
      <c r="I80" s="52">
        <v>942.64240000000007</v>
      </c>
      <c r="J80" s="52"/>
    </row>
    <row r="81" spans="1:10">
      <c r="A81" s="52" t="s">
        <v>181</v>
      </c>
      <c r="B81" s="48" t="s">
        <v>161</v>
      </c>
      <c r="C81" s="52" t="s">
        <v>22</v>
      </c>
      <c r="D81" s="52">
        <v>3.52</v>
      </c>
      <c r="E81" s="52"/>
      <c r="F81" s="52">
        <v>0.35</v>
      </c>
      <c r="G81" s="52"/>
      <c r="H81" s="52"/>
      <c r="I81" s="52">
        <v>1.232</v>
      </c>
      <c r="J81" s="52"/>
    </row>
    <row r="82" spans="1:10">
      <c r="A82" s="52" t="s">
        <v>181</v>
      </c>
      <c r="B82" s="48" t="s">
        <v>87</v>
      </c>
      <c r="C82" s="52" t="s">
        <v>22</v>
      </c>
      <c r="D82" s="52">
        <v>35.200000000000003</v>
      </c>
      <c r="E82" s="52"/>
      <c r="F82" s="52">
        <v>0.6</v>
      </c>
      <c r="G82" s="52"/>
      <c r="H82" s="52"/>
      <c r="I82" s="52">
        <v>21.12</v>
      </c>
      <c r="J82" s="52"/>
    </row>
    <row r="83" spans="1:10">
      <c r="A83" s="52" t="s">
        <v>181</v>
      </c>
      <c r="B83" s="48" t="s">
        <v>163</v>
      </c>
      <c r="C83" s="52" t="s">
        <v>22</v>
      </c>
      <c r="D83" s="52">
        <v>2</v>
      </c>
      <c r="E83" s="52"/>
      <c r="F83" s="52">
        <v>7.2</v>
      </c>
      <c r="G83" s="52"/>
      <c r="H83" s="52"/>
      <c r="I83" s="52">
        <f>F83*D83</f>
        <v>14.4</v>
      </c>
      <c r="J83" s="52"/>
    </row>
    <row r="84" spans="1:10">
      <c r="A84" s="52" t="s">
        <v>181</v>
      </c>
      <c r="B84" s="48" t="s">
        <v>183</v>
      </c>
      <c r="C84" s="52" t="s">
        <v>95</v>
      </c>
      <c r="D84" s="52">
        <v>49</v>
      </c>
      <c r="E84" s="52"/>
      <c r="F84" s="52">
        <v>63.4</v>
      </c>
      <c r="G84" s="52"/>
      <c r="H84" s="52"/>
      <c r="I84" s="52">
        <f>F84*D84</f>
        <v>3106.6</v>
      </c>
      <c r="J84" s="52"/>
    </row>
    <row r="85" spans="1:10">
      <c r="A85" s="52" t="s">
        <v>181</v>
      </c>
      <c r="B85" s="48" t="s">
        <v>158</v>
      </c>
      <c r="C85" s="52" t="s">
        <v>95</v>
      </c>
      <c r="D85" s="52">
        <v>3.1779000000000006</v>
      </c>
      <c r="E85" s="52"/>
      <c r="F85" s="52">
        <v>119.07</v>
      </c>
      <c r="G85" s="52"/>
      <c r="H85" s="52"/>
      <c r="I85" s="52">
        <v>378.39255300000008</v>
      </c>
      <c r="J85" s="52"/>
    </row>
    <row r="86" spans="1:10">
      <c r="A86" s="52" t="s">
        <v>181</v>
      </c>
      <c r="B86" s="48" t="s">
        <v>126</v>
      </c>
      <c r="C86" s="52" t="s">
        <v>117</v>
      </c>
      <c r="D86" s="52">
        <v>0.2</v>
      </c>
      <c r="E86" s="52"/>
      <c r="F86" s="52">
        <v>210</v>
      </c>
      <c r="G86" s="52"/>
      <c r="H86" s="52"/>
      <c r="I86" s="52">
        <v>42</v>
      </c>
      <c r="J86" s="52"/>
    </row>
    <row r="87" spans="1:10">
      <c r="A87" s="52" t="s">
        <v>181</v>
      </c>
      <c r="B87" s="48" t="s">
        <v>130</v>
      </c>
      <c r="C87" s="52" t="s">
        <v>72</v>
      </c>
      <c r="D87" s="52">
        <v>1.0629999999999999</v>
      </c>
      <c r="E87" s="52"/>
      <c r="F87" s="52">
        <v>10680</v>
      </c>
      <c r="G87" s="52"/>
      <c r="H87" s="52"/>
      <c r="I87" s="52">
        <f>F87*D87</f>
        <v>11352.84</v>
      </c>
      <c r="J87" s="52"/>
    </row>
    <row r="88" spans="1:10">
      <c r="A88" s="52" t="s">
        <v>181</v>
      </c>
      <c r="B88" s="48" t="s">
        <v>131</v>
      </c>
      <c r="C88" s="52" t="s">
        <v>22</v>
      </c>
      <c r="D88" s="52">
        <v>1328</v>
      </c>
      <c r="E88" s="52"/>
      <c r="F88" s="52">
        <v>0.1</v>
      </c>
      <c r="G88" s="52"/>
      <c r="H88" s="52"/>
      <c r="I88" s="52">
        <f>F88*D88</f>
        <v>132.80000000000001</v>
      </c>
      <c r="J88" s="52"/>
    </row>
    <row r="89" spans="1:10">
      <c r="A89" s="52" t="s">
        <v>181</v>
      </c>
      <c r="B89" s="48" t="s">
        <v>157</v>
      </c>
      <c r="C89" s="52" t="s">
        <v>0</v>
      </c>
      <c r="D89" s="52">
        <v>6.3558000000000012</v>
      </c>
      <c r="E89" s="52"/>
      <c r="F89" s="52">
        <v>532</v>
      </c>
      <c r="G89" s="52"/>
      <c r="H89" s="52"/>
      <c r="I89" s="52">
        <v>3381.2856000000006</v>
      </c>
      <c r="J89" s="52"/>
    </row>
    <row r="90" spans="1:10">
      <c r="A90" s="52" t="s">
        <v>181</v>
      </c>
      <c r="B90" s="48" t="s">
        <v>221</v>
      </c>
      <c r="C90" s="52" t="s">
        <v>22</v>
      </c>
      <c r="D90" s="52">
        <v>1</v>
      </c>
      <c r="E90" s="52"/>
      <c r="F90" s="52">
        <v>600</v>
      </c>
      <c r="G90" s="52"/>
      <c r="H90" s="52"/>
      <c r="I90" s="52">
        <v>600</v>
      </c>
      <c r="J90" s="52"/>
    </row>
    <row r="91" spans="1:10">
      <c r="A91" s="52" t="s">
        <v>181</v>
      </c>
      <c r="B91" s="48" t="s">
        <v>155</v>
      </c>
      <c r="C91" s="52" t="s">
        <v>95</v>
      </c>
      <c r="D91" s="52">
        <v>100.98</v>
      </c>
      <c r="E91" s="52"/>
      <c r="F91" s="52">
        <v>15.36</v>
      </c>
      <c r="G91" s="52"/>
      <c r="H91" s="52"/>
      <c r="I91" s="52">
        <v>1551.0527999999999</v>
      </c>
      <c r="J91" s="52"/>
    </row>
    <row r="92" spans="1:10" ht="30">
      <c r="A92" s="52" t="s">
        <v>181</v>
      </c>
      <c r="B92" s="48" t="s">
        <v>168</v>
      </c>
      <c r="C92" s="52" t="s">
        <v>22</v>
      </c>
      <c r="D92" s="52">
        <v>12</v>
      </c>
      <c r="E92" s="52"/>
      <c r="F92" s="52">
        <v>145</v>
      </c>
      <c r="G92" s="52"/>
      <c r="H92" s="52"/>
      <c r="I92" s="52">
        <v>1740</v>
      </c>
      <c r="J92" s="52"/>
    </row>
    <row r="93" spans="1:10">
      <c r="A93" s="52" t="s">
        <v>181</v>
      </c>
      <c r="B93" s="48" t="s">
        <v>160</v>
      </c>
      <c r="C93" s="52" t="s">
        <v>29</v>
      </c>
      <c r="D93" s="52">
        <v>9.4160000000000021</v>
      </c>
      <c r="E93" s="52"/>
      <c r="F93" s="52">
        <v>66.099999999999994</v>
      </c>
      <c r="G93" s="52"/>
      <c r="H93" s="52"/>
      <c r="I93" s="52">
        <v>622.39760000000012</v>
      </c>
      <c r="J93" s="52"/>
    </row>
    <row r="94" spans="1:10">
      <c r="A94" s="52" t="s">
        <v>181</v>
      </c>
      <c r="B94" s="48" t="s">
        <v>372</v>
      </c>
      <c r="C94" s="52" t="s">
        <v>0</v>
      </c>
      <c r="D94" s="52">
        <v>91.2</v>
      </c>
      <c r="E94" s="52"/>
      <c r="F94" s="52">
        <v>1710</v>
      </c>
      <c r="G94" s="52"/>
      <c r="H94" s="52"/>
      <c r="I94" s="52">
        <f>F94*D94</f>
        <v>155952</v>
      </c>
      <c r="J94" s="52"/>
    </row>
    <row r="95" spans="1:10">
      <c r="A95" s="52" t="s">
        <v>181</v>
      </c>
      <c r="B95" s="48" t="s">
        <v>154</v>
      </c>
      <c r="C95" s="52" t="s">
        <v>0</v>
      </c>
      <c r="D95" s="52">
        <v>13</v>
      </c>
      <c r="E95" s="52"/>
      <c r="F95" s="52">
        <v>367</v>
      </c>
      <c r="G95" s="52"/>
      <c r="H95" s="52"/>
      <c r="I95" s="52">
        <f>F95*D95</f>
        <v>4771</v>
      </c>
      <c r="J95" s="52"/>
    </row>
    <row r="96" spans="1:10">
      <c r="A96" s="52" t="s">
        <v>181</v>
      </c>
      <c r="B96" s="48" t="s">
        <v>159</v>
      </c>
      <c r="C96" s="52" t="s">
        <v>0</v>
      </c>
      <c r="D96" s="52">
        <v>0.9416000000000001</v>
      </c>
      <c r="E96" s="52"/>
      <c r="F96" s="52">
        <v>120</v>
      </c>
      <c r="G96" s="52"/>
      <c r="H96" s="52"/>
      <c r="I96" s="52">
        <v>112.99200000000002</v>
      </c>
      <c r="J96" s="52"/>
    </row>
    <row r="97" spans="1:10">
      <c r="A97" s="52" t="s">
        <v>181</v>
      </c>
      <c r="B97" s="48" t="s">
        <v>197</v>
      </c>
      <c r="C97" s="52" t="s">
        <v>22</v>
      </c>
      <c r="D97" s="52">
        <v>4.4000000000000004</v>
      </c>
      <c r="E97" s="52"/>
      <c r="F97" s="52">
        <v>11.1</v>
      </c>
      <c r="G97" s="52"/>
      <c r="H97" s="52"/>
      <c r="I97" s="52">
        <v>48.84</v>
      </c>
      <c r="J97" s="52"/>
    </row>
    <row r="98" spans="1:10">
      <c r="A98" s="52" t="s">
        <v>181</v>
      </c>
      <c r="B98" s="48" t="s">
        <v>89</v>
      </c>
      <c r="C98" s="52" t="s">
        <v>72</v>
      </c>
      <c r="D98" s="52">
        <v>5.3280000000000001E-2</v>
      </c>
      <c r="E98" s="52"/>
      <c r="F98" s="52">
        <v>57680</v>
      </c>
      <c r="G98" s="52"/>
      <c r="H98" s="52"/>
      <c r="I98" s="52">
        <v>3073.1904</v>
      </c>
      <c r="J98" s="52"/>
    </row>
    <row r="99" spans="1:10">
      <c r="A99" s="52" t="s">
        <v>181</v>
      </c>
      <c r="B99" s="48" t="s">
        <v>164</v>
      </c>
      <c r="C99" s="52" t="s">
        <v>22</v>
      </c>
      <c r="D99" s="52">
        <v>4</v>
      </c>
      <c r="E99" s="52"/>
      <c r="F99" s="52">
        <v>12</v>
      </c>
      <c r="G99" s="52"/>
      <c r="H99" s="52"/>
      <c r="I99" s="52">
        <v>48</v>
      </c>
      <c r="J99" s="52"/>
    </row>
    <row r="100" spans="1:10">
      <c r="A100" s="52"/>
      <c r="B100" s="48" t="s">
        <v>88</v>
      </c>
      <c r="C100" s="52" t="s">
        <v>72</v>
      </c>
      <c r="D100" s="52">
        <v>6.55</v>
      </c>
      <c r="E100" s="52"/>
      <c r="F100" s="52">
        <v>5800</v>
      </c>
      <c r="G100" s="52"/>
      <c r="H100" s="52"/>
      <c r="I100" s="52">
        <f>F100*D100</f>
        <v>37990</v>
      </c>
      <c r="J100" s="52"/>
    </row>
    <row r="102" spans="1:10">
      <c r="B102" s="166" t="s">
        <v>31</v>
      </c>
    </row>
    <row r="103" spans="1:10">
      <c r="A103" s="52" t="s">
        <v>181</v>
      </c>
      <c r="B103" s="48" t="s">
        <v>148</v>
      </c>
      <c r="C103" s="52" t="s">
        <v>95</v>
      </c>
      <c r="D103" s="52">
        <v>6.0000000000000001E-3</v>
      </c>
      <c r="E103" s="52"/>
      <c r="F103" s="52">
        <v>44</v>
      </c>
      <c r="G103" s="52"/>
      <c r="H103" s="52"/>
      <c r="I103" s="52">
        <f>F103*D103</f>
        <v>0.26400000000000001</v>
      </c>
      <c r="J103" s="52"/>
    </row>
    <row r="104" spans="1:10">
      <c r="A104" s="52" t="s">
        <v>181</v>
      </c>
      <c r="B104" s="48" t="s">
        <v>169</v>
      </c>
      <c r="C104" s="52" t="s">
        <v>0</v>
      </c>
      <c r="D104" s="52">
        <v>51</v>
      </c>
      <c r="E104" s="52"/>
      <c r="F104" s="52">
        <v>101</v>
      </c>
      <c r="G104" s="52"/>
      <c r="H104" s="52"/>
      <c r="I104" s="52">
        <f>F104*D104</f>
        <v>5151</v>
      </c>
      <c r="J104" s="52"/>
    </row>
    <row r="105" spans="1:10">
      <c r="A105" s="52" t="s">
        <v>181</v>
      </c>
      <c r="B105" s="48" t="s">
        <v>98</v>
      </c>
      <c r="C105" s="52" t="s">
        <v>99</v>
      </c>
      <c r="D105" s="52">
        <v>8.85</v>
      </c>
      <c r="E105" s="52"/>
      <c r="F105" s="52">
        <v>55.6</v>
      </c>
      <c r="G105" s="52"/>
      <c r="H105" s="52"/>
      <c r="I105" s="52">
        <f>F105*D105</f>
        <v>492.06</v>
      </c>
      <c r="J105" s="52"/>
    </row>
    <row r="106" spans="1:10">
      <c r="A106" s="52" t="s">
        <v>181</v>
      </c>
      <c r="B106" s="48" t="s">
        <v>97</v>
      </c>
      <c r="C106" s="52" t="s">
        <v>29</v>
      </c>
      <c r="D106" s="52">
        <v>57.2</v>
      </c>
      <c r="E106" s="52"/>
      <c r="F106" s="52">
        <v>8.3000000000000007</v>
      </c>
      <c r="G106" s="52"/>
      <c r="H106" s="52"/>
      <c r="I106" s="52">
        <f t="shared" ref="I106:I126" si="0">F106*D106</f>
        <v>474.76000000000005</v>
      </c>
      <c r="J106" s="52"/>
    </row>
    <row r="107" spans="1:10">
      <c r="A107" s="52" t="s">
        <v>181</v>
      </c>
      <c r="B107" s="48" t="s">
        <v>87</v>
      </c>
      <c r="C107" s="52" t="s">
        <v>22</v>
      </c>
      <c r="D107" s="52">
        <v>262.5</v>
      </c>
      <c r="E107" s="52"/>
      <c r="F107" s="52">
        <v>0.6</v>
      </c>
      <c r="G107" s="52"/>
      <c r="H107" s="52"/>
      <c r="I107" s="52">
        <f t="shared" si="0"/>
        <v>157.5</v>
      </c>
      <c r="J107" s="52"/>
    </row>
    <row r="108" spans="1:10">
      <c r="A108" s="52" t="s">
        <v>181</v>
      </c>
      <c r="B108" s="48" t="s">
        <v>177</v>
      </c>
      <c r="C108" s="52" t="s">
        <v>22</v>
      </c>
      <c r="D108" s="52">
        <v>24.065999999999999</v>
      </c>
      <c r="E108" s="52"/>
      <c r="F108" s="52">
        <v>8.5</v>
      </c>
      <c r="G108" s="52"/>
      <c r="H108" s="52"/>
      <c r="I108" s="52">
        <f t="shared" si="0"/>
        <v>204.56099999999998</v>
      </c>
      <c r="J108" s="52"/>
    </row>
    <row r="109" spans="1:10" ht="30">
      <c r="A109" s="52" t="s">
        <v>181</v>
      </c>
      <c r="B109" s="48" t="s">
        <v>184</v>
      </c>
      <c r="C109" s="52" t="s">
        <v>149</v>
      </c>
      <c r="D109" s="52">
        <v>19.247760000000003</v>
      </c>
      <c r="E109" s="52"/>
      <c r="F109" s="52">
        <v>339.62</v>
      </c>
      <c r="G109" s="52"/>
      <c r="H109" s="52"/>
      <c r="I109" s="52">
        <f t="shared" si="0"/>
        <v>6536.924251200001</v>
      </c>
      <c r="J109" s="52"/>
    </row>
    <row r="110" spans="1:10" ht="30">
      <c r="A110" s="52" t="s">
        <v>181</v>
      </c>
      <c r="B110" s="48" t="s">
        <v>105</v>
      </c>
      <c r="C110" s="52" t="s">
        <v>0</v>
      </c>
      <c r="D110" s="52">
        <v>11.22306</v>
      </c>
      <c r="E110" s="52"/>
      <c r="F110" s="52">
        <v>174.93</v>
      </c>
      <c r="G110" s="52"/>
      <c r="H110" s="52"/>
      <c r="I110" s="52">
        <f t="shared" si="0"/>
        <v>1963.2498858000001</v>
      </c>
      <c r="J110" s="52"/>
    </row>
    <row r="111" spans="1:10">
      <c r="A111" s="52" t="s">
        <v>181</v>
      </c>
      <c r="B111" s="48" t="s">
        <v>111</v>
      </c>
      <c r="C111" s="52" t="s">
        <v>29</v>
      </c>
      <c r="D111" s="52">
        <v>127</v>
      </c>
      <c r="E111" s="52"/>
      <c r="F111" s="52">
        <v>14.7</v>
      </c>
      <c r="G111" s="52"/>
      <c r="H111" s="52"/>
      <c r="I111" s="52">
        <f t="shared" si="0"/>
        <v>1866.8999999999999</v>
      </c>
      <c r="J111" s="52"/>
    </row>
    <row r="112" spans="1:10">
      <c r="A112" s="52" t="s">
        <v>181</v>
      </c>
      <c r="B112" s="48" t="s">
        <v>108</v>
      </c>
      <c r="C112" s="52" t="s">
        <v>22</v>
      </c>
      <c r="D112" s="52">
        <v>39</v>
      </c>
      <c r="E112" s="52"/>
      <c r="F112" s="52">
        <v>3.5</v>
      </c>
      <c r="G112" s="52"/>
      <c r="H112" s="52"/>
      <c r="I112" s="52">
        <f t="shared" si="0"/>
        <v>136.5</v>
      </c>
      <c r="J112" s="52"/>
    </row>
    <row r="113" spans="1:10" ht="30">
      <c r="A113" s="52" t="s">
        <v>181</v>
      </c>
      <c r="B113" s="48" t="s">
        <v>175</v>
      </c>
      <c r="C113" s="52" t="s">
        <v>0</v>
      </c>
      <c r="D113" s="52">
        <v>31.686900000000001</v>
      </c>
      <c r="E113" s="52"/>
      <c r="F113" s="52">
        <v>270</v>
      </c>
      <c r="G113" s="52"/>
      <c r="H113" s="52"/>
      <c r="I113" s="52">
        <f t="shared" si="0"/>
        <v>8555.4629999999997</v>
      </c>
      <c r="J113" s="52"/>
    </row>
    <row r="114" spans="1:10">
      <c r="A114" s="52" t="s">
        <v>181</v>
      </c>
      <c r="B114" s="48" t="s">
        <v>112</v>
      </c>
      <c r="C114" s="52" t="s">
        <v>29</v>
      </c>
      <c r="D114" s="52">
        <v>160</v>
      </c>
      <c r="E114" s="52"/>
      <c r="F114" s="52">
        <v>26.33</v>
      </c>
      <c r="G114" s="52"/>
      <c r="H114" s="52"/>
      <c r="I114" s="52">
        <f t="shared" si="0"/>
        <v>4212.7999999999993</v>
      </c>
      <c r="J114" s="52"/>
    </row>
    <row r="115" spans="1:10">
      <c r="A115" s="52" t="s">
        <v>181</v>
      </c>
      <c r="B115" s="48" t="s">
        <v>109</v>
      </c>
      <c r="C115" s="52" t="s">
        <v>22</v>
      </c>
      <c r="D115" s="52">
        <v>224</v>
      </c>
      <c r="E115" s="52"/>
      <c r="F115" s="52">
        <v>0.23</v>
      </c>
      <c r="G115" s="52"/>
      <c r="H115" s="52"/>
      <c r="I115" s="52">
        <f t="shared" si="0"/>
        <v>51.52</v>
      </c>
      <c r="J115" s="52"/>
    </row>
    <row r="116" spans="1:10">
      <c r="A116" s="52" t="s">
        <v>181</v>
      </c>
      <c r="B116" s="48" t="s">
        <v>151</v>
      </c>
      <c r="C116" s="52" t="s">
        <v>22</v>
      </c>
      <c r="D116" s="52">
        <v>72.922499999999999</v>
      </c>
      <c r="E116" s="52"/>
      <c r="F116" s="52">
        <v>0.19</v>
      </c>
      <c r="G116" s="52"/>
      <c r="H116" s="52"/>
      <c r="I116" s="52">
        <f t="shared" si="0"/>
        <v>13.855275000000001</v>
      </c>
      <c r="J116" s="52"/>
    </row>
    <row r="117" spans="1:10">
      <c r="A117" s="52" t="s">
        <v>181</v>
      </c>
      <c r="B117" s="48" t="s">
        <v>104</v>
      </c>
      <c r="C117" s="52" t="s">
        <v>22</v>
      </c>
      <c r="D117" s="52">
        <v>1097</v>
      </c>
      <c r="E117" s="52"/>
      <c r="F117" s="52">
        <v>0.24</v>
      </c>
      <c r="G117" s="52"/>
      <c r="H117" s="52"/>
      <c r="I117" s="52">
        <f t="shared" si="0"/>
        <v>263.27999999999997</v>
      </c>
      <c r="J117" s="52"/>
    </row>
    <row r="118" spans="1:10">
      <c r="A118" s="52" t="s">
        <v>181</v>
      </c>
      <c r="B118" s="48" t="s">
        <v>96</v>
      </c>
      <c r="C118" s="52" t="s">
        <v>29</v>
      </c>
      <c r="D118" s="52">
        <v>43</v>
      </c>
      <c r="E118" s="52"/>
      <c r="F118" s="52">
        <v>0.71</v>
      </c>
      <c r="G118" s="52"/>
      <c r="H118" s="52"/>
      <c r="I118" s="52">
        <f t="shared" si="0"/>
        <v>30.529999999999998</v>
      </c>
      <c r="J118" s="52"/>
    </row>
    <row r="119" spans="1:10">
      <c r="A119" s="52" t="s">
        <v>181</v>
      </c>
      <c r="B119" s="48" t="s">
        <v>143</v>
      </c>
      <c r="C119" s="52" t="s">
        <v>0</v>
      </c>
      <c r="D119" s="52">
        <v>0.91656000000000004</v>
      </c>
      <c r="E119" s="52"/>
      <c r="F119" s="52">
        <v>72.400000000000006</v>
      </c>
      <c r="G119" s="52"/>
      <c r="H119" s="52"/>
      <c r="I119" s="52">
        <f t="shared" si="0"/>
        <v>66.358944000000008</v>
      </c>
      <c r="J119" s="52"/>
    </row>
    <row r="120" spans="1:10">
      <c r="A120" s="52" t="s">
        <v>181</v>
      </c>
      <c r="B120" s="48" t="s">
        <v>172</v>
      </c>
      <c r="C120" s="52" t="s">
        <v>173</v>
      </c>
      <c r="D120" s="52">
        <v>1.9247760000000005</v>
      </c>
      <c r="E120" s="52"/>
      <c r="F120" s="52">
        <v>65.8</v>
      </c>
      <c r="G120" s="52"/>
      <c r="H120" s="52"/>
      <c r="I120" s="52">
        <f t="shared" si="0"/>
        <v>126.65026080000003</v>
      </c>
      <c r="J120" s="52"/>
    </row>
    <row r="121" spans="1:10">
      <c r="A121" s="52" t="s">
        <v>181</v>
      </c>
      <c r="B121" s="48" t="s">
        <v>138</v>
      </c>
      <c r="C121" s="52" t="s">
        <v>95</v>
      </c>
      <c r="D121" s="52">
        <v>39.830100000000002</v>
      </c>
      <c r="E121" s="52"/>
      <c r="F121" s="52">
        <v>7.3</v>
      </c>
      <c r="G121" s="52"/>
      <c r="H121" s="52"/>
      <c r="I121" s="52">
        <f t="shared" si="0"/>
        <v>290.75972999999999</v>
      </c>
      <c r="J121" s="52"/>
    </row>
    <row r="122" spans="1:10">
      <c r="A122" s="52" t="s">
        <v>181</v>
      </c>
      <c r="B122" s="48" t="s">
        <v>176</v>
      </c>
      <c r="C122" s="52" t="s">
        <v>29</v>
      </c>
      <c r="D122" s="52">
        <v>48.615000000000002</v>
      </c>
      <c r="E122" s="52"/>
      <c r="F122" s="52">
        <v>14.7</v>
      </c>
      <c r="G122" s="52"/>
      <c r="H122" s="52"/>
      <c r="I122" s="52">
        <f t="shared" si="0"/>
        <v>714.64049999999997</v>
      </c>
      <c r="J122" s="52"/>
    </row>
    <row r="123" spans="1:10">
      <c r="A123" s="52" t="s">
        <v>181</v>
      </c>
      <c r="B123" s="48" t="s">
        <v>141</v>
      </c>
      <c r="C123" s="52" t="s">
        <v>142</v>
      </c>
      <c r="D123" s="52">
        <v>61.104000000000006</v>
      </c>
      <c r="E123" s="52"/>
      <c r="F123" s="52">
        <v>22.56</v>
      </c>
      <c r="G123" s="52"/>
      <c r="H123" s="52"/>
      <c r="I123" s="52">
        <f t="shared" si="0"/>
        <v>1378.5062400000002</v>
      </c>
      <c r="J123" s="52"/>
    </row>
    <row r="124" spans="1:10">
      <c r="A124" s="52" t="s">
        <v>181</v>
      </c>
      <c r="B124" s="48" t="s">
        <v>170</v>
      </c>
      <c r="C124" s="52" t="s">
        <v>95</v>
      </c>
      <c r="D124" s="52">
        <v>2</v>
      </c>
      <c r="E124" s="52"/>
      <c r="F124" s="52">
        <v>48.8</v>
      </c>
      <c r="G124" s="52"/>
      <c r="H124" s="52"/>
      <c r="I124" s="52">
        <f t="shared" si="0"/>
        <v>97.6</v>
      </c>
      <c r="J124" s="52"/>
    </row>
    <row r="125" spans="1:10">
      <c r="A125" s="52" t="s">
        <v>181</v>
      </c>
      <c r="B125" s="48" t="s">
        <v>94</v>
      </c>
      <c r="C125" s="52" t="s">
        <v>95</v>
      </c>
      <c r="D125" s="52">
        <v>34</v>
      </c>
      <c r="E125" s="52"/>
      <c r="F125" s="52">
        <v>15</v>
      </c>
      <c r="G125" s="52"/>
      <c r="H125" s="52"/>
      <c r="I125" s="52">
        <f t="shared" si="0"/>
        <v>510</v>
      </c>
      <c r="J125" s="52"/>
    </row>
    <row r="126" spans="1:10">
      <c r="A126" s="52" t="s">
        <v>181</v>
      </c>
      <c r="B126" s="48" t="s">
        <v>139</v>
      </c>
      <c r="C126" s="52" t="s">
        <v>95</v>
      </c>
      <c r="D126" s="52">
        <v>54.5</v>
      </c>
      <c r="E126" s="52"/>
      <c r="F126" s="52">
        <v>11.2</v>
      </c>
      <c r="G126" s="52"/>
      <c r="H126" s="52"/>
      <c r="I126" s="52">
        <f t="shared" si="0"/>
        <v>610.4</v>
      </c>
      <c r="J126" s="52"/>
    </row>
    <row r="128" spans="1:10">
      <c r="B128" s="166" t="s">
        <v>76</v>
      </c>
    </row>
    <row r="129" spans="1:10">
      <c r="A129" s="52" t="s">
        <v>181</v>
      </c>
      <c r="B129" s="48" t="s">
        <v>227</v>
      </c>
      <c r="C129" s="52" t="s">
        <v>22</v>
      </c>
      <c r="D129" s="52">
        <v>4</v>
      </c>
      <c r="E129" s="52"/>
      <c r="F129" s="52">
        <v>192.852</v>
      </c>
      <c r="G129" s="52"/>
      <c r="H129" s="52"/>
      <c r="I129" s="52">
        <f>F129*D129</f>
        <v>771.40800000000002</v>
      </c>
      <c r="J129" s="52"/>
    </row>
    <row r="130" spans="1:10">
      <c r="A130" s="52" t="s">
        <v>181</v>
      </c>
      <c r="B130" s="48" t="s">
        <v>229</v>
      </c>
      <c r="C130" s="52" t="s">
        <v>22</v>
      </c>
      <c r="D130" s="52">
        <v>1</v>
      </c>
      <c r="E130" s="52"/>
      <c r="F130" s="52">
        <v>668.32700000000011</v>
      </c>
      <c r="G130" s="52"/>
      <c r="H130" s="52"/>
      <c r="I130" s="52">
        <f t="shared" ref="I130:I156" si="1">F130*D130</f>
        <v>668.32700000000011</v>
      </c>
      <c r="J130" s="52"/>
    </row>
    <row r="131" spans="1:10">
      <c r="A131" s="52" t="s">
        <v>181</v>
      </c>
      <c r="B131" s="48" t="s">
        <v>226</v>
      </c>
      <c r="C131" s="52" t="s">
        <v>22</v>
      </c>
      <c r="D131" s="52">
        <v>1</v>
      </c>
      <c r="E131" s="52"/>
      <c r="F131" s="52">
        <v>1287.8030000000001</v>
      </c>
      <c r="G131" s="52"/>
      <c r="H131" s="52"/>
      <c r="I131" s="52">
        <f t="shared" si="1"/>
        <v>1287.8030000000001</v>
      </c>
      <c r="J131" s="52"/>
    </row>
    <row r="132" spans="1:10">
      <c r="A132" s="52" t="s">
        <v>181</v>
      </c>
      <c r="B132" s="48" t="s">
        <v>259</v>
      </c>
      <c r="C132" s="52" t="s">
        <v>22</v>
      </c>
      <c r="D132" s="52">
        <v>22</v>
      </c>
      <c r="E132" s="52"/>
      <c r="F132" s="52">
        <v>1498</v>
      </c>
      <c r="G132" s="52"/>
      <c r="H132" s="52"/>
      <c r="I132" s="52">
        <f t="shared" si="1"/>
        <v>32956</v>
      </c>
      <c r="J132" s="52"/>
    </row>
    <row r="133" spans="1:10">
      <c r="A133" s="52" t="s">
        <v>181</v>
      </c>
      <c r="B133" s="48" t="s">
        <v>250</v>
      </c>
      <c r="C133" s="52" t="s">
        <v>22</v>
      </c>
      <c r="D133" s="52">
        <v>13</v>
      </c>
      <c r="E133" s="52"/>
      <c r="F133" s="52">
        <v>158.54300000000001</v>
      </c>
      <c r="G133" s="52"/>
      <c r="H133" s="52"/>
      <c r="I133" s="52">
        <f t="shared" si="1"/>
        <v>2061.0590000000002</v>
      </c>
      <c r="J133" s="52"/>
    </row>
    <row r="134" spans="1:10">
      <c r="A134" s="52" t="s">
        <v>181</v>
      </c>
      <c r="B134" s="48" t="s">
        <v>232</v>
      </c>
      <c r="C134" s="52" t="s">
        <v>0</v>
      </c>
      <c r="D134" s="52">
        <v>415</v>
      </c>
      <c r="E134" s="52"/>
      <c r="F134" s="52">
        <v>5.4119999999999999</v>
      </c>
      <c r="G134" s="52"/>
      <c r="H134" s="52"/>
      <c r="I134" s="52">
        <f t="shared" si="1"/>
        <v>2245.98</v>
      </c>
      <c r="J134" s="52"/>
    </row>
    <row r="135" spans="1:10">
      <c r="A135" s="52" t="s">
        <v>181</v>
      </c>
      <c r="B135" s="48" t="s">
        <v>233</v>
      </c>
      <c r="C135" s="52" t="s">
        <v>29</v>
      </c>
      <c r="D135" s="52">
        <v>50</v>
      </c>
      <c r="E135" s="52"/>
      <c r="F135" s="52">
        <v>9.1080000000000005</v>
      </c>
      <c r="G135" s="52"/>
      <c r="H135" s="52"/>
      <c r="I135" s="52">
        <f t="shared" si="1"/>
        <v>455.40000000000003</v>
      </c>
      <c r="J135" s="52"/>
    </row>
    <row r="136" spans="1:10">
      <c r="A136" s="52" t="s">
        <v>181</v>
      </c>
      <c r="B136" s="48" t="s">
        <v>234</v>
      </c>
      <c r="C136" s="52" t="s">
        <v>22</v>
      </c>
      <c r="D136" s="52">
        <v>400</v>
      </c>
      <c r="E136" s="52"/>
      <c r="F136" s="52">
        <v>1.7160000000000002</v>
      </c>
      <c r="G136" s="52"/>
      <c r="H136" s="52"/>
      <c r="I136" s="52">
        <f t="shared" si="1"/>
        <v>686.40000000000009</v>
      </c>
      <c r="J136" s="52"/>
    </row>
    <row r="137" spans="1:10">
      <c r="A137" s="52" t="s">
        <v>181</v>
      </c>
      <c r="B137" s="48" t="s">
        <v>235</v>
      </c>
      <c r="C137" s="52" t="s">
        <v>22</v>
      </c>
      <c r="D137" s="52">
        <v>80</v>
      </c>
      <c r="E137" s="52"/>
      <c r="F137" s="52">
        <v>2.1339999999999999</v>
      </c>
      <c r="G137" s="52"/>
      <c r="H137" s="52"/>
      <c r="I137" s="52">
        <f t="shared" si="1"/>
        <v>170.72</v>
      </c>
      <c r="J137" s="52"/>
    </row>
    <row r="138" spans="1:10">
      <c r="A138" s="52" t="s">
        <v>181</v>
      </c>
      <c r="B138" s="48" t="s">
        <v>228</v>
      </c>
      <c r="C138" s="52" t="s">
        <v>22</v>
      </c>
      <c r="D138" s="52">
        <v>10</v>
      </c>
      <c r="E138" s="52"/>
      <c r="F138" s="52">
        <v>1973.4</v>
      </c>
      <c r="G138" s="52"/>
      <c r="H138" s="52"/>
      <c r="I138" s="52">
        <f t="shared" si="1"/>
        <v>19734</v>
      </c>
      <c r="J138" s="52"/>
    </row>
    <row r="139" spans="1:10">
      <c r="A139" s="52" t="s">
        <v>181</v>
      </c>
      <c r="B139" s="48" t="s">
        <v>87</v>
      </c>
      <c r="C139" s="52" t="s">
        <v>22</v>
      </c>
      <c r="D139" s="52">
        <v>404</v>
      </c>
      <c r="E139" s="52"/>
      <c r="F139" s="52">
        <v>0.6</v>
      </c>
      <c r="G139" s="52"/>
      <c r="H139" s="52"/>
      <c r="I139" s="52">
        <f t="shared" si="1"/>
        <v>242.39999999999998</v>
      </c>
      <c r="J139" s="52"/>
    </row>
    <row r="140" spans="1:10">
      <c r="A140" s="52" t="s">
        <v>181</v>
      </c>
      <c r="B140" s="48" t="s">
        <v>340</v>
      </c>
      <c r="C140" s="52" t="s">
        <v>29</v>
      </c>
      <c r="D140" s="52">
        <v>204.75</v>
      </c>
      <c r="E140" s="52"/>
      <c r="F140" s="52">
        <v>11.5</v>
      </c>
      <c r="G140" s="52"/>
      <c r="H140" s="52"/>
      <c r="I140" s="52">
        <f t="shared" si="1"/>
        <v>2354.625</v>
      </c>
      <c r="J140" s="52"/>
    </row>
    <row r="141" spans="1:10">
      <c r="A141" s="52" t="s">
        <v>181</v>
      </c>
      <c r="B141" s="48" t="s">
        <v>237</v>
      </c>
      <c r="C141" s="52" t="s">
        <v>29</v>
      </c>
      <c r="D141" s="52">
        <v>178.5</v>
      </c>
      <c r="E141" s="52"/>
      <c r="F141" s="52">
        <v>23.638999999999999</v>
      </c>
      <c r="G141" s="52"/>
      <c r="H141" s="52"/>
      <c r="I141" s="52">
        <f t="shared" si="1"/>
        <v>4219.5614999999998</v>
      </c>
      <c r="J141" s="52"/>
    </row>
    <row r="142" spans="1:10">
      <c r="A142" s="52" t="s">
        <v>181</v>
      </c>
      <c r="B142" s="48" t="s">
        <v>236</v>
      </c>
      <c r="C142" s="52" t="s">
        <v>29</v>
      </c>
      <c r="D142" s="52">
        <v>218</v>
      </c>
      <c r="E142" s="52"/>
      <c r="F142" s="52">
        <v>37.884</v>
      </c>
      <c r="G142" s="52"/>
      <c r="H142" s="52"/>
      <c r="I142" s="52">
        <f t="shared" si="1"/>
        <v>8258.7119999999995</v>
      </c>
      <c r="J142" s="52"/>
    </row>
    <row r="143" spans="1:10">
      <c r="A143" s="52" t="s">
        <v>181</v>
      </c>
      <c r="B143" s="48" t="s">
        <v>238</v>
      </c>
      <c r="C143" s="52" t="s">
        <v>29</v>
      </c>
      <c r="D143" s="52">
        <v>36.75</v>
      </c>
      <c r="E143" s="52"/>
      <c r="F143" s="52">
        <v>65.208000000000013</v>
      </c>
      <c r="G143" s="52"/>
      <c r="H143" s="52"/>
      <c r="I143" s="52">
        <f t="shared" si="1"/>
        <v>2396.3940000000007</v>
      </c>
      <c r="J143" s="52"/>
    </row>
    <row r="144" spans="1:10">
      <c r="A144" s="52" t="s">
        <v>181</v>
      </c>
      <c r="B144" s="48" t="s">
        <v>243</v>
      </c>
      <c r="C144" s="52" t="s">
        <v>29</v>
      </c>
      <c r="D144" s="52">
        <v>52.5</v>
      </c>
      <c r="E144" s="52"/>
      <c r="F144" s="52">
        <v>157.751</v>
      </c>
      <c r="G144" s="52"/>
      <c r="H144" s="52"/>
      <c r="I144" s="52">
        <f t="shared" si="1"/>
        <v>8281.9274999999998</v>
      </c>
      <c r="J144" s="52"/>
    </row>
    <row r="145" spans="1:10">
      <c r="A145" s="52" t="s">
        <v>181</v>
      </c>
      <c r="B145" s="48" t="s">
        <v>255</v>
      </c>
      <c r="C145" s="52" t="s">
        <v>22</v>
      </c>
      <c r="D145" s="52">
        <v>74.800000000000011</v>
      </c>
      <c r="E145" s="52"/>
      <c r="F145" s="52">
        <v>41.183999999999997</v>
      </c>
      <c r="G145" s="52"/>
      <c r="H145" s="52"/>
      <c r="I145" s="52">
        <f t="shared" si="1"/>
        <v>3080.5632000000005</v>
      </c>
      <c r="J145" s="52"/>
    </row>
    <row r="146" spans="1:10">
      <c r="A146" s="52" t="s">
        <v>181</v>
      </c>
      <c r="B146" s="48" t="s">
        <v>240</v>
      </c>
      <c r="C146" s="52" t="s">
        <v>29</v>
      </c>
      <c r="D146" s="52">
        <v>10.35</v>
      </c>
      <c r="E146" s="52"/>
      <c r="F146" s="52">
        <v>242.88000000000002</v>
      </c>
      <c r="G146" s="52"/>
      <c r="H146" s="52"/>
      <c r="I146" s="52">
        <f t="shared" si="1"/>
        <v>2513.808</v>
      </c>
      <c r="J146" s="52"/>
    </row>
    <row r="147" spans="1:10">
      <c r="A147" s="52" t="s">
        <v>181</v>
      </c>
      <c r="B147" s="48" t="s">
        <v>248</v>
      </c>
      <c r="C147" s="52" t="s">
        <v>22</v>
      </c>
      <c r="D147" s="52">
        <v>35</v>
      </c>
      <c r="E147" s="52"/>
      <c r="F147" s="52">
        <v>6.8750000000000009</v>
      </c>
      <c r="G147" s="52"/>
      <c r="H147" s="52"/>
      <c r="I147" s="52">
        <f t="shared" si="1"/>
        <v>240.62500000000003</v>
      </c>
      <c r="J147" s="52"/>
    </row>
    <row r="148" spans="1:10">
      <c r="A148" s="52" t="s">
        <v>181</v>
      </c>
      <c r="B148" s="48" t="s">
        <v>280</v>
      </c>
      <c r="C148" s="52" t="s">
        <v>22</v>
      </c>
      <c r="D148" s="52">
        <v>2</v>
      </c>
      <c r="E148" s="52"/>
      <c r="F148" s="52">
        <v>5750</v>
      </c>
      <c r="G148" s="52"/>
      <c r="H148" s="52"/>
      <c r="I148" s="52">
        <f t="shared" si="1"/>
        <v>11500</v>
      </c>
      <c r="J148" s="52"/>
    </row>
    <row r="149" spans="1:10">
      <c r="A149" s="52" t="s">
        <v>181</v>
      </c>
      <c r="B149" s="48" t="s">
        <v>249</v>
      </c>
      <c r="C149" s="52" t="s">
        <v>22</v>
      </c>
      <c r="D149" s="52">
        <v>35</v>
      </c>
      <c r="E149" s="52"/>
      <c r="F149" s="52">
        <v>45.672000000000004</v>
      </c>
      <c r="G149" s="52"/>
      <c r="H149" s="52"/>
      <c r="I149" s="52">
        <f t="shared" si="1"/>
        <v>1598.5200000000002</v>
      </c>
      <c r="J149" s="52"/>
    </row>
    <row r="150" spans="1:10">
      <c r="A150" s="52" t="s">
        <v>181</v>
      </c>
      <c r="B150" s="48" t="s">
        <v>251</v>
      </c>
      <c r="C150" s="52" t="s">
        <v>22</v>
      </c>
      <c r="D150" s="52">
        <v>22</v>
      </c>
      <c r="E150" s="52"/>
      <c r="F150" s="52">
        <v>154.84700000000004</v>
      </c>
      <c r="G150" s="52"/>
      <c r="H150" s="52"/>
      <c r="I150" s="52">
        <f t="shared" si="1"/>
        <v>3406.6340000000009</v>
      </c>
      <c r="J150" s="52"/>
    </row>
    <row r="151" spans="1:10">
      <c r="A151" s="52" t="s">
        <v>181</v>
      </c>
      <c r="B151" s="48" t="s">
        <v>278</v>
      </c>
      <c r="C151" s="52" t="s">
        <v>22</v>
      </c>
      <c r="D151" s="52">
        <v>2</v>
      </c>
      <c r="E151" s="52"/>
      <c r="F151" s="52">
        <v>4800</v>
      </c>
      <c r="G151" s="52"/>
      <c r="H151" s="52"/>
      <c r="I151" s="52">
        <f t="shared" si="1"/>
        <v>9600</v>
      </c>
      <c r="J151" s="52"/>
    </row>
    <row r="152" spans="1:10" ht="30">
      <c r="A152" s="52" t="s">
        <v>181</v>
      </c>
      <c r="B152" s="48" t="s">
        <v>256</v>
      </c>
      <c r="C152" s="52" t="s">
        <v>22</v>
      </c>
      <c r="D152" s="52">
        <v>2</v>
      </c>
      <c r="E152" s="52"/>
      <c r="F152" s="52">
        <v>511.50550000000004</v>
      </c>
      <c r="G152" s="52"/>
      <c r="H152" s="52"/>
      <c r="I152" s="52">
        <f t="shared" si="1"/>
        <v>1023.0110000000001</v>
      </c>
      <c r="J152" s="52"/>
    </row>
    <row r="153" spans="1:10" ht="30">
      <c r="A153" s="52" t="s">
        <v>181</v>
      </c>
      <c r="B153" s="48" t="s">
        <v>254</v>
      </c>
      <c r="C153" s="52" t="s">
        <v>22</v>
      </c>
      <c r="D153" s="52">
        <v>16</v>
      </c>
      <c r="E153" s="52"/>
      <c r="F153" s="52">
        <v>682.04399999999998</v>
      </c>
      <c r="G153" s="52"/>
      <c r="H153" s="52"/>
      <c r="I153" s="52">
        <f t="shared" si="1"/>
        <v>10912.704</v>
      </c>
      <c r="J153" s="52"/>
    </row>
    <row r="154" spans="1:10" ht="45">
      <c r="A154" s="52" t="s">
        <v>181</v>
      </c>
      <c r="B154" s="48" t="s">
        <v>257</v>
      </c>
      <c r="C154" s="52" t="s">
        <v>22</v>
      </c>
      <c r="D154" s="52">
        <v>42</v>
      </c>
      <c r="E154" s="52"/>
      <c r="F154" s="52">
        <v>3700</v>
      </c>
      <c r="G154" s="52"/>
      <c r="H154" s="52"/>
      <c r="I154" s="52">
        <f t="shared" si="1"/>
        <v>155400</v>
      </c>
      <c r="J154" s="52"/>
    </row>
    <row r="155" spans="1:10">
      <c r="A155" s="52" t="s">
        <v>181</v>
      </c>
      <c r="B155" s="48" t="s">
        <v>241</v>
      </c>
      <c r="C155" s="52" t="s">
        <v>22</v>
      </c>
      <c r="D155" s="52">
        <v>100</v>
      </c>
      <c r="E155" s="52"/>
      <c r="F155" s="52">
        <v>0.87526999999999999</v>
      </c>
      <c r="G155" s="52"/>
      <c r="H155" s="52"/>
      <c r="I155" s="52">
        <f t="shared" si="1"/>
        <v>87.527000000000001</v>
      </c>
      <c r="J155" s="52"/>
    </row>
    <row r="156" spans="1:10" ht="30">
      <c r="A156" s="52" t="s">
        <v>181</v>
      </c>
      <c r="B156" s="48" t="s">
        <v>224</v>
      </c>
      <c r="C156" s="52" t="s">
        <v>22</v>
      </c>
      <c r="D156" s="52">
        <v>1</v>
      </c>
      <c r="E156" s="52"/>
      <c r="F156" s="52">
        <v>2884</v>
      </c>
      <c r="G156" s="52"/>
      <c r="H156" s="52"/>
      <c r="I156" s="52">
        <f t="shared" si="1"/>
        <v>2884</v>
      </c>
      <c r="J156" s="52"/>
    </row>
    <row r="158" spans="1:10" ht="30">
      <c r="B158" s="166" t="s">
        <v>272</v>
      </c>
    </row>
    <row r="159" spans="1:10">
      <c r="A159" s="52" t="s">
        <v>181</v>
      </c>
      <c r="B159" s="48" t="s">
        <v>274</v>
      </c>
      <c r="C159" s="52" t="s">
        <v>22</v>
      </c>
      <c r="D159" s="52">
        <v>1</v>
      </c>
      <c r="E159" s="52"/>
      <c r="F159" s="52">
        <v>350</v>
      </c>
      <c r="G159" s="52"/>
      <c r="H159" s="52"/>
      <c r="I159" s="52">
        <v>350</v>
      </c>
      <c r="J159" s="52"/>
    </row>
    <row r="160" spans="1:10">
      <c r="A160" s="52" t="s">
        <v>181</v>
      </c>
      <c r="B160" s="48" t="s">
        <v>486</v>
      </c>
      <c r="C160" s="52" t="s">
        <v>22</v>
      </c>
      <c r="D160" s="52">
        <v>3</v>
      </c>
      <c r="E160" s="52"/>
      <c r="F160" s="52">
        <v>300</v>
      </c>
      <c r="G160" s="52"/>
      <c r="H160" s="52"/>
      <c r="I160" s="52">
        <v>900</v>
      </c>
      <c r="J160" s="52"/>
    </row>
    <row r="161" spans="1:10" ht="30">
      <c r="A161" s="52" t="s">
        <v>181</v>
      </c>
      <c r="B161" s="48" t="s">
        <v>284</v>
      </c>
      <c r="C161" s="52" t="s">
        <v>22</v>
      </c>
      <c r="D161" s="52">
        <v>1</v>
      </c>
      <c r="E161" s="52"/>
      <c r="F161" s="52">
        <v>3200</v>
      </c>
      <c r="G161" s="52"/>
      <c r="H161" s="52"/>
      <c r="I161" s="52">
        <v>3200</v>
      </c>
      <c r="J161" s="52"/>
    </row>
    <row r="162" spans="1:10">
      <c r="A162" s="52" t="s">
        <v>181</v>
      </c>
      <c r="B162" s="48" t="s">
        <v>282</v>
      </c>
      <c r="C162" s="52" t="s">
        <v>22</v>
      </c>
      <c r="D162" s="52">
        <v>3</v>
      </c>
      <c r="E162" s="52"/>
      <c r="F162" s="52">
        <v>759.00000000000011</v>
      </c>
      <c r="G162" s="52"/>
      <c r="H162" s="52"/>
      <c r="I162" s="52">
        <v>2277.0000000000005</v>
      </c>
      <c r="J162" s="52"/>
    </row>
    <row r="163" spans="1:10">
      <c r="A163" s="52" t="s">
        <v>181</v>
      </c>
      <c r="B163" s="48" t="s">
        <v>286</v>
      </c>
      <c r="C163" s="52" t="s">
        <v>22</v>
      </c>
      <c r="D163" s="52">
        <v>1</v>
      </c>
      <c r="E163" s="52"/>
      <c r="F163" s="52">
        <v>3150</v>
      </c>
      <c r="G163" s="52"/>
      <c r="H163" s="52"/>
      <c r="I163" s="52">
        <v>3150</v>
      </c>
      <c r="J163" s="52"/>
    </row>
    <row r="164" spans="1:10">
      <c r="A164" s="52" t="s">
        <v>181</v>
      </c>
      <c r="B164" s="48" t="s">
        <v>288</v>
      </c>
      <c r="C164" s="52" t="s">
        <v>22</v>
      </c>
      <c r="D164" s="52">
        <v>3</v>
      </c>
      <c r="E164" s="52"/>
      <c r="F164" s="52">
        <v>3570</v>
      </c>
      <c r="G164" s="52"/>
      <c r="H164" s="52"/>
      <c r="I164" s="52">
        <v>10710</v>
      </c>
      <c r="J164" s="52"/>
    </row>
    <row r="165" spans="1:10">
      <c r="A165" s="52" t="s">
        <v>181</v>
      </c>
      <c r="B165" s="48" t="s">
        <v>276</v>
      </c>
      <c r="C165" s="52" t="s">
        <v>22</v>
      </c>
      <c r="D165" s="52">
        <v>3</v>
      </c>
      <c r="E165" s="52"/>
      <c r="F165" s="52">
        <v>2600</v>
      </c>
      <c r="G165" s="52"/>
      <c r="H165" s="52"/>
      <c r="I165" s="52">
        <v>7800</v>
      </c>
      <c r="J165" s="52"/>
    </row>
    <row r="166" spans="1:10">
      <c r="A166" s="52" t="s">
        <v>181</v>
      </c>
      <c r="B166" s="48" t="s">
        <v>273</v>
      </c>
      <c r="C166" s="52" t="s">
        <v>22</v>
      </c>
      <c r="D166" s="52">
        <v>3</v>
      </c>
      <c r="E166" s="52"/>
      <c r="F166" s="52">
        <v>2300</v>
      </c>
      <c r="G166" s="52"/>
      <c r="H166" s="52"/>
      <c r="I166" s="52">
        <v>6900</v>
      </c>
      <c r="J166" s="52"/>
    </row>
    <row r="167" spans="1:10">
      <c r="A167" s="52" t="s">
        <v>181</v>
      </c>
      <c r="B167" s="48" t="s">
        <v>271</v>
      </c>
      <c r="C167" s="52" t="s">
        <v>22</v>
      </c>
      <c r="D167" s="52">
        <v>1</v>
      </c>
      <c r="E167" s="52"/>
      <c r="F167" s="52">
        <v>3900</v>
      </c>
      <c r="G167" s="52"/>
      <c r="H167" s="52"/>
      <c r="I167" s="52">
        <v>3900</v>
      </c>
      <c r="J167" s="52"/>
    </row>
    <row r="169" spans="1:10">
      <c r="B169" s="166" t="s">
        <v>260</v>
      </c>
    </row>
    <row r="170" spans="1:10">
      <c r="A170" s="52" t="s">
        <v>181</v>
      </c>
      <c r="B170" s="48" t="s">
        <v>298</v>
      </c>
      <c r="C170" s="52" t="s">
        <v>22</v>
      </c>
      <c r="D170" s="52">
        <v>1</v>
      </c>
      <c r="E170" s="52"/>
      <c r="F170" s="52">
        <v>5805.5999999999995</v>
      </c>
      <c r="G170" s="52"/>
      <c r="H170" s="52"/>
      <c r="I170" s="52">
        <v>5805.5999999999995</v>
      </c>
      <c r="J170" s="52"/>
    </row>
    <row r="171" spans="1:10">
      <c r="A171" s="52" t="s">
        <v>181</v>
      </c>
      <c r="B171" s="48" t="s">
        <v>299</v>
      </c>
      <c r="C171" s="52" t="s">
        <v>22</v>
      </c>
      <c r="D171" s="52">
        <v>1</v>
      </c>
      <c r="E171" s="52"/>
      <c r="F171" s="52">
        <v>6773.2</v>
      </c>
      <c r="G171" s="52"/>
      <c r="H171" s="52"/>
      <c r="I171" s="52">
        <v>6773.2</v>
      </c>
      <c r="J171" s="52"/>
    </row>
    <row r="172" spans="1:10">
      <c r="A172" s="52" t="s">
        <v>181</v>
      </c>
      <c r="B172" s="48" t="s">
        <v>302</v>
      </c>
      <c r="C172" s="52" t="s">
        <v>29</v>
      </c>
      <c r="D172" s="52">
        <v>18</v>
      </c>
      <c r="E172" s="52"/>
      <c r="F172" s="52">
        <v>83.697400000000002</v>
      </c>
      <c r="G172" s="52"/>
      <c r="H172" s="52"/>
      <c r="I172" s="52">
        <v>1506.5532000000001</v>
      </c>
      <c r="J172" s="52"/>
    </row>
    <row r="173" spans="1:10">
      <c r="A173" s="52" t="s">
        <v>181</v>
      </c>
      <c r="B173" s="48" t="s">
        <v>303</v>
      </c>
      <c r="C173" s="52" t="s">
        <v>29</v>
      </c>
      <c r="D173" s="52">
        <v>2</v>
      </c>
      <c r="E173" s="52"/>
      <c r="F173" s="52">
        <v>161.1054</v>
      </c>
      <c r="G173" s="52"/>
      <c r="H173" s="52"/>
      <c r="I173" s="52">
        <v>322.21080000000001</v>
      </c>
      <c r="J173" s="52"/>
    </row>
    <row r="174" spans="1:10">
      <c r="A174" s="52" t="s">
        <v>181</v>
      </c>
      <c r="B174" s="48" t="s">
        <v>305</v>
      </c>
      <c r="C174" s="52" t="s">
        <v>0</v>
      </c>
      <c r="D174" s="52">
        <v>24.9</v>
      </c>
      <c r="E174" s="52"/>
      <c r="F174" s="52">
        <v>1242.54</v>
      </c>
      <c r="G174" s="52"/>
      <c r="H174" s="52"/>
      <c r="I174" s="52">
        <v>30939.245999999996</v>
      </c>
      <c r="J174" s="52"/>
    </row>
    <row r="175" spans="1:10">
      <c r="A175" s="52" t="s">
        <v>181</v>
      </c>
      <c r="B175" s="48" t="s">
        <v>297</v>
      </c>
      <c r="C175" s="52" t="s">
        <v>22</v>
      </c>
      <c r="D175" s="52">
        <v>1</v>
      </c>
      <c r="E175" s="52"/>
      <c r="F175" s="52">
        <v>1416</v>
      </c>
      <c r="G175" s="52"/>
      <c r="H175" s="52"/>
      <c r="I175" s="52">
        <v>1416</v>
      </c>
      <c r="J175" s="52"/>
    </row>
    <row r="176" spans="1:10">
      <c r="A176" s="52" t="s">
        <v>181</v>
      </c>
      <c r="B176" s="48" t="s">
        <v>304</v>
      </c>
      <c r="C176" s="52" t="s">
        <v>0</v>
      </c>
      <c r="D176" s="52">
        <v>8</v>
      </c>
      <c r="E176" s="52"/>
      <c r="F176" s="52">
        <v>389.4</v>
      </c>
      <c r="G176" s="52"/>
      <c r="H176" s="52"/>
      <c r="I176" s="52">
        <v>3115.2</v>
      </c>
      <c r="J176" s="52"/>
    </row>
    <row r="177" spans="1:10" ht="30">
      <c r="A177" s="52" t="s">
        <v>181</v>
      </c>
      <c r="B177" s="48" t="s">
        <v>301</v>
      </c>
      <c r="C177" s="52" t="s">
        <v>22</v>
      </c>
      <c r="D177" s="52">
        <v>3</v>
      </c>
      <c r="E177" s="52"/>
      <c r="F177" s="52">
        <v>49560</v>
      </c>
      <c r="G177" s="52"/>
      <c r="H177" s="52"/>
      <c r="I177" s="52">
        <v>148680</v>
      </c>
      <c r="J177" s="52"/>
    </row>
    <row r="178" spans="1:10" ht="30">
      <c r="A178" s="52" t="s">
        <v>181</v>
      </c>
      <c r="B178" s="48" t="s">
        <v>300</v>
      </c>
      <c r="C178" s="52" t="s">
        <v>22</v>
      </c>
      <c r="D178" s="52">
        <v>3</v>
      </c>
      <c r="E178" s="52"/>
      <c r="F178" s="52">
        <v>53100</v>
      </c>
      <c r="G178" s="52"/>
      <c r="H178" s="52"/>
      <c r="I178" s="52">
        <v>159300</v>
      </c>
      <c r="J178" s="52"/>
    </row>
    <row r="179" spans="1:10">
      <c r="A179" s="52" t="s">
        <v>181</v>
      </c>
      <c r="B179" s="48" t="s">
        <v>289</v>
      </c>
      <c r="C179" s="52" t="s">
        <v>22</v>
      </c>
      <c r="D179" s="52">
        <v>1</v>
      </c>
      <c r="E179" s="52"/>
      <c r="F179" s="52">
        <v>156799.57999999999</v>
      </c>
      <c r="G179" s="52"/>
      <c r="H179" s="52"/>
      <c r="I179" s="52">
        <v>156799.57999999999</v>
      </c>
      <c r="J179" s="52"/>
    </row>
    <row r="180" spans="1:10">
      <c r="A180" s="52" t="s">
        <v>181</v>
      </c>
      <c r="B180" s="48" t="s">
        <v>293</v>
      </c>
      <c r="C180" s="52" t="s">
        <v>22</v>
      </c>
      <c r="D180" s="52">
        <v>5</v>
      </c>
      <c r="E180" s="52"/>
      <c r="F180" s="52">
        <v>313.28999999999996</v>
      </c>
      <c r="G180" s="52"/>
      <c r="H180" s="52"/>
      <c r="I180" s="52">
        <v>1566.4499999999998</v>
      </c>
      <c r="J180" s="52"/>
    </row>
    <row r="181" spans="1:10">
      <c r="A181" s="52" t="s">
        <v>181</v>
      </c>
      <c r="B181" s="48" t="s">
        <v>294</v>
      </c>
      <c r="C181" s="52" t="s">
        <v>22</v>
      </c>
      <c r="D181" s="52">
        <v>1</v>
      </c>
      <c r="E181" s="52"/>
      <c r="F181" s="52">
        <v>449.93399999999997</v>
      </c>
      <c r="G181" s="52"/>
      <c r="H181" s="52"/>
      <c r="I181" s="52">
        <v>449.93399999999997</v>
      </c>
      <c r="J181" s="52"/>
    </row>
    <row r="182" spans="1:10">
      <c r="A182" s="52" t="s">
        <v>181</v>
      </c>
      <c r="B182" s="48" t="s">
        <v>295</v>
      </c>
      <c r="C182" s="52" t="s">
        <v>22</v>
      </c>
      <c r="D182" s="52">
        <v>6</v>
      </c>
      <c r="E182" s="52"/>
      <c r="F182" s="52">
        <v>313.28999999999996</v>
      </c>
      <c r="G182" s="52"/>
      <c r="H182" s="52"/>
      <c r="I182" s="52">
        <v>1879.7399999999998</v>
      </c>
      <c r="J182" s="52"/>
    </row>
    <row r="183" spans="1:10">
      <c r="A183" s="52" t="s">
        <v>181</v>
      </c>
      <c r="B183" s="48" t="s">
        <v>296</v>
      </c>
      <c r="C183" s="52" t="s">
        <v>22</v>
      </c>
      <c r="D183" s="52">
        <v>1</v>
      </c>
      <c r="E183" s="52"/>
      <c r="F183" s="52">
        <v>556.37</v>
      </c>
      <c r="G183" s="52"/>
      <c r="H183" s="52"/>
      <c r="I183" s="52">
        <v>556.37</v>
      </c>
      <c r="J183" s="52"/>
    </row>
    <row r="184" spans="1:10">
      <c r="A184" s="52" t="s">
        <v>181</v>
      </c>
      <c r="B184" s="48" t="s">
        <v>292</v>
      </c>
      <c r="C184" s="52" t="s">
        <v>22</v>
      </c>
      <c r="D184" s="52">
        <v>1</v>
      </c>
      <c r="E184" s="52"/>
      <c r="F184" s="52">
        <v>2336.4</v>
      </c>
      <c r="G184" s="52"/>
      <c r="H184" s="52"/>
      <c r="I184" s="52">
        <v>2336.4</v>
      </c>
      <c r="J184" s="52"/>
    </row>
    <row r="185" spans="1:10">
      <c r="A185" s="52" t="s">
        <v>181</v>
      </c>
      <c r="B185" s="48" t="s">
        <v>290</v>
      </c>
      <c r="C185" s="52" t="s">
        <v>22</v>
      </c>
      <c r="D185" s="52">
        <v>1</v>
      </c>
      <c r="E185" s="52"/>
      <c r="F185" s="52">
        <v>54330.74</v>
      </c>
      <c r="G185" s="52"/>
      <c r="H185" s="52"/>
      <c r="I185" s="52">
        <v>54330.74</v>
      </c>
      <c r="J185" s="52"/>
    </row>
    <row r="186" spans="1:10">
      <c r="A186" s="52" t="s">
        <v>181</v>
      </c>
      <c r="B186" s="48" t="s">
        <v>291</v>
      </c>
      <c r="C186" s="52" t="s">
        <v>22</v>
      </c>
      <c r="D186" s="52">
        <v>2</v>
      </c>
      <c r="E186" s="52"/>
      <c r="F186" s="52">
        <v>2950</v>
      </c>
      <c r="G186" s="52"/>
      <c r="H186" s="52"/>
      <c r="I186" s="52">
        <v>5900</v>
      </c>
      <c r="J186" s="52"/>
    </row>
    <row r="188" spans="1:10">
      <c r="B188" s="166" t="s">
        <v>345</v>
      </c>
    </row>
    <row r="189" spans="1:10">
      <c r="A189" s="52" t="s">
        <v>181</v>
      </c>
      <c r="B189" s="48" t="s">
        <v>365</v>
      </c>
      <c r="C189" s="52" t="s">
        <v>22</v>
      </c>
      <c r="D189" s="52">
        <v>10</v>
      </c>
      <c r="E189" s="52"/>
      <c r="F189" s="52">
        <v>246.3</v>
      </c>
      <c r="G189" s="52"/>
      <c r="H189" s="52"/>
      <c r="I189" s="52">
        <v>2463</v>
      </c>
      <c r="J189" s="52"/>
    </row>
    <row r="190" spans="1:10">
      <c r="A190" s="52" t="s">
        <v>181</v>
      </c>
      <c r="B190" s="48" t="s">
        <v>351</v>
      </c>
      <c r="C190" s="52" t="s">
        <v>22</v>
      </c>
      <c r="D190" s="52">
        <v>5</v>
      </c>
      <c r="E190" s="52"/>
      <c r="F190" s="52">
        <v>92.3</v>
      </c>
      <c r="G190" s="52"/>
      <c r="H190" s="52"/>
      <c r="I190" s="52">
        <v>461.5</v>
      </c>
      <c r="J190" s="52"/>
    </row>
    <row r="191" spans="1:10">
      <c r="A191" s="52" t="s">
        <v>181</v>
      </c>
      <c r="B191" s="48" t="s">
        <v>354</v>
      </c>
      <c r="C191" s="52" t="s">
        <v>22</v>
      </c>
      <c r="D191" s="52">
        <v>10</v>
      </c>
      <c r="E191" s="52"/>
      <c r="F191" s="52">
        <v>446.3</v>
      </c>
      <c r="G191" s="52"/>
      <c r="H191" s="52"/>
      <c r="I191" s="52">
        <v>4463</v>
      </c>
      <c r="J191" s="52"/>
    </row>
    <row r="192" spans="1:10">
      <c r="A192" s="52" t="s">
        <v>181</v>
      </c>
      <c r="B192" s="48" t="s">
        <v>350</v>
      </c>
      <c r="C192" s="52" t="s">
        <v>22</v>
      </c>
      <c r="D192" s="52">
        <v>10</v>
      </c>
      <c r="E192" s="52"/>
      <c r="F192" s="52">
        <v>43.6</v>
      </c>
      <c r="G192" s="52"/>
      <c r="H192" s="52"/>
      <c r="I192" s="52">
        <v>436</v>
      </c>
      <c r="J192" s="52"/>
    </row>
    <row r="193" spans="1:10">
      <c r="A193" s="52" t="s">
        <v>181</v>
      </c>
      <c r="B193" s="48" t="s">
        <v>367</v>
      </c>
      <c r="C193" s="52" t="s">
        <v>22</v>
      </c>
      <c r="D193" s="52">
        <v>20</v>
      </c>
      <c r="E193" s="52"/>
      <c r="F193" s="52">
        <v>84.3</v>
      </c>
      <c r="G193" s="52"/>
      <c r="H193" s="52"/>
      <c r="I193" s="52">
        <v>1686</v>
      </c>
      <c r="J193" s="52"/>
    </row>
    <row r="194" spans="1:10">
      <c r="A194" s="52" t="s">
        <v>181</v>
      </c>
      <c r="B194" s="48" t="s">
        <v>487</v>
      </c>
      <c r="C194" s="52" t="s">
        <v>22</v>
      </c>
      <c r="D194" s="52">
        <v>5</v>
      </c>
      <c r="E194" s="52"/>
      <c r="F194" s="52">
        <v>9.2799999999999994</v>
      </c>
      <c r="G194" s="52"/>
      <c r="H194" s="52"/>
      <c r="I194" s="52">
        <v>46.4</v>
      </c>
      <c r="J194" s="52"/>
    </row>
    <row r="195" spans="1:10">
      <c r="A195" s="52" t="s">
        <v>181</v>
      </c>
      <c r="B195" s="48" t="s">
        <v>353</v>
      </c>
      <c r="C195" s="52" t="s">
        <v>22</v>
      </c>
      <c r="D195" s="52">
        <v>5</v>
      </c>
      <c r="E195" s="52"/>
      <c r="F195" s="52">
        <v>4420</v>
      </c>
      <c r="G195" s="52"/>
      <c r="H195" s="52"/>
      <c r="I195" s="52">
        <v>22100</v>
      </c>
      <c r="J195" s="52"/>
    </row>
    <row r="196" spans="1:10" ht="30">
      <c r="A196" s="52" t="s">
        <v>181</v>
      </c>
      <c r="B196" s="48" t="s">
        <v>364</v>
      </c>
      <c r="C196" s="52" t="s">
        <v>29</v>
      </c>
      <c r="D196" s="52">
        <v>29.103999999999999</v>
      </c>
      <c r="E196" s="52"/>
      <c r="F196" s="52">
        <v>108.6</v>
      </c>
      <c r="G196" s="52"/>
      <c r="H196" s="52"/>
      <c r="I196" s="52">
        <v>3160.6943999999999</v>
      </c>
      <c r="J196" s="52"/>
    </row>
    <row r="197" spans="1:10">
      <c r="A197" s="52" t="s">
        <v>181</v>
      </c>
      <c r="B197" s="48" t="s">
        <v>366</v>
      </c>
      <c r="C197" s="52" t="s">
        <v>22</v>
      </c>
      <c r="D197" s="52">
        <v>46</v>
      </c>
      <c r="E197" s="52"/>
      <c r="F197" s="52">
        <v>4.0999999999999996</v>
      </c>
      <c r="G197" s="52"/>
      <c r="H197" s="52"/>
      <c r="I197" s="52">
        <v>188.6</v>
      </c>
      <c r="J197" s="52"/>
    </row>
    <row r="199" spans="1:10">
      <c r="B199" s="166" t="s">
        <v>26</v>
      </c>
    </row>
    <row r="200" spans="1:10" ht="45">
      <c r="A200" s="52" t="s">
        <v>181</v>
      </c>
      <c r="B200" s="48" t="s">
        <v>490</v>
      </c>
      <c r="C200" s="52" t="s">
        <v>319</v>
      </c>
      <c r="D200" s="52">
        <v>1</v>
      </c>
      <c r="E200" s="52"/>
      <c r="F200" s="52">
        <v>1750</v>
      </c>
      <c r="G200" s="52"/>
      <c r="H200" s="52"/>
      <c r="I200" s="52">
        <v>1750</v>
      </c>
      <c r="J200" s="52"/>
    </row>
    <row r="201" spans="1:10" ht="30">
      <c r="A201" s="52" t="s">
        <v>181</v>
      </c>
      <c r="B201" s="48" t="s">
        <v>489</v>
      </c>
      <c r="C201" s="52" t="s">
        <v>319</v>
      </c>
      <c r="D201" s="52">
        <v>1</v>
      </c>
      <c r="E201" s="52"/>
      <c r="F201" s="52">
        <v>500</v>
      </c>
      <c r="G201" s="52"/>
      <c r="H201" s="52"/>
      <c r="I201" s="52">
        <v>500</v>
      </c>
      <c r="J201" s="52"/>
    </row>
    <row r="202" spans="1:10" ht="45">
      <c r="A202" s="52" t="s">
        <v>181</v>
      </c>
      <c r="B202" s="48" t="s">
        <v>488</v>
      </c>
      <c r="C202" s="52" t="s">
        <v>319</v>
      </c>
      <c r="D202" s="52">
        <v>1</v>
      </c>
      <c r="E202" s="52"/>
      <c r="F202" s="52">
        <v>1500</v>
      </c>
      <c r="G202" s="52"/>
      <c r="H202" s="52"/>
      <c r="I202" s="52">
        <v>1500</v>
      </c>
      <c r="J202" s="52"/>
    </row>
    <row r="203" spans="1:10" ht="30">
      <c r="A203" s="52" t="s">
        <v>181</v>
      </c>
      <c r="B203" s="48" t="s">
        <v>327</v>
      </c>
      <c r="C203" s="52" t="s">
        <v>22</v>
      </c>
      <c r="D203" s="52">
        <v>1</v>
      </c>
      <c r="E203" s="52"/>
      <c r="F203" s="52">
        <v>8957.52</v>
      </c>
      <c r="G203" s="52"/>
      <c r="H203" s="52"/>
      <c r="I203" s="52">
        <v>8957.52</v>
      </c>
      <c r="J203" s="52"/>
    </row>
    <row r="204" spans="1:10" ht="30">
      <c r="A204" s="52" t="s">
        <v>181</v>
      </c>
      <c r="B204" s="48" t="s">
        <v>323</v>
      </c>
      <c r="C204" s="52" t="s">
        <v>22</v>
      </c>
      <c r="D204" s="52">
        <v>1</v>
      </c>
      <c r="E204" s="52"/>
      <c r="F204" s="52">
        <v>25534.080000000002</v>
      </c>
      <c r="G204" s="52"/>
      <c r="H204" s="52"/>
      <c r="I204" s="52">
        <v>25534.080000000002</v>
      </c>
      <c r="J204" s="52"/>
    </row>
    <row r="205" spans="1:10">
      <c r="A205" s="52" t="s">
        <v>181</v>
      </c>
      <c r="B205" s="48" t="s">
        <v>326</v>
      </c>
      <c r="C205" s="52" t="s">
        <v>22</v>
      </c>
      <c r="D205" s="52">
        <v>1</v>
      </c>
      <c r="E205" s="52"/>
      <c r="F205" s="52">
        <v>14147.320000000002</v>
      </c>
      <c r="G205" s="52"/>
      <c r="H205" s="52"/>
      <c r="I205" s="52">
        <v>14147.320000000002</v>
      </c>
      <c r="J205" s="52"/>
    </row>
    <row r="206" spans="1:10" ht="30">
      <c r="A206" s="52" t="s">
        <v>181</v>
      </c>
      <c r="B206" s="48" t="s">
        <v>318</v>
      </c>
      <c r="C206" s="52" t="s">
        <v>22</v>
      </c>
      <c r="D206" s="52">
        <v>1</v>
      </c>
      <c r="E206" s="52"/>
      <c r="F206" s="52">
        <v>5700</v>
      </c>
      <c r="G206" s="52"/>
      <c r="H206" s="52"/>
      <c r="I206" s="52">
        <v>5700</v>
      </c>
      <c r="J206" s="52"/>
    </row>
  </sheetData>
  <sortState ref="B199:J205">
    <sortCondition ref="B199"/>
  </sortState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9"/>
  <sheetViews>
    <sheetView zoomScale="55" zoomScaleNormal="55" zoomScaleSheetLayoutView="59" workbookViewId="0">
      <selection activeCell="E14" sqref="E14"/>
    </sheetView>
  </sheetViews>
  <sheetFormatPr defaultColWidth="8.85546875" defaultRowHeight="18.75"/>
  <cols>
    <col min="1" max="1" width="7" style="74" customWidth="1"/>
    <col min="2" max="2" width="59" style="73" customWidth="1"/>
    <col min="3" max="4" width="9.140625" style="73" hidden="1" customWidth="1"/>
    <col min="5" max="5" width="28" style="73" bestFit="1" customWidth="1"/>
    <col min="6" max="6" width="23.7109375" style="73" customWidth="1"/>
    <col min="7" max="18" width="9.7109375" style="73" customWidth="1"/>
    <col min="19" max="16384" width="8.85546875" style="72"/>
  </cols>
  <sheetData>
    <row r="1" spans="1:18">
      <c r="G1" s="270"/>
      <c r="H1" s="270"/>
      <c r="I1" s="270"/>
      <c r="J1" s="270"/>
      <c r="K1" s="270"/>
    </row>
    <row r="2" spans="1:18" ht="28.5" customHeight="1">
      <c r="G2" s="74"/>
      <c r="H2" s="74"/>
      <c r="I2" s="74"/>
      <c r="J2" s="74"/>
      <c r="K2" s="74"/>
    </row>
    <row r="3" spans="1:18" ht="14.25" customHeight="1">
      <c r="A3" s="256" t="s">
        <v>356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8" ht="28.5" customHeight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</row>
    <row r="5" spans="1:18" ht="30" hidden="1" customHeight="1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</row>
    <row r="6" spans="1:18" ht="22.5" customHeight="1">
      <c r="A6" s="257" t="s">
        <v>363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</row>
    <row r="7" spans="1:18" ht="25.9" customHeight="1">
      <c r="A7" s="97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8" ht="20.25">
      <c r="A8" s="258" t="s">
        <v>357</v>
      </c>
      <c r="B8" s="253" t="s">
        <v>14</v>
      </c>
      <c r="C8" s="95"/>
      <c r="D8" s="95"/>
      <c r="E8" s="261" t="s">
        <v>491</v>
      </c>
      <c r="F8" s="261" t="s">
        <v>361</v>
      </c>
      <c r="G8" s="271" t="s">
        <v>362</v>
      </c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</row>
    <row r="9" spans="1:18" ht="20.25">
      <c r="A9" s="259"/>
      <c r="B9" s="254"/>
      <c r="C9" s="95"/>
      <c r="D9" s="95"/>
      <c r="E9" s="262"/>
      <c r="F9" s="262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</row>
    <row r="10" spans="1:18" ht="20.25" customHeight="1">
      <c r="A10" s="259"/>
      <c r="B10" s="254"/>
      <c r="C10" s="95"/>
      <c r="D10" s="95"/>
      <c r="E10" s="262"/>
      <c r="F10" s="262"/>
      <c r="G10" s="272"/>
      <c r="H10" s="273"/>
      <c r="I10" s="273"/>
      <c r="J10" s="274"/>
      <c r="K10" s="272"/>
      <c r="L10" s="273"/>
      <c r="M10" s="273"/>
      <c r="N10" s="274"/>
      <c r="O10" s="272"/>
      <c r="P10" s="273"/>
      <c r="Q10" s="273"/>
      <c r="R10" s="274"/>
    </row>
    <row r="11" spans="1:18" ht="50.45" customHeight="1" thickBot="1">
      <c r="A11" s="260"/>
      <c r="B11" s="255"/>
      <c r="C11" s="94"/>
      <c r="D11" s="94"/>
      <c r="E11" s="263"/>
      <c r="F11" s="263"/>
      <c r="G11" s="275"/>
      <c r="H11" s="276"/>
      <c r="I11" s="276"/>
      <c r="J11" s="277"/>
      <c r="K11" s="275"/>
      <c r="L11" s="276"/>
      <c r="M11" s="276"/>
      <c r="N11" s="277"/>
      <c r="O11" s="275"/>
      <c r="P11" s="276"/>
      <c r="Q11" s="276"/>
      <c r="R11" s="277"/>
    </row>
    <row r="12" spans="1:18" s="83" customFormat="1" ht="13.9" hidden="1" customHeight="1">
      <c r="A12" s="93">
        <v>1</v>
      </c>
      <c r="B12" s="92" t="s">
        <v>358</v>
      </c>
      <c r="C12" s="77"/>
      <c r="D12" s="77"/>
      <c r="E12" s="91"/>
      <c r="F12" s="91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18" s="83" customFormat="1" ht="13.15" hidden="1" customHeight="1">
      <c r="A13" s="90">
        <v>2</v>
      </c>
      <c r="B13" s="89" t="s">
        <v>359</v>
      </c>
      <c r="C13" s="77"/>
      <c r="D13" s="77"/>
      <c r="E13" s="88"/>
      <c r="F13" s="84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</row>
    <row r="14" spans="1:18" s="83" customFormat="1" ht="126.75" customHeight="1" thickTop="1">
      <c r="A14" s="85">
        <v>1</v>
      </c>
      <c r="B14" s="86" t="s">
        <v>501</v>
      </c>
      <c r="C14" s="77"/>
      <c r="D14" s="77"/>
      <c r="E14" s="87">
        <f>Смета!I125+Смета!I159+Смета!I161+Смета!I162+Смета!I163+Смета!I169+Смета!I171+Смета!I173+Смета!I175+Смета!I225+Смета!I228+Смета!I229+Смета!I277+Смета!I331+Смета!I333+Смета!I336+Смета!I339+Смета!I341+Смета!I347+Смета!I350+Смета!I354+Смета!I356+Смета!I358+Смета!I359+Смета!I376+Смета!I400+Смета!I420+Смета!I421+Смета!I445+Смета!I446</f>
        <v>1108319.2292078198</v>
      </c>
      <c r="F14" s="87">
        <f>E14*0.1+Смета!J125+Смета!J159+Смета!J161+Смета!J162+Смета!J163+Смета!J169+Смета!J171+Смета!J173+Смета!J175+Смета!J225+Смета!J228+Смета!J229+Смета!J277+Смета!J331+Смета!J333+Смета!J336+Смета!J339+Смета!J341+Смета!J347+Смета!J350+Смета!J354+Смета!J356+Смета!J358+Смета!J359+Смета!J376+Смета!J400+Смета!J420+Смета!J421+Смета!J445+Смета!J446</f>
        <v>1742506.1644366016</v>
      </c>
      <c r="G14" s="264"/>
      <c r="H14" s="265"/>
      <c r="I14" s="265"/>
      <c r="J14" s="266"/>
      <c r="K14" s="281"/>
      <c r="L14" s="282"/>
      <c r="M14" s="282"/>
      <c r="N14" s="283"/>
      <c r="O14" s="281"/>
      <c r="P14" s="282"/>
      <c r="Q14" s="282"/>
      <c r="R14" s="283"/>
    </row>
    <row r="15" spans="1:18" s="83" customFormat="1" ht="89.25" customHeight="1">
      <c r="A15" s="85">
        <v>2</v>
      </c>
      <c r="B15" s="86" t="s">
        <v>500</v>
      </c>
      <c r="C15" s="77"/>
      <c r="D15" s="77"/>
      <c r="E15" s="98">
        <f>Смета!I177+Смета!I179+Смета!I185+Смета!I191+Смета!I195+Смета!I198+Смета!I201+Смета!I205+Смета!I209+Смета!I231+Смета!I233+Смета!I239+Смета!I242+Смета!I248+Смета!I250+Смета!I253+Смета!I256+Смета!I263+Смета!I268+Смета!I273+Смета!I278+Смета!I291+Смета!I293+Смета!I306+Смета!I308+Смета!I311+Смета!I360+Смета!I364+Смета!I422+Смета!I427</f>
        <v>350304.05867505004</v>
      </c>
      <c r="F15" s="98">
        <f>E15*0.1+Смета!J177+Смета!J179+Смета!J185+Смета!J191+Смета!J195+Смета!J198+Смета!J201+Смета!J205+Смета!J209+Смета!J231+Смета!J233+Смета!J239+Смета!J242+Смета!J248+Смета!J250+Смета!J253+Смета!J256+Смета!J263+Смета!J268+Смета!J273+Смета!J278+Смета!J291+Смета!J293+Смета!J306+Смета!J308+Смета!J311+Смета!J360+Смета!J364+Смета!J422+Смета!J427</f>
        <v>602397.37469255493</v>
      </c>
      <c r="G15" s="267"/>
      <c r="H15" s="268"/>
      <c r="I15" s="268"/>
      <c r="J15" s="269"/>
      <c r="K15" s="278"/>
      <c r="L15" s="279"/>
      <c r="M15" s="279"/>
      <c r="N15" s="280"/>
      <c r="O15" s="267"/>
      <c r="P15" s="268"/>
      <c r="Q15" s="268"/>
      <c r="R15" s="269"/>
    </row>
    <row r="16" spans="1:18" s="83" customFormat="1" ht="65.25" customHeight="1">
      <c r="A16" s="85">
        <v>3</v>
      </c>
      <c r="B16" s="86" t="s">
        <v>377</v>
      </c>
      <c r="C16" s="77"/>
      <c r="D16" s="77"/>
      <c r="E16" s="102">
        <f>Смета!I213+Смета!I217+Смета!I220+Смета!I313+Смета!I317+Смета!I321+Смета!I327+Смета!I368+Смета!I370+Смета!I374+Смета!I377+Смета!I379+Смета!I383+Смета!I386+Смета!I390+Смета!I392+Смета!I394+Смета!I396+Смета!I435+Смета!I438+Смета!I442+Смета!I446</f>
        <v>438510.70182820008</v>
      </c>
      <c r="F16" s="102">
        <f>E16*0.1+Смета!J213+Смета!J217+Смета!J220+Смета!J313+Смета!J317+Смета!J321+Смета!J327+Смета!J368+Смета!J370+Смета!J374+Смета!J377+Смета!J379+Смета!J383+Смета!J386+Смета!J390+Смета!J392+Смета!J394+Смета!J396+Смета!J435+Смета!J438+Смета!J442</f>
        <v>596610.93676101998</v>
      </c>
      <c r="G16" s="267"/>
      <c r="H16" s="268"/>
      <c r="I16" s="268"/>
      <c r="J16" s="269"/>
      <c r="K16" s="267"/>
      <c r="L16" s="268"/>
      <c r="M16" s="268"/>
      <c r="N16" s="269"/>
      <c r="O16" s="278"/>
      <c r="P16" s="279"/>
      <c r="Q16" s="279"/>
      <c r="R16" s="280"/>
    </row>
    <row r="17" spans="1:18" ht="12" customHeight="1">
      <c r="A17" s="76"/>
      <c r="B17" s="75"/>
      <c r="C17" s="75"/>
      <c r="D17" s="75"/>
      <c r="E17" s="82"/>
      <c r="F17" s="82"/>
      <c r="G17" s="75"/>
      <c r="H17" s="75"/>
      <c r="I17" s="75"/>
      <c r="J17" s="75"/>
      <c r="K17" s="75"/>
    </row>
    <row r="18" spans="1:18" ht="12" customHeight="1">
      <c r="A18" s="76"/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8" ht="12" customHeight="1">
      <c r="A19" s="76"/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8" ht="12" customHeight="1">
      <c r="A20" s="76"/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8" ht="15.75" customHeight="1">
      <c r="A21" s="250" t="s">
        <v>360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</row>
    <row r="22" spans="1:18" ht="12" customHeight="1">
      <c r="A22" s="76"/>
      <c r="B22" s="75"/>
      <c r="C22" s="75"/>
      <c r="D22" s="75"/>
      <c r="E22" s="75"/>
      <c r="F22" s="75"/>
      <c r="G22" s="75"/>
      <c r="H22" s="75"/>
      <c r="I22" s="75"/>
      <c r="J22" s="75"/>
      <c r="K22" s="75"/>
    </row>
    <row r="23" spans="1:18" ht="12" customHeight="1">
      <c r="A23" s="76"/>
      <c r="B23" s="251"/>
      <c r="C23" s="252"/>
      <c r="D23" s="252"/>
      <c r="E23" s="252"/>
      <c r="F23" s="252"/>
      <c r="G23" s="252"/>
      <c r="H23" s="81"/>
      <c r="I23" s="75"/>
      <c r="J23" s="75"/>
      <c r="K23" s="75"/>
    </row>
    <row r="24" spans="1:18" ht="12" customHeight="1">
      <c r="A24" s="76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8" ht="26.25" customHeight="1">
      <c r="A25" s="76"/>
      <c r="B25" s="248" t="s">
        <v>378</v>
      </c>
      <c r="C25" s="248"/>
      <c r="D25" s="248"/>
      <c r="E25" s="248"/>
      <c r="F25" s="248"/>
      <c r="G25" s="248"/>
      <c r="H25" s="80"/>
      <c r="I25" s="79"/>
      <c r="J25" s="79"/>
      <c r="K25" s="79"/>
      <c r="L25" s="77"/>
      <c r="M25" s="77"/>
      <c r="N25" s="247"/>
      <c r="O25" s="247"/>
      <c r="P25" s="247"/>
      <c r="Q25" s="247"/>
      <c r="R25" s="247"/>
    </row>
    <row r="26" spans="1:18" ht="23.45" customHeight="1">
      <c r="B26" s="249"/>
      <c r="C26" s="249"/>
      <c r="D26" s="249"/>
      <c r="E26" s="249"/>
      <c r="F26" s="249"/>
      <c r="G26" s="249"/>
      <c r="H26" s="78"/>
      <c r="I26" s="77"/>
      <c r="J26" s="77"/>
      <c r="K26" s="77"/>
      <c r="L26" s="77"/>
      <c r="M26" s="77"/>
      <c r="N26" s="247"/>
      <c r="O26" s="247"/>
      <c r="P26" s="247"/>
      <c r="Q26" s="247"/>
      <c r="R26" s="247"/>
    </row>
    <row r="27" spans="1:18" ht="12" customHeight="1"/>
    <row r="28" spans="1:18" ht="12" customHeight="1"/>
    <row r="29" spans="1:18" ht="26.25" customHeight="1">
      <c r="A29" s="76"/>
      <c r="B29" s="248" t="s">
        <v>379</v>
      </c>
      <c r="C29" s="248"/>
      <c r="D29" s="248"/>
      <c r="E29" s="248"/>
      <c r="F29" s="248"/>
      <c r="G29" s="248"/>
      <c r="H29" s="80"/>
      <c r="I29" s="79"/>
      <c r="J29" s="79"/>
      <c r="K29" s="79"/>
      <c r="L29" s="77"/>
      <c r="M29" s="77"/>
    </row>
    <row r="30" spans="1:18" ht="26.25" customHeight="1">
      <c r="A30" s="76"/>
      <c r="B30" s="247"/>
      <c r="C30" s="247"/>
      <c r="D30" s="247"/>
      <c r="E30" s="247"/>
      <c r="F30" s="247"/>
      <c r="G30" s="247"/>
      <c r="H30" s="247"/>
      <c r="I30" s="247"/>
      <c r="J30" s="247"/>
      <c r="K30" s="79"/>
      <c r="L30" s="77"/>
      <c r="M30" s="77"/>
      <c r="N30" s="72"/>
      <c r="O30" s="72"/>
      <c r="P30" s="72"/>
      <c r="Q30" s="72"/>
      <c r="R30" s="72"/>
    </row>
    <row r="31" spans="1:18" ht="12" customHeight="1">
      <c r="B31" s="247"/>
      <c r="C31" s="247"/>
      <c r="D31" s="247"/>
      <c r="E31" s="247"/>
      <c r="F31" s="247"/>
      <c r="G31" s="247"/>
      <c r="H31" s="247"/>
      <c r="I31" s="247"/>
      <c r="J31" s="247"/>
      <c r="L31" s="72"/>
      <c r="M31" s="72"/>
      <c r="N31" s="72"/>
      <c r="O31" s="72"/>
      <c r="P31" s="72"/>
      <c r="Q31" s="72"/>
      <c r="R31" s="72"/>
    </row>
    <row r="32" spans="1:18" ht="12" customHeight="1">
      <c r="L32" s="72"/>
      <c r="M32" s="72"/>
      <c r="N32" s="72"/>
      <c r="O32" s="72"/>
      <c r="P32" s="72"/>
      <c r="Q32" s="72"/>
      <c r="R32" s="72"/>
    </row>
    <row r="36" spans="1:18">
      <c r="A36" s="76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2"/>
      <c r="M36" s="72"/>
      <c r="N36" s="72"/>
      <c r="O36" s="72"/>
      <c r="P36" s="72"/>
      <c r="Q36" s="72"/>
      <c r="R36" s="72"/>
    </row>
    <row r="37" spans="1:18">
      <c r="A37" s="76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2"/>
      <c r="M37" s="72"/>
      <c r="N37" s="72"/>
      <c r="O37" s="72"/>
      <c r="P37" s="72"/>
      <c r="Q37" s="72"/>
      <c r="R37" s="72"/>
    </row>
    <row r="38" spans="1:18">
      <c r="A38" s="76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2"/>
      <c r="M38" s="72"/>
      <c r="N38" s="72"/>
      <c r="O38" s="72"/>
      <c r="P38" s="72"/>
      <c r="Q38" s="72"/>
      <c r="R38" s="72"/>
    </row>
    <row r="39" spans="1:18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2"/>
      <c r="M39" s="72"/>
      <c r="N39" s="72"/>
      <c r="O39" s="72"/>
      <c r="P39" s="72"/>
      <c r="Q39" s="72"/>
      <c r="R39" s="72"/>
    </row>
    <row r="40" spans="1:18">
      <c r="A40" s="76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2"/>
      <c r="M40" s="72"/>
      <c r="N40" s="72"/>
      <c r="O40" s="72"/>
      <c r="P40" s="72"/>
      <c r="Q40" s="72"/>
      <c r="R40" s="72"/>
    </row>
    <row r="41" spans="1:18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2"/>
      <c r="M41" s="72"/>
      <c r="N41" s="72"/>
      <c r="O41" s="72"/>
      <c r="P41" s="72"/>
      <c r="Q41" s="72"/>
      <c r="R41" s="72"/>
    </row>
    <row r="42" spans="1:18">
      <c r="A42" s="76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2"/>
      <c r="M42" s="72"/>
      <c r="N42" s="72"/>
      <c r="O42" s="72"/>
      <c r="P42" s="72"/>
      <c r="Q42" s="72"/>
      <c r="R42" s="72"/>
    </row>
    <row r="43" spans="1:18">
      <c r="A43" s="76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2"/>
      <c r="M43" s="72"/>
      <c r="N43" s="72"/>
      <c r="O43" s="72"/>
      <c r="P43" s="72"/>
      <c r="Q43" s="72"/>
      <c r="R43" s="72"/>
    </row>
    <row r="44" spans="1:18">
      <c r="A44" s="76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2"/>
      <c r="M44" s="72"/>
      <c r="N44" s="72"/>
      <c r="O44" s="72"/>
      <c r="P44" s="72"/>
      <c r="Q44" s="72"/>
      <c r="R44" s="72"/>
    </row>
    <row r="45" spans="1:18">
      <c r="A45" s="76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2"/>
      <c r="M45" s="72"/>
      <c r="N45" s="72"/>
      <c r="O45" s="72"/>
      <c r="P45" s="72"/>
      <c r="Q45" s="72"/>
      <c r="R45" s="72"/>
    </row>
    <row r="46" spans="1:18">
      <c r="A46" s="76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2"/>
      <c r="M46" s="72"/>
      <c r="N46" s="72"/>
      <c r="O46" s="72"/>
      <c r="P46" s="72"/>
      <c r="Q46" s="72"/>
      <c r="R46" s="72"/>
    </row>
    <row r="47" spans="1:18">
      <c r="A47" s="76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2"/>
      <c r="M47" s="72"/>
      <c r="N47" s="72"/>
      <c r="O47" s="72"/>
      <c r="P47" s="72"/>
      <c r="Q47" s="72"/>
      <c r="R47" s="72"/>
    </row>
    <row r="48" spans="1:18">
      <c r="A48" s="76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2"/>
      <c r="M48" s="72"/>
      <c r="N48" s="72"/>
      <c r="O48" s="72"/>
      <c r="P48" s="72"/>
      <c r="Q48" s="72"/>
      <c r="R48" s="72"/>
    </row>
    <row r="49" spans="1:18">
      <c r="A49" s="76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2"/>
      <c r="M49" s="72"/>
      <c r="N49" s="72"/>
      <c r="O49" s="72"/>
      <c r="P49" s="72"/>
      <c r="Q49" s="72"/>
      <c r="R49" s="72"/>
    </row>
    <row r="50" spans="1:18">
      <c r="A50" s="76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2"/>
      <c r="M50" s="72"/>
      <c r="N50" s="72"/>
      <c r="O50" s="72"/>
      <c r="P50" s="72"/>
      <c r="Q50" s="72"/>
      <c r="R50" s="72"/>
    </row>
    <row r="51" spans="1:18">
      <c r="A51" s="76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2"/>
      <c r="M51" s="72"/>
      <c r="N51" s="72"/>
      <c r="O51" s="72"/>
      <c r="P51" s="72"/>
      <c r="Q51" s="72"/>
      <c r="R51" s="72"/>
    </row>
    <row r="52" spans="1:18">
      <c r="A52" s="76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2"/>
      <c r="M52" s="72"/>
      <c r="N52" s="72"/>
      <c r="O52" s="72"/>
      <c r="P52" s="72"/>
      <c r="Q52" s="72"/>
      <c r="R52" s="72"/>
    </row>
    <row r="53" spans="1:18">
      <c r="A53" s="76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2"/>
      <c r="M53" s="72"/>
      <c r="N53" s="72"/>
      <c r="O53" s="72"/>
      <c r="P53" s="72"/>
      <c r="Q53" s="72"/>
      <c r="R53" s="72"/>
    </row>
    <row r="54" spans="1:18">
      <c r="A54" s="76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2"/>
      <c r="M54" s="72"/>
      <c r="N54" s="72"/>
      <c r="O54" s="72"/>
      <c r="P54" s="72"/>
      <c r="Q54" s="72"/>
      <c r="R54" s="72"/>
    </row>
    <row r="55" spans="1:18">
      <c r="A55" s="76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2"/>
      <c r="M55" s="72"/>
      <c r="N55" s="72"/>
      <c r="O55" s="72"/>
      <c r="P55" s="72"/>
      <c r="Q55" s="72"/>
      <c r="R55" s="72"/>
    </row>
    <row r="56" spans="1:18">
      <c r="A56" s="76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2"/>
      <c r="M56" s="72"/>
      <c r="N56" s="72"/>
      <c r="O56" s="72"/>
      <c r="P56" s="72"/>
      <c r="Q56" s="72"/>
      <c r="R56" s="72"/>
    </row>
    <row r="57" spans="1:18">
      <c r="A57" s="76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2"/>
      <c r="M57" s="72"/>
      <c r="N57" s="72"/>
      <c r="O57" s="72"/>
      <c r="P57" s="72"/>
      <c r="Q57" s="72"/>
      <c r="R57" s="72"/>
    </row>
    <row r="58" spans="1:18">
      <c r="A58" s="76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2"/>
      <c r="M58" s="72"/>
      <c r="N58" s="72"/>
      <c r="O58" s="72"/>
      <c r="P58" s="72"/>
      <c r="Q58" s="72"/>
      <c r="R58" s="72"/>
    </row>
    <row r="59" spans="1:18">
      <c r="A59" s="76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2"/>
      <c r="M59" s="72"/>
      <c r="N59" s="72"/>
      <c r="O59" s="72"/>
      <c r="P59" s="72"/>
      <c r="Q59" s="72"/>
      <c r="R59" s="72"/>
    </row>
  </sheetData>
  <mergeCells count="27">
    <mergeCell ref="G14:J14"/>
    <mergeCell ref="G15:J15"/>
    <mergeCell ref="G16:J16"/>
    <mergeCell ref="G1:K1"/>
    <mergeCell ref="G8:R9"/>
    <mergeCell ref="G10:J11"/>
    <mergeCell ref="K10:N11"/>
    <mergeCell ref="O10:R11"/>
    <mergeCell ref="K15:N15"/>
    <mergeCell ref="O15:R15"/>
    <mergeCell ref="K14:N14"/>
    <mergeCell ref="O14:R14"/>
    <mergeCell ref="K16:N16"/>
    <mergeCell ref="O16:R16"/>
    <mergeCell ref="B8:B11"/>
    <mergeCell ref="A3:R5"/>
    <mergeCell ref="A6:R6"/>
    <mergeCell ref="A8:A11"/>
    <mergeCell ref="E8:E11"/>
    <mergeCell ref="F8:F11"/>
    <mergeCell ref="B30:J31"/>
    <mergeCell ref="B29:G29"/>
    <mergeCell ref="B25:G25"/>
    <mergeCell ref="B26:G26"/>
    <mergeCell ref="A21:R21"/>
    <mergeCell ref="B23:G23"/>
    <mergeCell ref="N25:R26"/>
  </mergeCells>
  <pageMargins left="0.23622047244094491" right="0.23622047244094491" top="0.74803149606299213" bottom="0.74803149606299213" header="0.31496062992125984" footer="0.31496062992125984"/>
  <pageSetup paperSize="9" scale="50" orientation="landscape" horizontalDpi="4294967293" verticalDpi="200" r:id="rId1"/>
  <headerFooter alignWithMargins="0">
    <oddHeader>&amp;R.Приложение кдоговору №2,3 от____"_____"2011 г.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409"/>
  <sheetViews>
    <sheetView topLeftCell="A219" workbookViewId="0">
      <selection activeCell="H223" sqref="H223"/>
    </sheetView>
  </sheetViews>
  <sheetFormatPr defaultRowHeight="15" outlineLevelRow="1"/>
  <cols>
    <col min="1" max="1" width="6.85546875" style="164" customWidth="1"/>
    <col min="2" max="2" width="40.85546875" style="154" customWidth="1"/>
    <col min="3" max="3" width="9.140625" style="155"/>
    <col min="4" max="4" width="10" style="155" bestFit="1" customWidth="1"/>
    <col min="5" max="5" width="12.140625" style="99" customWidth="1"/>
    <col min="6" max="6" width="15" style="99" customWidth="1"/>
    <col min="7" max="7" width="13.5703125" style="99" customWidth="1"/>
    <col min="8" max="8" width="14.7109375" style="99" customWidth="1"/>
    <col min="9" max="9" width="14.85546875" style="99" customWidth="1"/>
    <col min="10" max="10" width="16.140625" style="99" customWidth="1"/>
    <col min="11" max="16384" width="9.140625" style="99"/>
  </cols>
  <sheetData>
    <row r="1" spans="1:10" s="108" customFormat="1" hidden="1">
      <c r="A1" s="104" t="s">
        <v>307</v>
      </c>
      <c r="B1" s="105"/>
      <c r="C1" s="106"/>
      <c r="D1" s="104"/>
      <c r="E1" s="104"/>
      <c r="F1" s="107"/>
      <c r="G1" s="107"/>
      <c r="H1" s="107"/>
      <c r="I1" s="216" t="s">
        <v>308</v>
      </c>
      <c r="J1" s="216"/>
    </row>
    <row r="2" spans="1:10" s="108" customFormat="1" hidden="1">
      <c r="A2" s="109" t="s">
        <v>309</v>
      </c>
      <c r="B2" s="105"/>
      <c r="C2" s="106"/>
      <c r="D2" s="109"/>
      <c r="E2" s="109"/>
      <c r="F2" s="107"/>
      <c r="G2" s="107"/>
      <c r="H2" s="107"/>
      <c r="I2" s="215" t="s">
        <v>310</v>
      </c>
      <c r="J2" s="215"/>
    </row>
    <row r="3" spans="1:10" s="108" customFormat="1" hidden="1">
      <c r="A3" s="109" t="s">
        <v>309</v>
      </c>
      <c r="B3" s="105"/>
      <c r="C3" s="106"/>
      <c r="D3" s="109"/>
      <c r="E3" s="109"/>
      <c r="F3" s="107"/>
      <c r="G3" s="107"/>
      <c r="H3" s="107"/>
      <c r="I3" s="215" t="s">
        <v>310</v>
      </c>
      <c r="J3" s="215"/>
    </row>
    <row r="4" spans="1:10" s="108" customFormat="1" ht="26.25" hidden="1" customHeight="1">
      <c r="A4" s="110" t="s">
        <v>311</v>
      </c>
      <c r="B4" s="105"/>
      <c r="C4" s="106"/>
      <c r="D4" s="111"/>
      <c r="E4" s="111"/>
      <c r="F4" s="107"/>
      <c r="G4" s="107"/>
      <c r="H4" s="107"/>
      <c r="I4" s="217" t="s">
        <v>312</v>
      </c>
      <c r="J4" s="217"/>
    </row>
    <row r="5" spans="1:10" s="108" customFormat="1" ht="16.5" customHeight="1">
      <c r="A5" s="294" t="s">
        <v>494</v>
      </c>
      <c r="B5" s="294"/>
      <c r="C5" s="294"/>
      <c r="D5" s="294"/>
      <c r="E5" s="294"/>
      <c r="F5" s="294"/>
      <c r="G5" s="179"/>
      <c r="H5" s="179"/>
      <c r="I5" s="179"/>
    </row>
    <row r="6" spans="1:10" s="108" customFormat="1" ht="8.25" customHeight="1">
      <c r="C6" s="137"/>
      <c r="D6" s="138"/>
      <c r="E6" s="138"/>
      <c r="F6" s="139"/>
      <c r="G6" s="139"/>
      <c r="H6" s="139"/>
      <c r="I6" s="139"/>
    </row>
    <row r="7" spans="1:10" ht="12.75" customHeight="1">
      <c r="A7" s="231" t="s">
        <v>77</v>
      </c>
      <c r="B7" s="231" t="s">
        <v>78</v>
      </c>
      <c r="C7" s="231" t="s">
        <v>79</v>
      </c>
      <c r="D7" s="233" t="s">
        <v>80</v>
      </c>
      <c r="E7" s="291" t="s">
        <v>498</v>
      </c>
      <c r="F7" s="291" t="s">
        <v>499</v>
      </c>
    </row>
    <row r="8" spans="1:10" ht="12.75" customHeight="1">
      <c r="A8" s="232"/>
      <c r="B8" s="232"/>
      <c r="C8" s="232"/>
      <c r="D8" s="234"/>
      <c r="E8" s="293"/>
      <c r="F8" s="292"/>
    </row>
    <row r="9" spans="1:10" ht="21" customHeight="1">
      <c r="A9" s="289" t="s">
        <v>18</v>
      </c>
      <c r="B9" s="290"/>
      <c r="C9" s="290"/>
      <c r="D9" s="290"/>
      <c r="E9" s="177"/>
      <c r="F9" s="178"/>
    </row>
    <row r="10" spans="1:10" ht="30">
      <c r="A10" s="162">
        <v>1</v>
      </c>
      <c r="B10" s="70" t="s">
        <v>19</v>
      </c>
      <c r="C10" s="8" t="s">
        <v>22</v>
      </c>
      <c r="D10" s="8">
        <v>3</v>
      </c>
      <c r="E10" s="33">
        <v>0</v>
      </c>
      <c r="F10" s="31">
        <f>E10*D10</f>
        <v>0</v>
      </c>
    </row>
    <row r="11" spans="1:10" ht="60">
      <c r="A11" s="162">
        <v>2</v>
      </c>
      <c r="B11" s="70" t="s">
        <v>203</v>
      </c>
      <c r="C11" s="8" t="s">
        <v>22</v>
      </c>
      <c r="D11" s="8">
        <v>3</v>
      </c>
      <c r="E11" s="33">
        <v>0</v>
      </c>
      <c r="F11" s="31">
        <f t="shared" ref="F11:F74" si="0">E11*D11</f>
        <v>0</v>
      </c>
    </row>
    <row r="12" spans="1:10" ht="60">
      <c r="A12" s="162">
        <v>3</v>
      </c>
      <c r="B12" s="70" t="s">
        <v>204</v>
      </c>
      <c r="C12" s="8" t="s">
        <v>22</v>
      </c>
      <c r="D12" s="8">
        <v>11</v>
      </c>
      <c r="E12" s="33">
        <v>0</v>
      </c>
      <c r="F12" s="31">
        <f t="shared" si="0"/>
        <v>0</v>
      </c>
    </row>
    <row r="13" spans="1:10" ht="60">
      <c r="A13" s="162">
        <v>4</v>
      </c>
      <c r="B13" s="70" t="s">
        <v>201</v>
      </c>
      <c r="C13" s="8" t="s">
        <v>22</v>
      </c>
      <c r="D13" s="8">
        <v>4</v>
      </c>
      <c r="E13" s="33">
        <v>0</v>
      </c>
      <c r="F13" s="31">
        <f t="shared" si="0"/>
        <v>0</v>
      </c>
    </row>
    <row r="14" spans="1:10" ht="60">
      <c r="A14" s="162">
        <v>5</v>
      </c>
      <c r="B14" s="70" t="s">
        <v>205</v>
      </c>
      <c r="C14" s="8" t="s">
        <v>22</v>
      </c>
      <c r="D14" s="8">
        <v>6</v>
      </c>
      <c r="E14" s="33">
        <v>0</v>
      </c>
      <c r="F14" s="31">
        <f t="shared" si="0"/>
        <v>0</v>
      </c>
    </row>
    <row r="15" spans="1:10" ht="60">
      <c r="A15" s="162">
        <v>6</v>
      </c>
      <c r="B15" s="70" t="s">
        <v>202</v>
      </c>
      <c r="C15" s="8" t="s">
        <v>22</v>
      </c>
      <c r="D15" s="8">
        <v>2</v>
      </c>
      <c r="E15" s="33">
        <v>0</v>
      </c>
      <c r="F15" s="31">
        <f t="shared" si="0"/>
        <v>0</v>
      </c>
    </row>
    <row r="16" spans="1:10">
      <c r="A16" s="162">
        <v>7</v>
      </c>
      <c r="B16" s="70" t="s">
        <v>86</v>
      </c>
      <c r="C16" s="8" t="s">
        <v>0</v>
      </c>
      <c r="D16" s="69">
        <v>1.1055999999999999</v>
      </c>
      <c r="E16" s="33">
        <v>0</v>
      </c>
      <c r="F16" s="31">
        <f t="shared" si="0"/>
        <v>0</v>
      </c>
    </row>
    <row r="17" spans="1:6" ht="45">
      <c r="A17" s="162">
        <v>8</v>
      </c>
      <c r="B17" s="70" t="s">
        <v>25</v>
      </c>
      <c r="C17" s="8" t="s">
        <v>24</v>
      </c>
      <c r="D17" s="69">
        <v>67.442000000000007</v>
      </c>
      <c r="E17" s="33">
        <v>190</v>
      </c>
      <c r="F17" s="31">
        <f t="shared" si="0"/>
        <v>12813.980000000001</v>
      </c>
    </row>
    <row r="18" spans="1:6" ht="15" hidden="1" customHeight="1" outlineLevel="1">
      <c r="A18" s="100" t="s">
        <v>181</v>
      </c>
      <c r="B18" s="66" t="s">
        <v>208</v>
      </c>
      <c r="C18" s="2" t="s">
        <v>72</v>
      </c>
      <c r="D18" s="142">
        <v>0.47931029400000014</v>
      </c>
      <c r="E18" s="67"/>
      <c r="F18" s="31">
        <f t="shared" si="0"/>
        <v>0</v>
      </c>
    </row>
    <row r="19" spans="1:6" ht="15" hidden="1" customHeight="1" outlineLevel="1">
      <c r="A19" s="100" t="s">
        <v>181</v>
      </c>
      <c r="B19" s="66" t="s">
        <v>332</v>
      </c>
      <c r="C19" s="2" t="s">
        <v>72</v>
      </c>
      <c r="D19" s="35">
        <v>1.7647323333333336E-2</v>
      </c>
      <c r="E19" s="67"/>
      <c r="F19" s="31">
        <f t="shared" si="0"/>
        <v>0</v>
      </c>
    </row>
    <row r="20" spans="1:6" ht="15" hidden="1" customHeight="1" outlineLevel="1">
      <c r="A20" s="143" t="s">
        <v>181</v>
      </c>
      <c r="B20" s="66" t="s">
        <v>329</v>
      </c>
      <c r="C20" s="2" t="s">
        <v>95</v>
      </c>
      <c r="D20" s="35">
        <v>10</v>
      </c>
      <c r="E20" s="67"/>
      <c r="F20" s="31">
        <f t="shared" si="0"/>
        <v>0</v>
      </c>
    </row>
    <row r="21" spans="1:6" ht="15" hidden="1" customHeight="1" outlineLevel="1">
      <c r="A21" s="100" t="s">
        <v>181</v>
      </c>
      <c r="B21" s="66" t="s">
        <v>87</v>
      </c>
      <c r="C21" s="144" t="s">
        <v>22</v>
      </c>
      <c r="D21" s="145">
        <v>112.40333333333335</v>
      </c>
      <c r="E21" s="67"/>
      <c r="F21" s="31">
        <f t="shared" si="0"/>
        <v>0</v>
      </c>
    </row>
    <row r="22" spans="1:6" ht="30" collapsed="1">
      <c r="A22" s="162">
        <v>9</v>
      </c>
      <c r="B22" s="70" t="s">
        <v>330</v>
      </c>
      <c r="C22" s="8" t="s">
        <v>0</v>
      </c>
      <c r="D22" s="69">
        <v>10.676300000000001</v>
      </c>
      <c r="E22" s="33">
        <v>190</v>
      </c>
      <c r="F22" s="31">
        <f t="shared" si="0"/>
        <v>2028.4970000000003</v>
      </c>
    </row>
    <row r="23" spans="1:6" ht="15" hidden="1" customHeight="1" outlineLevel="1">
      <c r="A23" s="100" t="s">
        <v>181</v>
      </c>
      <c r="B23" s="66" t="s">
        <v>331</v>
      </c>
      <c r="C23" s="2" t="s">
        <v>95</v>
      </c>
      <c r="D23" s="142">
        <v>1.6014450000000002</v>
      </c>
      <c r="E23" s="67"/>
      <c r="F23" s="31">
        <f t="shared" si="0"/>
        <v>0</v>
      </c>
    </row>
    <row r="24" spans="1:6" ht="60" customHeight="1" collapsed="1">
      <c r="A24" s="162">
        <v>10</v>
      </c>
      <c r="B24" s="70" t="s">
        <v>23</v>
      </c>
      <c r="C24" s="8" t="s">
        <v>0</v>
      </c>
      <c r="D24" s="69">
        <v>1.9110000000000003</v>
      </c>
      <c r="E24" s="33">
        <v>0</v>
      </c>
      <c r="F24" s="31">
        <f t="shared" si="0"/>
        <v>0</v>
      </c>
    </row>
    <row r="25" spans="1:6" ht="15.75" hidden="1" customHeight="1" outlineLevel="1">
      <c r="A25" s="100" t="s">
        <v>181</v>
      </c>
      <c r="B25" s="66" t="s">
        <v>88</v>
      </c>
      <c r="C25" s="27" t="s">
        <v>72</v>
      </c>
      <c r="D25" s="34">
        <v>8.8861500000000024E-2</v>
      </c>
      <c r="E25" s="67"/>
      <c r="F25" s="31">
        <f t="shared" si="0"/>
        <v>0</v>
      </c>
    </row>
    <row r="26" spans="1:6" ht="15.75" hidden="1" customHeight="1" outlineLevel="1">
      <c r="A26" s="100" t="s">
        <v>181</v>
      </c>
      <c r="B26" s="66" t="s">
        <v>92</v>
      </c>
      <c r="C26" s="28" t="s">
        <v>22</v>
      </c>
      <c r="D26" s="34">
        <v>57.330000000000005</v>
      </c>
      <c r="E26" s="67"/>
      <c r="F26" s="31">
        <f t="shared" si="0"/>
        <v>0</v>
      </c>
    </row>
    <row r="27" spans="1:6" ht="15.75" hidden="1" customHeight="1" outlineLevel="1">
      <c r="A27" s="100" t="s">
        <v>181</v>
      </c>
      <c r="B27" s="66" t="s">
        <v>89</v>
      </c>
      <c r="C27" s="27" t="s">
        <v>91</v>
      </c>
      <c r="D27" s="35">
        <v>2.9429400000000002E-3</v>
      </c>
      <c r="E27" s="67"/>
      <c r="F27" s="31">
        <f t="shared" si="0"/>
        <v>0</v>
      </c>
    </row>
    <row r="28" spans="1:6" ht="15.75" hidden="1" customHeight="1" outlineLevel="1">
      <c r="A28" s="100" t="s">
        <v>181</v>
      </c>
      <c r="B28" s="66" t="s">
        <v>90</v>
      </c>
      <c r="C28" s="27" t="s">
        <v>91</v>
      </c>
      <c r="D28" s="36">
        <v>1.0510500000000002E-3</v>
      </c>
      <c r="E28" s="67"/>
      <c r="F28" s="31">
        <f t="shared" si="0"/>
        <v>0</v>
      </c>
    </row>
    <row r="29" spans="1:6" ht="45" collapsed="1">
      <c r="A29" s="162">
        <v>11</v>
      </c>
      <c r="B29" s="70" t="s">
        <v>20</v>
      </c>
      <c r="C29" s="8" t="s">
        <v>1</v>
      </c>
      <c r="D29" s="69">
        <v>0.7332780000000001</v>
      </c>
      <c r="E29" s="33">
        <v>0</v>
      </c>
      <c r="F29" s="31">
        <f t="shared" si="0"/>
        <v>0</v>
      </c>
    </row>
    <row r="30" spans="1:6" ht="15.75" hidden="1" customHeight="1" outlineLevel="1">
      <c r="A30" s="100" t="s">
        <v>181</v>
      </c>
      <c r="B30" s="66" t="s">
        <v>88</v>
      </c>
      <c r="C30" s="27" t="s">
        <v>72</v>
      </c>
      <c r="D30" s="34">
        <v>0.32733529920000004</v>
      </c>
      <c r="E30" s="67"/>
      <c r="F30" s="31">
        <f t="shared" si="0"/>
        <v>0</v>
      </c>
    </row>
    <row r="31" spans="1:6" ht="15.75" hidden="1" customHeight="1" outlineLevel="1">
      <c r="A31" s="100" t="s">
        <v>181</v>
      </c>
      <c r="B31" s="66" t="s">
        <v>92</v>
      </c>
      <c r="C31" s="28" t="s">
        <v>22</v>
      </c>
      <c r="D31" s="34">
        <v>293.31120000000004</v>
      </c>
      <c r="E31" s="67"/>
      <c r="F31" s="31">
        <f t="shared" si="0"/>
        <v>0</v>
      </c>
    </row>
    <row r="32" spans="1:6" ht="15.75" hidden="1" customHeight="1" outlineLevel="1">
      <c r="A32" s="100" t="s">
        <v>181</v>
      </c>
      <c r="B32" s="66" t="s">
        <v>89</v>
      </c>
      <c r="C32" s="27" t="s">
        <v>91</v>
      </c>
      <c r="D32" s="35">
        <v>3.3877443600000006E-3</v>
      </c>
      <c r="E32" s="67"/>
      <c r="F32" s="31">
        <f t="shared" si="0"/>
        <v>0</v>
      </c>
    </row>
    <row r="33" spans="1:6" ht="45" collapsed="1">
      <c r="A33" s="162">
        <v>12</v>
      </c>
      <c r="B33" s="70" t="s">
        <v>65</v>
      </c>
      <c r="C33" s="8" t="s">
        <v>0</v>
      </c>
      <c r="D33" s="69">
        <v>2.59</v>
      </c>
      <c r="E33" s="33">
        <v>0</v>
      </c>
      <c r="F33" s="31">
        <f t="shared" si="0"/>
        <v>0</v>
      </c>
    </row>
    <row r="34" spans="1:6" ht="15.75" hidden="1" customHeight="1" outlineLevel="1">
      <c r="A34" s="100" t="s">
        <v>181</v>
      </c>
      <c r="B34" s="66" t="s">
        <v>88</v>
      </c>
      <c r="C34" s="27" t="s">
        <v>72</v>
      </c>
      <c r="D34" s="34">
        <v>0.12043500000000001</v>
      </c>
      <c r="E34" s="67"/>
      <c r="F34" s="31">
        <f t="shared" si="0"/>
        <v>0</v>
      </c>
    </row>
    <row r="35" spans="1:6" ht="15.75" hidden="1" customHeight="1" outlineLevel="1">
      <c r="A35" s="100" t="s">
        <v>181</v>
      </c>
      <c r="B35" s="66" t="s">
        <v>92</v>
      </c>
      <c r="C35" s="28" t="s">
        <v>22</v>
      </c>
      <c r="D35" s="34">
        <v>77.699999999999989</v>
      </c>
      <c r="E35" s="67"/>
      <c r="F35" s="31">
        <f t="shared" si="0"/>
        <v>0</v>
      </c>
    </row>
    <row r="36" spans="1:6" ht="15.75" hidden="1" customHeight="1" outlineLevel="1">
      <c r="A36" s="100" t="s">
        <v>181</v>
      </c>
      <c r="B36" s="66" t="s">
        <v>89</v>
      </c>
      <c r="C36" s="27" t="s">
        <v>91</v>
      </c>
      <c r="D36" s="35">
        <v>3.9885999999999993E-3</v>
      </c>
      <c r="E36" s="67"/>
      <c r="F36" s="31">
        <f t="shared" si="0"/>
        <v>0</v>
      </c>
    </row>
    <row r="37" spans="1:6" ht="15.75" hidden="1" customHeight="1" outlineLevel="1">
      <c r="A37" s="100" t="s">
        <v>181</v>
      </c>
      <c r="B37" s="66" t="s">
        <v>90</v>
      </c>
      <c r="C37" s="27" t="s">
        <v>91</v>
      </c>
      <c r="D37" s="36">
        <v>1.4245E-3</v>
      </c>
      <c r="E37" s="67"/>
      <c r="F37" s="31">
        <f t="shared" si="0"/>
        <v>0</v>
      </c>
    </row>
    <row r="38" spans="1:6" ht="90" customHeight="1" collapsed="1">
      <c r="A38" s="162">
        <v>13</v>
      </c>
      <c r="B38" s="70" t="s">
        <v>3</v>
      </c>
      <c r="C38" s="8" t="s">
        <v>0</v>
      </c>
      <c r="D38" s="69">
        <v>51</v>
      </c>
      <c r="E38" s="33">
        <v>441.6</v>
      </c>
      <c r="F38" s="31">
        <f t="shared" si="0"/>
        <v>22521.600000000002</v>
      </c>
    </row>
    <row r="39" spans="1:6" ht="15.75" hidden="1" customHeight="1" outlineLevel="1">
      <c r="A39" s="100" t="s">
        <v>181</v>
      </c>
      <c r="B39" s="66" t="s">
        <v>100</v>
      </c>
      <c r="C39" s="28" t="s">
        <v>0</v>
      </c>
      <c r="D39" s="34">
        <v>207.57000000000002</v>
      </c>
      <c r="E39" s="67"/>
      <c r="F39" s="31">
        <f t="shared" si="0"/>
        <v>0</v>
      </c>
    </row>
    <row r="40" spans="1:6" ht="15.75" hidden="1" customHeight="1" outlineLevel="1">
      <c r="A40" s="100" t="s">
        <v>181</v>
      </c>
      <c r="B40" s="66" t="s">
        <v>101</v>
      </c>
      <c r="C40" s="28" t="s">
        <v>29</v>
      </c>
      <c r="D40" s="34">
        <v>40.800000000000004</v>
      </c>
      <c r="E40" s="67"/>
      <c r="F40" s="31">
        <f t="shared" si="0"/>
        <v>0</v>
      </c>
    </row>
    <row r="41" spans="1:6" ht="15.75" hidden="1" customHeight="1" outlineLevel="1">
      <c r="A41" s="100" t="s">
        <v>181</v>
      </c>
      <c r="B41" s="66" t="s">
        <v>102</v>
      </c>
      <c r="C41" s="28" t="s">
        <v>29</v>
      </c>
      <c r="D41" s="34">
        <v>107.10000000000001</v>
      </c>
      <c r="E41" s="67"/>
      <c r="F41" s="31">
        <f t="shared" si="0"/>
        <v>0</v>
      </c>
    </row>
    <row r="42" spans="1:6" ht="15.75" hidden="1" customHeight="1" outlineLevel="1">
      <c r="A42" s="100" t="s">
        <v>181</v>
      </c>
      <c r="B42" s="66" t="s">
        <v>104</v>
      </c>
      <c r="C42" s="28" t="s">
        <v>22</v>
      </c>
      <c r="D42" s="34">
        <v>765</v>
      </c>
      <c r="E42" s="67"/>
      <c r="F42" s="31">
        <f t="shared" si="0"/>
        <v>0</v>
      </c>
    </row>
    <row r="43" spans="1:6" ht="15.75" hidden="1" customHeight="1" outlineLevel="1">
      <c r="A43" s="100" t="s">
        <v>181</v>
      </c>
      <c r="B43" s="66" t="s">
        <v>103</v>
      </c>
      <c r="C43" s="28" t="s">
        <v>22</v>
      </c>
      <c r="D43" s="34">
        <v>1938</v>
      </c>
      <c r="E43" s="67"/>
      <c r="F43" s="31">
        <f t="shared" si="0"/>
        <v>0</v>
      </c>
    </row>
    <row r="44" spans="1:6" ht="15.75" hidden="1" customHeight="1" outlineLevel="1">
      <c r="A44" s="100" t="s">
        <v>181</v>
      </c>
      <c r="B44" s="66" t="s">
        <v>87</v>
      </c>
      <c r="C44" s="28" t="s">
        <v>22</v>
      </c>
      <c r="D44" s="34">
        <v>83.13</v>
      </c>
      <c r="E44" s="67"/>
      <c r="F44" s="31">
        <f t="shared" si="0"/>
        <v>0</v>
      </c>
    </row>
    <row r="45" spans="1:6" ht="15.75" hidden="1" customHeight="1" outlineLevel="1">
      <c r="A45" s="100" t="s">
        <v>181</v>
      </c>
      <c r="B45" s="66" t="s">
        <v>109</v>
      </c>
      <c r="C45" s="28" t="s">
        <v>22</v>
      </c>
      <c r="D45" s="34">
        <v>239.70000000000002</v>
      </c>
      <c r="E45" s="67"/>
      <c r="F45" s="31">
        <f t="shared" si="0"/>
        <v>0</v>
      </c>
    </row>
    <row r="46" spans="1:6" ht="15.75" hidden="1" customHeight="1" outlineLevel="1">
      <c r="A46" s="100" t="s">
        <v>181</v>
      </c>
      <c r="B46" s="66" t="s">
        <v>170</v>
      </c>
      <c r="C46" s="28" t="s">
        <v>95</v>
      </c>
      <c r="D46" s="34">
        <v>10.709999999999999</v>
      </c>
      <c r="E46" s="67"/>
      <c r="F46" s="31">
        <f t="shared" si="0"/>
        <v>0</v>
      </c>
    </row>
    <row r="47" spans="1:6" ht="15.75" hidden="1" customHeight="1" outlineLevel="1">
      <c r="A47" s="100" t="s">
        <v>181</v>
      </c>
      <c r="B47" s="66" t="s">
        <v>171</v>
      </c>
      <c r="C47" s="28" t="s">
        <v>95</v>
      </c>
      <c r="D47" s="34">
        <v>76.5</v>
      </c>
      <c r="E47" s="67"/>
      <c r="F47" s="31">
        <f t="shared" si="0"/>
        <v>0</v>
      </c>
    </row>
    <row r="48" spans="1:6" ht="15.75" hidden="1" customHeight="1" outlineLevel="1">
      <c r="A48" s="100" t="s">
        <v>181</v>
      </c>
      <c r="B48" s="66" t="s">
        <v>96</v>
      </c>
      <c r="C48" s="28" t="s">
        <v>29</v>
      </c>
      <c r="D48" s="34">
        <v>90.27</v>
      </c>
      <c r="E48" s="67"/>
      <c r="F48" s="31">
        <f t="shared" si="0"/>
        <v>0</v>
      </c>
    </row>
    <row r="49" spans="1:6" ht="15.75" hidden="1" customHeight="1" outlineLevel="1">
      <c r="A49" s="100" t="s">
        <v>181</v>
      </c>
      <c r="B49" s="66" t="s">
        <v>97</v>
      </c>
      <c r="C49" s="28" t="s">
        <v>29</v>
      </c>
      <c r="D49" s="34">
        <v>61.199999999999996</v>
      </c>
      <c r="E49" s="67"/>
      <c r="F49" s="31">
        <f t="shared" si="0"/>
        <v>0</v>
      </c>
    </row>
    <row r="50" spans="1:6" ht="15.75" hidden="1" customHeight="1" outlineLevel="1">
      <c r="A50" s="100" t="s">
        <v>181</v>
      </c>
      <c r="B50" s="66" t="s">
        <v>98</v>
      </c>
      <c r="C50" s="28" t="s">
        <v>99</v>
      </c>
      <c r="D50" s="34">
        <v>10.200000000000001</v>
      </c>
      <c r="E50" s="67"/>
      <c r="F50" s="31">
        <f t="shared" si="0"/>
        <v>0</v>
      </c>
    </row>
    <row r="51" spans="1:6" ht="30" hidden="1" customHeight="1" outlineLevel="1">
      <c r="A51" s="100" t="s">
        <v>181</v>
      </c>
      <c r="B51" s="66" t="s">
        <v>105</v>
      </c>
      <c r="C51" s="28" t="s">
        <v>0</v>
      </c>
      <c r="D51" s="37">
        <v>52.02</v>
      </c>
      <c r="E51" s="67"/>
      <c r="F51" s="31">
        <f t="shared" si="0"/>
        <v>0</v>
      </c>
    </row>
    <row r="52" spans="1:6" ht="75" customHeight="1" collapsed="1">
      <c r="A52" s="162">
        <v>14</v>
      </c>
      <c r="B52" s="70" t="s">
        <v>66</v>
      </c>
      <c r="C52" s="8" t="s">
        <v>0</v>
      </c>
      <c r="D52" s="69">
        <v>28.770800000000001</v>
      </c>
      <c r="E52" s="33">
        <v>259.2</v>
      </c>
      <c r="F52" s="31">
        <f t="shared" si="0"/>
        <v>7457.3913599999996</v>
      </c>
    </row>
    <row r="53" spans="1:6" ht="15.75" hidden="1" customHeight="1" outlineLevel="1">
      <c r="A53" s="100" t="s">
        <v>181</v>
      </c>
      <c r="B53" s="66" t="s">
        <v>93</v>
      </c>
      <c r="C53" s="28" t="s">
        <v>0</v>
      </c>
      <c r="D53" s="34">
        <v>30.784756000000002</v>
      </c>
      <c r="E53" s="67"/>
      <c r="F53" s="31">
        <f t="shared" si="0"/>
        <v>0</v>
      </c>
    </row>
    <row r="54" spans="1:6" ht="15.75" hidden="1" customHeight="1" outlineLevel="1">
      <c r="A54" s="100" t="s">
        <v>181</v>
      </c>
      <c r="B54" s="66" t="s">
        <v>106</v>
      </c>
      <c r="C54" s="28" t="s">
        <v>29</v>
      </c>
      <c r="D54" s="34">
        <v>35.100376000000004</v>
      </c>
      <c r="E54" s="67"/>
      <c r="F54" s="31">
        <f t="shared" si="0"/>
        <v>0</v>
      </c>
    </row>
    <row r="55" spans="1:6" ht="15.75" hidden="1" customHeight="1" outlineLevel="1">
      <c r="A55" s="100" t="s">
        <v>181</v>
      </c>
      <c r="B55" s="66" t="s">
        <v>107</v>
      </c>
      <c r="C55" s="28" t="s">
        <v>29</v>
      </c>
      <c r="D55" s="34">
        <v>67.323672000000002</v>
      </c>
      <c r="E55" s="67"/>
      <c r="F55" s="31">
        <f t="shared" si="0"/>
        <v>0</v>
      </c>
    </row>
    <row r="56" spans="1:6" ht="15.75" hidden="1" customHeight="1" outlineLevel="1">
      <c r="A56" s="100" t="s">
        <v>181</v>
      </c>
      <c r="B56" s="66" t="s">
        <v>104</v>
      </c>
      <c r="C56" s="28" t="s">
        <v>22</v>
      </c>
      <c r="D56" s="34">
        <v>575.41600000000005</v>
      </c>
      <c r="E56" s="67"/>
      <c r="F56" s="31">
        <f t="shared" si="0"/>
        <v>0</v>
      </c>
    </row>
    <row r="57" spans="1:6" ht="15.75" hidden="1" customHeight="1" outlineLevel="1">
      <c r="A57" s="100" t="s">
        <v>181</v>
      </c>
      <c r="B57" s="66" t="s">
        <v>87</v>
      </c>
      <c r="C57" s="28" t="s">
        <v>22</v>
      </c>
      <c r="D57" s="34">
        <v>46.896403999999997</v>
      </c>
      <c r="E57" s="67"/>
      <c r="F57" s="31">
        <f t="shared" si="0"/>
        <v>0</v>
      </c>
    </row>
    <row r="58" spans="1:6" ht="15.75" hidden="1" customHeight="1" outlineLevel="1">
      <c r="A58" s="100" t="s">
        <v>181</v>
      </c>
      <c r="B58" s="66" t="s">
        <v>109</v>
      </c>
      <c r="C58" s="28" t="s">
        <v>22</v>
      </c>
      <c r="D58" s="34">
        <v>135.22276000000002</v>
      </c>
      <c r="E58" s="67"/>
      <c r="F58" s="31">
        <f t="shared" si="0"/>
        <v>0</v>
      </c>
    </row>
    <row r="59" spans="1:6" ht="15.75" hidden="1" customHeight="1" outlineLevel="1">
      <c r="A59" s="100" t="s">
        <v>181</v>
      </c>
      <c r="B59" s="66" t="s">
        <v>170</v>
      </c>
      <c r="C59" s="28" t="s">
        <v>95</v>
      </c>
      <c r="D59" s="34">
        <v>1.4385400000000002</v>
      </c>
      <c r="E59" s="67"/>
      <c r="F59" s="31">
        <f t="shared" si="0"/>
        <v>0</v>
      </c>
    </row>
    <row r="60" spans="1:6" ht="15.75" hidden="1" customHeight="1" outlineLevel="1">
      <c r="A60" s="100" t="s">
        <v>181</v>
      </c>
      <c r="B60" s="66" t="s">
        <v>171</v>
      </c>
      <c r="C60" s="28" t="s">
        <v>95</v>
      </c>
      <c r="D60" s="34">
        <v>11.508320000000001</v>
      </c>
      <c r="E60" s="67"/>
      <c r="F60" s="31">
        <f t="shared" si="0"/>
        <v>0</v>
      </c>
    </row>
    <row r="61" spans="1:6" ht="15.75" hidden="1" customHeight="1" outlineLevel="1">
      <c r="A61" s="100" t="s">
        <v>181</v>
      </c>
      <c r="B61" s="66" t="s">
        <v>96</v>
      </c>
      <c r="C61" s="28" t="s">
        <v>29</v>
      </c>
      <c r="D61" s="34">
        <v>25.462158000000002</v>
      </c>
      <c r="E61" s="67"/>
      <c r="F61" s="31">
        <f t="shared" si="0"/>
        <v>0</v>
      </c>
    </row>
    <row r="62" spans="1:6" ht="15.75" hidden="1" customHeight="1" outlineLevel="1">
      <c r="A62" s="100" t="s">
        <v>181</v>
      </c>
      <c r="B62" s="66" t="s">
        <v>97</v>
      </c>
      <c r="C62" s="28" t="s">
        <v>29</v>
      </c>
      <c r="D62" s="34">
        <v>34.52496</v>
      </c>
      <c r="E62" s="67"/>
      <c r="F62" s="31">
        <f t="shared" si="0"/>
        <v>0</v>
      </c>
    </row>
    <row r="63" spans="1:6" ht="15.75" hidden="1" customHeight="1" outlineLevel="1">
      <c r="A63" s="100" t="s">
        <v>181</v>
      </c>
      <c r="B63" s="66" t="s">
        <v>108</v>
      </c>
      <c r="C63" s="28" t="s">
        <v>22</v>
      </c>
      <c r="D63" s="34">
        <v>20.139559999999999</v>
      </c>
      <c r="E63" s="67"/>
      <c r="F63" s="31">
        <f t="shared" si="0"/>
        <v>0</v>
      </c>
    </row>
    <row r="64" spans="1:6" ht="15.75" hidden="1" customHeight="1" outlineLevel="1">
      <c r="A64" s="100" t="s">
        <v>181</v>
      </c>
      <c r="B64" s="66" t="s">
        <v>98</v>
      </c>
      <c r="C64" s="28" t="s">
        <v>99</v>
      </c>
      <c r="D64" s="34">
        <v>2.8770800000000003</v>
      </c>
      <c r="E64" s="67"/>
      <c r="F64" s="31">
        <f t="shared" si="0"/>
        <v>0</v>
      </c>
    </row>
    <row r="65" spans="1:6" ht="75" customHeight="1" collapsed="1">
      <c r="A65" s="162">
        <v>15</v>
      </c>
      <c r="B65" s="70" t="s">
        <v>74</v>
      </c>
      <c r="C65" s="8" t="s">
        <v>0</v>
      </c>
      <c r="D65" s="69">
        <v>33.700000000000003</v>
      </c>
      <c r="E65" s="33">
        <v>336</v>
      </c>
      <c r="F65" s="31">
        <f t="shared" si="0"/>
        <v>11323.2</v>
      </c>
    </row>
    <row r="66" spans="1:6" ht="15.75" hidden="1" customHeight="1" outlineLevel="1">
      <c r="A66" s="100" t="s">
        <v>181</v>
      </c>
      <c r="B66" s="66" t="s">
        <v>93</v>
      </c>
      <c r="C66" s="28" t="s">
        <v>0</v>
      </c>
      <c r="D66" s="34">
        <v>36.059000000000005</v>
      </c>
      <c r="E66" s="67"/>
      <c r="F66" s="31">
        <f t="shared" si="0"/>
        <v>0</v>
      </c>
    </row>
    <row r="67" spans="1:6" ht="15.75" hidden="1" customHeight="1" outlineLevel="1">
      <c r="A67" s="100" t="s">
        <v>181</v>
      </c>
      <c r="B67" s="66" t="s">
        <v>101</v>
      </c>
      <c r="C67" s="28" t="s">
        <v>29</v>
      </c>
      <c r="D67" s="34">
        <v>41.114000000000004</v>
      </c>
      <c r="E67" s="67"/>
      <c r="F67" s="31">
        <f t="shared" si="0"/>
        <v>0</v>
      </c>
    </row>
    <row r="68" spans="1:6" ht="15.75" hidden="1" customHeight="1" outlineLevel="1">
      <c r="A68" s="100" t="s">
        <v>181</v>
      </c>
      <c r="B68" s="66" t="s">
        <v>102</v>
      </c>
      <c r="C68" s="28" t="s">
        <v>29</v>
      </c>
      <c r="D68" s="34">
        <v>78.858000000000004</v>
      </c>
      <c r="E68" s="67"/>
      <c r="F68" s="31">
        <f t="shared" si="0"/>
        <v>0</v>
      </c>
    </row>
    <row r="69" spans="1:6" ht="15.75" hidden="1" customHeight="1" outlineLevel="1">
      <c r="A69" s="100" t="s">
        <v>181</v>
      </c>
      <c r="B69" s="66" t="s">
        <v>104</v>
      </c>
      <c r="C69" s="28" t="s">
        <v>22</v>
      </c>
      <c r="D69" s="34">
        <v>674</v>
      </c>
      <c r="E69" s="67"/>
      <c r="F69" s="31">
        <f t="shared" si="0"/>
        <v>0</v>
      </c>
    </row>
    <row r="70" spans="1:6" ht="15.75" hidden="1" customHeight="1" outlineLevel="1">
      <c r="A70" s="100" t="s">
        <v>181</v>
      </c>
      <c r="B70" s="66" t="s">
        <v>87</v>
      </c>
      <c r="C70" s="28" t="s">
        <v>22</v>
      </c>
      <c r="D70" s="34">
        <v>54.931000000000004</v>
      </c>
      <c r="E70" s="67"/>
      <c r="F70" s="31">
        <f t="shared" si="0"/>
        <v>0</v>
      </c>
    </row>
    <row r="71" spans="1:6" ht="15.75" hidden="1" customHeight="1" outlineLevel="1">
      <c r="A71" s="100" t="s">
        <v>181</v>
      </c>
      <c r="B71" s="66" t="s">
        <v>109</v>
      </c>
      <c r="C71" s="28" t="s">
        <v>22</v>
      </c>
      <c r="D71" s="34">
        <v>158.39000000000001</v>
      </c>
      <c r="E71" s="67"/>
      <c r="F71" s="31">
        <f t="shared" si="0"/>
        <v>0</v>
      </c>
    </row>
    <row r="72" spans="1:6" ht="15.75" hidden="1" customHeight="1" outlineLevel="1">
      <c r="A72" s="100" t="s">
        <v>181</v>
      </c>
      <c r="B72" s="66" t="s">
        <v>170</v>
      </c>
      <c r="C72" s="28" t="s">
        <v>95</v>
      </c>
      <c r="D72" s="34">
        <v>1.6850000000000003</v>
      </c>
      <c r="E72" s="67"/>
      <c r="F72" s="31">
        <f t="shared" si="0"/>
        <v>0</v>
      </c>
    </row>
    <row r="73" spans="1:6" ht="15.75" hidden="1" customHeight="1" outlineLevel="1">
      <c r="A73" s="100" t="s">
        <v>181</v>
      </c>
      <c r="B73" s="66" t="s">
        <v>171</v>
      </c>
      <c r="C73" s="28" t="s">
        <v>95</v>
      </c>
      <c r="D73" s="34">
        <v>13.480000000000002</v>
      </c>
      <c r="E73" s="67"/>
      <c r="F73" s="31">
        <f t="shared" si="0"/>
        <v>0</v>
      </c>
    </row>
    <row r="74" spans="1:6" ht="15.75" hidden="1" customHeight="1" outlineLevel="1">
      <c r="A74" s="100" t="s">
        <v>181</v>
      </c>
      <c r="B74" s="66" t="s">
        <v>96</v>
      </c>
      <c r="C74" s="28" t="s">
        <v>29</v>
      </c>
      <c r="D74" s="34">
        <v>29.824500000000004</v>
      </c>
      <c r="E74" s="67"/>
      <c r="F74" s="31">
        <f t="shared" si="0"/>
        <v>0</v>
      </c>
    </row>
    <row r="75" spans="1:6" ht="15.75" hidden="1" customHeight="1" outlineLevel="1">
      <c r="A75" s="100" t="s">
        <v>181</v>
      </c>
      <c r="B75" s="66" t="s">
        <v>97</v>
      </c>
      <c r="C75" s="28" t="s">
        <v>29</v>
      </c>
      <c r="D75" s="34">
        <v>40.440000000000005</v>
      </c>
      <c r="E75" s="67"/>
      <c r="F75" s="31">
        <f t="shared" ref="F75:F104" si="1">E75*D75</f>
        <v>0</v>
      </c>
    </row>
    <row r="76" spans="1:6" ht="15.75" hidden="1" customHeight="1" outlineLevel="1">
      <c r="A76" s="100" t="s">
        <v>181</v>
      </c>
      <c r="B76" s="66" t="s">
        <v>108</v>
      </c>
      <c r="C76" s="28" t="s">
        <v>22</v>
      </c>
      <c r="D76" s="34">
        <v>23.59</v>
      </c>
      <c r="E76" s="67"/>
      <c r="F76" s="31">
        <f t="shared" si="1"/>
        <v>0</v>
      </c>
    </row>
    <row r="77" spans="1:6" ht="15.75" hidden="1" customHeight="1" outlineLevel="1">
      <c r="A77" s="100" t="s">
        <v>181</v>
      </c>
      <c r="B77" s="66" t="s">
        <v>98</v>
      </c>
      <c r="C77" s="28" t="s">
        <v>99</v>
      </c>
      <c r="D77" s="34">
        <v>3.3700000000000006</v>
      </c>
      <c r="E77" s="67"/>
      <c r="F77" s="31">
        <f t="shared" si="1"/>
        <v>0</v>
      </c>
    </row>
    <row r="78" spans="1:6" ht="30" hidden="1" customHeight="1" outlineLevel="1">
      <c r="A78" s="100" t="s">
        <v>181</v>
      </c>
      <c r="B78" s="66" t="s">
        <v>105</v>
      </c>
      <c r="C78" s="28" t="s">
        <v>0</v>
      </c>
      <c r="D78" s="37">
        <v>34.374000000000002</v>
      </c>
      <c r="E78" s="67"/>
      <c r="F78" s="31">
        <f t="shared" si="1"/>
        <v>0</v>
      </c>
    </row>
    <row r="79" spans="1:6" ht="45" collapsed="1">
      <c r="A79" s="162">
        <v>16</v>
      </c>
      <c r="B79" s="70" t="s">
        <v>110</v>
      </c>
      <c r="C79" s="8" t="s">
        <v>0</v>
      </c>
      <c r="D79" s="69">
        <v>14.07</v>
      </c>
      <c r="E79" s="33">
        <v>278.39999999999998</v>
      </c>
      <c r="F79" s="31">
        <f t="shared" si="1"/>
        <v>3917.0879999999997</v>
      </c>
    </row>
    <row r="80" spans="1:6" ht="15.75" hidden="1" customHeight="1" outlineLevel="1">
      <c r="A80" s="100" t="s">
        <v>181</v>
      </c>
      <c r="B80" s="66" t="s">
        <v>100</v>
      </c>
      <c r="C80" s="28" t="s">
        <v>0</v>
      </c>
      <c r="D80" s="34">
        <v>15.054900000000002</v>
      </c>
      <c r="E80" s="67"/>
      <c r="F80" s="31">
        <f t="shared" si="1"/>
        <v>0</v>
      </c>
    </row>
    <row r="81" spans="1:6" ht="15.75" hidden="1" customHeight="1" outlineLevel="1">
      <c r="A81" s="100" t="s">
        <v>181</v>
      </c>
      <c r="B81" s="66" t="s">
        <v>111</v>
      </c>
      <c r="C81" s="28" t="s">
        <v>29</v>
      </c>
      <c r="D81" s="34">
        <v>18.291</v>
      </c>
      <c r="E81" s="67"/>
      <c r="F81" s="31">
        <f t="shared" si="1"/>
        <v>0</v>
      </c>
    </row>
    <row r="82" spans="1:6" ht="15.75" hidden="1" customHeight="1" outlineLevel="1">
      <c r="A82" s="100" t="s">
        <v>181</v>
      </c>
      <c r="B82" s="66" t="s">
        <v>112</v>
      </c>
      <c r="C82" s="28" t="s">
        <v>29</v>
      </c>
      <c r="D82" s="34">
        <v>35.7378</v>
      </c>
      <c r="E82" s="67"/>
      <c r="F82" s="31">
        <f t="shared" si="1"/>
        <v>0</v>
      </c>
    </row>
    <row r="83" spans="1:6" ht="15.75" hidden="1" customHeight="1" outlineLevel="1">
      <c r="A83" s="100" t="s">
        <v>181</v>
      </c>
      <c r="B83" s="66" t="s">
        <v>104</v>
      </c>
      <c r="C83" s="28" t="s">
        <v>22</v>
      </c>
      <c r="D83" s="34">
        <v>273.38010000000003</v>
      </c>
      <c r="E83" s="67"/>
      <c r="F83" s="31">
        <f t="shared" si="1"/>
        <v>0</v>
      </c>
    </row>
    <row r="84" spans="1:6" ht="15.75" hidden="1" customHeight="1" outlineLevel="1">
      <c r="A84" s="100" t="s">
        <v>181</v>
      </c>
      <c r="B84" s="66" t="s">
        <v>87</v>
      </c>
      <c r="C84" s="28" t="s">
        <v>22</v>
      </c>
      <c r="D84" s="34">
        <v>22.934099999999997</v>
      </c>
      <c r="E84" s="67"/>
      <c r="F84" s="31">
        <f t="shared" si="1"/>
        <v>0</v>
      </c>
    </row>
    <row r="85" spans="1:6" ht="15.75" hidden="1" customHeight="1" outlineLevel="1">
      <c r="A85" s="100" t="s">
        <v>181</v>
      </c>
      <c r="B85" s="66" t="s">
        <v>109</v>
      </c>
      <c r="C85" s="28" t="s">
        <v>22</v>
      </c>
      <c r="D85" s="34">
        <v>66.129000000000005</v>
      </c>
      <c r="E85" s="67"/>
      <c r="F85" s="31">
        <f t="shared" si="1"/>
        <v>0</v>
      </c>
    </row>
    <row r="86" spans="1:6" ht="15.75" hidden="1" customHeight="1" outlineLevel="1">
      <c r="A86" s="100" t="s">
        <v>181</v>
      </c>
      <c r="B86" s="66" t="s">
        <v>170</v>
      </c>
      <c r="C86" s="28" t="s">
        <v>95</v>
      </c>
      <c r="D86" s="34">
        <v>0.70350000000000001</v>
      </c>
      <c r="E86" s="67"/>
      <c r="F86" s="31">
        <f t="shared" si="1"/>
        <v>0</v>
      </c>
    </row>
    <row r="87" spans="1:6" ht="15.75" hidden="1" customHeight="1" outlineLevel="1">
      <c r="A87" s="100" t="s">
        <v>181</v>
      </c>
      <c r="B87" s="66" t="s">
        <v>171</v>
      </c>
      <c r="C87" s="28" t="s">
        <v>95</v>
      </c>
      <c r="D87" s="34">
        <v>9.8490000000000002</v>
      </c>
      <c r="E87" s="67"/>
      <c r="F87" s="31">
        <f t="shared" si="1"/>
        <v>0</v>
      </c>
    </row>
    <row r="88" spans="1:6" ht="15.75" hidden="1" customHeight="1" outlineLevel="1">
      <c r="A88" s="100" t="s">
        <v>181</v>
      </c>
      <c r="B88" s="66" t="s">
        <v>96</v>
      </c>
      <c r="C88" s="28" t="s">
        <v>29</v>
      </c>
      <c r="D88" s="34">
        <v>12.45195</v>
      </c>
      <c r="E88" s="67"/>
      <c r="F88" s="31">
        <f t="shared" si="1"/>
        <v>0</v>
      </c>
    </row>
    <row r="89" spans="1:6" ht="15.75" hidden="1" customHeight="1" outlineLevel="1">
      <c r="A89" s="100" t="s">
        <v>181</v>
      </c>
      <c r="B89" s="66" t="s">
        <v>97</v>
      </c>
      <c r="C89" s="28" t="s">
        <v>29</v>
      </c>
      <c r="D89" s="34">
        <v>16.884</v>
      </c>
      <c r="E89" s="67"/>
      <c r="F89" s="31">
        <f t="shared" si="1"/>
        <v>0</v>
      </c>
    </row>
    <row r="90" spans="1:6" ht="15.75" hidden="1" customHeight="1" outlineLevel="1">
      <c r="A90" s="100" t="s">
        <v>181</v>
      </c>
      <c r="B90" s="66" t="s">
        <v>108</v>
      </c>
      <c r="C90" s="28" t="s">
        <v>22</v>
      </c>
      <c r="D90" s="34">
        <v>9.8490000000000002</v>
      </c>
      <c r="E90" s="67"/>
      <c r="F90" s="31">
        <f t="shared" si="1"/>
        <v>0</v>
      </c>
    </row>
    <row r="91" spans="1:6" ht="15.75" hidden="1" customHeight="1" outlineLevel="1">
      <c r="A91" s="100" t="s">
        <v>181</v>
      </c>
      <c r="B91" s="66" t="s">
        <v>98</v>
      </c>
      <c r="C91" s="28" t="s">
        <v>99</v>
      </c>
      <c r="D91" s="34">
        <v>1.407</v>
      </c>
      <c r="E91" s="67"/>
      <c r="F91" s="31">
        <f t="shared" si="1"/>
        <v>0</v>
      </c>
    </row>
    <row r="92" spans="1:6" ht="82.5" customHeight="1" collapsed="1">
      <c r="A92" s="162">
        <v>18</v>
      </c>
      <c r="B92" s="70" t="s">
        <v>68</v>
      </c>
      <c r="C92" s="8" t="s">
        <v>0</v>
      </c>
      <c r="D92" s="69">
        <v>3.2117999999999984</v>
      </c>
      <c r="E92" s="33">
        <v>397.2</v>
      </c>
      <c r="F92" s="31">
        <f t="shared" si="1"/>
        <v>1275.7269599999993</v>
      </c>
    </row>
    <row r="93" spans="1:6" ht="15.75" hidden="1" outlineLevel="1">
      <c r="A93" s="100" t="s">
        <v>181</v>
      </c>
      <c r="B93" s="66" t="s">
        <v>100</v>
      </c>
      <c r="C93" s="28" t="s">
        <v>0</v>
      </c>
      <c r="D93" s="34">
        <v>6.6484259999999962</v>
      </c>
      <c r="E93" s="67"/>
      <c r="F93" s="31">
        <f t="shared" si="1"/>
        <v>0</v>
      </c>
    </row>
    <row r="94" spans="1:6" ht="15.75" hidden="1" outlineLevel="1">
      <c r="A94" s="100" t="s">
        <v>181</v>
      </c>
      <c r="B94" s="66" t="s">
        <v>101</v>
      </c>
      <c r="C94" s="28" t="s">
        <v>29</v>
      </c>
      <c r="D94" s="34">
        <v>5.1388799999999977</v>
      </c>
      <c r="E94" s="67"/>
      <c r="F94" s="31">
        <f t="shared" si="1"/>
        <v>0</v>
      </c>
    </row>
    <row r="95" spans="1:6" ht="15.75" hidden="1" outlineLevel="1">
      <c r="A95" s="100" t="s">
        <v>181</v>
      </c>
      <c r="B95" s="66" t="s">
        <v>102</v>
      </c>
      <c r="C95" s="28" t="s">
        <v>29</v>
      </c>
      <c r="D95" s="34">
        <v>8.350679999999997</v>
      </c>
      <c r="E95" s="67"/>
      <c r="F95" s="31">
        <f t="shared" si="1"/>
        <v>0</v>
      </c>
    </row>
    <row r="96" spans="1:6" ht="15.75" hidden="1" outlineLevel="1">
      <c r="A96" s="100" t="s">
        <v>181</v>
      </c>
      <c r="B96" s="66" t="s">
        <v>104</v>
      </c>
      <c r="C96" s="28" t="s">
        <v>22</v>
      </c>
      <c r="D96" s="34">
        <v>122.04839999999994</v>
      </c>
      <c r="E96" s="67"/>
      <c r="F96" s="31">
        <f t="shared" si="1"/>
        <v>0</v>
      </c>
    </row>
    <row r="97" spans="1:6" ht="15.75" hidden="1" outlineLevel="1">
      <c r="A97" s="100" t="s">
        <v>181</v>
      </c>
      <c r="B97" s="66" t="s">
        <v>87</v>
      </c>
      <c r="C97" s="28" t="s">
        <v>22</v>
      </c>
      <c r="D97" s="34">
        <v>5.2352339999999975</v>
      </c>
      <c r="E97" s="67"/>
      <c r="F97" s="31">
        <f t="shared" si="1"/>
        <v>0</v>
      </c>
    </row>
    <row r="98" spans="1:6" ht="15.75" hidden="1" outlineLevel="1">
      <c r="A98" s="100" t="s">
        <v>181</v>
      </c>
      <c r="B98" s="66" t="s">
        <v>109</v>
      </c>
      <c r="C98" s="28" t="s">
        <v>22</v>
      </c>
      <c r="D98" s="34">
        <v>15.095459999999994</v>
      </c>
      <c r="E98" s="67"/>
      <c r="F98" s="31">
        <f t="shared" si="1"/>
        <v>0</v>
      </c>
    </row>
    <row r="99" spans="1:6" ht="15.75" hidden="1" outlineLevel="1">
      <c r="A99" s="100" t="s">
        <v>181</v>
      </c>
      <c r="B99" s="66" t="s">
        <v>170</v>
      </c>
      <c r="C99" s="28" t="s">
        <v>95</v>
      </c>
      <c r="D99" s="34">
        <v>0.32117999999999985</v>
      </c>
      <c r="E99" s="67"/>
      <c r="F99" s="31">
        <f t="shared" si="1"/>
        <v>0</v>
      </c>
    </row>
    <row r="100" spans="1:6" ht="15.75" hidden="1" outlineLevel="1">
      <c r="A100" s="100" t="s">
        <v>181</v>
      </c>
      <c r="B100" s="66" t="s">
        <v>171</v>
      </c>
      <c r="C100" s="28" t="s">
        <v>95</v>
      </c>
      <c r="D100" s="34">
        <v>2.473085999999999</v>
      </c>
      <c r="E100" s="67"/>
      <c r="F100" s="31">
        <f t="shared" si="1"/>
        <v>0</v>
      </c>
    </row>
    <row r="101" spans="1:6" ht="15.75" hidden="1" outlineLevel="1">
      <c r="A101" s="100" t="s">
        <v>181</v>
      </c>
      <c r="B101" s="66" t="s">
        <v>96</v>
      </c>
      <c r="C101" s="28" t="s">
        <v>29</v>
      </c>
      <c r="D101" s="34">
        <v>5.684885999999997</v>
      </c>
      <c r="E101" s="67"/>
      <c r="F101" s="31">
        <f t="shared" si="1"/>
        <v>0</v>
      </c>
    </row>
    <row r="102" spans="1:6" ht="15.75" hidden="1" outlineLevel="1">
      <c r="A102" s="100" t="s">
        <v>181</v>
      </c>
      <c r="B102" s="66" t="s">
        <v>97</v>
      </c>
      <c r="C102" s="28" t="s">
        <v>29</v>
      </c>
      <c r="D102" s="34">
        <v>3.854159999999998</v>
      </c>
      <c r="E102" s="67"/>
      <c r="F102" s="31">
        <f t="shared" si="1"/>
        <v>0</v>
      </c>
    </row>
    <row r="103" spans="1:6" ht="15.75" hidden="1" outlineLevel="1">
      <c r="A103" s="100" t="s">
        <v>181</v>
      </c>
      <c r="B103" s="66" t="s">
        <v>98</v>
      </c>
      <c r="C103" s="28" t="s">
        <v>99</v>
      </c>
      <c r="D103" s="34">
        <v>0.64235999999999971</v>
      </c>
      <c r="E103" s="67"/>
      <c r="F103" s="31">
        <f t="shared" si="1"/>
        <v>0</v>
      </c>
    </row>
    <row r="104" spans="1:6" ht="30" hidden="1" outlineLevel="1">
      <c r="A104" s="100" t="s">
        <v>181</v>
      </c>
      <c r="B104" s="66" t="s">
        <v>105</v>
      </c>
      <c r="C104" s="28" t="s">
        <v>0</v>
      </c>
      <c r="D104" s="37">
        <v>3.2760359999999986</v>
      </c>
      <c r="E104" s="67"/>
      <c r="F104" s="31">
        <f t="shared" si="1"/>
        <v>0</v>
      </c>
    </row>
    <row r="105" spans="1:6" collapsed="1">
      <c r="A105" s="284" t="s">
        <v>116</v>
      </c>
      <c r="B105" s="285"/>
      <c r="C105" s="144"/>
      <c r="D105" s="144"/>
      <c r="E105" s="173"/>
      <c r="F105" s="184">
        <f>SUM(F10:F104)</f>
        <v>61337.483320000014</v>
      </c>
    </row>
    <row r="106" spans="1:6" ht="21" customHeight="1" collapsed="1">
      <c r="A106" s="289" t="s">
        <v>21</v>
      </c>
      <c r="B106" s="290"/>
      <c r="C106" s="290"/>
      <c r="D106" s="290"/>
      <c r="E106" s="177"/>
      <c r="F106" s="178"/>
    </row>
    <row r="107" spans="1:6" ht="30">
      <c r="A107" s="162">
        <v>19</v>
      </c>
      <c r="B107" s="70" t="s">
        <v>42</v>
      </c>
      <c r="C107" s="8" t="s">
        <v>22</v>
      </c>
      <c r="D107" s="69">
        <v>2</v>
      </c>
      <c r="E107" s="33">
        <v>0</v>
      </c>
      <c r="F107" s="31">
        <f>E107*D107</f>
        <v>0</v>
      </c>
    </row>
    <row r="108" spans="1:6" ht="24" customHeight="1">
      <c r="A108" s="162">
        <v>20</v>
      </c>
      <c r="B108" s="70" t="s">
        <v>44</v>
      </c>
      <c r="C108" s="8" t="s">
        <v>0</v>
      </c>
      <c r="D108" s="69">
        <v>19.774250000000002</v>
      </c>
      <c r="E108" s="33">
        <v>0</v>
      </c>
      <c r="F108" s="31">
        <f t="shared" ref="F108:F134" si="2">E108*D108</f>
        <v>0</v>
      </c>
    </row>
    <row r="109" spans="1:6" ht="30">
      <c r="A109" s="162">
        <v>21</v>
      </c>
      <c r="B109" s="70" t="s">
        <v>209</v>
      </c>
      <c r="C109" s="8" t="s">
        <v>29</v>
      </c>
      <c r="D109" s="69">
        <v>9.81</v>
      </c>
      <c r="E109" s="33">
        <v>0</v>
      </c>
      <c r="F109" s="31">
        <f t="shared" si="2"/>
        <v>0</v>
      </c>
    </row>
    <row r="110" spans="1:6" ht="30">
      <c r="A110" s="162">
        <v>22</v>
      </c>
      <c r="B110" s="70" t="s">
        <v>263</v>
      </c>
      <c r="C110" s="8" t="s">
        <v>22</v>
      </c>
      <c r="D110" s="69">
        <v>1</v>
      </c>
      <c r="E110" s="33">
        <v>0</v>
      </c>
      <c r="F110" s="31">
        <f t="shared" si="2"/>
        <v>0</v>
      </c>
    </row>
    <row r="111" spans="1:6" ht="15.75" hidden="1" customHeight="1" outlineLevel="1">
      <c r="A111" s="100" t="s">
        <v>181</v>
      </c>
      <c r="B111" s="66" t="s">
        <v>115</v>
      </c>
      <c r="C111" s="28" t="s">
        <v>22</v>
      </c>
      <c r="D111" s="34">
        <v>1</v>
      </c>
      <c r="E111" s="67"/>
      <c r="F111" s="31">
        <f t="shared" si="2"/>
        <v>0</v>
      </c>
    </row>
    <row r="112" spans="1:6" s="101" customFormat="1" ht="15.75" hidden="1" customHeight="1" outlineLevel="1">
      <c r="A112" s="100" t="s">
        <v>181</v>
      </c>
      <c r="B112" s="66" t="s">
        <v>119</v>
      </c>
      <c r="C112" s="28" t="s">
        <v>22</v>
      </c>
      <c r="D112" s="37">
        <v>6</v>
      </c>
      <c r="E112" s="67"/>
      <c r="F112" s="31">
        <f t="shared" si="2"/>
        <v>0</v>
      </c>
    </row>
    <row r="113" spans="1:6" ht="15.75" hidden="1" customHeight="1" outlineLevel="1">
      <c r="A113" s="100" t="s">
        <v>181</v>
      </c>
      <c r="B113" s="66" t="s">
        <v>118</v>
      </c>
      <c r="C113" s="28" t="s">
        <v>117</v>
      </c>
      <c r="D113" s="34">
        <v>1</v>
      </c>
      <c r="E113" s="67"/>
      <c r="F113" s="31">
        <f t="shared" si="2"/>
        <v>0</v>
      </c>
    </row>
    <row r="114" spans="1:6" ht="17.25" customHeight="1" collapsed="1">
      <c r="A114" s="162">
        <v>23</v>
      </c>
      <c r="B114" s="70" t="s">
        <v>113</v>
      </c>
      <c r="C114" s="8" t="s">
        <v>22</v>
      </c>
      <c r="D114" s="69">
        <v>3</v>
      </c>
      <c r="E114" s="33">
        <v>0</v>
      </c>
      <c r="F114" s="31">
        <f t="shared" si="2"/>
        <v>0</v>
      </c>
    </row>
    <row r="115" spans="1:6" ht="15.75" hidden="1" customHeight="1" outlineLevel="1">
      <c r="A115" s="100" t="s">
        <v>181</v>
      </c>
      <c r="B115" s="66" t="s">
        <v>114</v>
      </c>
      <c r="C115" s="28" t="s">
        <v>22</v>
      </c>
      <c r="D115" s="34">
        <v>3</v>
      </c>
      <c r="E115" s="67"/>
      <c r="F115" s="31">
        <f t="shared" si="2"/>
        <v>0</v>
      </c>
    </row>
    <row r="116" spans="1:6" ht="45" collapsed="1">
      <c r="A116" s="162">
        <v>24</v>
      </c>
      <c r="B116" s="70" t="s">
        <v>70</v>
      </c>
      <c r="C116" s="8" t="s">
        <v>22</v>
      </c>
      <c r="D116" s="69">
        <v>2</v>
      </c>
      <c r="E116" s="33">
        <v>0</v>
      </c>
      <c r="F116" s="31">
        <f t="shared" si="2"/>
        <v>0</v>
      </c>
    </row>
    <row r="117" spans="1:6" s="101" customFormat="1" ht="30" hidden="1" customHeight="1" outlineLevel="1">
      <c r="A117" s="100" t="s">
        <v>181</v>
      </c>
      <c r="B117" s="66" t="s">
        <v>124</v>
      </c>
      <c r="C117" s="28" t="s">
        <v>22</v>
      </c>
      <c r="D117" s="37">
        <v>2</v>
      </c>
      <c r="E117" s="67"/>
      <c r="F117" s="31">
        <f t="shared" si="2"/>
        <v>0</v>
      </c>
    </row>
    <row r="118" spans="1:6" s="101" customFormat="1" ht="15.75" hidden="1" customHeight="1" outlineLevel="1">
      <c r="A118" s="100" t="s">
        <v>181</v>
      </c>
      <c r="B118" s="66" t="s">
        <v>119</v>
      </c>
      <c r="C118" s="28" t="s">
        <v>22</v>
      </c>
      <c r="D118" s="37">
        <v>12</v>
      </c>
      <c r="E118" s="67"/>
      <c r="F118" s="31">
        <f t="shared" si="2"/>
        <v>0</v>
      </c>
    </row>
    <row r="119" spans="1:6" ht="15.75" hidden="1" customHeight="1" outlineLevel="1">
      <c r="A119" s="100" t="s">
        <v>181</v>
      </c>
      <c r="B119" s="66" t="s">
        <v>118</v>
      </c>
      <c r="C119" s="28" t="s">
        <v>117</v>
      </c>
      <c r="D119" s="34">
        <v>2</v>
      </c>
      <c r="E119" s="67"/>
      <c r="F119" s="31">
        <f t="shared" si="2"/>
        <v>0</v>
      </c>
    </row>
    <row r="120" spans="1:6" ht="30" collapsed="1">
      <c r="A120" s="162">
        <v>25</v>
      </c>
      <c r="B120" s="70" t="s">
        <v>71</v>
      </c>
      <c r="C120" s="8" t="s">
        <v>22</v>
      </c>
      <c r="D120" s="69">
        <v>8</v>
      </c>
      <c r="E120" s="33">
        <v>0</v>
      </c>
      <c r="F120" s="31">
        <f t="shared" si="2"/>
        <v>0</v>
      </c>
    </row>
    <row r="121" spans="1:6" s="101" customFormat="1" ht="15.75" hidden="1" customHeight="1" outlineLevel="1">
      <c r="A121" s="100" t="s">
        <v>181</v>
      </c>
      <c r="B121" s="66" t="s">
        <v>120</v>
      </c>
      <c r="C121" s="28" t="s">
        <v>22</v>
      </c>
      <c r="D121" s="37">
        <v>8</v>
      </c>
      <c r="E121" s="67"/>
      <c r="F121" s="31">
        <f t="shared" si="2"/>
        <v>0</v>
      </c>
    </row>
    <row r="122" spans="1:6" s="101" customFormat="1" ht="15.75" hidden="1" customHeight="1" outlineLevel="1">
      <c r="A122" s="100" t="s">
        <v>181</v>
      </c>
      <c r="B122" s="66" t="s">
        <v>119</v>
      </c>
      <c r="C122" s="28" t="s">
        <v>22</v>
      </c>
      <c r="D122" s="37">
        <v>48</v>
      </c>
      <c r="E122" s="67"/>
      <c r="F122" s="31">
        <f t="shared" si="2"/>
        <v>0</v>
      </c>
    </row>
    <row r="123" spans="1:6" ht="15.75" hidden="1" customHeight="1" outlineLevel="1">
      <c r="A123" s="100" t="s">
        <v>181</v>
      </c>
      <c r="B123" s="66" t="s">
        <v>328</v>
      </c>
      <c r="C123" s="28" t="s">
        <v>117</v>
      </c>
      <c r="D123" s="34">
        <v>8</v>
      </c>
      <c r="E123" s="67"/>
      <c r="F123" s="31">
        <f t="shared" si="2"/>
        <v>0</v>
      </c>
    </row>
    <row r="124" spans="1:6" collapsed="1">
      <c r="A124" s="162">
        <v>26</v>
      </c>
      <c r="B124" s="70" t="s">
        <v>123</v>
      </c>
      <c r="C124" s="8" t="s">
        <v>29</v>
      </c>
      <c r="D124" s="8">
        <v>16.200000000000003</v>
      </c>
      <c r="E124" s="33">
        <v>0</v>
      </c>
      <c r="F124" s="31">
        <f t="shared" si="2"/>
        <v>0</v>
      </c>
    </row>
    <row r="125" spans="1:6" s="101" customFormat="1" ht="15.75" hidden="1" customHeight="1" outlineLevel="1">
      <c r="A125" s="100" t="s">
        <v>181</v>
      </c>
      <c r="B125" s="66" t="s">
        <v>188</v>
      </c>
      <c r="C125" s="28" t="s">
        <v>29</v>
      </c>
      <c r="D125" s="37">
        <v>17.334000000000003</v>
      </c>
      <c r="E125" s="67"/>
      <c r="F125" s="31">
        <f t="shared" si="2"/>
        <v>0</v>
      </c>
    </row>
    <row r="126" spans="1:6" s="101" customFormat="1" ht="15.75" hidden="1" customHeight="1" outlineLevel="1">
      <c r="A126" s="100" t="s">
        <v>181</v>
      </c>
      <c r="B126" s="66" t="s">
        <v>87</v>
      </c>
      <c r="C126" s="28" t="s">
        <v>22</v>
      </c>
      <c r="D126" s="38">
        <v>48.600000000000009</v>
      </c>
      <c r="E126" s="67"/>
      <c r="F126" s="31">
        <f t="shared" si="2"/>
        <v>0</v>
      </c>
    </row>
    <row r="127" spans="1:6" collapsed="1">
      <c r="A127" s="162">
        <v>27</v>
      </c>
      <c r="B127" s="70" t="s">
        <v>121</v>
      </c>
      <c r="C127" s="8" t="s">
        <v>29</v>
      </c>
      <c r="D127" s="8">
        <v>43.2</v>
      </c>
      <c r="E127" s="33">
        <v>0</v>
      </c>
      <c r="F127" s="31">
        <f t="shared" si="2"/>
        <v>0</v>
      </c>
    </row>
    <row r="128" spans="1:6" s="101" customFormat="1" ht="15.75" hidden="1" customHeight="1" outlineLevel="1">
      <c r="A128" s="100" t="s">
        <v>181</v>
      </c>
      <c r="B128" s="66" t="s">
        <v>122</v>
      </c>
      <c r="C128" s="28" t="s">
        <v>29</v>
      </c>
      <c r="D128" s="37">
        <v>46.224000000000004</v>
      </c>
      <c r="E128" s="67"/>
      <c r="F128" s="31">
        <f t="shared" si="2"/>
        <v>0</v>
      </c>
    </row>
    <row r="129" spans="1:6" s="101" customFormat="1" ht="15.75" hidden="1" customHeight="1" outlineLevel="1">
      <c r="A129" s="100" t="s">
        <v>181</v>
      </c>
      <c r="B129" s="66" t="s">
        <v>87</v>
      </c>
      <c r="C129" s="28" t="s">
        <v>22</v>
      </c>
      <c r="D129" s="38">
        <v>86.4</v>
      </c>
      <c r="E129" s="67"/>
      <c r="F129" s="31">
        <f t="shared" si="2"/>
        <v>0</v>
      </c>
    </row>
    <row r="130" spans="1:6" collapsed="1">
      <c r="A130" s="162">
        <v>28</v>
      </c>
      <c r="B130" s="70" t="s">
        <v>43</v>
      </c>
      <c r="C130" s="8" t="s">
        <v>0</v>
      </c>
      <c r="D130" s="69">
        <v>18.597750000000001</v>
      </c>
      <c r="E130" s="33">
        <v>0</v>
      </c>
      <c r="F130" s="31">
        <f t="shared" si="2"/>
        <v>0</v>
      </c>
    </row>
    <row r="131" spans="1:6" s="101" customFormat="1" ht="15.75" hidden="1" customHeight="1" outlineLevel="1">
      <c r="A131" s="100" t="s">
        <v>181</v>
      </c>
      <c r="B131" s="66" t="s">
        <v>125</v>
      </c>
      <c r="C131" s="28" t="s">
        <v>0</v>
      </c>
      <c r="D131" s="37">
        <v>18.597750000000001</v>
      </c>
      <c r="E131" s="67"/>
      <c r="F131" s="31">
        <f t="shared" si="2"/>
        <v>0</v>
      </c>
    </row>
    <row r="132" spans="1:6" s="101" customFormat="1" ht="15.75" hidden="1" customHeight="1" outlineLevel="1">
      <c r="A132" s="100" t="s">
        <v>181</v>
      </c>
      <c r="B132" s="66" t="s">
        <v>119</v>
      </c>
      <c r="C132" s="28" t="s">
        <v>22</v>
      </c>
      <c r="D132" s="37">
        <v>24</v>
      </c>
      <c r="E132" s="67"/>
      <c r="F132" s="31">
        <f t="shared" si="2"/>
        <v>0</v>
      </c>
    </row>
    <row r="133" spans="1:6" ht="15.75" hidden="1" customHeight="1" outlineLevel="1">
      <c r="A133" s="100" t="s">
        <v>181</v>
      </c>
      <c r="B133" s="66" t="s">
        <v>328</v>
      </c>
      <c r="C133" s="28" t="s">
        <v>117</v>
      </c>
      <c r="D133" s="37">
        <v>5</v>
      </c>
      <c r="E133" s="67"/>
      <c r="F133" s="31">
        <f t="shared" si="2"/>
        <v>0</v>
      </c>
    </row>
    <row r="134" spans="1:6" ht="30" collapsed="1">
      <c r="A134" s="162">
        <v>29</v>
      </c>
      <c r="B134" s="70" t="s">
        <v>45</v>
      </c>
      <c r="C134" s="8" t="s">
        <v>29</v>
      </c>
      <c r="D134" s="69">
        <v>9.81</v>
      </c>
      <c r="E134" s="33">
        <v>0</v>
      </c>
      <c r="F134" s="31">
        <f t="shared" si="2"/>
        <v>0</v>
      </c>
    </row>
    <row r="135" spans="1:6" collapsed="1">
      <c r="A135" s="284" t="s">
        <v>116</v>
      </c>
      <c r="B135" s="285"/>
      <c r="C135" s="144"/>
      <c r="D135" s="144"/>
      <c r="E135" s="173"/>
      <c r="F135" s="184">
        <f>SUM(F107:F134)</f>
        <v>0</v>
      </c>
    </row>
    <row r="136" spans="1:6" ht="21" customHeight="1">
      <c r="A136" s="289" t="s">
        <v>27</v>
      </c>
      <c r="B136" s="290"/>
      <c r="C136" s="290"/>
      <c r="D136" s="290"/>
      <c r="E136" s="177"/>
      <c r="F136" s="177"/>
    </row>
    <row r="137" spans="1:6">
      <c r="A137" s="162">
        <v>30</v>
      </c>
      <c r="B137" s="70" t="s">
        <v>212</v>
      </c>
      <c r="C137" s="8" t="s">
        <v>0</v>
      </c>
      <c r="D137" s="69">
        <v>29.630000000000003</v>
      </c>
      <c r="E137" s="33">
        <v>0</v>
      </c>
      <c r="F137" s="31">
        <f>E137*D137</f>
        <v>0</v>
      </c>
    </row>
    <row r="138" spans="1:6">
      <c r="A138" s="162">
        <v>31</v>
      </c>
      <c r="B138" s="70" t="s">
        <v>213</v>
      </c>
      <c r="C138" s="8" t="s">
        <v>0</v>
      </c>
      <c r="D138" s="69">
        <v>183.45000000000002</v>
      </c>
      <c r="E138" s="33">
        <v>0</v>
      </c>
      <c r="F138" s="31">
        <f t="shared" ref="F138:F151" si="3">E138*D138</f>
        <v>0</v>
      </c>
    </row>
    <row r="139" spans="1:6">
      <c r="A139" s="162">
        <v>32</v>
      </c>
      <c r="B139" s="70" t="s">
        <v>46</v>
      </c>
      <c r="C139" s="8" t="s">
        <v>0</v>
      </c>
      <c r="D139" s="69">
        <v>12.309750000000001</v>
      </c>
      <c r="E139" s="33">
        <v>480</v>
      </c>
      <c r="F139" s="31">
        <f t="shared" si="3"/>
        <v>5908.68</v>
      </c>
    </row>
    <row r="140" spans="1:6" s="101" customFormat="1" ht="15.75" hidden="1" customHeight="1" outlineLevel="1">
      <c r="A140" s="100" t="s">
        <v>181</v>
      </c>
      <c r="B140" s="66" t="s">
        <v>100</v>
      </c>
      <c r="C140" s="28" t="s">
        <v>0</v>
      </c>
      <c r="D140" s="37">
        <v>15.387187500000001</v>
      </c>
      <c r="E140" s="67"/>
      <c r="F140" s="31">
        <f t="shared" si="3"/>
        <v>0</v>
      </c>
    </row>
    <row r="141" spans="1:6" s="101" customFormat="1" ht="15.75" hidden="1" customHeight="1" outlineLevel="1">
      <c r="A141" s="100" t="s">
        <v>181</v>
      </c>
      <c r="B141" s="66" t="s">
        <v>94</v>
      </c>
      <c r="C141" s="28" t="s">
        <v>95</v>
      </c>
      <c r="D141" s="37">
        <v>3.0774375000000003</v>
      </c>
      <c r="E141" s="67"/>
      <c r="F141" s="31">
        <f t="shared" si="3"/>
        <v>0</v>
      </c>
    </row>
    <row r="142" spans="1:6" s="101" customFormat="1" ht="15.75" hidden="1" customHeight="1" outlineLevel="1">
      <c r="A142" s="100" t="s">
        <v>181</v>
      </c>
      <c r="B142" s="66" t="s">
        <v>96</v>
      </c>
      <c r="C142" s="28" t="s">
        <v>29</v>
      </c>
      <c r="D142" s="37">
        <v>9.2323125000000008</v>
      </c>
      <c r="E142" s="67"/>
      <c r="F142" s="31">
        <f t="shared" si="3"/>
        <v>0</v>
      </c>
    </row>
    <row r="143" spans="1:6" s="101" customFormat="1" ht="15.75" hidden="1" customHeight="1" outlineLevel="1">
      <c r="A143" s="100" t="s">
        <v>181</v>
      </c>
      <c r="B143" s="66" t="s">
        <v>128</v>
      </c>
      <c r="C143" s="28" t="s">
        <v>95</v>
      </c>
      <c r="D143" s="37">
        <v>43.084125</v>
      </c>
      <c r="E143" s="67"/>
      <c r="F143" s="31">
        <f t="shared" si="3"/>
        <v>0</v>
      </c>
    </row>
    <row r="144" spans="1:6" s="101" customFormat="1" ht="15.75" hidden="1" customHeight="1" outlineLevel="1">
      <c r="A144" s="100" t="s">
        <v>181</v>
      </c>
      <c r="B144" s="66" t="s">
        <v>328</v>
      </c>
      <c r="C144" s="28" t="s">
        <v>117</v>
      </c>
      <c r="D144" s="37">
        <v>0.2</v>
      </c>
      <c r="E144" s="67"/>
      <c r="F144" s="31">
        <f t="shared" si="3"/>
        <v>0</v>
      </c>
    </row>
    <row r="145" spans="1:7" ht="30" collapsed="1">
      <c r="A145" s="162">
        <v>33</v>
      </c>
      <c r="B145" s="70" t="s">
        <v>50</v>
      </c>
      <c r="C145" s="8" t="s">
        <v>0</v>
      </c>
      <c r="D145" s="69">
        <v>183.45000000000002</v>
      </c>
      <c r="E145" s="33">
        <v>24</v>
      </c>
      <c r="F145" s="31">
        <f t="shared" si="3"/>
        <v>4402.8</v>
      </c>
    </row>
    <row r="146" spans="1:7" ht="15.75" hidden="1" customHeight="1" outlineLevel="1">
      <c r="A146" s="100" t="s">
        <v>181</v>
      </c>
      <c r="B146" s="66" t="s">
        <v>129</v>
      </c>
      <c r="C146" s="28" t="s">
        <v>95</v>
      </c>
      <c r="D146" s="34">
        <v>64.207499999999996</v>
      </c>
      <c r="E146" s="67"/>
      <c r="F146" s="31">
        <f>E146*D146</f>
        <v>0</v>
      </c>
    </row>
    <row r="147" spans="1:7" ht="30" collapsed="1">
      <c r="A147" s="162">
        <v>34</v>
      </c>
      <c r="B147" s="70" t="s">
        <v>368</v>
      </c>
      <c r="C147" s="8" t="s">
        <v>0</v>
      </c>
      <c r="D147" s="69">
        <v>183.45000000000002</v>
      </c>
      <c r="E147" s="33">
        <v>340</v>
      </c>
      <c r="F147" s="31">
        <f t="shared" si="3"/>
        <v>62373.000000000007</v>
      </c>
    </row>
    <row r="148" spans="1:7" s="101" customFormat="1" ht="15.75" hidden="1" customHeight="1" outlineLevel="1">
      <c r="A148" s="100" t="s">
        <v>181</v>
      </c>
      <c r="B148" s="66" t="s">
        <v>139</v>
      </c>
      <c r="C148" s="28" t="s">
        <v>95</v>
      </c>
      <c r="D148" s="37">
        <v>6053.85</v>
      </c>
      <c r="E148" s="67"/>
      <c r="F148" s="31">
        <f>E148*D148</f>
        <v>0</v>
      </c>
    </row>
    <row r="149" spans="1:7" ht="30" collapsed="1">
      <c r="A149" s="162">
        <v>35</v>
      </c>
      <c r="B149" s="70" t="s">
        <v>369</v>
      </c>
      <c r="C149" s="8" t="s">
        <v>0</v>
      </c>
      <c r="D149" s="69">
        <v>1.2925</v>
      </c>
      <c r="E149" s="33">
        <v>440</v>
      </c>
      <c r="F149" s="31">
        <f t="shared" si="3"/>
        <v>568.70000000000005</v>
      </c>
    </row>
    <row r="150" spans="1:7" s="101" customFormat="1" ht="15.75" hidden="1" customHeight="1" outlineLevel="1">
      <c r="A150" s="100" t="s">
        <v>181</v>
      </c>
      <c r="B150" s="66" t="s">
        <v>139</v>
      </c>
      <c r="C150" s="28" t="s">
        <v>95</v>
      </c>
      <c r="D150" s="37">
        <v>16.802499999999998</v>
      </c>
      <c r="E150" s="67"/>
      <c r="F150" s="31">
        <f>E150*D150</f>
        <v>0</v>
      </c>
    </row>
    <row r="151" spans="1:7" ht="42" customHeight="1" collapsed="1">
      <c r="A151" s="162">
        <v>36</v>
      </c>
      <c r="B151" s="70" t="s">
        <v>370</v>
      </c>
      <c r="C151" s="8" t="s">
        <v>29</v>
      </c>
      <c r="D151" s="69">
        <v>40</v>
      </c>
      <c r="E151" s="33">
        <v>120</v>
      </c>
      <c r="F151" s="31">
        <f t="shared" si="3"/>
        <v>4800</v>
      </c>
    </row>
    <row r="152" spans="1:7" s="101" customFormat="1" ht="15.75" hidden="1" outlineLevel="1">
      <c r="A152" s="100" t="s">
        <v>181</v>
      </c>
      <c r="B152" s="66" t="s">
        <v>139</v>
      </c>
      <c r="C152" s="28" t="s">
        <v>95</v>
      </c>
      <c r="D152" s="37">
        <v>52</v>
      </c>
      <c r="E152" s="67"/>
      <c r="F152" s="67"/>
    </row>
    <row r="153" spans="1:7" collapsed="1">
      <c r="A153" s="284" t="s">
        <v>116</v>
      </c>
      <c r="B153" s="285"/>
      <c r="C153" s="144"/>
      <c r="D153" s="144"/>
      <c r="E153" s="173"/>
      <c r="F153" s="184">
        <f>SUM(F137:F152)</f>
        <v>78053.180000000008</v>
      </c>
    </row>
    <row r="154" spans="1:7" ht="21" customHeight="1" collapsed="1">
      <c r="A154" s="289" t="s">
        <v>30</v>
      </c>
      <c r="B154" s="290"/>
      <c r="C154" s="290"/>
      <c r="D154" s="290"/>
      <c r="E154" s="177"/>
      <c r="F154" s="178"/>
    </row>
    <row r="155" spans="1:7" ht="30">
      <c r="A155" s="162">
        <v>49</v>
      </c>
      <c r="B155" s="70" t="s">
        <v>28</v>
      </c>
      <c r="C155" s="8" t="s">
        <v>29</v>
      </c>
      <c r="D155" s="69">
        <v>37</v>
      </c>
      <c r="E155" s="33">
        <v>99.52</v>
      </c>
      <c r="F155" s="31">
        <f t="shared" ref="F155" si="4">E155*D155</f>
        <v>3682.24</v>
      </c>
      <c r="G155" s="188"/>
    </row>
    <row r="156" spans="1:7" s="101" customFormat="1" ht="15.75" hidden="1" customHeight="1" outlineLevel="1">
      <c r="A156" s="100" t="s">
        <v>181</v>
      </c>
      <c r="B156" s="66" t="s">
        <v>89</v>
      </c>
      <c r="C156" s="28" t="s">
        <v>72</v>
      </c>
      <c r="D156" s="39">
        <v>5.3280000000000001E-2</v>
      </c>
      <c r="E156" s="67"/>
      <c r="F156" s="67"/>
    </row>
    <row r="157" spans="1:7" s="101" customFormat="1" ht="15.75" hidden="1" customHeight="1" outlineLevel="1">
      <c r="A157" s="100" t="s">
        <v>181</v>
      </c>
      <c r="B157" s="66" t="s">
        <v>88</v>
      </c>
      <c r="C157" s="28" t="s">
        <v>72</v>
      </c>
      <c r="D157" s="39">
        <v>1.7205000000000001</v>
      </c>
      <c r="E157" s="67"/>
      <c r="F157" s="67"/>
    </row>
    <row r="158" spans="1:7" collapsed="1">
      <c r="A158" s="162">
        <v>50</v>
      </c>
      <c r="B158" s="70" t="s">
        <v>218</v>
      </c>
      <c r="C158" s="8" t="s">
        <v>0</v>
      </c>
      <c r="D158" s="69">
        <v>3.75</v>
      </c>
      <c r="E158" s="33">
        <v>0</v>
      </c>
      <c r="F158" s="31">
        <f t="shared" ref="F158:F159" si="5">E158*D158</f>
        <v>0</v>
      </c>
    </row>
    <row r="159" spans="1:7" ht="30">
      <c r="A159" s="162">
        <v>51</v>
      </c>
      <c r="B159" s="70" t="s">
        <v>215</v>
      </c>
      <c r="C159" s="8" t="s">
        <v>0</v>
      </c>
      <c r="D159" s="69">
        <v>84.77</v>
      </c>
      <c r="E159" s="33">
        <v>0</v>
      </c>
      <c r="F159" s="31">
        <f t="shared" si="5"/>
        <v>0</v>
      </c>
    </row>
    <row r="160" spans="1:7" s="101" customFormat="1" ht="15.75" hidden="1" outlineLevel="1">
      <c r="A160" s="100" t="s">
        <v>181</v>
      </c>
      <c r="B160" s="66" t="s">
        <v>88</v>
      </c>
      <c r="C160" s="28" t="s">
        <v>72</v>
      </c>
      <c r="D160" s="39">
        <v>4.8242606999999991</v>
      </c>
      <c r="E160" s="67"/>
      <c r="F160" s="67"/>
    </row>
    <row r="161" spans="1:6" collapsed="1">
      <c r="A161" s="284" t="s">
        <v>116</v>
      </c>
      <c r="B161" s="285"/>
      <c r="C161" s="144"/>
      <c r="D161" s="144"/>
      <c r="E161" s="173"/>
      <c r="F161" s="184">
        <f>SUM(F155:F160)</f>
        <v>3682.24</v>
      </c>
    </row>
    <row r="162" spans="1:6" ht="21" customHeight="1" collapsed="1">
      <c r="A162" s="289" t="s">
        <v>31</v>
      </c>
      <c r="B162" s="290" t="s">
        <v>31</v>
      </c>
      <c r="C162" s="290"/>
      <c r="D162" s="290"/>
      <c r="E162" s="177"/>
      <c r="F162" s="178"/>
    </row>
    <row r="163" spans="1:6">
      <c r="A163" s="162">
        <v>63</v>
      </c>
      <c r="B163" s="70" t="s">
        <v>217</v>
      </c>
      <c r="C163" s="8" t="s">
        <v>0</v>
      </c>
      <c r="D163" s="69">
        <v>29.678000000000004</v>
      </c>
      <c r="E163" s="33">
        <v>0</v>
      </c>
      <c r="F163" s="31">
        <f t="shared" ref="F163" si="6">E163*D163</f>
        <v>0</v>
      </c>
    </row>
    <row r="164" spans="1:6" collapsed="1">
      <c r="A164" s="284" t="s">
        <v>116</v>
      </c>
      <c r="B164" s="285"/>
      <c r="C164" s="144"/>
      <c r="D164" s="144"/>
      <c r="E164" s="173"/>
      <c r="F164" s="184">
        <f>F163</f>
        <v>0</v>
      </c>
    </row>
    <row r="165" spans="1:6" ht="21" customHeight="1">
      <c r="A165" s="289" t="s">
        <v>76</v>
      </c>
      <c r="B165" s="290" t="s">
        <v>31</v>
      </c>
      <c r="C165" s="290"/>
      <c r="D165" s="290"/>
      <c r="E165" s="177"/>
      <c r="F165" s="178"/>
    </row>
    <row r="166" spans="1:6">
      <c r="A166" s="162">
        <v>74</v>
      </c>
      <c r="B166" s="70" t="s">
        <v>225</v>
      </c>
      <c r="C166" s="8" t="s">
        <v>22</v>
      </c>
      <c r="D166" s="69">
        <v>1</v>
      </c>
      <c r="E166" s="33">
        <v>624</v>
      </c>
      <c r="F166" s="31">
        <f t="shared" ref="F166:F195" si="7">E166*D166</f>
        <v>624</v>
      </c>
    </row>
    <row r="167" spans="1:6" s="101" customFormat="1" ht="15.75" hidden="1" customHeight="1" outlineLevel="1">
      <c r="A167" s="100" t="s">
        <v>181</v>
      </c>
      <c r="B167" s="66" t="s">
        <v>226</v>
      </c>
      <c r="C167" s="28" t="s">
        <v>22</v>
      </c>
      <c r="D167" s="38">
        <v>1</v>
      </c>
      <c r="E167" s="67"/>
      <c r="F167" s="31">
        <f t="shared" si="7"/>
        <v>0</v>
      </c>
    </row>
    <row r="168" spans="1:6" ht="30" collapsed="1">
      <c r="A168" s="162">
        <v>75</v>
      </c>
      <c r="B168" s="70" t="s">
        <v>222</v>
      </c>
      <c r="C168" s="8" t="s">
        <v>22</v>
      </c>
      <c r="D168" s="69">
        <v>1</v>
      </c>
      <c r="E168" s="33">
        <v>960</v>
      </c>
      <c r="F168" s="31">
        <f t="shared" si="7"/>
        <v>960</v>
      </c>
    </row>
    <row r="169" spans="1:6" s="101" customFormat="1" ht="30" hidden="1" customHeight="1" outlineLevel="1">
      <c r="A169" s="100" t="s">
        <v>181</v>
      </c>
      <c r="B169" s="66" t="s">
        <v>224</v>
      </c>
      <c r="C169" s="28" t="s">
        <v>22</v>
      </c>
      <c r="D169" s="37">
        <v>1</v>
      </c>
      <c r="E169" s="67"/>
      <c r="F169" s="31">
        <f t="shared" si="7"/>
        <v>0</v>
      </c>
    </row>
    <row r="170" spans="1:6" s="101" customFormat="1" ht="15.75" hidden="1" customHeight="1" outlineLevel="1">
      <c r="A170" s="100" t="s">
        <v>181</v>
      </c>
      <c r="B170" s="66" t="s">
        <v>87</v>
      </c>
      <c r="C170" s="28" t="s">
        <v>22</v>
      </c>
      <c r="D170" s="38">
        <v>4</v>
      </c>
      <c r="E170" s="67"/>
      <c r="F170" s="31">
        <f t="shared" si="7"/>
        <v>0</v>
      </c>
    </row>
    <row r="171" spans="1:6" collapsed="1">
      <c r="A171" s="162">
        <v>76</v>
      </c>
      <c r="B171" s="70" t="s">
        <v>223</v>
      </c>
      <c r="C171" s="8" t="s">
        <v>22</v>
      </c>
      <c r="D171" s="69">
        <v>5</v>
      </c>
      <c r="E171" s="33">
        <v>182.4</v>
      </c>
      <c r="F171" s="31">
        <f t="shared" si="7"/>
        <v>912</v>
      </c>
    </row>
    <row r="172" spans="1:6" s="101" customFormat="1" ht="15.75" hidden="1" customHeight="1" outlineLevel="1">
      <c r="A172" s="100" t="s">
        <v>181</v>
      </c>
      <c r="B172" s="66" t="s">
        <v>227</v>
      </c>
      <c r="C172" s="28" t="s">
        <v>22</v>
      </c>
      <c r="D172" s="38">
        <v>4</v>
      </c>
      <c r="E172" s="67"/>
      <c r="F172" s="31">
        <f t="shared" si="7"/>
        <v>0</v>
      </c>
    </row>
    <row r="173" spans="1:6" s="101" customFormat="1" ht="15.75" hidden="1" customHeight="1" outlineLevel="1">
      <c r="A173" s="100" t="s">
        <v>181</v>
      </c>
      <c r="B173" s="66" t="s">
        <v>229</v>
      </c>
      <c r="C173" s="28" t="s">
        <v>22</v>
      </c>
      <c r="D173" s="38">
        <v>1</v>
      </c>
      <c r="E173" s="67"/>
      <c r="F173" s="31">
        <f t="shared" si="7"/>
        <v>0</v>
      </c>
    </row>
    <row r="174" spans="1:6" collapsed="1">
      <c r="A174" s="162">
        <v>77</v>
      </c>
      <c r="B174" s="70" t="s">
        <v>266</v>
      </c>
      <c r="C174" s="8" t="s">
        <v>22</v>
      </c>
      <c r="D174" s="69">
        <v>10</v>
      </c>
      <c r="E174" s="33">
        <v>259.2</v>
      </c>
      <c r="F174" s="31">
        <f t="shared" si="7"/>
        <v>2592</v>
      </c>
    </row>
    <row r="175" spans="1:6" s="101" customFormat="1" ht="15.75" hidden="1" customHeight="1" outlineLevel="1">
      <c r="A175" s="100" t="s">
        <v>181</v>
      </c>
      <c r="B175" s="66" t="s">
        <v>228</v>
      </c>
      <c r="C175" s="28" t="s">
        <v>22</v>
      </c>
      <c r="D175" s="38">
        <v>10</v>
      </c>
      <c r="E175" s="67"/>
      <c r="F175" s="31">
        <f t="shared" si="7"/>
        <v>0</v>
      </c>
    </row>
    <row r="176" spans="1:6" collapsed="1">
      <c r="A176" s="162">
        <v>78</v>
      </c>
      <c r="B176" s="70" t="s">
        <v>230</v>
      </c>
      <c r="C176" s="8" t="s">
        <v>29</v>
      </c>
      <c r="D176" s="69">
        <v>465</v>
      </c>
      <c r="E176" s="33">
        <v>105</v>
      </c>
      <c r="F176" s="31">
        <f t="shared" si="7"/>
        <v>48825</v>
      </c>
    </row>
    <row r="177" spans="1:6" s="101" customFormat="1" ht="15.75" hidden="1" customHeight="1" outlineLevel="1">
      <c r="A177" s="100" t="s">
        <v>181</v>
      </c>
      <c r="B177" s="66" t="s">
        <v>232</v>
      </c>
      <c r="C177" s="28" t="s">
        <v>0</v>
      </c>
      <c r="D177" s="38">
        <v>415</v>
      </c>
      <c r="E177" s="67"/>
      <c r="F177" s="31">
        <f t="shared" si="7"/>
        <v>0</v>
      </c>
    </row>
    <row r="178" spans="1:6" s="101" customFormat="1" ht="15.75" hidden="1" customHeight="1" outlineLevel="1">
      <c r="A178" s="100" t="s">
        <v>181</v>
      </c>
      <c r="B178" s="66" t="s">
        <v>233</v>
      </c>
      <c r="C178" s="28" t="s">
        <v>29</v>
      </c>
      <c r="D178" s="38">
        <v>50</v>
      </c>
      <c r="E178" s="67"/>
      <c r="F178" s="31">
        <f t="shared" si="7"/>
        <v>0</v>
      </c>
    </row>
    <row r="179" spans="1:6" s="101" customFormat="1" ht="15.75" hidden="1" customHeight="1" outlineLevel="1">
      <c r="A179" s="100" t="s">
        <v>181</v>
      </c>
      <c r="B179" s="66" t="s">
        <v>234</v>
      </c>
      <c r="C179" s="28" t="s">
        <v>22</v>
      </c>
      <c r="D179" s="38">
        <v>400</v>
      </c>
      <c r="E179" s="67"/>
      <c r="F179" s="31">
        <f t="shared" si="7"/>
        <v>0</v>
      </c>
    </row>
    <row r="180" spans="1:6" s="101" customFormat="1" ht="15.75" hidden="1" customHeight="1" outlineLevel="1">
      <c r="A180" s="100" t="s">
        <v>181</v>
      </c>
      <c r="B180" s="66" t="s">
        <v>235</v>
      </c>
      <c r="C180" s="28" t="s">
        <v>22</v>
      </c>
      <c r="D180" s="38">
        <v>80</v>
      </c>
      <c r="E180" s="67"/>
      <c r="F180" s="31">
        <f t="shared" si="7"/>
        <v>0</v>
      </c>
    </row>
    <row r="181" spans="1:6" s="101" customFormat="1" ht="15.75" hidden="1" customHeight="1" outlineLevel="1">
      <c r="A181" s="100" t="s">
        <v>181</v>
      </c>
      <c r="B181" s="66" t="s">
        <v>87</v>
      </c>
      <c r="C181" s="28" t="s">
        <v>22</v>
      </c>
      <c r="D181" s="38">
        <v>400</v>
      </c>
      <c r="E181" s="67"/>
      <c r="F181" s="31">
        <f t="shared" si="7"/>
        <v>0</v>
      </c>
    </row>
    <row r="182" spans="1:6" collapsed="1">
      <c r="A182" s="162">
        <v>79</v>
      </c>
      <c r="B182" s="70" t="s">
        <v>239</v>
      </c>
      <c r="C182" s="8" t="s">
        <v>29</v>
      </c>
      <c r="D182" s="69">
        <v>9</v>
      </c>
      <c r="E182" s="33">
        <v>167.2</v>
      </c>
      <c r="F182" s="31">
        <f t="shared" si="7"/>
        <v>1504.8</v>
      </c>
    </row>
    <row r="183" spans="1:6" s="101" customFormat="1" ht="15.75" hidden="1" customHeight="1" outlineLevel="1">
      <c r="A183" s="100" t="s">
        <v>181</v>
      </c>
      <c r="B183" s="66" t="s">
        <v>240</v>
      </c>
      <c r="C183" s="28" t="s">
        <v>29</v>
      </c>
      <c r="D183" s="38">
        <v>10.35</v>
      </c>
      <c r="E183" s="67"/>
      <c r="F183" s="31">
        <f t="shared" si="7"/>
        <v>0</v>
      </c>
    </row>
    <row r="184" spans="1:6" s="101" customFormat="1" ht="15.75" hidden="1" customHeight="1" outlineLevel="1">
      <c r="A184" s="100" t="s">
        <v>181</v>
      </c>
      <c r="B184" s="66" t="s">
        <v>241</v>
      </c>
      <c r="C184" s="28" t="s">
        <v>22</v>
      </c>
      <c r="D184" s="38">
        <v>100</v>
      </c>
      <c r="E184" s="67"/>
      <c r="F184" s="31">
        <f t="shared" si="7"/>
        <v>0</v>
      </c>
    </row>
    <row r="185" spans="1:6" ht="30" collapsed="1">
      <c r="A185" s="162">
        <v>80</v>
      </c>
      <c r="B185" s="70" t="s">
        <v>231</v>
      </c>
      <c r="C185" s="8" t="s">
        <v>29</v>
      </c>
      <c r="D185" s="69">
        <v>415</v>
      </c>
      <c r="E185" s="33">
        <v>56.48</v>
      </c>
      <c r="F185" s="31">
        <f t="shared" si="7"/>
        <v>23439.199999999997</v>
      </c>
    </row>
    <row r="186" spans="1:6" s="101" customFormat="1" ht="15.75" hidden="1" customHeight="1" outlineLevel="1">
      <c r="A186" s="100" t="s">
        <v>181</v>
      </c>
      <c r="B186" s="66" t="s">
        <v>237</v>
      </c>
      <c r="C186" s="28" t="s">
        <v>29</v>
      </c>
      <c r="D186" s="38">
        <v>178.5</v>
      </c>
      <c r="E186" s="67"/>
      <c r="F186" s="31">
        <f t="shared" si="7"/>
        <v>0</v>
      </c>
    </row>
    <row r="187" spans="1:6" s="101" customFormat="1" ht="15.75" hidden="1" customHeight="1" outlineLevel="1">
      <c r="A187" s="100" t="s">
        <v>181</v>
      </c>
      <c r="B187" s="66" t="s">
        <v>236</v>
      </c>
      <c r="C187" s="28" t="s">
        <v>29</v>
      </c>
      <c r="D187" s="38">
        <v>218</v>
      </c>
      <c r="E187" s="67"/>
      <c r="F187" s="31">
        <f t="shared" si="7"/>
        <v>0</v>
      </c>
    </row>
    <row r="188" spans="1:6" s="101" customFormat="1" ht="15.75" hidden="1" customHeight="1" outlineLevel="1">
      <c r="A188" s="100" t="s">
        <v>181</v>
      </c>
      <c r="B188" s="66" t="s">
        <v>238</v>
      </c>
      <c r="C188" s="28" t="s">
        <v>29</v>
      </c>
      <c r="D188" s="38">
        <v>36.75</v>
      </c>
      <c r="E188" s="67"/>
      <c r="F188" s="31">
        <f t="shared" si="7"/>
        <v>0</v>
      </c>
    </row>
    <row r="189" spans="1:6" collapsed="1">
      <c r="A189" s="162">
        <v>81</v>
      </c>
      <c r="B189" s="70" t="s">
        <v>242</v>
      </c>
      <c r="C189" s="8" t="s">
        <v>29</v>
      </c>
      <c r="D189" s="69">
        <v>50</v>
      </c>
      <c r="E189" s="33">
        <v>144</v>
      </c>
      <c r="F189" s="31">
        <f t="shared" si="7"/>
        <v>7200</v>
      </c>
    </row>
    <row r="190" spans="1:6" s="101" customFormat="1" ht="15.75" hidden="1" customHeight="1" outlineLevel="1">
      <c r="A190" s="100" t="s">
        <v>181</v>
      </c>
      <c r="B190" s="66" t="s">
        <v>243</v>
      </c>
      <c r="C190" s="28" t="s">
        <v>29</v>
      </c>
      <c r="D190" s="38">
        <v>52.5</v>
      </c>
      <c r="E190" s="67"/>
      <c r="F190" s="31">
        <f t="shared" si="7"/>
        <v>0</v>
      </c>
    </row>
    <row r="191" spans="1:6" collapsed="1">
      <c r="A191" s="162">
        <v>82</v>
      </c>
      <c r="B191" s="70" t="s">
        <v>339</v>
      </c>
      <c r="C191" s="8" t="s">
        <v>29</v>
      </c>
      <c r="D191" s="69">
        <v>195</v>
      </c>
      <c r="E191" s="33">
        <v>50.72</v>
      </c>
      <c r="F191" s="31">
        <f t="shared" si="7"/>
        <v>9890.4</v>
      </c>
    </row>
    <row r="192" spans="1:6" s="101" customFormat="1" ht="15.75" hidden="1" outlineLevel="1">
      <c r="A192" s="100" t="s">
        <v>181</v>
      </c>
      <c r="B192" s="66" t="s">
        <v>340</v>
      </c>
      <c r="C192" s="28" t="s">
        <v>29</v>
      </c>
      <c r="D192" s="38">
        <v>204.75</v>
      </c>
      <c r="E192" s="67"/>
      <c r="F192" s="31">
        <f t="shared" si="7"/>
        <v>0</v>
      </c>
    </row>
    <row r="193" spans="1:9" ht="30" collapsed="1">
      <c r="A193" s="180">
        <v>83</v>
      </c>
      <c r="B193" s="70" t="s">
        <v>244</v>
      </c>
      <c r="C193" s="8" t="s">
        <v>22</v>
      </c>
      <c r="D193" s="69">
        <v>7</v>
      </c>
      <c r="E193" s="69">
        <v>40.32</v>
      </c>
      <c r="F193" s="31">
        <f t="shared" si="7"/>
        <v>282.24</v>
      </c>
      <c r="G193" s="101"/>
      <c r="H193" s="101"/>
      <c r="I193" s="101"/>
    </row>
    <row r="194" spans="1:9" ht="30">
      <c r="A194" s="180">
        <v>84</v>
      </c>
      <c r="B194" s="70" t="s">
        <v>245</v>
      </c>
      <c r="C194" s="8" t="s">
        <v>22</v>
      </c>
      <c r="D194" s="69">
        <v>28</v>
      </c>
      <c r="E194" s="69">
        <v>115.2</v>
      </c>
      <c r="F194" s="31">
        <f t="shared" si="7"/>
        <v>3225.6</v>
      </c>
      <c r="G194" s="101"/>
      <c r="H194" s="101"/>
      <c r="I194" s="101"/>
    </row>
    <row r="195" spans="1:9" ht="30">
      <c r="A195" s="162">
        <v>90</v>
      </c>
      <c r="B195" s="70" t="s">
        <v>265</v>
      </c>
      <c r="C195" s="8" t="s">
        <v>22</v>
      </c>
      <c r="D195" s="69">
        <v>23</v>
      </c>
      <c r="E195" s="33">
        <v>55</v>
      </c>
      <c r="F195" s="31">
        <f t="shared" si="7"/>
        <v>1265</v>
      </c>
    </row>
    <row r="196" spans="1:9" collapsed="1">
      <c r="A196" s="284" t="s">
        <v>116</v>
      </c>
      <c r="B196" s="285"/>
      <c r="C196" s="144"/>
      <c r="D196" s="144"/>
      <c r="E196" s="173"/>
      <c r="F196" s="184">
        <f>SUM(F166:F195)</f>
        <v>100720.24</v>
      </c>
    </row>
    <row r="197" spans="1:9" ht="21" customHeight="1">
      <c r="A197" s="289" t="s">
        <v>260</v>
      </c>
      <c r="B197" s="290" t="s">
        <v>31</v>
      </c>
      <c r="C197" s="290"/>
      <c r="D197" s="290"/>
      <c r="E197" s="177"/>
      <c r="F197" s="178"/>
    </row>
    <row r="198" spans="1:9" ht="30">
      <c r="A198" s="180">
        <v>99</v>
      </c>
      <c r="B198" s="70" t="s">
        <v>261</v>
      </c>
      <c r="C198" s="8" t="s">
        <v>22</v>
      </c>
      <c r="D198" s="69">
        <v>1</v>
      </c>
      <c r="E198" s="32">
        <v>108664</v>
      </c>
      <c r="F198" s="33">
        <v>108664</v>
      </c>
    </row>
    <row r="199" spans="1:9" s="101" customFormat="1" ht="15.75" hidden="1" outlineLevel="1">
      <c r="A199" s="100" t="s">
        <v>181</v>
      </c>
      <c r="B199" s="66" t="s">
        <v>289</v>
      </c>
      <c r="C199" s="28" t="s">
        <v>22</v>
      </c>
      <c r="D199" s="38">
        <v>1</v>
      </c>
      <c r="E199" s="67"/>
      <c r="F199" s="67"/>
    </row>
    <row r="200" spans="1:9" s="101" customFormat="1" ht="15.75" hidden="1" outlineLevel="1">
      <c r="A200" s="100" t="s">
        <v>181</v>
      </c>
      <c r="B200" s="66" t="s">
        <v>290</v>
      </c>
      <c r="C200" s="28" t="s">
        <v>22</v>
      </c>
      <c r="D200" s="38">
        <v>1</v>
      </c>
      <c r="E200" s="67"/>
      <c r="F200" s="67"/>
    </row>
    <row r="201" spans="1:9" s="101" customFormat="1" ht="15.75" hidden="1" outlineLevel="1">
      <c r="A201" s="100" t="s">
        <v>181</v>
      </c>
      <c r="B201" s="66" t="s">
        <v>291</v>
      </c>
      <c r="C201" s="28" t="s">
        <v>22</v>
      </c>
      <c r="D201" s="38">
        <v>2</v>
      </c>
      <c r="E201" s="67"/>
      <c r="F201" s="67"/>
    </row>
    <row r="202" spans="1:9" s="101" customFormat="1" ht="15.75" hidden="1" outlineLevel="1">
      <c r="A202" s="100" t="s">
        <v>181</v>
      </c>
      <c r="B202" s="66" t="s">
        <v>292</v>
      </c>
      <c r="C202" s="28" t="s">
        <v>22</v>
      </c>
      <c r="D202" s="38">
        <v>1</v>
      </c>
      <c r="E202" s="67"/>
      <c r="F202" s="67"/>
    </row>
    <row r="203" spans="1:9" s="101" customFormat="1" ht="15.75" hidden="1" outlineLevel="1">
      <c r="A203" s="100" t="s">
        <v>181</v>
      </c>
      <c r="B203" s="66" t="s">
        <v>293</v>
      </c>
      <c r="C203" s="28" t="s">
        <v>22</v>
      </c>
      <c r="D203" s="38">
        <v>5</v>
      </c>
      <c r="E203" s="67"/>
      <c r="F203" s="67"/>
    </row>
    <row r="204" spans="1:9" s="101" customFormat="1" ht="15.75" hidden="1" outlineLevel="1">
      <c r="A204" s="100" t="s">
        <v>181</v>
      </c>
      <c r="B204" s="66" t="s">
        <v>294</v>
      </c>
      <c r="C204" s="28" t="s">
        <v>22</v>
      </c>
      <c r="D204" s="38">
        <v>1</v>
      </c>
      <c r="E204" s="67"/>
      <c r="F204" s="67"/>
    </row>
    <row r="205" spans="1:9" s="101" customFormat="1" ht="15.75" hidden="1" outlineLevel="1">
      <c r="A205" s="100" t="s">
        <v>181</v>
      </c>
      <c r="B205" s="66" t="s">
        <v>295</v>
      </c>
      <c r="C205" s="28" t="s">
        <v>22</v>
      </c>
      <c r="D205" s="38">
        <v>6</v>
      </c>
      <c r="E205" s="67"/>
      <c r="F205" s="67"/>
    </row>
    <row r="206" spans="1:9" s="101" customFormat="1" ht="15.75" hidden="1" outlineLevel="1">
      <c r="A206" s="100" t="s">
        <v>181</v>
      </c>
      <c r="B206" s="66" t="s">
        <v>296</v>
      </c>
      <c r="C206" s="28" t="s">
        <v>22</v>
      </c>
      <c r="D206" s="38">
        <v>1</v>
      </c>
      <c r="E206" s="67"/>
      <c r="F206" s="67"/>
    </row>
    <row r="207" spans="1:9" s="101" customFormat="1" ht="15.75" hidden="1" outlineLevel="1">
      <c r="A207" s="100" t="s">
        <v>181</v>
      </c>
      <c r="B207" s="66" t="s">
        <v>297</v>
      </c>
      <c r="C207" s="28" t="s">
        <v>22</v>
      </c>
      <c r="D207" s="38">
        <v>1</v>
      </c>
      <c r="E207" s="67"/>
      <c r="F207" s="67"/>
    </row>
    <row r="208" spans="1:9" s="101" customFormat="1" ht="15.75" hidden="1" outlineLevel="1">
      <c r="A208" s="100" t="s">
        <v>181</v>
      </c>
      <c r="B208" s="66" t="s">
        <v>298</v>
      </c>
      <c r="C208" s="28" t="s">
        <v>22</v>
      </c>
      <c r="D208" s="38">
        <v>1</v>
      </c>
      <c r="E208" s="67"/>
      <c r="F208" s="67"/>
    </row>
    <row r="209" spans="1:6" s="101" customFormat="1" ht="15.75" hidden="1" outlineLevel="1">
      <c r="A209" s="100" t="s">
        <v>181</v>
      </c>
      <c r="B209" s="66" t="s">
        <v>299</v>
      </c>
      <c r="C209" s="28" t="s">
        <v>22</v>
      </c>
      <c r="D209" s="38">
        <v>1</v>
      </c>
      <c r="E209" s="67"/>
      <c r="F209" s="67"/>
    </row>
    <row r="210" spans="1:6" s="101" customFormat="1" ht="30" hidden="1" outlineLevel="1">
      <c r="A210" s="100" t="s">
        <v>181</v>
      </c>
      <c r="B210" s="66" t="s">
        <v>300</v>
      </c>
      <c r="C210" s="28" t="s">
        <v>22</v>
      </c>
      <c r="D210" s="38">
        <v>3</v>
      </c>
      <c r="E210" s="67"/>
      <c r="F210" s="67"/>
    </row>
    <row r="211" spans="1:6" s="101" customFormat="1" ht="30" hidden="1" outlineLevel="1">
      <c r="A211" s="100" t="s">
        <v>181</v>
      </c>
      <c r="B211" s="66" t="s">
        <v>301</v>
      </c>
      <c r="C211" s="28" t="s">
        <v>22</v>
      </c>
      <c r="D211" s="38">
        <v>3</v>
      </c>
      <c r="E211" s="67"/>
      <c r="F211" s="67"/>
    </row>
    <row r="212" spans="1:6" s="101" customFormat="1" ht="15.75" hidden="1" outlineLevel="1">
      <c r="A212" s="100" t="s">
        <v>181</v>
      </c>
      <c r="B212" s="66" t="s">
        <v>302</v>
      </c>
      <c r="C212" s="28" t="s">
        <v>29</v>
      </c>
      <c r="D212" s="38">
        <v>18</v>
      </c>
      <c r="E212" s="67"/>
      <c r="F212" s="67"/>
    </row>
    <row r="213" spans="1:6" s="101" customFormat="1" ht="15.75" hidden="1" outlineLevel="1">
      <c r="A213" s="100" t="s">
        <v>181</v>
      </c>
      <c r="B213" s="66" t="s">
        <v>303</v>
      </c>
      <c r="C213" s="28" t="s">
        <v>29</v>
      </c>
      <c r="D213" s="38">
        <v>2</v>
      </c>
      <c r="E213" s="67"/>
      <c r="F213" s="67"/>
    </row>
    <row r="214" spans="1:6" s="101" customFormat="1" ht="15.75" hidden="1" outlineLevel="1">
      <c r="A214" s="100" t="s">
        <v>181</v>
      </c>
      <c r="B214" s="66" t="s">
        <v>304</v>
      </c>
      <c r="C214" s="28" t="s">
        <v>0</v>
      </c>
      <c r="D214" s="38">
        <v>8</v>
      </c>
      <c r="E214" s="67"/>
      <c r="F214" s="67"/>
    </row>
    <row r="215" spans="1:6" s="101" customFormat="1" ht="15.75" hidden="1" outlineLevel="1">
      <c r="A215" s="100" t="s">
        <v>181</v>
      </c>
      <c r="B215" s="66" t="s">
        <v>305</v>
      </c>
      <c r="C215" s="28" t="s">
        <v>0</v>
      </c>
      <c r="D215" s="38">
        <v>24.9</v>
      </c>
      <c r="E215" s="67"/>
      <c r="F215" s="67"/>
    </row>
    <row r="216" spans="1:6" collapsed="1">
      <c r="A216" s="284" t="s">
        <v>116</v>
      </c>
      <c r="B216" s="285"/>
      <c r="C216" s="144"/>
      <c r="D216" s="144"/>
      <c r="E216" s="173"/>
      <c r="F216" s="184">
        <f>F198</f>
        <v>108664</v>
      </c>
    </row>
    <row r="217" spans="1:6" ht="21" customHeight="1" collapsed="1">
      <c r="A217" s="289" t="s">
        <v>345</v>
      </c>
      <c r="B217" s="290" t="s">
        <v>31</v>
      </c>
      <c r="C217" s="290"/>
      <c r="D217" s="290"/>
      <c r="E217" s="177"/>
      <c r="F217" s="178"/>
    </row>
    <row r="218" spans="1:6">
      <c r="A218" s="162">
        <v>100</v>
      </c>
      <c r="B218" s="70" t="s">
        <v>346</v>
      </c>
      <c r="C218" s="8" t="s">
        <v>29</v>
      </c>
      <c r="D218" s="69">
        <v>18.5</v>
      </c>
      <c r="E218" s="33">
        <v>0</v>
      </c>
      <c r="F218" s="31">
        <f t="shared" ref="F218:F219" si="8">E218*D218</f>
        <v>0</v>
      </c>
    </row>
    <row r="219" spans="1:6">
      <c r="A219" s="162">
        <v>101</v>
      </c>
      <c r="B219" s="70" t="s">
        <v>347</v>
      </c>
      <c r="C219" s="8" t="s">
        <v>22</v>
      </c>
      <c r="D219" s="69">
        <v>5</v>
      </c>
      <c r="E219" s="33">
        <v>0</v>
      </c>
      <c r="F219" s="31">
        <f t="shared" si="8"/>
        <v>0</v>
      </c>
    </row>
    <row r="220" spans="1:6" collapsed="1">
      <c r="A220" s="284" t="s">
        <v>116</v>
      </c>
      <c r="B220" s="285"/>
      <c r="C220" s="144"/>
      <c r="D220" s="144"/>
      <c r="E220" s="173"/>
      <c r="F220" s="184">
        <f>SUM(F218:F219)</f>
        <v>0</v>
      </c>
    </row>
    <row r="221" spans="1:6" ht="21" customHeight="1">
      <c r="A221" s="289" t="s">
        <v>26</v>
      </c>
      <c r="B221" s="290" t="s">
        <v>31</v>
      </c>
      <c r="C221" s="290"/>
      <c r="D221" s="290"/>
      <c r="E221" s="177"/>
      <c r="F221" s="178"/>
    </row>
    <row r="222" spans="1:6">
      <c r="A222" s="162">
        <v>107</v>
      </c>
      <c r="B222" s="70" t="s">
        <v>200</v>
      </c>
      <c r="C222" s="8" t="s">
        <v>72</v>
      </c>
      <c r="D222" s="8">
        <v>25.3</v>
      </c>
      <c r="E222" s="33">
        <v>0</v>
      </c>
      <c r="F222" s="31">
        <f t="shared" ref="F222:F224" si="9">E222*D222</f>
        <v>0</v>
      </c>
    </row>
    <row r="223" spans="1:6">
      <c r="A223" s="180">
        <v>108</v>
      </c>
      <c r="B223" s="70" t="s">
        <v>333</v>
      </c>
      <c r="C223" s="8" t="s">
        <v>1</v>
      </c>
      <c r="D223" s="8">
        <v>9.5</v>
      </c>
      <c r="E223" s="32">
        <v>0</v>
      </c>
      <c r="F223" s="31">
        <f t="shared" si="9"/>
        <v>0</v>
      </c>
    </row>
    <row r="224" spans="1:6">
      <c r="A224" s="183">
        <v>109</v>
      </c>
      <c r="B224" s="70" t="s">
        <v>507</v>
      </c>
      <c r="C224" s="8" t="s">
        <v>508</v>
      </c>
      <c r="D224" s="8">
        <v>1</v>
      </c>
      <c r="E224" s="32">
        <v>20000</v>
      </c>
      <c r="F224" s="31">
        <f t="shared" si="9"/>
        <v>20000</v>
      </c>
    </row>
    <row r="225" spans="1:6" collapsed="1">
      <c r="A225" s="284" t="s">
        <v>116</v>
      </c>
      <c r="B225" s="285"/>
      <c r="C225" s="144"/>
      <c r="D225" s="144"/>
      <c r="E225" s="173"/>
      <c r="F225" s="184">
        <f>SUM(F222:F224)</f>
        <v>20000</v>
      </c>
    </row>
    <row r="226" spans="1:6" s="176" customFormat="1" ht="15.75" collapsed="1">
      <c r="A226" s="295" t="s">
        <v>502</v>
      </c>
      <c r="B226" s="296"/>
      <c r="C226" s="185"/>
      <c r="D226" s="185"/>
      <c r="E226" s="186"/>
      <c r="F226" s="187">
        <f>F225+F220+F216+F196+F164+F161+F153+F135+F105</f>
        <v>372457.14331999997</v>
      </c>
    </row>
    <row r="228" spans="1:6">
      <c r="A228" s="298" t="s">
        <v>495</v>
      </c>
      <c r="B228" s="298"/>
      <c r="C228" s="298"/>
      <c r="D228" s="298"/>
      <c r="E228" s="298"/>
      <c r="F228" s="298"/>
    </row>
    <row r="229" spans="1:6" s="170" customFormat="1" ht="15.75">
      <c r="A229" s="167" t="s">
        <v>77</v>
      </c>
      <c r="B229" s="168" t="s">
        <v>78</v>
      </c>
      <c r="C229" s="168" t="s">
        <v>79</v>
      </c>
      <c r="D229" s="168" t="s">
        <v>80</v>
      </c>
      <c r="E229" s="169" t="s">
        <v>195</v>
      </c>
      <c r="F229" s="169" t="s">
        <v>492</v>
      </c>
    </row>
    <row r="230" spans="1:6">
      <c r="A230" s="171">
        <v>1</v>
      </c>
      <c r="B230" s="172" t="s">
        <v>227</v>
      </c>
      <c r="C230" s="144" t="s">
        <v>22</v>
      </c>
      <c r="D230" s="144">
        <v>4</v>
      </c>
      <c r="E230" s="173">
        <v>192.852</v>
      </c>
      <c r="F230" s="173">
        <f>E230*D230</f>
        <v>771.40800000000002</v>
      </c>
    </row>
    <row r="231" spans="1:6">
      <c r="A231" s="171">
        <v>2</v>
      </c>
      <c r="B231" s="172" t="s">
        <v>229</v>
      </c>
      <c r="C231" s="144" t="s">
        <v>22</v>
      </c>
      <c r="D231" s="144">
        <v>1</v>
      </c>
      <c r="E231" s="173">
        <v>668.32700000000011</v>
      </c>
      <c r="F231" s="173">
        <f t="shared" ref="F231:F288" si="10">E231*D231</f>
        <v>668.32700000000011</v>
      </c>
    </row>
    <row r="232" spans="1:6">
      <c r="A232" s="171">
        <v>3</v>
      </c>
      <c r="B232" s="172" t="s">
        <v>226</v>
      </c>
      <c r="C232" s="144" t="s">
        <v>22</v>
      </c>
      <c r="D232" s="144">
        <v>1</v>
      </c>
      <c r="E232" s="173">
        <v>1287.8030000000001</v>
      </c>
      <c r="F232" s="173">
        <f t="shared" si="10"/>
        <v>1287.8030000000001</v>
      </c>
    </row>
    <row r="233" spans="1:6">
      <c r="A233" s="171">
        <v>4</v>
      </c>
      <c r="B233" s="172" t="s">
        <v>90</v>
      </c>
      <c r="C233" s="144" t="s">
        <v>91</v>
      </c>
      <c r="D233" s="144">
        <v>2.3999999999999998E-3</v>
      </c>
      <c r="E233" s="173">
        <v>33500</v>
      </c>
      <c r="F233" s="173">
        <f t="shared" si="10"/>
        <v>80.399999999999991</v>
      </c>
    </row>
    <row r="234" spans="1:6">
      <c r="A234" s="171">
        <v>5</v>
      </c>
      <c r="B234" s="172" t="s">
        <v>100</v>
      </c>
      <c r="C234" s="144" t="s">
        <v>0</v>
      </c>
      <c r="D234" s="144">
        <v>244.7</v>
      </c>
      <c r="E234" s="173">
        <v>124.62</v>
      </c>
      <c r="F234" s="173">
        <f t="shared" si="10"/>
        <v>30494.513999999999</v>
      </c>
    </row>
    <row r="235" spans="1:6">
      <c r="A235" s="171">
        <v>6</v>
      </c>
      <c r="B235" s="172" t="s">
        <v>93</v>
      </c>
      <c r="C235" s="144" t="s">
        <v>0</v>
      </c>
      <c r="D235" s="144">
        <v>66.84</v>
      </c>
      <c r="E235" s="173">
        <v>124.62</v>
      </c>
      <c r="F235" s="173">
        <f t="shared" si="10"/>
        <v>8329.6008000000002</v>
      </c>
    </row>
    <row r="236" spans="1:6">
      <c r="A236" s="171">
        <v>7</v>
      </c>
      <c r="B236" s="172" t="s">
        <v>232</v>
      </c>
      <c r="C236" s="144" t="s">
        <v>0</v>
      </c>
      <c r="D236" s="144">
        <v>415</v>
      </c>
      <c r="E236" s="173">
        <v>5.4119999999999999</v>
      </c>
      <c r="F236" s="173">
        <f t="shared" si="10"/>
        <v>2245.98</v>
      </c>
    </row>
    <row r="237" spans="1:6">
      <c r="A237" s="171">
        <v>8</v>
      </c>
      <c r="B237" s="172" t="s">
        <v>233</v>
      </c>
      <c r="C237" s="144" t="s">
        <v>29</v>
      </c>
      <c r="D237" s="144">
        <v>50</v>
      </c>
      <c r="E237" s="173">
        <v>9.1080000000000005</v>
      </c>
      <c r="F237" s="173">
        <f t="shared" si="10"/>
        <v>455.40000000000003</v>
      </c>
    </row>
    <row r="238" spans="1:6">
      <c r="A238" s="171">
        <v>9</v>
      </c>
      <c r="B238" s="172" t="s">
        <v>129</v>
      </c>
      <c r="C238" s="144" t="s">
        <v>95</v>
      </c>
      <c r="D238" s="144">
        <v>64.207499999999996</v>
      </c>
      <c r="E238" s="173">
        <v>57</v>
      </c>
      <c r="F238" s="173">
        <f t="shared" si="10"/>
        <v>3659.8274999999999</v>
      </c>
    </row>
    <row r="239" spans="1:6">
      <c r="A239" s="171">
        <v>10</v>
      </c>
      <c r="B239" s="172" t="s">
        <v>98</v>
      </c>
      <c r="C239" s="144" t="s">
        <v>99</v>
      </c>
      <c r="D239" s="144">
        <v>18.5</v>
      </c>
      <c r="E239" s="173">
        <v>55.6</v>
      </c>
      <c r="F239" s="173">
        <f t="shared" si="10"/>
        <v>1028.6000000000001</v>
      </c>
    </row>
    <row r="240" spans="1:6">
      <c r="A240" s="171">
        <v>11</v>
      </c>
      <c r="B240" s="172" t="s">
        <v>331</v>
      </c>
      <c r="C240" s="144" t="s">
        <v>95</v>
      </c>
      <c r="D240" s="144">
        <v>1.6014450000000002</v>
      </c>
      <c r="E240" s="173">
        <v>97.2</v>
      </c>
      <c r="F240" s="173">
        <f t="shared" si="10"/>
        <v>155.66045400000002</v>
      </c>
    </row>
    <row r="241" spans="1:6">
      <c r="A241" s="171">
        <v>12</v>
      </c>
      <c r="B241" s="172" t="s">
        <v>120</v>
      </c>
      <c r="C241" s="144" t="s">
        <v>22</v>
      </c>
      <c r="D241" s="144">
        <v>8</v>
      </c>
      <c r="E241" s="173">
        <v>8960</v>
      </c>
      <c r="F241" s="173">
        <f t="shared" si="10"/>
        <v>71680</v>
      </c>
    </row>
    <row r="242" spans="1:6">
      <c r="A242" s="171">
        <v>13</v>
      </c>
      <c r="B242" s="172" t="s">
        <v>115</v>
      </c>
      <c r="C242" s="144" t="s">
        <v>22</v>
      </c>
      <c r="D242" s="144">
        <v>1</v>
      </c>
      <c r="E242" s="173">
        <v>28230</v>
      </c>
      <c r="F242" s="173">
        <f t="shared" si="10"/>
        <v>28230</v>
      </c>
    </row>
    <row r="243" spans="1:6" ht="30">
      <c r="A243" s="171">
        <v>14</v>
      </c>
      <c r="B243" s="172" t="s">
        <v>124</v>
      </c>
      <c r="C243" s="144" t="s">
        <v>22</v>
      </c>
      <c r="D243" s="144">
        <v>2</v>
      </c>
      <c r="E243" s="173">
        <v>18960</v>
      </c>
      <c r="F243" s="173">
        <f t="shared" si="10"/>
        <v>37920</v>
      </c>
    </row>
    <row r="244" spans="1:6">
      <c r="A244" s="171">
        <v>15</v>
      </c>
      <c r="B244" s="172" t="s">
        <v>234</v>
      </c>
      <c r="C244" s="144" t="s">
        <v>22</v>
      </c>
      <c r="D244" s="144">
        <v>400</v>
      </c>
      <c r="E244" s="173">
        <v>1.7160000000000002</v>
      </c>
      <c r="F244" s="173">
        <f t="shared" si="10"/>
        <v>686.40000000000009</v>
      </c>
    </row>
    <row r="245" spans="1:6">
      <c r="A245" s="171">
        <v>16</v>
      </c>
      <c r="B245" s="172" t="s">
        <v>235</v>
      </c>
      <c r="C245" s="144" t="s">
        <v>22</v>
      </c>
      <c r="D245" s="144">
        <v>80</v>
      </c>
      <c r="E245" s="173">
        <v>2.1339999999999999</v>
      </c>
      <c r="F245" s="173">
        <f t="shared" si="10"/>
        <v>170.72</v>
      </c>
    </row>
    <row r="246" spans="1:6">
      <c r="A246" s="171">
        <v>17</v>
      </c>
      <c r="B246" s="172" t="s">
        <v>228</v>
      </c>
      <c r="C246" s="144" t="s">
        <v>22</v>
      </c>
      <c r="D246" s="144">
        <v>10</v>
      </c>
      <c r="E246" s="173">
        <v>1973.4</v>
      </c>
      <c r="F246" s="173">
        <f t="shared" si="10"/>
        <v>19734</v>
      </c>
    </row>
    <row r="247" spans="1:6">
      <c r="A247" s="171">
        <v>18</v>
      </c>
      <c r="B247" s="172" t="s">
        <v>97</v>
      </c>
      <c r="C247" s="144" t="s">
        <v>29</v>
      </c>
      <c r="D247" s="144">
        <v>156.9</v>
      </c>
      <c r="E247" s="173">
        <v>8.3000000000000007</v>
      </c>
      <c r="F247" s="173">
        <f t="shared" si="10"/>
        <v>1302.2700000000002</v>
      </c>
    </row>
    <row r="248" spans="1:6">
      <c r="A248" s="171">
        <v>19</v>
      </c>
      <c r="B248" s="172" t="s">
        <v>114</v>
      </c>
      <c r="C248" s="144" t="s">
        <v>22</v>
      </c>
      <c r="D248" s="144">
        <v>3</v>
      </c>
      <c r="E248" s="173">
        <v>1500</v>
      </c>
      <c r="F248" s="173">
        <f t="shared" si="10"/>
        <v>4500</v>
      </c>
    </row>
    <row r="249" spans="1:6">
      <c r="A249" s="171">
        <v>20</v>
      </c>
      <c r="B249" s="172" t="s">
        <v>87</v>
      </c>
      <c r="C249" s="144" t="s">
        <v>22</v>
      </c>
      <c r="D249" s="144">
        <v>865</v>
      </c>
      <c r="E249" s="173">
        <v>0.6</v>
      </c>
      <c r="F249" s="173">
        <f t="shared" si="10"/>
        <v>519</v>
      </c>
    </row>
    <row r="250" spans="1:6">
      <c r="A250" s="171">
        <v>21</v>
      </c>
      <c r="B250" s="172" t="s">
        <v>127</v>
      </c>
      <c r="C250" s="144" t="s">
        <v>22</v>
      </c>
      <c r="D250" s="144">
        <v>3</v>
      </c>
      <c r="E250" s="173">
        <v>34</v>
      </c>
      <c r="F250" s="173">
        <f t="shared" si="10"/>
        <v>102</v>
      </c>
    </row>
    <row r="251" spans="1:6">
      <c r="A251" s="171">
        <v>22</v>
      </c>
      <c r="B251" s="172" t="s">
        <v>340</v>
      </c>
      <c r="C251" s="144" t="s">
        <v>29</v>
      </c>
      <c r="D251" s="144">
        <v>204.75</v>
      </c>
      <c r="E251" s="173">
        <v>11.5</v>
      </c>
      <c r="F251" s="173">
        <f t="shared" si="10"/>
        <v>2354.625</v>
      </c>
    </row>
    <row r="252" spans="1:6">
      <c r="A252" s="171">
        <v>23</v>
      </c>
      <c r="B252" s="172" t="s">
        <v>237</v>
      </c>
      <c r="C252" s="144" t="s">
        <v>29</v>
      </c>
      <c r="D252" s="144">
        <v>178.5</v>
      </c>
      <c r="E252" s="173">
        <v>23.638999999999999</v>
      </c>
      <c r="F252" s="173">
        <f t="shared" si="10"/>
        <v>4219.5614999999998</v>
      </c>
    </row>
    <row r="253" spans="1:6">
      <c r="A253" s="171">
        <v>24</v>
      </c>
      <c r="B253" s="172" t="s">
        <v>236</v>
      </c>
      <c r="C253" s="144" t="s">
        <v>29</v>
      </c>
      <c r="D253" s="144">
        <v>218</v>
      </c>
      <c r="E253" s="173">
        <v>37.884</v>
      </c>
      <c r="F253" s="173">
        <f t="shared" si="10"/>
        <v>8258.7119999999995</v>
      </c>
    </row>
    <row r="254" spans="1:6">
      <c r="A254" s="171">
        <v>25</v>
      </c>
      <c r="B254" s="172" t="s">
        <v>238</v>
      </c>
      <c r="C254" s="144" t="s">
        <v>29</v>
      </c>
      <c r="D254" s="144">
        <v>36.75</v>
      </c>
      <c r="E254" s="173">
        <v>65.208000000000013</v>
      </c>
      <c r="F254" s="173">
        <f t="shared" si="10"/>
        <v>2396.3940000000007</v>
      </c>
    </row>
    <row r="255" spans="1:6">
      <c r="A255" s="171">
        <v>26</v>
      </c>
      <c r="B255" s="172" t="s">
        <v>243</v>
      </c>
      <c r="C255" s="144" t="s">
        <v>29</v>
      </c>
      <c r="D255" s="144">
        <v>52.5</v>
      </c>
      <c r="E255" s="173">
        <v>157.751</v>
      </c>
      <c r="F255" s="173">
        <f t="shared" si="10"/>
        <v>8281.9274999999998</v>
      </c>
    </row>
    <row r="256" spans="1:6">
      <c r="A256" s="171">
        <v>27</v>
      </c>
      <c r="B256" s="172" t="s">
        <v>92</v>
      </c>
      <c r="C256" s="144" t="s">
        <v>22</v>
      </c>
      <c r="D256" s="144">
        <v>429</v>
      </c>
      <c r="E256" s="173">
        <v>12.5</v>
      </c>
      <c r="F256" s="173">
        <f t="shared" si="10"/>
        <v>5362.5</v>
      </c>
    </row>
    <row r="257" spans="1:6">
      <c r="A257" s="171">
        <v>28</v>
      </c>
      <c r="B257" s="172" t="s">
        <v>126</v>
      </c>
      <c r="C257" s="144" t="s">
        <v>117</v>
      </c>
      <c r="D257" s="144">
        <v>2.9430000000000001</v>
      </c>
      <c r="E257" s="173">
        <v>210</v>
      </c>
      <c r="F257" s="173">
        <f t="shared" si="10"/>
        <v>618.03</v>
      </c>
    </row>
    <row r="258" spans="1:6">
      <c r="A258" s="171">
        <v>29</v>
      </c>
      <c r="B258" s="172" t="s">
        <v>128</v>
      </c>
      <c r="C258" s="144" t="s">
        <v>95</v>
      </c>
      <c r="D258" s="144">
        <v>43.084125</v>
      </c>
      <c r="E258" s="173">
        <v>11.17</v>
      </c>
      <c r="F258" s="173">
        <f t="shared" si="10"/>
        <v>481.24967624999999</v>
      </c>
    </row>
    <row r="259" spans="1:6">
      <c r="A259" s="171">
        <v>30</v>
      </c>
      <c r="B259" s="172" t="s">
        <v>240</v>
      </c>
      <c r="C259" s="144" t="s">
        <v>29</v>
      </c>
      <c r="D259" s="144">
        <v>10.35</v>
      </c>
      <c r="E259" s="173">
        <v>242.88000000000002</v>
      </c>
      <c r="F259" s="173">
        <f t="shared" si="10"/>
        <v>2513.808</v>
      </c>
    </row>
    <row r="260" spans="1:6">
      <c r="A260" s="171">
        <v>31</v>
      </c>
      <c r="B260" s="172" t="s">
        <v>122</v>
      </c>
      <c r="C260" s="144" t="s">
        <v>29</v>
      </c>
      <c r="D260" s="144">
        <v>46.224000000000004</v>
      </c>
      <c r="E260" s="173">
        <v>132</v>
      </c>
      <c r="F260" s="173">
        <f t="shared" si="10"/>
        <v>6101.5680000000002</v>
      </c>
    </row>
    <row r="261" spans="1:6">
      <c r="A261" s="171">
        <v>32</v>
      </c>
      <c r="B261" s="172" t="s">
        <v>188</v>
      </c>
      <c r="C261" s="144" t="s">
        <v>29</v>
      </c>
      <c r="D261" s="144">
        <v>17.334000000000003</v>
      </c>
      <c r="E261" s="173">
        <v>214.2</v>
      </c>
      <c r="F261" s="173">
        <f t="shared" si="10"/>
        <v>3712.9428000000003</v>
      </c>
    </row>
    <row r="262" spans="1:6">
      <c r="A262" s="171">
        <v>33</v>
      </c>
      <c r="B262" s="172" t="s">
        <v>125</v>
      </c>
      <c r="C262" s="144" t="s">
        <v>0</v>
      </c>
      <c r="D262" s="144">
        <v>18.597750000000001</v>
      </c>
      <c r="E262" s="173">
        <v>3180</v>
      </c>
      <c r="F262" s="173">
        <f t="shared" si="10"/>
        <v>59140.845000000001</v>
      </c>
    </row>
    <row r="263" spans="1:6">
      <c r="A263" s="171">
        <v>34</v>
      </c>
      <c r="B263" s="172" t="s">
        <v>328</v>
      </c>
      <c r="C263" s="144" t="s">
        <v>117</v>
      </c>
      <c r="D263" s="144">
        <v>16</v>
      </c>
      <c r="E263" s="173">
        <v>195</v>
      </c>
      <c r="F263" s="173">
        <f t="shared" si="10"/>
        <v>3120</v>
      </c>
    </row>
    <row r="264" spans="1:6">
      <c r="A264" s="171">
        <v>35</v>
      </c>
      <c r="B264" s="172" t="s">
        <v>118</v>
      </c>
      <c r="C264" s="144" t="s">
        <v>117</v>
      </c>
      <c r="D264" s="144">
        <v>3</v>
      </c>
      <c r="E264" s="173">
        <v>391.98</v>
      </c>
      <c r="F264" s="173">
        <f t="shared" si="10"/>
        <v>1175.94</v>
      </c>
    </row>
    <row r="265" spans="1:6" ht="30">
      <c r="A265" s="171">
        <v>36</v>
      </c>
      <c r="B265" s="172" t="s">
        <v>105</v>
      </c>
      <c r="C265" s="144" t="s">
        <v>0</v>
      </c>
      <c r="D265" s="144">
        <v>89.7</v>
      </c>
      <c r="E265" s="173">
        <v>174.93</v>
      </c>
      <c r="F265" s="173">
        <f t="shared" si="10"/>
        <v>15691.221000000001</v>
      </c>
    </row>
    <row r="266" spans="1:6">
      <c r="A266" s="171">
        <v>37</v>
      </c>
      <c r="B266" s="172" t="s">
        <v>101</v>
      </c>
      <c r="C266" s="144" t="s">
        <v>29</v>
      </c>
      <c r="D266" s="144">
        <v>87</v>
      </c>
      <c r="E266" s="173">
        <v>34</v>
      </c>
      <c r="F266" s="173">
        <f t="shared" si="10"/>
        <v>2958</v>
      </c>
    </row>
    <row r="267" spans="1:6">
      <c r="A267" s="171">
        <v>38</v>
      </c>
      <c r="B267" s="172" t="s">
        <v>111</v>
      </c>
      <c r="C267" s="144" t="s">
        <v>29</v>
      </c>
      <c r="D267" s="144">
        <v>18.291</v>
      </c>
      <c r="E267" s="173">
        <v>14.7</v>
      </c>
      <c r="F267" s="173">
        <f t="shared" si="10"/>
        <v>268.8777</v>
      </c>
    </row>
    <row r="268" spans="1:6">
      <c r="A268" s="171">
        <v>39</v>
      </c>
      <c r="B268" s="172" t="s">
        <v>106</v>
      </c>
      <c r="C268" s="144" t="s">
        <v>29</v>
      </c>
      <c r="D268" s="144">
        <v>35.100376000000004</v>
      </c>
      <c r="E268" s="173">
        <v>27.1</v>
      </c>
      <c r="F268" s="173">
        <f t="shared" si="10"/>
        <v>951.22018960000014</v>
      </c>
    </row>
    <row r="269" spans="1:6">
      <c r="A269" s="171">
        <v>40</v>
      </c>
      <c r="B269" s="172" t="s">
        <v>108</v>
      </c>
      <c r="C269" s="144" t="s">
        <v>22</v>
      </c>
      <c r="D269" s="144">
        <v>54</v>
      </c>
      <c r="E269" s="173">
        <v>3.5</v>
      </c>
      <c r="F269" s="173">
        <f t="shared" si="10"/>
        <v>189</v>
      </c>
    </row>
    <row r="270" spans="1:6">
      <c r="A270" s="171">
        <v>41</v>
      </c>
      <c r="B270" s="172" t="s">
        <v>264</v>
      </c>
      <c r="C270" s="144" t="s">
        <v>29</v>
      </c>
      <c r="D270" s="144">
        <v>10.1043</v>
      </c>
      <c r="E270" s="173">
        <v>695.5</v>
      </c>
      <c r="F270" s="173">
        <f t="shared" si="10"/>
        <v>7027.5406499999999</v>
      </c>
    </row>
    <row r="271" spans="1:6">
      <c r="A271" s="171">
        <v>42</v>
      </c>
      <c r="B271" s="172" t="s">
        <v>332</v>
      </c>
      <c r="C271" s="144" t="s">
        <v>72</v>
      </c>
      <c r="D271" s="144">
        <v>1.7647323333333336E-2</v>
      </c>
      <c r="E271" s="173">
        <v>35700</v>
      </c>
      <c r="F271" s="173">
        <f t="shared" si="10"/>
        <v>630.00944300000015</v>
      </c>
    </row>
    <row r="272" spans="1:6">
      <c r="A272" s="171">
        <v>43</v>
      </c>
      <c r="B272" s="172" t="s">
        <v>112</v>
      </c>
      <c r="C272" s="144" t="s">
        <v>29</v>
      </c>
      <c r="D272" s="144">
        <v>35.7378</v>
      </c>
      <c r="E272" s="173">
        <v>26.33</v>
      </c>
      <c r="F272" s="173">
        <f t="shared" si="10"/>
        <v>940.97627399999999</v>
      </c>
    </row>
    <row r="273" spans="1:6">
      <c r="A273" s="171">
        <v>44</v>
      </c>
      <c r="B273" s="172" t="s">
        <v>109</v>
      </c>
      <c r="C273" s="144" t="s">
        <v>22</v>
      </c>
      <c r="D273" s="144">
        <v>615</v>
      </c>
      <c r="E273" s="173">
        <v>0.23</v>
      </c>
      <c r="F273" s="173">
        <f t="shared" si="10"/>
        <v>141.45000000000002</v>
      </c>
    </row>
    <row r="274" spans="1:6">
      <c r="A274" s="171">
        <v>45</v>
      </c>
      <c r="B274" s="172" t="s">
        <v>102</v>
      </c>
      <c r="C274" s="144" t="s">
        <v>29</v>
      </c>
      <c r="D274" s="144">
        <v>194</v>
      </c>
      <c r="E274" s="173">
        <v>45.67</v>
      </c>
      <c r="F274" s="173">
        <f t="shared" si="10"/>
        <v>8859.98</v>
      </c>
    </row>
    <row r="275" spans="1:6">
      <c r="A275" s="171">
        <v>46</v>
      </c>
      <c r="B275" s="172" t="s">
        <v>107</v>
      </c>
      <c r="C275" s="144" t="s">
        <v>29</v>
      </c>
      <c r="D275" s="144">
        <v>67.323672000000002</v>
      </c>
      <c r="E275" s="173">
        <v>34.07</v>
      </c>
      <c r="F275" s="173">
        <f t="shared" si="10"/>
        <v>2293.7175050400001</v>
      </c>
    </row>
    <row r="276" spans="1:6">
      <c r="A276" s="171">
        <v>47</v>
      </c>
      <c r="B276" s="172" t="s">
        <v>119</v>
      </c>
      <c r="C276" s="144" t="s">
        <v>22</v>
      </c>
      <c r="D276" s="144">
        <v>90</v>
      </c>
      <c r="E276" s="173">
        <v>14</v>
      </c>
      <c r="F276" s="173">
        <f t="shared" si="10"/>
        <v>1260</v>
      </c>
    </row>
    <row r="277" spans="1:6">
      <c r="A277" s="171">
        <v>48</v>
      </c>
      <c r="B277" s="172" t="s">
        <v>104</v>
      </c>
      <c r="C277" s="144" t="s">
        <v>22</v>
      </c>
      <c r="D277" s="144">
        <v>2410</v>
      </c>
      <c r="E277" s="173">
        <v>0.24</v>
      </c>
      <c r="F277" s="173">
        <f t="shared" si="10"/>
        <v>578.4</v>
      </c>
    </row>
    <row r="278" spans="1:6">
      <c r="A278" s="171">
        <v>49</v>
      </c>
      <c r="B278" s="172" t="s">
        <v>103</v>
      </c>
      <c r="C278" s="144" t="s">
        <v>22</v>
      </c>
      <c r="D278" s="144">
        <v>1938</v>
      </c>
      <c r="E278" s="173">
        <v>0.26</v>
      </c>
      <c r="F278" s="173">
        <f t="shared" si="10"/>
        <v>503.88</v>
      </c>
    </row>
    <row r="279" spans="1:6">
      <c r="A279" s="171">
        <v>50</v>
      </c>
      <c r="B279" s="172" t="s">
        <v>96</v>
      </c>
      <c r="C279" s="144" t="s">
        <v>29</v>
      </c>
      <c r="D279" s="144">
        <v>172.93</v>
      </c>
      <c r="E279" s="173">
        <v>0.71</v>
      </c>
      <c r="F279" s="173">
        <f t="shared" si="10"/>
        <v>122.7803</v>
      </c>
    </row>
    <row r="280" spans="1:6">
      <c r="A280" s="171">
        <v>51</v>
      </c>
      <c r="B280" s="172" t="s">
        <v>89</v>
      </c>
      <c r="C280" s="144" t="s">
        <v>91</v>
      </c>
      <c r="D280" s="144">
        <v>6.4000000000000001E-2</v>
      </c>
      <c r="E280" s="173">
        <v>57680</v>
      </c>
      <c r="F280" s="173">
        <f t="shared" si="10"/>
        <v>3691.52</v>
      </c>
    </row>
    <row r="281" spans="1:6">
      <c r="A281" s="171">
        <v>52</v>
      </c>
      <c r="B281" s="172" t="s">
        <v>208</v>
      </c>
      <c r="C281" s="144" t="s">
        <v>72</v>
      </c>
      <c r="D281" s="144">
        <v>0.47931029400000014</v>
      </c>
      <c r="E281" s="173">
        <v>31500</v>
      </c>
      <c r="F281" s="173">
        <f t="shared" si="10"/>
        <v>15098.274261000004</v>
      </c>
    </row>
    <row r="282" spans="1:6">
      <c r="A282" s="171">
        <v>53</v>
      </c>
      <c r="B282" s="172" t="s">
        <v>241</v>
      </c>
      <c r="C282" s="144" t="s">
        <v>22</v>
      </c>
      <c r="D282" s="144">
        <v>100</v>
      </c>
      <c r="E282" s="173">
        <v>0.87526999999999999</v>
      </c>
      <c r="F282" s="173">
        <f t="shared" si="10"/>
        <v>87.527000000000001</v>
      </c>
    </row>
    <row r="283" spans="1:6">
      <c r="A283" s="171">
        <v>54</v>
      </c>
      <c r="B283" s="172" t="s">
        <v>88</v>
      </c>
      <c r="C283" s="144" t="s">
        <v>72</v>
      </c>
      <c r="D283" s="144">
        <v>7.0810000000000004</v>
      </c>
      <c r="E283" s="173">
        <v>5800</v>
      </c>
      <c r="F283" s="173">
        <f t="shared" si="10"/>
        <v>41069.800000000003</v>
      </c>
    </row>
    <row r="284" spans="1:6">
      <c r="A284" s="171">
        <v>55</v>
      </c>
      <c r="B284" s="172" t="s">
        <v>170</v>
      </c>
      <c r="C284" s="144" t="s">
        <v>95</v>
      </c>
      <c r="D284" s="144">
        <v>14.86</v>
      </c>
      <c r="E284" s="173">
        <v>48.8</v>
      </c>
      <c r="F284" s="173">
        <f t="shared" si="10"/>
        <v>725.16799999999989</v>
      </c>
    </row>
    <row r="285" spans="1:6">
      <c r="A285" s="171">
        <v>56</v>
      </c>
      <c r="B285" s="172" t="s">
        <v>171</v>
      </c>
      <c r="C285" s="144" t="s">
        <v>95</v>
      </c>
      <c r="D285" s="144">
        <v>116.89</v>
      </c>
      <c r="E285" s="173">
        <v>15</v>
      </c>
      <c r="F285" s="173">
        <f t="shared" si="10"/>
        <v>1753.35</v>
      </c>
    </row>
    <row r="286" spans="1:6">
      <c r="A286" s="171">
        <v>57</v>
      </c>
      <c r="B286" s="172" t="s">
        <v>139</v>
      </c>
      <c r="C286" s="144" t="s">
        <v>95</v>
      </c>
      <c r="D286" s="144">
        <v>6123</v>
      </c>
      <c r="E286" s="173">
        <v>11.2</v>
      </c>
      <c r="F286" s="173">
        <f t="shared" si="10"/>
        <v>68577.599999999991</v>
      </c>
    </row>
    <row r="287" spans="1:6" ht="30">
      <c r="A287" s="171">
        <v>58</v>
      </c>
      <c r="B287" s="172" t="s">
        <v>224</v>
      </c>
      <c r="C287" s="144" t="s">
        <v>22</v>
      </c>
      <c r="D287" s="144">
        <v>1</v>
      </c>
      <c r="E287" s="173">
        <v>2884</v>
      </c>
      <c r="F287" s="173">
        <f t="shared" si="10"/>
        <v>2884</v>
      </c>
    </row>
    <row r="288" spans="1:6">
      <c r="A288" s="171">
        <v>59</v>
      </c>
      <c r="B288" s="172" t="s">
        <v>329</v>
      </c>
      <c r="C288" s="144" t="s">
        <v>95</v>
      </c>
      <c r="D288" s="144">
        <v>10</v>
      </c>
      <c r="E288" s="173">
        <v>67.8</v>
      </c>
      <c r="F288" s="173">
        <f t="shared" si="10"/>
        <v>678</v>
      </c>
    </row>
    <row r="290" spans="1:6" ht="15.75">
      <c r="A290" s="297" t="s">
        <v>496</v>
      </c>
      <c r="B290" s="297"/>
      <c r="C290" s="297"/>
      <c r="D290" s="297"/>
      <c r="E290" s="297"/>
      <c r="F290" s="297"/>
    </row>
    <row r="291" spans="1:6" s="176" customFormat="1" ht="15.75">
      <c r="A291" s="167" t="s">
        <v>77</v>
      </c>
      <c r="B291" s="174" t="s">
        <v>78</v>
      </c>
      <c r="C291" s="168" t="s">
        <v>79</v>
      </c>
      <c r="D291" s="168" t="s">
        <v>80</v>
      </c>
      <c r="E291" s="175" t="s">
        <v>195</v>
      </c>
      <c r="F291" s="175" t="s">
        <v>492</v>
      </c>
    </row>
    <row r="292" spans="1:6">
      <c r="A292" s="286" t="s">
        <v>18</v>
      </c>
      <c r="B292" s="287"/>
      <c r="C292" s="287"/>
      <c r="D292" s="287"/>
      <c r="E292" s="287"/>
      <c r="F292" s="288"/>
    </row>
    <row r="293" spans="1:6">
      <c r="A293" s="171" t="s">
        <v>181</v>
      </c>
      <c r="B293" s="172" t="s">
        <v>90</v>
      </c>
      <c r="C293" s="144" t="s">
        <v>91</v>
      </c>
      <c r="D293" s="144">
        <v>2.5000000000000001E-2</v>
      </c>
      <c r="E293" s="173">
        <v>33500</v>
      </c>
      <c r="F293" s="173">
        <f>E293*D293</f>
        <v>837.5</v>
      </c>
    </row>
    <row r="294" spans="1:6">
      <c r="A294" s="171" t="s">
        <v>181</v>
      </c>
      <c r="B294" s="172" t="s">
        <v>100</v>
      </c>
      <c r="C294" s="144" t="s">
        <v>0</v>
      </c>
      <c r="D294" s="144">
        <v>230</v>
      </c>
      <c r="E294" s="173">
        <v>124.62</v>
      </c>
      <c r="F294" s="173">
        <f t="shared" ref="F294:F319" si="11">E294*D294</f>
        <v>28662.600000000002</v>
      </c>
    </row>
    <row r="295" spans="1:6">
      <c r="A295" s="171" t="s">
        <v>181</v>
      </c>
      <c r="B295" s="172" t="s">
        <v>93</v>
      </c>
      <c r="C295" s="144" t="s">
        <v>0</v>
      </c>
      <c r="D295" s="144">
        <v>66.84</v>
      </c>
      <c r="E295" s="173">
        <v>124.62</v>
      </c>
      <c r="F295" s="173">
        <f t="shared" si="11"/>
        <v>8329.6008000000002</v>
      </c>
    </row>
    <row r="296" spans="1:6">
      <c r="A296" s="171" t="s">
        <v>181</v>
      </c>
      <c r="B296" s="172" t="s">
        <v>98</v>
      </c>
      <c r="C296" s="144" t="s">
        <v>99</v>
      </c>
      <c r="D296" s="144">
        <v>18.5</v>
      </c>
      <c r="E296" s="173">
        <v>55.6</v>
      </c>
      <c r="F296" s="173">
        <f t="shared" si="11"/>
        <v>1028.6000000000001</v>
      </c>
    </row>
    <row r="297" spans="1:6">
      <c r="A297" s="171" t="s">
        <v>181</v>
      </c>
      <c r="B297" s="172" t="s">
        <v>331</v>
      </c>
      <c r="C297" s="144" t="s">
        <v>95</v>
      </c>
      <c r="D297" s="144">
        <v>1.6014450000000002</v>
      </c>
      <c r="E297" s="173">
        <v>97.2</v>
      </c>
      <c r="F297" s="173">
        <f t="shared" si="11"/>
        <v>155.66045400000002</v>
      </c>
    </row>
    <row r="298" spans="1:6">
      <c r="A298" s="171" t="s">
        <v>181</v>
      </c>
      <c r="B298" s="172" t="s">
        <v>97</v>
      </c>
      <c r="C298" s="144" t="s">
        <v>29</v>
      </c>
      <c r="D298" s="144">
        <v>156.9</v>
      </c>
      <c r="E298" s="173">
        <v>8.3000000000000007</v>
      </c>
      <c r="F298" s="173">
        <f t="shared" si="11"/>
        <v>1302.2700000000002</v>
      </c>
    </row>
    <row r="299" spans="1:6">
      <c r="A299" s="171" t="s">
        <v>181</v>
      </c>
      <c r="B299" s="172" t="s">
        <v>87</v>
      </c>
      <c r="C299" s="144" t="s">
        <v>22</v>
      </c>
      <c r="D299" s="144">
        <v>326</v>
      </c>
      <c r="E299" s="173">
        <v>0.6</v>
      </c>
      <c r="F299" s="173">
        <f t="shared" si="11"/>
        <v>195.6</v>
      </c>
    </row>
    <row r="300" spans="1:6">
      <c r="A300" s="171" t="s">
        <v>181</v>
      </c>
      <c r="B300" s="172" t="s">
        <v>92</v>
      </c>
      <c r="C300" s="144" t="s">
        <v>22</v>
      </c>
      <c r="D300" s="144">
        <v>429</v>
      </c>
      <c r="E300" s="173">
        <v>12.5</v>
      </c>
      <c r="F300" s="173">
        <f t="shared" si="11"/>
        <v>5362.5</v>
      </c>
    </row>
    <row r="301" spans="1:6" ht="30">
      <c r="A301" s="171" t="s">
        <v>181</v>
      </c>
      <c r="B301" s="172" t="s">
        <v>105</v>
      </c>
      <c r="C301" s="144" t="s">
        <v>0</v>
      </c>
      <c r="D301" s="144">
        <v>89.67</v>
      </c>
      <c r="E301" s="173">
        <v>174.93</v>
      </c>
      <c r="F301" s="173">
        <f t="shared" si="11"/>
        <v>15685.973100000001</v>
      </c>
    </row>
    <row r="302" spans="1:6">
      <c r="A302" s="171" t="s">
        <v>181</v>
      </c>
      <c r="B302" s="172" t="s">
        <v>101</v>
      </c>
      <c r="C302" s="144" t="s">
        <v>29</v>
      </c>
      <c r="D302" s="144">
        <v>87</v>
      </c>
      <c r="E302" s="173">
        <v>34</v>
      </c>
      <c r="F302" s="173">
        <f t="shared" si="11"/>
        <v>2958</v>
      </c>
    </row>
    <row r="303" spans="1:6">
      <c r="A303" s="171" t="s">
        <v>181</v>
      </c>
      <c r="B303" s="172" t="s">
        <v>111</v>
      </c>
      <c r="C303" s="144" t="s">
        <v>29</v>
      </c>
      <c r="D303" s="144">
        <v>18.291</v>
      </c>
      <c r="E303" s="173">
        <v>14.7</v>
      </c>
      <c r="F303" s="173">
        <f t="shared" si="11"/>
        <v>268.8777</v>
      </c>
    </row>
    <row r="304" spans="1:6">
      <c r="A304" s="171" t="s">
        <v>181</v>
      </c>
      <c r="B304" s="172" t="s">
        <v>106</v>
      </c>
      <c r="C304" s="144" t="s">
        <v>29</v>
      </c>
      <c r="D304" s="144">
        <v>35.100376000000004</v>
      </c>
      <c r="E304" s="173">
        <v>27.1</v>
      </c>
      <c r="F304" s="173">
        <f t="shared" si="11"/>
        <v>951.22018960000014</v>
      </c>
    </row>
    <row r="305" spans="1:6">
      <c r="A305" s="171" t="s">
        <v>181</v>
      </c>
      <c r="B305" s="172" t="s">
        <v>108</v>
      </c>
      <c r="C305" s="144" t="s">
        <v>22</v>
      </c>
      <c r="D305" s="144">
        <v>54</v>
      </c>
      <c r="E305" s="173">
        <v>3.5</v>
      </c>
      <c r="F305" s="173">
        <f t="shared" si="11"/>
        <v>189</v>
      </c>
    </row>
    <row r="306" spans="1:6">
      <c r="A306" s="171" t="s">
        <v>181</v>
      </c>
      <c r="B306" s="172" t="s">
        <v>332</v>
      </c>
      <c r="C306" s="144" t="s">
        <v>72</v>
      </c>
      <c r="D306" s="144">
        <v>1.7647323333333336E-2</v>
      </c>
      <c r="E306" s="173">
        <v>35700</v>
      </c>
      <c r="F306" s="173">
        <f t="shared" si="11"/>
        <v>630.00944300000015</v>
      </c>
    </row>
    <row r="307" spans="1:6">
      <c r="A307" s="171" t="s">
        <v>181</v>
      </c>
      <c r="B307" s="172" t="s">
        <v>112</v>
      </c>
      <c r="C307" s="144" t="s">
        <v>29</v>
      </c>
      <c r="D307" s="144">
        <v>35.7378</v>
      </c>
      <c r="E307" s="173">
        <v>26.33</v>
      </c>
      <c r="F307" s="173">
        <f t="shared" si="11"/>
        <v>940.97627399999999</v>
      </c>
    </row>
    <row r="308" spans="1:6">
      <c r="A308" s="171" t="s">
        <v>181</v>
      </c>
      <c r="B308" s="172" t="s">
        <v>109</v>
      </c>
      <c r="C308" s="144" t="s">
        <v>22</v>
      </c>
      <c r="D308" s="144">
        <v>615</v>
      </c>
      <c r="E308" s="173">
        <v>0.23</v>
      </c>
      <c r="F308" s="173">
        <f t="shared" si="11"/>
        <v>141.45000000000002</v>
      </c>
    </row>
    <row r="309" spans="1:6">
      <c r="A309" s="171" t="s">
        <v>181</v>
      </c>
      <c r="B309" s="172" t="s">
        <v>102</v>
      </c>
      <c r="C309" s="144" t="s">
        <v>29</v>
      </c>
      <c r="D309" s="144">
        <v>195</v>
      </c>
      <c r="E309" s="173">
        <v>45.67</v>
      </c>
      <c r="F309" s="173">
        <f t="shared" si="11"/>
        <v>8905.65</v>
      </c>
    </row>
    <row r="310" spans="1:6">
      <c r="A310" s="171" t="s">
        <v>181</v>
      </c>
      <c r="B310" s="172" t="s">
        <v>107</v>
      </c>
      <c r="C310" s="144" t="s">
        <v>29</v>
      </c>
      <c r="D310" s="144">
        <v>67.323672000000002</v>
      </c>
      <c r="E310" s="173">
        <v>34.07</v>
      </c>
      <c r="F310" s="173">
        <f t="shared" si="11"/>
        <v>2293.7175050400001</v>
      </c>
    </row>
    <row r="311" spans="1:6">
      <c r="A311" s="171" t="s">
        <v>181</v>
      </c>
      <c r="B311" s="172" t="s">
        <v>104</v>
      </c>
      <c r="C311" s="144" t="s">
        <v>22</v>
      </c>
      <c r="D311" s="144">
        <v>2410</v>
      </c>
      <c r="E311" s="173">
        <v>0.24</v>
      </c>
      <c r="F311" s="173">
        <f t="shared" si="11"/>
        <v>578.4</v>
      </c>
    </row>
    <row r="312" spans="1:6">
      <c r="A312" s="171" t="s">
        <v>181</v>
      </c>
      <c r="B312" s="172" t="s">
        <v>103</v>
      </c>
      <c r="C312" s="144" t="s">
        <v>22</v>
      </c>
      <c r="D312" s="144">
        <v>1938</v>
      </c>
      <c r="E312" s="173">
        <v>0.26</v>
      </c>
      <c r="F312" s="173">
        <f t="shared" si="11"/>
        <v>503.88</v>
      </c>
    </row>
    <row r="313" spans="1:6">
      <c r="A313" s="171" t="s">
        <v>181</v>
      </c>
      <c r="B313" s="172" t="s">
        <v>96</v>
      </c>
      <c r="C313" s="144" t="s">
        <v>29</v>
      </c>
      <c r="D313" s="144">
        <v>164</v>
      </c>
      <c r="E313" s="173">
        <v>0.71</v>
      </c>
      <c r="F313" s="173">
        <f t="shared" si="11"/>
        <v>116.44</v>
      </c>
    </row>
    <row r="314" spans="1:6">
      <c r="A314" s="171" t="s">
        <v>181</v>
      </c>
      <c r="B314" s="172" t="s">
        <v>89</v>
      </c>
      <c r="C314" s="144" t="s">
        <v>91</v>
      </c>
      <c r="D314" s="144">
        <v>0.01</v>
      </c>
      <c r="E314" s="173">
        <v>57680</v>
      </c>
      <c r="F314" s="173">
        <f t="shared" si="11"/>
        <v>576.80000000000007</v>
      </c>
    </row>
    <row r="315" spans="1:6">
      <c r="A315" s="171" t="s">
        <v>181</v>
      </c>
      <c r="B315" s="172" t="s">
        <v>208</v>
      </c>
      <c r="C315" s="144" t="s">
        <v>72</v>
      </c>
      <c r="D315" s="144">
        <v>0.47931029400000014</v>
      </c>
      <c r="E315" s="173">
        <v>31500</v>
      </c>
      <c r="F315" s="173">
        <f t="shared" si="11"/>
        <v>15098.274261000004</v>
      </c>
    </row>
    <row r="316" spans="1:6">
      <c r="A316" s="171" t="s">
        <v>181</v>
      </c>
      <c r="B316" s="172" t="s">
        <v>88</v>
      </c>
      <c r="C316" s="144" t="s">
        <v>72</v>
      </c>
      <c r="D316" s="144">
        <v>0.54</v>
      </c>
      <c r="E316" s="173">
        <v>5800</v>
      </c>
      <c r="F316" s="173">
        <f t="shared" si="11"/>
        <v>3132</v>
      </c>
    </row>
    <row r="317" spans="1:6">
      <c r="A317" s="171" t="s">
        <v>181</v>
      </c>
      <c r="B317" s="172" t="s">
        <v>170</v>
      </c>
      <c r="C317" s="144" t="s">
        <v>95</v>
      </c>
      <c r="D317" s="144">
        <v>15</v>
      </c>
      <c r="E317" s="173">
        <v>48.8</v>
      </c>
      <c r="F317" s="173">
        <f t="shared" si="11"/>
        <v>732</v>
      </c>
    </row>
    <row r="318" spans="1:6">
      <c r="A318" s="171" t="s">
        <v>181</v>
      </c>
      <c r="B318" s="172" t="s">
        <v>171</v>
      </c>
      <c r="C318" s="144" t="s">
        <v>95</v>
      </c>
      <c r="D318" s="144">
        <v>114</v>
      </c>
      <c r="E318" s="173">
        <v>15</v>
      </c>
      <c r="F318" s="173">
        <f t="shared" si="11"/>
        <v>1710</v>
      </c>
    </row>
    <row r="319" spans="1:6">
      <c r="A319" s="171" t="s">
        <v>181</v>
      </c>
      <c r="B319" s="172" t="s">
        <v>329</v>
      </c>
      <c r="C319" s="144" t="s">
        <v>95</v>
      </c>
      <c r="D319" s="144">
        <v>10</v>
      </c>
      <c r="E319" s="173">
        <v>67.8</v>
      </c>
      <c r="F319" s="173">
        <f t="shared" si="11"/>
        <v>678</v>
      </c>
    </row>
    <row r="320" spans="1:6">
      <c r="A320" s="284" t="s">
        <v>116</v>
      </c>
      <c r="B320" s="285"/>
      <c r="C320" s="144"/>
      <c r="D320" s="144"/>
      <c r="E320" s="173"/>
      <c r="F320" s="156">
        <f>SUM(F293:F319)</f>
        <v>101964.99972663999</v>
      </c>
    </row>
    <row r="321" spans="1:6">
      <c r="A321" s="286" t="s">
        <v>21</v>
      </c>
      <c r="B321" s="287"/>
      <c r="C321" s="287"/>
      <c r="D321" s="287"/>
      <c r="E321" s="287"/>
      <c r="F321" s="288"/>
    </row>
    <row r="322" spans="1:6">
      <c r="A322" s="171" t="s">
        <v>181</v>
      </c>
      <c r="B322" s="172" t="s">
        <v>120</v>
      </c>
      <c r="C322" s="144" t="s">
        <v>22</v>
      </c>
      <c r="D322" s="144">
        <v>8</v>
      </c>
      <c r="E322" s="173">
        <v>8960</v>
      </c>
      <c r="F322" s="173">
        <f>E322*D322</f>
        <v>71680</v>
      </c>
    </row>
    <row r="323" spans="1:6">
      <c r="A323" s="171" t="s">
        <v>181</v>
      </c>
      <c r="B323" s="172" t="s">
        <v>115</v>
      </c>
      <c r="C323" s="144" t="s">
        <v>22</v>
      </c>
      <c r="D323" s="144">
        <v>1</v>
      </c>
      <c r="E323" s="173">
        <v>28230</v>
      </c>
      <c r="F323" s="173">
        <f t="shared" ref="F323:F335" si="12">E323*D323</f>
        <v>28230</v>
      </c>
    </row>
    <row r="324" spans="1:6" ht="30">
      <c r="A324" s="171" t="s">
        <v>181</v>
      </c>
      <c r="B324" s="172" t="s">
        <v>124</v>
      </c>
      <c r="C324" s="144" t="s">
        <v>22</v>
      </c>
      <c r="D324" s="144">
        <v>2</v>
      </c>
      <c r="E324" s="173">
        <v>18960</v>
      </c>
      <c r="F324" s="173">
        <f t="shared" si="12"/>
        <v>37920</v>
      </c>
    </row>
    <row r="325" spans="1:6">
      <c r="A325" s="171" t="s">
        <v>181</v>
      </c>
      <c r="B325" s="172" t="s">
        <v>114</v>
      </c>
      <c r="C325" s="144" t="s">
        <v>22</v>
      </c>
      <c r="D325" s="144">
        <v>3</v>
      </c>
      <c r="E325" s="173">
        <v>1500</v>
      </c>
      <c r="F325" s="173">
        <f t="shared" si="12"/>
        <v>4500</v>
      </c>
    </row>
    <row r="326" spans="1:6">
      <c r="A326" s="171" t="s">
        <v>181</v>
      </c>
      <c r="B326" s="172" t="s">
        <v>87</v>
      </c>
      <c r="C326" s="144" t="s">
        <v>22</v>
      </c>
      <c r="D326" s="144">
        <v>135</v>
      </c>
      <c r="E326" s="173">
        <v>0.6</v>
      </c>
      <c r="F326" s="173">
        <f t="shared" si="12"/>
        <v>81</v>
      </c>
    </row>
    <row r="327" spans="1:6">
      <c r="A327" s="171" t="s">
        <v>181</v>
      </c>
      <c r="B327" s="172" t="s">
        <v>127</v>
      </c>
      <c r="C327" s="144" t="s">
        <v>22</v>
      </c>
      <c r="D327" s="144">
        <v>3</v>
      </c>
      <c r="E327" s="173">
        <v>34</v>
      </c>
      <c r="F327" s="173">
        <f t="shared" si="12"/>
        <v>102</v>
      </c>
    </row>
    <row r="328" spans="1:6">
      <c r="A328" s="171" t="s">
        <v>181</v>
      </c>
      <c r="B328" s="172" t="s">
        <v>126</v>
      </c>
      <c r="C328" s="144" t="s">
        <v>117</v>
      </c>
      <c r="D328" s="144">
        <v>2.9430000000000001</v>
      </c>
      <c r="E328" s="173">
        <v>210</v>
      </c>
      <c r="F328" s="173">
        <f t="shared" si="12"/>
        <v>618.03</v>
      </c>
    </row>
    <row r="329" spans="1:6">
      <c r="A329" s="171" t="s">
        <v>181</v>
      </c>
      <c r="B329" s="172" t="s">
        <v>122</v>
      </c>
      <c r="C329" s="144" t="s">
        <v>29</v>
      </c>
      <c r="D329" s="144">
        <v>46.224000000000004</v>
      </c>
      <c r="E329" s="173">
        <v>132</v>
      </c>
      <c r="F329" s="173">
        <f t="shared" si="12"/>
        <v>6101.5680000000002</v>
      </c>
    </row>
    <row r="330" spans="1:6">
      <c r="A330" s="171" t="s">
        <v>181</v>
      </c>
      <c r="B330" s="172" t="s">
        <v>188</v>
      </c>
      <c r="C330" s="144" t="s">
        <v>29</v>
      </c>
      <c r="D330" s="144">
        <v>17.334000000000003</v>
      </c>
      <c r="E330" s="173">
        <v>214.2</v>
      </c>
      <c r="F330" s="173">
        <f t="shared" si="12"/>
        <v>3712.9428000000003</v>
      </c>
    </row>
    <row r="331" spans="1:6">
      <c r="A331" s="171" t="s">
        <v>181</v>
      </c>
      <c r="B331" s="172" t="s">
        <v>125</v>
      </c>
      <c r="C331" s="144" t="s">
        <v>0</v>
      </c>
      <c r="D331" s="144">
        <v>18.597750000000001</v>
      </c>
      <c r="E331" s="173">
        <v>3180</v>
      </c>
      <c r="F331" s="173">
        <f t="shared" si="12"/>
        <v>59140.845000000001</v>
      </c>
    </row>
    <row r="332" spans="1:6">
      <c r="A332" s="171" t="s">
        <v>181</v>
      </c>
      <c r="B332" s="172" t="s">
        <v>328</v>
      </c>
      <c r="C332" s="144" t="s">
        <v>117</v>
      </c>
      <c r="D332" s="144">
        <v>16</v>
      </c>
      <c r="E332" s="173">
        <v>195</v>
      </c>
      <c r="F332" s="173">
        <f t="shared" si="12"/>
        <v>3120</v>
      </c>
    </row>
    <row r="333" spans="1:6">
      <c r="A333" s="171" t="s">
        <v>181</v>
      </c>
      <c r="B333" s="172" t="s">
        <v>118</v>
      </c>
      <c r="C333" s="144" t="s">
        <v>117</v>
      </c>
      <c r="D333" s="144">
        <v>3</v>
      </c>
      <c r="E333" s="173">
        <v>391.98</v>
      </c>
      <c r="F333" s="173">
        <f t="shared" si="12"/>
        <v>1175.94</v>
      </c>
    </row>
    <row r="334" spans="1:6">
      <c r="A334" s="171" t="s">
        <v>181</v>
      </c>
      <c r="B334" s="172" t="s">
        <v>264</v>
      </c>
      <c r="C334" s="144" t="s">
        <v>29</v>
      </c>
      <c r="D334" s="144">
        <v>10.1043</v>
      </c>
      <c r="E334" s="173">
        <v>695.5</v>
      </c>
      <c r="F334" s="173">
        <f t="shared" si="12"/>
        <v>7027.5406499999999</v>
      </c>
    </row>
    <row r="335" spans="1:6">
      <c r="A335" s="171" t="s">
        <v>181</v>
      </c>
      <c r="B335" s="172" t="s">
        <v>119</v>
      </c>
      <c r="C335" s="144" t="s">
        <v>22</v>
      </c>
      <c r="D335" s="144">
        <v>90</v>
      </c>
      <c r="E335" s="173">
        <v>14</v>
      </c>
      <c r="F335" s="173">
        <f t="shared" si="12"/>
        <v>1260</v>
      </c>
    </row>
    <row r="336" spans="1:6">
      <c r="A336" s="284" t="s">
        <v>116</v>
      </c>
      <c r="B336" s="285"/>
      <c r="C336" s="144"/>
      <c r="D336" s="144"/>
      <c r="E336" s="173"/>
      <c r="F336" s="156">
        <f>SUM(F322:F335)</f>
        <v>224669.86645</v>
      </c>
    </row>
    <row r="337" spans="1:6">
      <c r="A337" s="286" t="s">
        <v>27</v>
      </c>
      <c r="B337" s="287"/>
      <c r="C337" s="287"/>
      <c r="D337" s="287"/>
      <c r="E337" s="287"/>
      <c r="F337" s="288"/>
    </row>
    <row r="338" spans="1:6">
      <c r="A338" s="171" t="s">
        <v>181</v>
      </c>
      <c r="B338" s="172" t="s">
        <v>100</v>
      </c>
      <c r="C338" s="144" t="s">
        <v>0</v>
      </c>
      <c r="D338" s="144">
        <v>15.387187500000001</v>
      </c>
      <c r="E338" s="173">
        <v>124.62</v>
      </c>
      <c r="F338" s="173">
        <f t="shared" ref="F338:F344" si="13">E338*D338</f>
        <v>1917.5513062500002</v>
      </c>
    </row>
    <row r="339" spans="1:6">
      <c r="A339" s="171" t="s">
        <v>181</v>
      </c>
      <c r="B339" s="172" t="s">
        <v>129</v>
      </c>
      <c r="C339" s="144" t="s">
        <v>95</v>
      </c>
      <c r="D339" s="144">
        <v>64.207499999999996</v>
      </c>
      <c r="E339" s="173">
        <v>57</v>
      </c>
      <c r="F339" s="173">
        <f>E339*D339</f>
        <v>3659.8274999999999</v>
      </c>
    </row>
    <row r="340" spans="1:6">
      <c r="A340" s="171" t="s">
        <v>181</v>
      </c>
      <c r="B340" s="172" t="s">
        <v>128</v>
      </c>
      <c r="C340" s="144" t="s">
        <v>95</v>
      </c>
      <c r="D340" s="144">
        <v>43.084125</v>
      </c>
      <c r="E340" s="173">
        <v>11.17</v>
      </c>
      <c r="F340" s="173">
        <f t="shared" si="13"/>
        <v>481.24967624999999</v>
      </c>
    </row>
    <row r="341" spans="1:6">
      <c r="A341" s="171" t="s">
        <v>181</v>
      </c>
      <c r="B341" s="172" t="s">
        <v>328</v>
      </c>
      <c r="C341" s="144" t="s">
        <v>117</v>
      </c>
      <c r="D341" s="144">
        <v>0.2</v>
      </c>
      <c r="E341" s="173">
        <v>195</v>
      </c>
      <c r="F341" s="173">
        <f t="shared" si="13"/>
        <v>39</v>
      </c>
    </row>
    <row r="342" spans="1:6">
      <c r="A342" s="171" t="s">
        <v>181</v>
      </c>
      <c r="B342" s="172" t="s">
        <v>96</v>
      </c>
      <c r="C342" s="144" t="s">
        <v>29</v>
      </c>
      <c r="D342" s="144">
        <v>9.2323125000000008</v>
      </c>
      <c r="E342" s="173">
        <v>0.71</v>
      </c>
      <c r="F342" s="173">
        <f t="shared" si="13"/>
        <v>6.5549418749999999</v>
      </c>
    </row>
    <row r="343" spans="1:6">
      <c r="A343" s="171" t="s">
        <v>181</v>
      </c>
      <c r="B343" s="172" t="s">
        <v>94</v>
      </c>
      <c r="C343" s="144" t="s">
        <v>95</v>
      </c>
      <c r="D343" s="144">
        <v>3.0774375000000003</v>
      </c>
      <c r="E343" s="173">
        <v>15</v>
      </c>
      <c r="F343" s="173">
        <f t="shared" si="13"/>
        <v>46.161562500000002</v>
      </c>
    </row>
    <row r="344" spans="1:6">
      <c r="A344" s="171" t="s">
        <v>181</v>
      </c>
      <c r="B344" s="172" t="s">
        <v>139</v>
      </c>
      <c r="C344" s="144" t="s">
        <v>95</v>
      </c>
      <c r="D344" s="144">
        <v>6123</v>
      </c>
      <c r="E344" s="173">
        <v>11.2</v>
      </c>
      <c r="F344" s="173">
        <f t="shared" si="13"/>
        <v>68577.599999999991</v>
      </c>
    </row>
    <row r="345" spans="1:6">
      <c r="A345" s="284" t="s">
        <v>116</v>
      </c>
      <c r="B345" s="285"/>
      <c r="C345" s="144"/>
      <c r="D345" s="144"/>
      <c r="E345" s="173"/>
      <c r="F345" s="156">
        <f>SUM(F338:F344)</f>
        <v>74727.944986874994</v>
      </c>
    </row>
    <row r="346" spans="1:6">
      <c r="A346" s="286" t="s">
        <v>30</v>
      </c>
      <c r="B346" s="287"/>
      <c r="C346" s="287"/>
      <c r="D346" s="287"/>
      <c r="E346" s="287"/>
      <c r="F346" s="288"/>
    </row>
    <row r="347" spans="1:6">
      <c r="A347" s="171" t="s">
        <v>181</v>
      </c>
      <c r="B347" s="172" t="s">
        <v>89</v>
      </c>
      <c r="C347" s="144" t="s">
        <v>72</v>
      </c>
      <c r="D347" s="144">
        <v>5.3280000000000001E-2</v>
      </c>
      <c r="E347" s="173">
        <v>57680</v>
      </c>
      <c r="F347" s="173">
        <f t="shared" ref="F347:F348" si="14">E347*D347</f>
        <v>3073.1904</v>
      </c>
    </row>
    <row r="348" spans="1:6">
      <c r="A348" s="171" t="s">
        <v>181</v>
      </c>
      <c r="B348" s="172" t="s">
        <v>88</v>
      </c>
      <c r="C348" s="144" t="s">
        <v>72</v>
      </c>
      <c r="D348" s="144">
        <v>6.55</v>
      </c>
      <c r="E348" s="173">
        <v>5800</v>
      </c>
      <c r="F348" s="173">
        <f t="shared" si="14"/>
        <v>37990</v>
      </c>
    </row>
    <row r="349" spans="1:6">
      <c r="A349" s="284" t="s">
        <v>116</v>
      </c>
      <c r="B349" s="285"/>
      <c r="C349" s="144"/>
      <c r="D349" s="144"/>
      <c r="E349" s="173"/>
      <c r="F349" s="156">
        <f>SUM(F347:F348)</f>
        <v>41063.190399999999</v>
      </c>
    </row>
    <row r="350" spans="1:6">
      <c r="A350" s="286" t="s">
        <v>76</v>
      </c>
      <c r="B350" s="287"/>
      <c r="C350" s="287"/>
      <c r="D350" s="287"/>
      <c r="E350" s="287"/>
      <c r="F350" s="288"/>
    </row>
    <row r="351" spans="1:6">
      <c r="A351" s="171" t="s">
        <v>181</v>
      </c>
      <c r="B351" s="172" t="s">
        <v>227</v>
      </c>
      <c r="C351" s="144" t="s">
        <v>22</v>
      </c>
      <c r="D351" s="144">
        <v>4</v>
      </c>
      <c r="E351" s="173">
        <v>192.852</v>
      </c>
      <c r="F351" s="173">
        <f t="shared" ref="F351:F367" si="15">E351*D351</f>
        <v>771.40800000000002</v>
      </c>
    </row>
    <row r="352" spans="1:6">
      <c r="A352" s="171" t="s">
        <v>181</v>
      </c>
      <c r="B352" s="172" t="s">
        <v>229</v>
      </c>
      <c r="C352" s="144" t="s">
        <v>22</v>
      </c>
      <c r="D352" s="144">
        <v>1</v>
      </c>
      <c r="E352" s="173">
        <v>668.32700000000011</v>
      </c>
      <c r="F352" s="173">
        <f t="shared" si="15"/>
        <v>668.32700000000011</v>
      </c>
    </row>
    <row r="353" spans="1:6">
      <c r="A353" s="171" t="s">
        <v>181</v>
      </c>
      <c r="B353" s="172" t="s">
        <v>226</v>
      </c>
      <c r="C353" s="144" t="s">
        <v>22</v>
      </c>
      <c r="D353" s="144">
        <v>1</v>
      </c>
      <c r="E353" s="173">
        <v>1287.8030000000001</v>
      </c>
      <c r="F353" s="173">
        <f t="shared" si="15"/>
        <v>1287.8030000000001</v>
      </c>
    </row>
    <row r="354" spans="1:6">
      <c r="A354" s="171" t="s">
        <v>181</v>
      </c>
      <c r="B354" s="172" t="s">
        <v>232</v>
      </c>
      <c r="C354" s="144" t="s">
        <v>0</v>
      </c>
      <c r="D354" s="144">
        <v>415</v>
      </c>
      <c r="E354" s="173">
        <v>5.4119999999999999</v>
      </c>
      <c r="F354" s="173">
        <f t="shared" si="15"/>
        <v>2245.98</v>
      </c>
    </row>
    <row r="355" spans="1:6">
      <c r="A355" s="171" t="s">
        <v>181</v>
      </c>
      <c r="B355" s="172" t="s">
        <v>233</v>
      </c>
      <c r="C355" s="144" t="s">
        <v>29</v>
      </c>
      <c r="D355" s="144">
        <v>50</v>
      </c>
      <c r="E355" s="173">
        <v>9.1080000000000005</v>
      </c>
      <c r="F355" s="173">
        <f t="shared" si="15"/>
        <v>455.40000000000003</v>
      </c>
    </row>
    <row r="356" spans="1:6">
      <c r="A356" s="171" t="s">
        <v>181</v>
      </c>
      <c r="B356" s="172" t="s">
        <v>234</v>
      </c>
      <c r="C356" s="144" t="s">
        <v>22</v>
      </c>
      <c r="D356" s="144">
        <v>400</v>
      </c>
      <c r="E356" s="173">
        <v>1.7160000000000002</v>
      </c>
      <c r="F356" s="173">
        <f t="shared" si="15"/>
        <v>686.40000000000009</v>
      </c>
    </row>
    <row r="357" spans="1:6">
      <c r="A357" s="171" t="s">
        <v>181</v>
      </c>
      <c r="B357" s="172" t="s">
        <v>235</v>
      </c>
      <c r="C357" s="144" t="s">
        <v>22</v>
      </c>
      <c r="D357" s="144">
        <v>80</v>
      </c>
      <c r="E357" s="173">
        <v>2.1339999999999999</v>
      </c>
      <c r="F357" s="173">
        <f t="shared" si="15"/>
        <v>170.72</v>
      </c>
    </row>
    <row r="358" spans="1:6">
      <c r="A358" s="171" t="s">
        <v>181</v>
      </c>
      <c r="B358" s="172" t="s">
        <v>228</v>
      </c>
      <c r="C358" s="144" t="s">
        <v>22</v>
      </c>
      <c r="D358" s="144">
        <v>10</v>
      </c>
      <c r="E358" s="173">
        <v>1973.4</v>
      </c>
      <c r="F358" s="173">
        <f t="shared" si="15"/>
        <v>19734</v>
      </c>
    </row>
    <row r="359" spans="1:6">
      <c r="A359" s="171" t="s">
        <v>181</v>
      </c>
      <c r="B359" s="172" t="s">
        <v>87</v>
      </c>
      <c r="C359" s="144" t="s">
        <v>22</v>
      </c>
      <c r="D359" s="144">
        <v>404</v>
      </c>
      <c r="E359" s="173">
        <v>0.6</v>
      </c>
      <c r="F359" s="173">
        <f t="shared" si="15"/>
        <v>242.39999999999998</v>
      </c>
    </row>
    <row r="360" spans="1:6">
      <c r="A360" s="171" t="s">
        <v>181</v>
      </c>
      <c r="B360" s="172" t="s">
        <v>340</v>
      </c>
      <c r="C360" s="144" t="s">
        <v>29</v>
      </c>
      <c r="D360" s="144">
        <v>204.75</v>
      </c>
      <c r="E360" s="173">
        <v>11.5</v>
      </c>
      <c r="F360" s="173">
        <f t="shared" si="15"/>
        <v>2354.625</v>
      </c>
    </row>
    <row r="361" spans="1:6">
      <c r="A361" s="171" t="s">
        <v>181</v>
      </c>
      <c r="B361" s="172" t="s">
        <v>237</v>
      </c>
      <c r="C361" s="144" t="s">
        <v>29</v>
      </c>
      <c r="D361" s="144">
        <v>178.5</v>
      </c>
      <c r="E361" s="173">
        <v>23.638999999999999</v>
      </c>
      <c r="F361" s="173">
        <f t="shared" si="15"/>
        <v>4219.5614999999998</v>
      </c>
    </row>
    <row r="362" spans="1:6">
      <c r="A362" s="171" t="s">
        <v>181</v>
      </c>
      <c r="B362" s="172" t="s">
        <v>236</v>
      </c>
      <c r="C362" s="144" t="s">
        <v>29</v>
      </c>
      <c r="D362" s="144">
        <v>218</v>
      </c>
      <c r="E362" s="173">
        <v>37.884</v>
      </c>
      <c r="F362" s="173">
        <f t="shared" si="15"/>
        <v>8258.7119999999995</v>
      </c>
    </row>
    <row r="363" spans="1:6">
      <c r="A363" s="171" t="s">
        <v>181</v>
      </c>
      <c r="B363" s="172" t="s">
        <v>238</v>
      </c>
      <c r="C363" s="144" t="s">
        <v>29</v>
      </c>
      <c r="D363" s="144">
        <v>36.75</v>
      </c>
      <c r="E363" s="173">
        <v>65.208000000000013</v>
      </c>
      <c r="F363" s="173">
        <f t="shared" si="15"/>
        <v>2396.3940000000007</v>
      </c>
    </row>
    <row r="364" spans="1:6">
      <c r="A364" s="171" t="s">
        <v>181</v>
      </c>
      <c r="B364" s="172" t="s">
        <v>243</v>
      </c>
      <c r="C364" s="144" t="s">
        <v>29</v>
      </c>
      <c r="D364" s="144">
        <v>52.5</v>
      </c>
      <c r="E364" s="173">
        <v>157.751</v>
      </c>
      <c r="F364" s="173">
        <f t="shared" si="15"/>
        <v>8281.9274999999998</v>
      </c>
    </row>
    <row r="365" spans="1:6">
      <c r="A365" s="171" t="s">
        <v>181</v>
      </c>
      <c r="B365" s="172" t="s">
        <v>240</v>
      </c>
      <c r="C365" s="144" t="s">
        <v>29</v>
      </c>
      <c r="D365" s="144">
        <v>10.35</v>
      </c>
      <c r="E365" s="173">
        <v>242.88000000000002</v>
      </c>
      <c r="F365" s="173">
        <f t="shared" si="15"/>
        <v>2513.808</v>
      </c>
    </row>
    <row r="366" spans="1:6">
      <c r="A366" s="171" t="s">
        <v>181</v>
      </c>
      <c r="B366" s="172" t="s">
        <v>241</v>
      </c>
      <c r="C366" s="144" t="s">
        <v>22</v>
      </c>
      <c r="D366" s="144">
        <v>100</v>
      </c>
      <c r="E366" s="173">
        <v>0.87526999999999999</v>
      </c>
      <c r="F366" s="173">
        <f t="shared" si="15"/>
        <v>87.527000000000001</v>
      </c>
    </row>
    <row r="367" spans="1:6" ht="30">
      <c r="A367" s="171" t="s">
        <v>181</v>
      </c>
      <c r="B367" s="172" t="s">
        <v>224</v>
      </c>
      <c r="C367" s="144" t="s">
        <v>22</v>
      </c>
      <c r="D367" s="144">
        <v>1</v>
      </c>
      <c r="E367" s="173">
        <v>2884</v>
      </c>
      <c r="F367" s="173">
        <f t="shared" si="15"/>
        <v>2884</v>
      </c>
    </row>
    <row r="368" spans="1:6">
      <c r="A368" s="284" t="s">
        <v>116</v>
      </c>
      <c r="B368" s="285"/>
      <c r="C368" s="144"/>
      <c r="D368" s="144"/>
      <c r="E368" s="173"/>
      <c r="F368" s="156">
        <f>SUM(F351:F367)</f>
        <v>57258.993000000002</v>
      </c>
    </row>
    <row r="369" spans="1:6">
      <c r="A369" s="286" t="s">
        <v>260</v>
      </c>
      <c r="B369" s="287" t="s">
        <v>31</v>
      </c>
      <c r="C369" s="287"/>
      <c r="D369" s="287"/>
      <c r="E369" s="287"/>
      <c r="F369" s="288"/>
    </row>
    <row r="370" spans="1:6">
      <c r="A370" s="171" t="s">
        <v>181</v>
      </c>
      <c r="B370" s="172" t="s">
        <v>289</v>
      </c>
      <c r="C370" s="144" t="s">
        <v>22</v>
      </c>
      <c r="D370" s="144">
        <v>1</v>
      </c>
      <c r="E370" s="173">
        <v>156799.57999999999</v>
      </c>
      <c r="F370" s="173">
        <v>156799.57999999999</v>
      </c>
    </row>
    <row r="371" spans="1:6">
      <c r="A371" s="171" t="s">
        <v>181</v>
      </c>
      <c r="B371" s="172" t="s">
        <v>290</v>
      </c>
      <c r="C371" s="144" t="s">
        <v>22</v>
      </c>
      <c r="D371" s="144">
        <v>1</v>
      </c>
      <c r="E371" s="173">
        <v>54330.74</v>
      </c>
      <c r="F371" s="173">
        <v>54330.74</v>
      </c>
    </row>
    <row r="372" spans="1:6">
      <c r="A372" s="171" t="s">
        <v>181</v>
      </c>
      <c r="B372" s="172" t="s">
        <v>291</v>
      </c>
      <c r="C372" s="144" t="s">
        <v>22</v>
      </c>
      <c r="D372" s="144">
        <v>2</v>
      </c>
      <c r="E372" s="173">
        <v>2950</v>
      </c>
      <c r="F372" s="173">
        <v>5900</v>
      </c>
    </row>
    <row r="373" spans="1:6">
      <c r="A373" s="171" t="s">
        <v>181</v>
      </c>
      <c r="B373" s="172" t="s">
        <v>292</v>
      </c>
      <c r="C373" s="144" t="s">
        <v>22</v>
      </c>
      <c r="D373" s="144">
        <v>1</v>
      </c>
      <c r="E373" s="173">
        <v>2336.4</v>
      </c>
      <c r="F373" s="173">
        <v>2336.4</v>
      </c>
    </row>
    <row r="374" spans="1:6">
      <c r="A374" s="171" t="s">
        <v>181</v>
      </c>
      <c r="B374" s="172" t="s">
        <v>293</v>
      </c>
      <c r="C374" s="144" t="s">
        <v>22</v>
      </c>
      <c r="D374" s="144">
        <v>5</v>
      </c>
      <c r="E374" s="173">
        <v>313.28999999999996</v>
      </c>
      <c r="F374" s="173">
        <v>1566.4499999999998</v>
      </c>
    </row>
    <row r="375" spans="1:6">
      <c r="A375" s="171" t="s">
        <v>181</v>
      </c>
      <c r="B375" s="172" t="s">
        <v>294</v>
      </c>
      <c r="C375" s="144" t="s">
        <v>22</v>
      </c>
      <c r="D375" s="144">
        <v>1</v>
      </c>
      <c r="E375" s="173">
        <v>449.93399999999997</v>
      </c>
      <c r="F375" s="173">
        <v>449.93399999999997</v>
      </c>
    </row>
    <row r="376" spans="1:6">
      <c r="A376" s="171" t="s">
        <v>181</v>
      </c>
      <c r="B376" s="172" t="s">
        <v>295</v>
      </c>
      <c r="C376" s="144" t="s">
        <v>22</v>
      </c>
      <c r="D376" s="144">
        <v>6</v>
      </c>
      <c r="E376" s="173">
        <v>313.28999999999996</v>
      </c>
      <c r="F376" s="173">
        <v>1879.7399999999998</v>
      </c>
    </row>
    <row r="377" spans="1:6">
      <c r="A377" s="171" t="s">
        <v>181</v>
      </c>
      <c r="B377" s="172" t="s">
        <v>296</v>
      </c>
      <c r="C377" s="144" t="s">
        <v>22</v>
      </c>
      <c r="D377" s="144">
        <v>1</v>
      </c>
      <c r="E377" s="173">
        <v>556.37</v>
      </c>
      <c r="F377" s="173">
        <v>556.37</v>
      </c>
    </row>
    <row r="378" spans="1:6">
      <c r="A378" s="171" t="s">
        <v>181</v>
      </c>
      <c r="B378" s="172" t="s">
        <v>297</v>
      </c>
      <c r="C378" s="144" t="s">
        <v>22</v>
      </c>
      <c r="D378" s="144">
        <v>1</v>
      </c>
      <c r="E378" s="173">
        <v>1416</v>
      </c>
      <c r="F378" s="173">
        <v>1416</v>
      </c>
    </row>
    <row r="379" spans="1:6">
      <c r="A379" s="171" t="s">
        <v>181</v>
      </c>
      <c r="B379" s="172" t="s">
        <v>298</v>
      </c>
      <c r="C379" s="144" t="s">
        <v>22</v>
      </c>
      <c r="D379" s="144">
        <v>1</v>
      </c>
      <c r="E379" s="173">
        <v>5805.5999999999995</v>
      </c>
      <c r="F379" s="173">
        <v>5805.5999999999995</v>
      </c>
    </row>
    <row r="380" spans="1:6">
      <c r="A380" s="171" t="s">
        <v>181</v>
      </c>
      <c r="B380" s="172" t="s">
        <v>299</v>
      </c>
      <c r="C380" s="144" t="s">
        <v>22</v>
      </c>
      <c r="D380" s="144">
        <v>1</v>
      </c>
      <c r="E380" s="173">
        <v>6773.2</v>
      </c>
      <c r="F380" s="173">
        <v>6773.2</v>
      </c>
    </row>
    <row r="381" spans="1:6" ht="30">
      <c r="A381" s="171" t="s">
        <v>181</v>
      </c>
      <c r="B381" s="172" t="s">
        <v>300</v>
      </c>
      <c r="C381" s="144" t="s">
        <v>22</v>
      </c>
      <c r="D381" s="144">
        <v>3</v>
      </c>
      <c r="E381" s="173">
        <v>53100</v>
      </c>
      <c r="F381" s="173">
        <v>159300</v>
      </c>
    </row>
    <row r="382" spans="1:6" ht="30">
      <c r="A382" s="171" t="s">
        <v>181</v>
      </c>
      <c r="B382" s="172" t="s">
        <v>301</v>
      </c>
      <c r="C382" s="144" t="s">
        <v>22</v>
      </c>
      <c r="D382" s="144">
        <v>3</v>
      </c>
      <c r="E382" s="173">
        <v>49560</v>
      </c>
      <c r="F382" s="173">
        <v>148680</v>
      </c>
    </row>
    <row r="383" spans="1:6">
      <c r="A383" s="171" t="s">
        <v>181</v>
      </c>
      <c r="B383" s="172" t="s">
        <v>302</v>
      </c>
      <c r="C383" s="144" t="s">
        <v>29</v>
      </c>
      <c r="D383" s="144">
        <v>18</v>
      </c>
      <c r="E383" s="173">
        <v>83.697400000000002</v>
      </c>
      <c r="F383" s="173">
        <v>1506.5532000000001</v>
      </c>
    </row>
    <row r="384" spans="1:6">
      <c r="A384" s="171" t="s">
        <v>181</v>
      </c>
      <c r="B384" s="172" t="s">
        <v>303</v>
      </c>
      <c r="C384" s="144" t="s">
        <v>29</v>
      </c>
      <c r="D384" s="144">
        <v>2</v>
      </c>
      <c r="E384" s="173">
        <v>161.1054</v>
      </c>
      <c r="F384" s="173">
        <v>322.21080000000001</v>
      </c>
    </row>
    <row r="385" spans="1:6">
      <c r="A385" s="171" t="s">
        <v>181</v>
      </c>
      <c r="B385" s="172" t="s">
        <v>304</v>
      </c>
      <c r="C385" s="144" t="s">
        <v>0</v>
      </c>
      <c r="D385" s="144">
        <v>8</v>
      </c>
      <c r="E385" s="173">
        <v>389.4</v>
      </c>
      <c r="F385" s="173">
        <v>3115.2</v>
      </c>
    </row>
    <row r="386" spans="1:6">
      <c r="A386" s="171" t="s">
        <v>181</v>
      </c>
      <c r="B386" s="172" t="s">
        <v>305</v>
      </c>
      <c r="C386" s="144" t="s">
        <v>0</v>
      </c>
      <c r="D386" s="144">
        <v>24.9</v>
      </c>
      <c r="E386" s="173">
        <v>1242.54</v>
      </c>
      <c r="F386" s="173">
        <v>30939.245999999996</v>
      </c>
    </row>
    <row r="387" spans="1:6">
      <c r="A387" s="284" t="s">
        <v>116</v>
      </c>
      <c r="B387" s="285"/>
      <c r="C387" s="144"/>
      <c r="D387" s="144"/>
      <c r="E387" s="173"/>
      <c r="F387" s="156">
        <f>SUM(F370:F386)</f>
        <v>581677.22399999993</v>
      </c>
    </row>
    <row r="388" spans="1:6">
      <c r="A388" s="284" t="s">
        <v>504</v>
      </c>
      <c r="B388" s="285"/>
      <c r="C388" s="144"/>
      <c r="D388" s="144"/>
      <c r="E388" s="173"/>
      <c r="F388" s="156">
        <f>F387+F368+F349+F345+F336+F320</f>
        <v>1081362.2185635148</v>
      </c>
    </row>
    <row r="389" spans="1:6">
      <c r="A389" s="284" t="s">
        <v>335</v>
      </c>
      <c r="B389" s="285"/>
      <c r="C389" s="144"/>
      <c r="D389" s="144"/>
      <c r="E389" s="173"/>
      <c r="F389" s="156">
        <f>F388*0.1</f>
        <v>108136.22185635148</v>
      </c>
    </row>
    <row r="390" spans="1:6" s="176" customFormat="1" ht="15.75" collapsed="1">
      <c r="A390" s="295" t="s">
        <v>503</v>
      </c>
      <c r="B390" s="296"/>
      <c r="C390" s="185"/>
      <c r="D390" s="185"/>
      <c r="E390" s="186"/>
      <c r="F390" s="187">
        <f>F389+F388</f>
        <v>1189498.4404198662</v>
      </c>
    </row>
    <row r="392" spans="1:6" ht="15.75">
      <c r="A392" s="297" t="s">
        <v>497</v>
      </c>
      <c r="B392" s="297"/>
      <c r="C392" s="297"/>
      <c r="D392" s="297"/>
      <c r="E392" s="297"/>
      <c r="F392" s="297"/>
    </row>
    <row r="393" spans="1:6" customFormat="1">
      <c r="B393" s="166" t="s">
        <v>27</v>
      </c>
    </row>
    <row r="394" spans="1:6" customFormat="1">
      <c r="A394" s="52" t="s">
        <v>181</v>
      </c>
      <c r="B394" s="48" t="s">
        <v>373</v>
      </c>
      <c r="C394" s="52" t="s">
        <v>0</v>
      </c>
      <c r="D394" s="52">
        <v>14.938000000000002</v>
      </c>
      <c r="E394" s="52">
        <v>2400</v>
      </c>
      <c r="F394" s="52">
        <v>35851.200000000004</v>
      </c>
    </row>
    <row r="395" spans="1:6" customFormat="1">
      <c r="A395" s="52" t="s">
        <v>181</v>
      </c>
      <c r="B395" s="48" t="s">
        <v>137</v>
      </c>
      <c r="C395" s="52" t="s">
        <v>95</v>
      </c>
      <c r="D395" s="52">
        <v>57.036000000000008</v>
      </c>
      <c r="E395" s="52">
        <v>24</v>
      </c>
      <c r="F395" s="52">
        <v>1368.8640000000003</v>
      </c>
    </row>
    <row r="396" spans="1:6" customFormat="1">
      <c r="A396" s="52" t="s">
        <v>181</v>
      </c>
      <c r="B396" s="48" t="s">
        <v>372</v>
      </c>
      <c r="C396" s="52" t="s">
        <v>0</v>
      </c>
      <c r="D396" s="52">
        <v>25.840499999999999</v>
      </c>
      <c r="E396" s="52">
        <v>1320</v>
      </c>
      <c r="F396" s="52">
        <v>34109.46</v>
      </c>
    </row>
    <row r="397" spans="1:6">
      <c r="A397" s="284" t="s">
        <v>116</v>
      </c>
      <c r="B397" s="285"/>
      <c r="C397" s="144"/>
      <c r="D397" s="144"/>
      <c r="E397" s="173"/>
      <c r="F397" s="156">
        <f>SUM(F394:F396)</f>
        <v>71329.524000000005</v>
      </c>
    </row>
    <row r="398" spans="1:6" customFormat="1">
      <c r="B398" s="166" t="s">
        <v>30</v>
      </c>
    </row>
    <row r="399" spans="1:6" customFormat="1">
      <c r="A399" s="52" t="s">
        <v>181</v>
      </c>
      <c r="B399" s="48" t="s">
        <v>372</v>
      </c>
      <c r="C399" s="52" t="s">
        <v>0</v>
      </c>
      <c r="D399" s="52">
        <v>91.2</v>
      </c>
      <c r="E399" s="52">
        <v>1710</v>
      </c>
      <c r="F399" s="52">
        <f>E399*D399</f>
        <v>155952</v>
      </c>
    </row>
    <row r="400" spans="1:6">
      <c r="A400" s="284" t="s">
        <v>116</v>
      </c>
      <c r="B400" s="285"/>
      <c r="C400" s="144"/>
      <c r="D400" s="144"/>
      <c r="E400" s="173"/>
      <c r="F400" s="156">
        <f>F399</f>
        <v>155952</v>
      </c>
    </row>
    <row r="401" spans="1:6" customFormat="1">
      <c r="B401" s="166" t="s">
        <v>76</v>
      </c>
    </row>
    <row r="402" spans="1:6" customFormat="1">
      <c r="A402" s="52" t="s">
        <v>181</v>
      </c>
      <c r="B402" s="48" t="s">
        <v>259</v>
      </c>
      <c r="C402" s="52" t="s">
        <v>22</v>
      </c>
      <c r="D402" s="52">
        <v>22</v>
      </c>
      <c r="E402" s="52">
        <v>1498</v>
      </c>
      <c r="F402" s="52">
        <f>E402*D402</f>
        <v>32956</v>
      </c>
    </row>
    <row r="403" spans="1:6" customFormat="1" ht="30">
      <c r="A403" s="52" t="s">
        <v>181</v>
      </c>
      <c r="B403" s="48" t="s">
        <v>256</v>
      </c>
      <c r="C403" s="52" t="s">
        <v>22</v>
      </c>
      <c r="D403" s="52">
        <v>2</v>
      </c>
      <c r="E403" s="52">
        <v>511.50550000000004</v>
      </c>
      <c r="F403" s="52">
        <f>E403*D403</f>
        <v>1023.0110000000001</v>
      </c>
    </row>
    <row r="404" spans="1:6" customFormat="1" ht="30">
      <c r="A404" s="52" t="s">
        <v>181</v>
      </c>
      <c r="B404" s="48" t="s">
        <v>254</v>
      </c>
      <c r="C404" s="52" t="s">
        <v>22</v>
      </c>
      <c r="D404" s="52">
        <v>16</v>
      </c>
      <c r="E404" s="52">
        <v>682.04399999999998</v>
      </c>
      <c r="F404" s="52">
        <f>E404*D404</f>
        <v>10912.704</v>
      </c>
    </row>
    <row r="405" spans="1:6" customFormat="1" ht="45">
      <c r="A405" s="52" t="s">
        <v>181</v>
      </c>
      <c r="B405" s="48" t="s">
        <v>257</v>
      </c>
      <c r="C405" s="52" t="s">
        <v>22</v>
      </c>
      <c r="D405" s="52">
        <v>42</v>
      </c>
      <c r="E405" s="52">
        <v>3700</v>
      </c>
      <c r="F405" s="52">
        <f>E405*D405</f>
        <v>155400</v>
      </c>
    </row>
    <row r="406" spans="1:6">
      <c r="A406" s="284" t="s">
        <v>116</v>
      </c>
      <c r="B406" s="285"/>
      <c r="C406" s="144"/>
      <c r="D406" s="144"/>
      <c r="E406" s="173"/>
      <c r="F406" s="156">
        <f>SUM(F402:F405)</f>
        <v>200291.715</v>
      </c>
    </row>
    <row r="407" spans="1:6">
      <c r="A407" s="284" t="s">
        <v>505</v>
      </c>
      <c r="B407" s="285"/>
      <c r="C407" s="144"/>
      <c r="D407" s="144"/>
      <c r="E407" s="173"/>
      <c r="F407" s="156">
        <f>F406+F400+F397</f>
        <v>427573.23899999994</v>
      </c>
    </row>
    <row r="408" spans="1:6">
      <c r="A408" s="284" t="s">
        <v>335</v>
      </c>
      <c r="B408" s="285"/>
      <c r="C408" s="144"/>
      <c r="D408" s="144"/>
      <c r="E408" s="173"/>
      <c r="F408" s="156">
        <f>F407*0.1</f>
        <v>42757.323899999996</v>
      </c>
    </row>
    <row r="409" spans="1:6" s="176" customFormat="1" ht="38.25" customHeight="1" collapsed="1">
      <c r="A409" s="299" t="s">
        <v>506</v>
      </c>
      <c r="B409" s="300"/>
      <c r="C409" s="185"/>
      <c r="D409" s="185"/>
      <c r="E409" s="186"/>
      <c r="F409" s="187">
        <f>F408+F407</f>
        <v>470330.56289999996</v>
      </c>
    </row>
  </sheetData>
  <sortState ref="B353:F370">
    <sortCondition ref="B353"/>
  </sortState>
  <mergeCells count="54">
    <mergeCell ref="A368:B368"/>
    <mergeCell ref="A406:B406"/>
    <mergeCell ref="A407:B407"/>
    <mergeCell ref="A408:B408"/>
    <mergeCell ref="A409:B409"/>
    <mergeCell ref="A389:B389"/>
    <mergeCell ref="A390:B390"/>
    <mergeCell ref="A345:B345"/>
    <mergeCell ref="A346:F346"/>
    <mergeCell ref="A349:B349"/>
    <mergeCell ref="A350:F350"/>
    <mergeCell ref="A292:F292"/>
    <mergeCell ref="A388:B388"/>
    <mergeCell ref="A397:B397"/>
    <mergeCell ref="A400:B400"/>
    <mergeCell ref="A369:F369"/>
    <mergeCell ref="A387:B387"/>
    <mergeCell ref="A392:F392"/>
    <mergeCell ref="A153:B153"/>
    <mergeCell ref="A161:B161"/>
    <mergeCell ref="A164:B164"/>
    <mergeCell ref="A196:B196"/>
    <mergeCell ref="A216:B216"/>
    <mergeCell ref="I1:J1"/>
    <mergeCell ref="I2:J2"/>
    <mergeCell ref="I3:J3"/>
    <mergeCell ref="I4:J4"/>
    <mergeCell ref="A5:F5"/>
    <mergeCell ref="A136:D136"/>
    <mergeCell ref="A106:D106"/>
    <mergeCell ref="A9:D9"/>
    <mergeCell ref="F7:F8"/>
    <mergeCell ref="E7:E8"/>
    <mergeCell ref="A7:A8"/>
    <mergeCell ref="B7:B8"/>
    <mergeCell ref="C7:C8"/>
    <mergeCell ref="D7:D8"/>
    <mergeCell ref="A105:B105"/>
    <mergeCell ref="A135:B135"/>
    <mergeCell ref="A165:D165"/>
    <mergeCell ref="A162:D162"/>
    <mergeCell ref="A154:D154"/>
    <mergeCell ref="A220:B220"/>
    <mergeCell ref="A197:D197"/>
    <mergeCell ref="A320:B320"/>
    <mergeCell ref="A321:F321"/>
    <mergeCell ref="A336:B336"/>
    <mergeCell ref="A337:F337"/>
    <mergeCell ref="A217:D217"/>
    <mergeCell ref="A221:D221"/>
    <mergeCell ref="A225:B225"/>
    <mergeCell ref="A226:B226"/>
    <mergeCell ref="A228:F228"/>
    <mergeCell ref="A290:F290"/>
  </mergeCells>
  <conditionalFormatting sqref="F407:F1048576 F227 E229:E288 E291 E293:E320 E322:E336 E338:E345 E347:E349 F289 E370:E390 E351:E368 F387:F391 F135:F136 F1:F6 E105 E135 E153:F153 E161:F161 E164:F164 E196:F196 E216:F216 E220:F220 E225:F226 E407:F409 E388:F390">
    <cfRule type="cellIs" dxfId="10" priority="29" operator="greaterThan">
      <formula>0</formula>
    </cfRule>
  </conditionalFormatting>
  <conditionalFormatting sqref="B109">
    <cfRule type="cellIs" dxfId="9" priority="28" operator="equal">
      <formula>0</formula>
    </cfRule>
  </conditionalFormatting>
  <conditionalFormatting sqref="E397:F397">
    <cfRule type="cellIs" dxfId="8" priority="5" operator="greaterThan">
      <formula>0</formula>
    </cfRule>
  </conditionalFormatting>
  <conditionalFormatting sqref="E400:F400">
    <cfRule type="cellIs" dxfId="7" priority="4" operator="greaterThan">
      <formula>0</formula>
    </cfRule>
  </conditionalFormatting>
  <conditionalFormatting sqref="E406:F406">
    <cfRule type="cellIs" dxfId="6" priority="3" operator="greaterThan">
      <formula>0</formula>
    </cfRule>
  </conditionalFormatting>
  <conditionalFormatting sqref="E407:F408">
    <cfRule type="cellIs" dxfId="5" priority="2" operator="greaterThan">
      <formula>0</formula>
    </cfRule>
  </conditionalFormatting>
  <conditionalFormatting sqref="E389:F389">
    <cfRule type="cellIs" dxfId="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49"/>
  <sheetViews>
    <sheetView topLeftCell="A398" workbookViewId="0">
      <selection activeCell="A399" sqref="A399:XFD418"/>
    </sheetView>
  </sheetViews>
  <sheetFormatPr defaultRowHeight="15" outlineLevelRow="1"/>
  <cols>
    <col min="1" max="1" width="6.85546875" style="164" customWidth="1"/>
    <col min="2" max="2" width="40.85546875" style="154" customWidth="1"/>
    <col min="3" max="3" width="9.140625" style="155"/>
    <col min="4" max="4" width="10" style="155" bestFit="1" customWidth="1"/>
    <col min="5" max="5" width="12.140625" style="99" customWidth="1"/>
    <col min="6" max="6" width="13.85546875" style="99" customWidth="1"/>
    <col min="7" max="7" width="13.5703125" style="99" customWidth="1"/>
    <col min="8" max="8" width="12.140625" style="99" customWidth="1"/>
    <col min="9" max="9" width="14.85546875" style="99" customWidth="1"/>
    <col min="10" max="10" width="16.140625" style="99" customWidth="1"/>
    <col min="11" max="11" width="13.28515625" style="99" hidden="1" customWidth="1"/>
    <col min="12" max="12" width="14.28515625" style="99" hidden="1" customWidth="1"/>
    <col min="13" max="16384" width="9.140625" style="99"/>
  </cols>
  <sheetData>
    <row r="1" spans="1:11" s="108" customFormat="1">
      <c r="A1" s="104" t="s">
        <v>307</v>
      </c>
      <c r="B1" s="105"/>
      <c r="C1" s="106"/>
      <c r="D1" s="104"/>
      <c r="E1" s="104"/>
      <c r="F1" s="107"/>
      <c r="G1" s="107"/>
      <c r="H1" s="107"/>
      <c r="I1" s="216" t="s">
        <v>308</v>
      </c>
      <c r="J1" s="216"/>
      <c r="K1" s="107"/>
    </row>
    <row r="2" spans="1:11" s="108" customFormat="1">
      <c r="A2" s="109" t="s">
        <v>309</v>
      </c>
      <c r="B2" s="105"/>
      <c r="C2" s="106"/>
      <c r="D2" s="109"/>
      <c r="E2" s="109"/>
      <c r="F2" s="107"/>
      <c r="G2" s="107"/>
      <c r="H2" s="107"/>
      <c r="I2" s="215" t="s">
        <v>310</v>
      </c>
      <c r="J2" s="215"/>
      <c r="K2" s="107"/>
    </row>
    <row r="3" spans="1:11" s="108" customFormat="1">
      <c r="A3" s="109" t="s">
        <v>309</v>
      </c>
      <c r="B3" s="105"/>
      <c r="C3" s="106"/>
      <c r="D3" s="109"/>
      <c r="E3" s="109"/>
      <c r="F3" s="107"/>
      <c r="G3" s="107"/>
      <c r="H3" s="107"/>
      <c r="I3" s="215" t="s">
        <v>310</v>
      </c>
      <c r="J3" s="215"/>
      <c r="K3" s="107"/>
    </row>
    <row r="4" spans="1:11" s="108" customFormat="1" ht="26.25" customHeight="1">
      <c r="A4" s="110" t="s">
        <v>311</v>
      </c>
      <c r="B4" s="105"/>
      <c r="C4" s="106"/>
      <c r="D4" s="111"/>
      <c r="E4" s="111"/>
      <c r="F4" s="107"/>
      <c r="G4" s="107"/>
      <c r="H4" s="107"/>
      <c r="I4" s="217" t="s">
        <v>312</v>
      </c>
      <c r="J4" s="217"/>
      <c r="K4" s="107"/>
    </row>
    <row r="5" spans="1:11" s="108" customFormat="1" ht="16.5" customHeight="1">
      <c r="A5" s="218" t="s">
        <v>320</v>
      </c>
      <c r="B5" s="218"/>
      <c r="C5" s="218"/>
      <c r="D5" s="218"/>
      <c r="E5" s="218"/>
      <c r="F5" s="218"/>
      <c r="G5" s="218"/>
      <c r="H5" s="218"/>
      <c r="I5" s="218"/>
    </row>
    <row r="6" spans="1:11" s="108" customFormat="1">
      <c r="A6" s="219" t="s">
        <v>313</v>
      </c>
      <c r="B6" s="219"/>
      <c r="C6" s="219"/>
      <c r="D6" s="219"/>
      <c r="E6" s="219"/>
      <c r="F6" s="219"/>
      <c r="G6" s="219"/>
      <c r="H6" s="219"/>
      <c r="I6" s="219"/>
    </row>
    <row r="7" spans="1:11" s="108" customFormat="1" ht="9.75" customHeight="1">
      <c r="A7" s="112"/>
      <c r="B7" s="113"/>
      <c r="C7" s="107"/>
      <c r="D7" s="107"/>
      <c r="E7" s="107"/>
      <c r="F7" s="107"/>
      <c r="G7" s="107"/>
      <c r="H7" s="107"/>
      <c r="I7" s="107"/>
    </row>
    <row r="8" spans="1:11" s="108" customFormat="1" ht="15.75">
      <c r="A8" s="114" t="s">
        <v>314</v>
      </c>
      <c r="B8" s="115" t="s">
        <v>321</v>
      </c>
      <c r="C8" s="116"/>
      <c r="D8" s="117"/>
      <c r="E8" s="117"/>
      <c r="F8" s="116"/>
      <c r="G8" s="116"/>
      <c r="H8" s="116"/>
      <c r="I8" s="116"/>
    </row>
    <row r="9" spans="1:11" s="108" customFormat="1">
      <c r="A9" s="220" t="s">
        <v>315</v>
      </c>
      <c r="B9" s="220"/>
      <c r="C9" s="220"/>
      <c r="D9" s="220"/>
      <c r="E9" s="220"/>
      <c r="F9" s="220"/>
      <c r="G9" s="220"/>
      <c r="H9" s="220"/>
      <c r="I9" s="220"/>
    </row>
    <row r="10" spans="1:11" s="108" customFormat="1" ht="9" customHeight="1">
      <c r="A10" s="118"/>
      <c r="B10" s="119"/>
      <c r="C10" s="107"/>
      <c r="D10" s="107"/>
      <c r="E10" s="107"/>
      <c r="F10" s="107"/>
      <c r="G10" s="107"/>
      <c r="H10" s="107"/>
      <c r="I10" s="107"/>
    </row>
    <row r="11" spans="1:11" s="108" customFormat="1">
      <c r="A11" s="120"/>
      <c r="B11" s="121" t="s">
        <v>342</v>
      </c>
      <c r="C11" s="213">
        <v>854667.08720800001</v>
      </c>
      <c r="D11" s="214"/>
      <c r="E11" s="122"/>
      <c r="F11" s="123"/>
      <c r="G11" s="122"/>
      <c r="H11" s="122"/>
      <c r="I11" s="122"/>
    </row>
    <row r="12" spans="1:11" s="108" customFormat="1">
      <c r="A12" s="120"/>
      <c r="B12" s="121" t="s">
        <v>334</v>
      </c>
      <c r="C12" s="213">
        <v>1897133.9897110695</v>
      </c>
      <c r="D12" s="214"/>
      <c r="E12" s="122"/>
      <c r="F12" s="123"/>
      <c r="G12" s="122"/>
      <c r="H12" s="122"/>
      <c r="I12" s="122"/>
    </row>
    <row r="13" spans="1:11" s="108" customFormat="1">
      <c r="A13" s="120"/>
      <c r="B13" s="121" t="s">
        <v>335</v>
      </c>
      <c r="C13" s="213">
        <v>189713.39897110697</v>
      </c>
      <c r="D13" s="214"/>
      <c r="E13" s="122"/>
      <c r="F13" s="123"/>
      <c r="G13" s="122"/>
      <c r="H13" s="122"/>
      <c r="I13" s="122"/>
    </row>
    <row r="14" spans="1:11" s="108" customFormat="1">
      <c r="A14" s="120"/>
      <c r="B14" s="121" t="s">
        <v>316</v>
      </c>
      <c r="C14" s="221">
        <v>2941514.4758901764</v>
      </c>
      <c r="D14" s="221"/>
      <c r="E14" s="122"/>
      <c r="F14" s="124"/>
      <c r="G14" s="122"/>
      <c r="H14" s="122"/>
      <c r="I14" s="122"/>
    </row>
    <row r="15" spans="1:11" s="108" customFormat="1">
      <c r="A15" s="125"/>
      <c r="B15" s="126" t="s">
        <v>338</v>
      </c>
      <c r="C15" s="127"/>
      <c r="D15" s="128"/>
      <c r="E15" s="128"/>
      <c r="F15" s="128"/>
      <c r="G15" s="128"/>
      <c r="H15" s="128"/>
      <c r="I15" s="129"/>
    </row>
    <row r="16" spans="1:11" s="108" customFormat="1">
      <c r="A16" s="120"/>
      <c r="B16" s="121" t="s">
        <v>343</v>
      </c>
      <c r="C16" s="213" t="s">
        <v>83</v>
      </c>
      <c r="D16" s="214"/>
      <c r="E16" s="130">
        <v>542574.34720800002</v>
      </c>
      <c r="F16" s="131" t="s">
        <v>344</v>
      </c>
      <c r="G16" s="130">
        <v>894137.54211106966</v>
      </c>
      <c r="H16" s="237"/>
      <c r="I16" s="237"/>
      <c r="J16" s="132"/>
    </row>
    <row r="17" spans="1:13" s="108" customFormat="1">
      <c r="A17" s="120"/>
      <c r="B17" s="121" t="s">
        <v>336</v>
      </c>
      <c r="C17" s="213" t="s">
        <v>83</v>
      </c>
      <c r="D17" s="214"/>
      <c r="E17" s="130">
        <v>131892.24</v>
      </c>
      <c r="F17" s="131" t="s">
        <v>344</v>
      </c>
      <c r="G17" s="130">
        <v>289038.10920000001</v>
      </c>
      <c r="H17" s="237"/>
      <c r="I17" s="237"/>
      <c r="J17" s="132"/>
    </row>
    <row r="18" spans="1:13" s="108" customFormat="1">
      <c r="A18" s="120"/>
      <c r="B18" s="121" t="s">
        <v>337</v>
      </c>
      <c r="C18" s="213" t="s">
        <v>83</v>
      </c>
      <c r="D18" s="214"/>
      <c r="E18" s="130">
        <v>8720</v>
      </c>
      <c r="F18" s="131" t="s">
        <v>344</v>
      </c>
      <c r="G18" s="130">
        <v>39187</v>
      </c>
      <c r="H18" s="237"/>
      <c r="I18" s="237"/>
      <c r="J18" s="132"/>
    </row>
    <row r="19" spans="1:13" s="108" customFormat="1">
      <c r="A19" s="120"/>
      <c r="B19" s="121" t="s">
        <v>260</v>
      </c>
      <c r="C19" s="213" t="s">
        <v>83</v>
      </c>
      <c r="D19" s="214"/>
      <c r="E19" s="130">
        <v>108664</v>
      </c>
      <c r="F19" s="131" t="s">
        <v>344</v>
      </c>
      <c r="G19" s="130">
        <v>581677.22399999993</v>
      </c>
      <c r="H19" s="237"/>
      <c r="I19" s="237"/>
      <c r="J19" s="132"/>
    </row>
    <row r="20" spans="1:13" s="108" customFormat="1">
      <c r="A20" s="120"/>
      <c r="B20" s="121" t="s">
        <v>345</v>
      </c>
      <c r="C20" s="213" t="s">
        <v>83</v>
      </c>
      <c r="D20" s="214"/>
      <c r="E20" s="130">
        <v>13160.5</v>
      </c>
      <c r="F20" s="131" t="s">
        <v>344</v>
      </c>
      <c r="G20" s="130">
        <v>35005.1944</v>
      </c>
      <c r="H20" s="165"/>
      <c r="I20" s="165"/>
      <c r="J20" s="132"/>
    </row>
    <row r="21" spans="1:13" s="108" customFormat="1">
      <c r="A21" s="120"/>
      <c r="B21" s="121" t="s">
        <v>26</v>
      </c>
      <c r="C21" s="213" t="s">
        <v>83</v>
      </c>
      <c r="D21" s="214"/>
      <c r="E21" s="130">
        <v>49656</v>
      </c>
      <c r="F21" s="131" t="s">
        <v>344</v>
      </c>
      <c r="G21" s="130">
        <v>58088.92</v>
      </c>
      <c r="H21" s="237"/>
      <c r="I21" s="237"/>
      <c r="J21" s="132"/>
    </row>
    <row r="22" spans="1:13" s="108" customFormat="1">
      <c r="A22" s="125"/>
      <c r="B22" s="126"/>
      <c r="C22" s="127"/>
      <c r="D22" s="128"/>
      <c r="E22" s="128"/>
      <c r="F22" s="128"/>
      <c r="G22" s="128"/>
      <c r="H22" s="128"/>
      <c r="I22" s="129"/>
    </row>
    <row r="23" spans="1:13" s="108" customFormat="1" ht="10.5" customHeight="1">
      <c r="A23" s="120"/>
      <c r="B23" s="121"/>
      <c r="C23" s="134"/>
      <c r="D23" s="163"/>
      <c r="E23" s="123"/>
      <c r="F23" s="123"/>
      <c r="G23" s="122"/>
      <c r="H23" s="122"/>
      <c r="I23" s="122"/>
    </row>
    <row r="24" spans="1:13" s="108" customFormat="1">
      <c r="A24" s="125"/>
      <c r="B24" s="136" t="s">
        <v>317</v>
      </c>
      <c r="C24" s="106"/>
      <c r="D24" s="107"/>
      <c r="E24" s="107"/>
      <c r="F24" s="107"/>
      <c r="G24" s="107"/>
      <c r="H24" s="107"/>
      <c r="I24" s="107"/>
    </row>
    <row r="25" spans="1:13" s="108" customFormat="1" ht="8.25" customHeight="1">
      <c r="C25" s="137"/>
      <c r="D25" s="138"/>
      <c r="E25" s="138"/>
      <c r="F25" s="139"/>
      <c r="G25" s="139"/>
      <c r="H25" s="139"/>
      <c r="I25" s="139"/>
    </row>
    <row r="26" spans="1:13" ht="12.75" customHeight="1">
      <c r="A26" s="231" t="s">
        <v>77</v>
      </c>
      <c r="B26" s="231" t="s">
        <v>78</v>
      </c>
      <c r="C26" s="231" t="s">
        <v>79</v>
      </c>
      <c r="D26" s="233" t="s">
        <v>80</v>
      </c>
      <c r="E26" s="228" t="s">
        <v>81</v>
      </c>
      <c r="F26" s="229"/>
      <c r="G26" s="230"/>
      <c r="H26" s="228" t="s">
        <v>82</v>
      </c>
      <c r="I26" s="229"/>
      <c r="J26" s="230"/>
      <c r="M26" s="204" t="s">
        <v>355</v>
      </c>
    </row>
    <row r="27" spans="1:13" ht="12.75" customHeight="1">
      <c r="A27" s="232"/>
      <c r="B27" s="232"/>
      <c r="C27" s="232"/>
      <c r="D27" s="234"/>
      <c r="E27" s="140" t="s">
        <v>83</v>
      </c>
      <c r="F27" s="141" t="s">
        <v>84</v>
      </c>
      <c r="G27" s="141" t="s">
        <v>85</v>
      </c>
      <c r="H27" s="140" t="s">
        <v>83</v>
      </c>
      <c r="I27" s="141" t="s">
        <v>84</v>
      </c>
      <c r="J27" s="141" t="s">
        <v>85</v>
      </c>
      <c r="M27" s="204"/>
    </row>
    <row r="28" spans="1:13" ht="21" customHeight="1">
      <c r="A28" s="225" t="s">
        <v>18</v>
      </c>
      <c r="B28" s="226"/>
      <c r="C28" s="226"/>
      <c r="D28" s="226"/>
      <c r="E28" s="226"/>
      <c r="F28" s="226"/>
      <c r="G28" s="226"/>
      <c r="H28" s="226"/>
      <c r="I28" s="226"/>
      <c r="J28" s="227"/>
      <c r="M28" s="156"/>
    </row>
    <row r="29" spans="1:13" ht="30">
      <c r="A29" s="162">
        <v>1</v>
      </c>
      <c r="B29" s="70" t="s">
        <v>19</v>
      </c>
      <c r="C29" s="8" t="s">
        <v>22</v>
      </c>
      <c r="D29" s="8">
        <v>3</v>
      </c>
      <c r="E29" s="32">
        <v>1280</v>
      </c>
      <c r="F29" s="33">
        <v>0</v>
      </c>
      <c r="G29" s="33">
        <v>1280</v>
      </c>
      <c r="H29" s="33">
        <v>3840</v>
      </c>
      <c r="I29" s="33">
        <v>0</v>
      </c>
      <c r="J29" s="31">
        <v>3840</v>
      </c>
      <c r="K29" s="235">
        <v>16629.386158000005</v>
      </c>
      <c r="L29" s="235">
        <v>66453.047158000001</v>
      </c>
      <c r="M29" s="240">
        <v>1</v>
      </c>
    </row>
    <row r="30" spans="1:13" ht="60">
      <c r="A30" s="162">
        <v>2</v>
      </c>
      <c r="B30" s="70" t="s">
        <v>203</v>
      </c>
      <c r="C30" s="8" t="s">
        <v>22</v>
      </c>
      <c r="D30" s="8">
        <v>3</v>
      </c>
      <c r="E30" s="32">
        <v>480</v>
      </c>
      <c r="F30" s="33">
        <v>0</v>
      </c>
      <c r="G30" s="33">
        <v>480</v>
      </c>
      <c r="H30" s="33">
        <v>1440</v>
      </c>
      <c r="I30" s="33">
        <v>0</v>
      </c>
      <c r="J30" s="31">
        <v>1440</v>
      </c>
      <c r="K30" s="236"/>
      <c r="L30" s="236"/>
      <c r="M30" s="241"/>
    </row>
    <row r="31" spans="1:13" ht="60">
      <c r="A31" s="162">
        <v>3</v>
      </c>
      <c r="B31" s="70" t="s">
        <v>204</v>
      </c>
      <c r="C31" s="8" t="s">
        <v>22</v>
      </c>
      <c r="D31" s="8">
        <v>11</v>
      </c>
      <c r="E31" s="32">
        <v>690</v>
      </c>
      <c r="F31" s="33">
        <v>0</v>
      </c>
      <c r="G31" s="33">
        <v>690</v>
      </c>
      <c r="H31" s="33">
        <v>7590</v>
      </c>
      <c r="I31" s="33">
        <v>0</v>
      </c>
      <c r="J31" s="31">
        <v>7590</v>
      </c>
      <c r="K31" s="236"/>
      <c r="L31" s="236"/>
      <c r="M31" s="241"/>
    </row>
    <row r="32" spans="1:13" ht="60">
      <c r="A32" s="162">
        <v>4</v>
      </c>
      <c r="B32" s="70" t="s">
        <v>201</v>
      </c>
      <c r="C32" s="8" t="s">
        <v>22</v>
      </c>
      <c r="D32" s="8">
        <v>4</v>
      </c>
      <c r="E32" s="32">
        <v>780</v>
      </c>
      <c r="F32" s="33">
        <v>0</v>
      </c>
      <c r="G32" s="33">
        <v>780</v>
      </c>
      <c r="H32" s="33">
        <v>3120</v>
      </c>
      <c r="I32" s="33">
        <v>0</v>
      </c>
      <c r="J32" s="31">
        <v>3120</v>
      </c>
      <c r="K32" s="236"/>
      <c r="L32" s="236"/>
      <c r="M32" s="241"/>
    </row>
    <row r="33" spans="1:13" ht="60">
      <c r="A33" s="162">
        <v>5</v>
      </c>
      <c r="B33" s="70" t="s">
        <v>205</v>
      </c>
      <c r="C33" s="8" t="s">
        <v>22</v>
      </c>
      <c r="D33" s="8">
        <v>6</v>
      </c>
      <c r="E33" s="32">
        <v>2100</v>
      </c>
      <c r="F33" s="33">
        <v>0</v>
      </c>
      <c r="G33" s="33">
        <v>2100</v>
      </c>
      <c r="H33" s="33">
        <v>12600</v>
      </c>
      <c r="I33" s="33">
        <v>0</v>
      </c>
      <c r="J33" s="31">
        <v>12600</v>
      </c>
      <c r="K33" s="236"/>
      <c r="L33" s="236"/>
      <c r="M33" s="241"/>
    </row>
    <row r="34" spans="1:13" ht="60">
      <c r="A34" s="162">
        <v>6</v>
      </c>
      <c r="B34" s="70" t="s">
        <v>202</v>
      </c>
      <c r="C34" s="8" t="s">
        <v>22</v>
      </c>
      <c r="D34" s="8">
        <v>2</v>
      </c>
      <c r="E34" s="32">
        <v>2980</v>
      </c>
      <c r="F34" s="33">
        <v>0</v>
      </c>
      <c r="G34" s="33">
        <v>2980</v>
      </c>
      <c r="H34" s="33">
        <v>5960</v>
      </c>
      <c r="I34" s="33">
        <v>0</v>
      </c>
      <c r="J34" s="31">
        <v>5960</v>
      </c>
      <c r="K34" s="236"/>
      <c r="L34" s="236"/>
      <c r="M34" s="241"/>
    </row>
    <row r="35" spans="1:13">
      <c r="A35" s="162">
        <v>7</v>
      </c>
      <c r="B35" s="70" t="s">
        <v>86</v>
      </c>
      <c r="C35" s="8" t="s">
        <v>0</v>
      </c>
      <c r="D35" s="69">
        <v>1.1055999999999999</v>
      </c>
      <c r="E35" s="32">
        <v>390</v>
      </c>
      <c r="F35" s="33">
        <v>0</v>
      </c>
      <c r="G35" s="33">
        <v>390</v>
      </c>
      <c r="H35" s="33">
        <v>431.18399999999997</v>
      </c>
      <c r="I35" s="33">
        <v>0</v>
      </c>
      <c r="J35" s="31">
        <v>431.18399999999997</v>
      </c>
      <c r="K35" s="236"/>
      <c r="L35" s="236"/>
      <c r="M35" s="241"/>
    </row>
    <row r="36" spans="1:13" ht="45">
      <c r="A36" s="162">
        <v>8</v>
      </c>
      <c r="B36" s="70" t="s">
        <v>25</v>
      </c>
      <c r="C36" s="8" t="s">
        <v>24</v>
      </c>
      <c r="D36" s="69">
        <v>67.442000000000007</v>
      </c>
      <c r="E36" s="32">
        <v>190</v>
      </c>
      <c r="F36" s="33">
        <v>244.26508264879456</v>
      </c>
      <c r="G36" s="33">
        <v>434.26508264879453</v>
      </c>
      <c r="H36" s="33">
        <v>12813.980000000001</v>
      </c>
      <c r="I36" s="33">
        <v>16473.725704000004</v>
      </c>
      <c r="J36" s="31">
        <v>29287.705704000007</v>
      </c>
      <c r="K36" s="236"/>
      <c r="L36" s="236"/>
      <c r="M36" s="241"/>
    </row>
    <row r="37" spans="1:13" ht="15" customHeight="1" outlineLevel="1">
      <c r="A37" s="100" t="s">
        <v>181</v>
      </c>
      <c r="B37" s="66" t="s">
        <v>208</v>
      </c>
      <c r="C37" s="2" t="s">
        <v>72</v>
      </c>
      <c r="D37" s="142">
        <v>0.47931029400000014</v>
      </c>
      <c r="E37" s="67"/>
      <c r="F37" s="67">
        <v>31500</v>
      </c>
      <c r="G37" s="67"/>
      <c r="H37" s="67"/>
      <c r="I37" s="29">
        <v>15098.274261000004</v>
      </c>
      <c r="J37" s="67"/>
      <c r="K37" s="236"/>
      <c r="L37" s="236"/>
      <c r="M37" s="241"/>
    </row>
    <row r="38" spans="1:13" ht="15" customHeight="1" outlineLevel="1">
      <c r="A38" s="100" t="s">
        <v>181</v>
      </c>
      <c r="B38" s="66" t="s">
        <v>332</v>
      </c>
      <c r="C38" s="2" t="s">
        <v>72</v>
      </c>
      <c r="D38" s="35">
        <v>1.7647323333333336E-2</v>
      </c>
      <c r="E38" s="67"/>
      <c r="F38" s="67">
        <v>35700</v>
      </c>
      <c r="G38" s="67"/>
      <c r="H38" s="67"/>
      <c r="I38" s="29">
        <v>630.00944300000015</v>
      </c>
      <c r="J38" s="67"/>
      <c r="K38" s="236"/>
      <c r="L38" s="236"/>
      <c r="M38" s="241"/>
    </row>
    <row r="39" spans="1:13" ht="15" customHeight="1" outlineLevel="1">
      <c r="A39" s="143" t="s">
        <v>181</v>
      </c>
      <c r="B39" s="66" t="s">
        <v>329</v>
      </c>
      <c r="C39" s="2" t="s">
        <v>95</v>
      </c>
      <c r="D39" s="35">
        <v>10</v>
      </c>
      <c r="E39" s="67"/>
      <c r="F39" s="67">
        <v>67.8</v>
      </c>
      <c r="G39" s="67"/>
      <c r="H39" s="67"/>
      <c r="I39" s="29">
        <v>678</v>
      </c>
      <c r="J39" s="67"/>
      <c r="K39" s="236"/>
      <c r="L39" s="236"/>
      <c r="M39" s="241"/>
    </row>
    <row r="40" spans="1:13" ht="15" customHeight="1" outlineLevel="1">
      <c r="A40" s="100" t="s">
        <v>181</v>
      </c>
      <c r="B40" s="66" t="s">
        <v>87</v>
      </c>
      <c r="C40" s="144" t="s">
        <v>22</v>
      </c>
      <c r="D40" s="145">
        <v>112.40333333333335</v>
      </c>
      <c r="E40" s="67"/>
      <c r="F40" s="67">
        <v>0.6</v>
      </c>
      <c r="G40" s="67"/>
      <c r="H40" s="67"/>
      <c r="I40" s="29">
        <v>67.442000000000007</v>
      </c>
      <c r="J40" s="67"/>
      <c r="K40" s="236"/>
      <c r="L40" s="236"/>
      <c r="M40" s="241"/>
    </row>
    <row r="41" spans="1:13" ht="30">
      <c r="A41" s="162">
        <v>9</v>
      </c>
      <c r="B41" s="70" t="s">
        <v>330</v>
      </c>
      <c r="C41" s="8" t="s">
        <v>0</v>
      </c>
      <c r="D41" s="69">
        <v>10.676300000000001</v>
      </c>
      <c r="E41" s="32">
        <v>190</v>
      </c>
      <c r="F41" s="33">
        <v>14.58</v>
      </c>
      <c r="G41" s="33">
        <v>204.58</v>
      </c>
      <c r="H41" s="33">
        <v>2028.4970000000003</v>
      </c>
      <c r="I41" s="33">
        <v>155.66045400000002</v>
      </c>
      <c r="J41" s="31">
        <v>2184.1574540000001</v>
      </c>
      <c r="K41" s="236"/>
      <c r="L41" s="236"/>
      <c r="M41" s="241"/>
    </row>
    <row r="42" spans="1:13" ht="15" customHeight="1" outlineLevel="1">
      <c r="A42" s="100" t="s">
        <v>181</v>
      </c>
      <c r="B42" s="66" t="s">
        <v>331</v>
      </c>
      <c r="C42" s="2" t="s">
        <v>95</v>
      </c>
      <c r="D42" s="142">
        <v>1.6014450000000002</v>
      </c>
      <c r="E42" s="67"/>
      <c r="F42" s="67">
        <v>97.2</v>
      </c>
      <c r="G42" s="67"/>
      <c r="H42" s="67"/>
      <c r="I42" s="29">
        <v>155.66045400000002</v>
      </c>
      <c r="J42" s="67"/>
      <c r="M42" s="241"/>
    </row>
    <row r="43" spans="1:13" ht="60" customHeight="1">
      <c r="A43" s="162">
        <v>10</v>
      </c>
      <c r="B43" s="70" t="s">
        <v>23</v>
      </c>
      <c r="C43" s="8" t="s">
        <v>0</v>
      </c>
      <c r="D43" s="69">
        <v>1.9110000000000003</v>
      </c>
      <c r="E43" s="32">
        <v>650</v>
      </c>
      <c r="F43" s="33">
        <v>751.95219999999995</v>
      </c>
      <c r="G43" s="33">
        <v>1401.9521999999999</v>
      </c>
      <c r="H43" s="33">
        <v>1242.1500000000001</v>
      </c>
      <c r="I43" s="33">
        <v>1436.9806542000001</v>
      </c>
      <c r="J43" s="31">
        <v>2679.1306542000002</v>
      </c>
      <c r="K43" s="239">
        <v>112280.6306529448</v>
      </c>
      <c r="L43" s="239">
        <v>176404.20086094484</v>
      </c>
      <c r="M43" s="241"/>
    </row>
    <row r="44" spans="1:13" ht="15.75" customHeight="1" outlineLevel="1">
      <c r="A44" s="100" t="s">
        <v>181</v>
      </c>
      <c r="B44" s="66" t="s">
        <v>88</v>
      </c>
      <c r="C44" s="27" t="s">
        <v>72</v>
      </c>
      <c r="D44" s="34">
        <v>8.8861500000000024E-2</v>
      </c>
      <c r="E44" s="67"/>
      <c r="F44" s="67">
        <v>5800</v>
      </c>
      <c r="G44" s="67"/>
      <c r="H44" s="67"/>
      <c r="I44" s="30">
        <v>515.39670000000012</v>
      </c>
      <c r="J44" s="67"/>
      <c r="K44" s="239"/>
      <c r="L44" s="239"/>
      <c r="M44" s="241"/>
    </row>
    <row r="45" spans="1:13" ht="15.75" customHeight="1" outlineLevel="1">
      <c r="A45" s="100" t="s">
        <v>181</v>
      </c>
      <c r="B45" s="66" t="s">
        <v>92</v>
      </c>
      <c r="C45" s="28" t="s">
        <v>22</v>
      </c>
      <c r="D45" s="34">
        <v>57.330000000000005</v>
      </c>
      <c r="E45" s="67"/>
      <c r="F45" s="67">
        <v>12.5</v>
      </c>
      <c r="G45" s="67"/>
      <c r="H45" s="67"/>
      <c r="I45" s="30">
        <v>716.62500000000011</v>
      </c>
      <c r="J45" s="67"/>
      <c r="K45" s="239"/>
      <c r="L45" s="239"/>
      <c r="M45" s="241"/>
    </row>
    <row r="46" spans="1:13" ht="15.75" customHeight="1" outlineLevel="1">
      <c r="A46" s="100" t="s">
        <v>181</v>
      </c>
      <c r="B46" s="66" t="s">
        <v>89</v>
      </c>
      <c r="C46" s="27" t="s">
        <v>91</v>
      </c>
      <c r="D46" s="35">
        <v>2.9429400000000002E-3</v>
      </c>
      <c r="E46" s="67"/>
      <c r="F46" s="67">
        <v>57680</v>
      </c>
      <c r="G46" s="67"/>
      <c r="H46" s="67"/>
      <c r="I46" s="30">
        <v>169.7487792</v>
      </c>
      <c r="J46" s="67"/>
      <c r="K46" s="239"/>
      <c r="L46" s="239"/>
      <c r="M46" s="241"/>
    </row>
    <row r="47" spans="1:13" ht="15.75" customHeight="1" outlineLevel="1">
      <c r="A47" s="100" t="s">
        <v>181</v>
      </c>
      <c r="B47" s="66" t="s">
        <v>90</v>
      </c>
      <c r="C47" s="27" t="s">
        <v>91</v>
      </c>
      <c r="D47" s="36">
        <v>1.0510500000000002E-3</v>
      </c>
      <c r="E47" s="67"/>
      <c r="F47" s="67">
        <v>33500</v>
      </c>
      <c r="G47" s="67"/>
      <c r="H47" s="67"/>
      <c r="I47" s="30">
        <v>35.210175000000007</v>
      </c>
      <c r="J47" s="67"/>
      <c r="K47" s="239"/>
      <c r="L47" s="239"/>
      <c r="M47" s="241"/>
    </row>
    <row r="48" spans="1:13" ht="45">
      <c r="A48" s="162">
        <v>11</v>
      </c>
      <c r="B48" s="70" t="s">
        <v>20</v>
      </c>
      <c r="C48" s="8" t="s">
        <v>1</v>
      </c>
      <c r="D48" s="69">
        <v>0.7332780000000001</v>
      </c>
      <c r="E48" s="32">
        <v>2496</v>
      </c>
      <c r="F48" s="33">
        <v>7855.6016</v>
      </c>
      <c r="G48" s="33">
        <v>10351.6016</v>
      </c>
      <c r="H48" s="33">
        <v>1830.2618880000002</v>
      </c>
      <c r="I48" s="33">
        <v>5760.3398300448007</v>
      </c>
      <c r="J48" s="31">
        <v>7590.6017180448007</v>
      </c>
      <c r="K48" s="239"/>
      <c r="L48" s="239"/>
      <c r="M48" s="241"/>
    </row>
    <row r="49" spans="1:13" ht="15.75" customHeight="1" outlineLevel="1">
      <c r="A49" s="100" t="s">
        <v>181</v>
      </c>
      <c r="B49" s="66" t="s">
        <v>88</v>
      </c>
      <c r="C49" s="27" t="s">
        <v>72</v>
      </c>
      <c r="D49" s="34">
        <v>0.32733529920000004</v>
      </c>
      <c r="E49" s="67"/>
      <c r="F49" s="67">
        <v>5800</v>
      </c>
      <c r="G49" s="67"/>
      <c r="H49" s="67"/>
      <c r="I49" s="30">
        <v>1898.5447353600002</v>
      </c>
      <c r="J49" s="67"/>
      <c r="K49" s="239"/>
      <c r="L49" s="239"/>
      <c r="M49" s="241"/>
    </row>
    <row r="50" spans="1:13" ht="15.75" customHeight="1" outlineLevel="1">
      <c r="A50" s="100" t="s">
        <v>181</v>
      </c>
      <c r="B50" s="66" t="s">
        <v>92</v>
      </c>
      <c r="C50" s="28" t="s">
        <v>22</v>
      </c>
      <c r="D50" s="34">
        <v>293.31120000000004</v>
      </c>
      <c r="E50" s="67"/>
      <c r="F50" s="67">
        <v>12.5</v>
      </c>
      <c r="G50" s="67"/>
      <c r="H50" s="67"/>
      <c r="I50" s="30">
        <v>3666.3900000000003</v>
      </c>
      <c r="J50" s="67"/>
      <c r="K50" s="239"/>
      <c r="L50" s="239"/>
      <c r="M50" s="241"/>
    </row>
    <row r="51" spans="1:13" ht="15.75" customHeight="1" outlineLevel="1">
      <c r="A51" s="100" t="s">
        <v>181</v>
      </c>
      <c r="B51" s="66" t="s">
        <v>89</v>
      </c>
      <c r="C51" s="27" t="s">
        <v>91</v>
      </c>
      <c r="D51" s="35">
        <v>3.3877443600000006E-3</v>
      </c>
      <c r="E51" s="67"/>
      <c r="F51" s="67">
        <v>57680</v>
      </c>
      <c r="G51" s="67"/>
      <c r="H51" s="67"/>
      <c r="I51" s="30">
        <v>195.40509468480002</v>
      </c>
      <c r="J51" s="67"/>
      <c r="K51" s="239"/>
      <c r="L51" s="239"/>
      <c r="M51" s="241"/>
    </row>
    <row r="52" spans="1:13" ht="45">
      <c r="A52" s="162">
        <v>12</v>
      </c>
      <c r="B52" s="70" t="s">
        <v>65</v>
      </c>
      <c r="C52" s="8" t="s">
        <v>0</v>
      </c>
      <c r="D52" s="69">
        <v>2.59</v>
      </c>
      <c r="E52" s="32">
        <v>650</v>
      </c>
      <c r="F52" s="33">
        <v>751.95220000000006</v>
      </c>
      <c r="G52" s="33">
        <v>1401.9522000000002</v>
      </c>
      <c r="H52" s="33">
        <v>1683.5</v>
      </c>
      <c r="I52" s="33">
        <v>1947.556198</v>
      </c>
      <c r="J52" s="31">
        <v>3631.0561980000002</v>
      </c>
      <c r="K52" s="239"/>
      <c r="L52" s="239"/>
      <c r="M52" s="241"/>
    </row>
    <row r="53" spans="1:13" ht="15.75" customHeight="1" outlineLevel="1">
      <c r="A53" s="100" t="s">
        <v>181</v>
      </c>
      <c r="B53" s="66" t="s">
        <v>88</v>
      </c>
      <c r="C53" s="27" t="s">
        <v>72</v>
      </c>
      <c r="D53" s="34">
        <v>0.12043500000000001</v>
      </c>
      <c r="E53" s="67"/>
      <c r="F53" s="67">
        <v>5800</v>
      </c>
      <c r="G53" s="67"/>
      <c r="H53" s="67"/>
      <c r="I53" s="30">
        <v>698.52300000000014</v>
      </c>
      <c r="J53" s="67"/>
      <c r="K53" s="239"/>
      <c r="L53" s="239"/>
      <c r="M53" s="241"/>
    </row>
    <row r="54" spans="1:13" ht="15.75" customHeight="1" outlineLevel="1">
      <c r="A54" s="100" t="s">
        <v>181</v>
      </c>
      <c r="B54" s="66" t="s">
        <v>92</v>
      </c>
      <c r="C54" s="28" t="s">
        <v>22</v>
      </c>
      <c r="D54" s="34">
        <v>77.699999999999989</v>
      </c>
      <c r="E54" s="67"/>
      <c r="F54" s="67">
        <v>12.5</v>
      </c>
      <c r="G54" s="67"/>
      <c r="H54" s="67"/>
      <c r="I54" s="30">
        <v>971.24999999999989</v>
      </c>
      <c r="J54" s="67"/>
      <c r="K54" s="239"/>
      <c r="L54" s="239"/>
      <c r="M54" s="241"/>
    </row>
    <row r="55" spans="1:13" ht="15.75" customHeight="1" outlineLevel="1">
      <c r="A55" s="100" t="s">
        <v>181</v>
      </c>
      <c r="B55" s="66" t="s">
        <v>89</v>
      </c>
      <c r="C55" s="27" t="s">
        <v>91</v>
      </c>
      <c r="D55" s="35">
        <v>3.9885999999999993E-3</v>
      </c>
      <c r="E55" s="67"/>
      <c r="F55" s="67">
        <v>57680</v>
      </c>
      <c r="G55" s="67"/>
      <c r="H55" s="67"/>
      <c r="I55" s="30">
        <v>230.06244799999996</v>
      </c>
      <c r="J55" s="67"/>
      <c r="K55" s="239"/>
      <c r="L55" s="239"/>
      <c r="M55" s="241"/>
    </row>
    <row r="56" spans="1:13" ht="15.75" customHeight="1" outlineLevel="1">
      <c r="A56" s="100" t="s">
        <v>181</v>
      </c>
      <c r="B56" s="66" t="s">
        <v>90</v>
      </c>
      <c r="C56" s="27" t="s">
        <v>91</v>
      </c>
      <c r="D56" s="36">
        <v>1.4245E-3</v>
      </c>
      <c r="E56" s="67"/>
      <c r="F56" s="67">
        <v>33500</v>
      </c>
      <c r="G56" s="67"/>
      <c r="H56" s="67"/>
      <c r="I56" s="30">
        <v>47.720750000000002</v>
      </c>
      <c r="J56" s="67"/>
      <c r="K56" s="239"/>
      <c r="L56" s="239"/>
      <c r="M56" s="241"/>
    </row>
    <row r="57" spans="1:13" ht="90" customHeight="1">
      <c r="A57" s="162">
        <v>13</v>
      </c>
      <c r="B57" s="70" t="s">
        <v>3</v>
      </c>
      <c r="C57" s="8" t="s">
        <v>0</v>
      </c>
      <c r="D57" s="69">
        <v>51</v>
      </c>
      <c r="E57" s="32">
        <v>441.6</v>
      </c>
      <c r="F57" s="33">
        <v>879.36270000000002</v>
      </c>
      <c r="G57" s="33">
        <v>1320.9627</v>
      </c>
      <c r="H57" s="33">
        <v>22521.600000000002</v>
      </c>
      <c r="I57" s="33">
        <v>44847.4977</v>
      </c>
      <c r="J57" s="31">
        <v>67369.097699999998</v>
      </c>
      <c r="K57" s="239"/>
      <c r="L57" s="239"/>
      <c r="M57" s="241"/>
    </row>
    <row r="58" spans="1:13" ht="15.75" customHeight="1" outlineLevel="1">
      <c r="A58" s="100" t="s">
        <v>181</v>
      </c>
      <c r="B58" s="66" t="s">
        <v>100</v>
      </c>
      <c r="C58" s="28" t="s">
        <v>0</v>
      </c>
      <c r="D58" s="34">
        <v>207.57000000000002</v>
      </c>
      <c r="E58" s="67"/>
      <c r="F58" s="67">
        <v>124.62</v>
      </c>
      <c r="G58" s="67"/>
      <c r="H58" s="67"/>
      <c r="I58" s="30">
        <v>25867.373400000004</v>
      </c>
      <c r="J58" s="67"/>
      <c r="K58" s="239"/>
      <c r="L58" s="239"/>
      <c r="M58" s="241"/>
    </row>
    <row r="59" spans="1:13" ht="15.75" customHeight="1" outlineLevel="1">
      <c r="A59" s="100" t="s">
        <v>181</v>
      </c>
      <c r="B59" s="66" t="s">
        <v>101</v>
      </c>
      <c r="C59" s="28" t="s">
        <v>29</v>
      </c>
      <c r="D59" s="34">
        <v>40.800000000000004</v>
      </c>
      <c r="E59" s="67"/>
      <c r="F59" s="67">
        <v>34</v>
      </c>
      <c r="G59" s="67"/>
      <c r="H59" s="67"/>
      <c r="I59" s="30">
        <v>1387.2</v>
      </c>
      <c r="J59" s="67"/>
      <c r="K59" s="239"/>
      <c r="L59" s="239"/>
      <c r="M59" s="241"/>
    </row>
    <row r="60" spans="1:13" ht="15.75" customHeight="1" outlineLevel="1">
      <c r="A60" s="100" t="s">
        <v>181</v>
      </c>
      <c r="B60" s="66" t="s">
        <v>102</v>
      </c>
      <c r="C60" s="28" t="s">
        <v>29</v>
      </c>
      <c r="D60" s="34">
        <v>107.10000000000001</v>
      </c>
      <c r="E60" s="67"/>
      <c r="F60" s="67">
        <v>45.67</v>
      </c>
      <c r="G60" s="67"/>
      <c r="H60" s="67"/>
      <c r="I60" s="30">
        <v>4891.2570000000005</v>
      </c>
      <c r="J60" s="67"/>
      <c r="K60" s="239"/>
      <c r="L60" s="239"/>
      <c r="M60" s="241"/>
    </row>
    <row r="61" spans="1:13" ht="15.75" customHeight="1" outlineLevel="1">
      <c r="A61" s="100" t="s">
        <v>181</v>
      </c>
      <c r="B61" s="66" t="s">
        <v>104</v>
      </c>
      <c r="C61" s="28" t="s">
        <v>22</v>
      </c>
      <c r="D61" s="34">
        <v>765</v>
      </c>
      <c r="E61" s="67"/>
      <c r="F61" s="67">
        <v>0.24</v>
      </c>
      <c r="G61" s="67"/>
      <c r="H61" s="67"/>
      <c r="I61" s="30">
        <v>183.6</v>
      </c>
      <c r="J61" s="67"/>
      <c r="K61" s="239"/>
      <c r="L61" s="239"/>
      <c r="M61" s="241"/>
    </row>
    <row r="62" spans="1:13" ht="15.75" customHeight="1" outlineLevel="1">
      <c r="A62" s="100" t="s">
        <v>181</v>
      </c>
      <c r="B62" s="66" t="s">
        <v>103</v>
      </c>
      <c r="C62" s="28" t="s">
        <v>22</v>
      </c>
      <c r="D62" s="34">
        <v>1938</v>
      </c>
      <c r="E62" s="67"/>
      <c r="F62" s="67">
        <v>0.26</v>
      </c>
      <c r="G62" s="67"/>
      <c r="H62" s="67"/>
      <c r="I62" s="30">
        <v>503.88</v>
      </c>
      <c r="J62" s="67"/>
      <c r="K62" s="239"/>
      <c r="L62" s="239"/>
      <c r="M62" s="241"/>
    </row>
    <row r="63" spans="1:13" ht="15.75" customHeight="1" outlineLevel="1">
      <c r="A63" s="100" t="s">
        <v>181</v>
      </c>
      <c r="B63" s="66" t="s">
        <v>87</v>
      </c>
      <c r="C63" s="28" t="s">
        <v>22</v>
      </c>
      <c r="D63" s="34">
        <v>83.13</v>
      </c>
      <c r="E63" s="67"/>
      <c r="F63" s="67">
        <v>0.6</v>
      </c>
      <c r="G63" s="67"/>
      <c r="H63" s="67"/>
      <c r="I63" s="30">
        <v>49.877999999999993</v>
      </c>
      <c r="J63" s="67"/>
      <c r="K63" s="239"/>
      <c r="L63" s="239"/>
      <c r="M63" s="241"/>
    </row>
    <row r="64" spans="1:13" ht="15.75" customHeight="1" outlineLevel="1">
      <c r="A64" s="100" t="s">
        <v>181</v>
      </c>
      <c r="B64" s="66" t="s">
        <v>109</v>
      </c>
      <c r="C64" s="28" t="s">
        <v>22</v>
      </c>
      <c r="D64" s="34">
        <v>239.70000000000002</v>
      </c>
      <c r="E64" s="67"/>
      <c r="F64" s="67">
        <v>0.23</v>
      </c>
      <c r="G64" s="67"/>
      <c r="H64" s="67"/>
      <c r="I64" s="30">
        <v>55.131000000000007</v>
      </c>
      <c r="J64" s="67"/>
      <c r="K64" s="239"/>
      <c r="L64" s="239"/>
      <c r="M64" s="241"/>
    </row>
    <row r="65" spans="1:13" ht="15.75" customHeight="1" outlineLevel="1">
      <c r="A65" s="100" t="s">
        <v>181</v>
      </c>
      <c r="B65" s="66" t="s">
        <v>170</v>
      </c>
      <c r="C65" s="28" t="s">
        <v>95</v>
      </c>
      <c r="D65" s="34">
        <v>10.709999999999999</v>
      </c>
      <c r="E65" s="67"/>
      <c r="F65" s="67">
        <v>48.8</v>
      </c>
      <c r="G65" s="67"/>
      <c r="H65" s="67"/>
      <c r="I65" s="30">
        <v>522.64799999999991</v>
      </c>
      <c r="J65" s="67"/>
      <c r="K65" s="239"/>
      <c r="L65" s="239"/>
      <c r="M65" s="241"/>
    </row>
    <row r="66" spans="1:13" ht="15.75" customHeight="1" outlineLevel="1">
      <c r="A66" s="100" t="s">
        <v>181</v>
      </c>
      <c r="B66" s="66" t="s">
        <v>171</v>
      </c>
      <c r="C66" s="28" t="s">
        <v>95</v>
      </c>
      <c r="D66" s="34">
        <v>76.5</v>
      </c>
      <c r="E66" s="67"/>
      <c r="F66" s="67">
        <v>15</v>
      </c>
      <c r="G66" s="67"/>
      <c r="H66" s="67"/>
      <c r="I66" s="30">
        <v>1147.5</v>
      </c>
      <c r="J66" s="67"/>
      <c r="K66" s="239"/>
      <c r="L66" s="239"/>
      <c r="M66" s="241"/>
    </row>
    <row r="67" spans="1:13" ht="15.75" customHeight="1" outlineLevel="1">
      <c r="A67" s="100" t="s">
        <v>181</v>
      </c>
      <c r="B67" s="66" t="s">
        <v>96</v>
      </c>
      <c r="C67" s="28" t="s">
        <v>29</v>
      </c>
      <c r="D67" s="34">
        <v>90.27</v>
      </c>
      <c r="E67" s="67"/>
      <c r="F67" s="67">
        <v>0.71</v>
      </c>
      <c r="G67" s="67"/>
      <c r="H67" s="67"/>
      <c r="I67" s="30">
        <v>64.091699999999989</v>
      </c>
      <c r="J67" s="67"/>
      <c r="K67" s="239"/>
      <c r="L67" s="239"/>
      <c r="M67" s="241"/>
    </row>
    <row r="68" spans="1:13" ht="15.75" customHeight="1" outlineLevel="1">
      <c r="A68" s="100" t="s">
        <v>181</v>
      </c>
      <c r="B68" s="66" t="s">
        <v>97</v>
      </c>
      <c r="C68" s="28" t="s">
        <v>29</v>
      </c>
      <c r="D68" s="34">
        <v>61.199999999999996</v>
      </c>
      <c r="E68" s="67"/>
      <c r="F68" s="67">
        <v>8.3000000000000007</v>
      </c>
      <c r="G68" s="67"/>
      <c r="H68" s="67"/>
      <c r="I68" s="30">
        <v>507.96000000000004</v>
      </c>
      <c r="J68" s="67"/>
      <c r="K68" s="239"/>
      <c r="L68" s="239"/>
      <c r="M68" s="241"/>
    </row>
    <row r="69" spans="1:13" ht="15.75" customHeight="1" outlineLevel="1">
      <c r="A69" s="100" t="s">
        <v>181</v>
      </c>
      <c r="B69" s="66" t="s">
        <v>98</v>
      </c>
      <c r="C69" s="28" t="s">
        <v>99</v>
      </c>
      <c r="D69" s="34">
        <v>10.200000000000001</v>
      </c>
      <c r="E69" s="67"/>
      <c r="F69" s="67">
        <v>55.6</v>
      </c>
      <c r="G69" s="67"/>
      <c r="H69" s="67"/>
      <c r="I69" s="30">
        <v>567.12000000000012</v>
      </c>
      <c r="J69" s="67"/>
      <c r="K69" s="239"/>
      <c r="L69" s="239"/>
      <c r="M69" s="241"/>
    </row>
    <row r="70" spans="1:13" ht="30" customHeight="1" outlineLevel="1">
      <c r="A70" s="100" t="s">
        <v>181</v>
      </c>
      <c r="B70" s="66" t="s">
        <v>105</v>
      </c>
      <c r="C70" s="28" t="s">
        <v>0</v>
      </c>
      <c r="D70" s="37">
        <v>52.02</v>
      </c>
      <c r="E70" s="67"/>
      <c r="F70" s="67">
        <v>174.93</v>
      </c>
      <c r="G70" s="67"/>
      <c r="H70" s="67"/>
      <c r="I70" s="30">
        <v>9099.8586000000014</v>
      </c>
      <c r="J70" s="67"/>
      <c r="K70" s="239"/>
      <c r="L70" s="239"/>
      <c r="M70" s="241"/>
    </row>
    <row r="71" spans="1:13" ht="75" customHeight="1">
      <c r="A71" s="162">
        <v>14</v>
      </c>
      <c r="B71" s="70" t="s">
        <v>66</v>
      </c>
      <c r="C71" s="8" t="s">
        <v>0</v>
      </c>
      <c r="D71" s="69">
        <v>28.770800000000001</v>
      </c>
      <c r="E71" s="32">
        <v>259.2</v>
      </c>
      <c r="F71" s="33">
        <v>280.02654999999999</v>
      </c>
      <c r="G71" s="33">
        <v>539.22654999999997</v>
      </c>
      <c r="H71" s="33">
        <v>7457.3913599999996</v>
      </c>
      <c r="I71" s="33">
        <v>8056.5878647400004</v>
      </c>
      <c r="J71" s="31">
        <v>15513.97922474</v>
      </c>
      <c r="K71" s="239"/>
      <c r="L71" s="239"/>
      <c r="M71" s="241"/>
    </row>
    <row r="72" spans="1:13" ht="15.75" customHeight="1" outlineLevel="1">
      <c r="A72" s="100" t="s">
        <v>181</v>
      </c>
      <c r="B72" s="66" t="s">
        <v>93</v>
      </c>
      <c r="C72" s="28" t="s">
        <v>0</v>
      </c>
      <c r="D72" s="34">
        <v>30.784756000000002</v>
      </c>
      <c r="E72" s="67"/>
      <c r="F72" s="67">
        <v>124.62</v>
      </c>
      <c r="G72" s="67"/>
      <c r="H72" s="67"/>
      <c r="I72" s="30">
        <v>3836.3962927200005</v>
      </c>
      <c r="J72" s="67"/>
      <c r="K72" s="239"/>
      <c r="L72" s="239"/>
      <c r="M72" s="241"/>
    </row>
    <row r="73" spans="1:13" ht="15.75" customHeight="1" outlineLevel="1">
      <c r="A73" s="100" t="s">
        <v>181</v>
      </c>
      <c r="B73" s="66" t="s">
        <v>106</v>
      </c>
      <c r="C73" s="28" t="s">
        <v>29</v>
      </c>
      <c r="D73" s="34">
        <v>35.100376000000004</v>
      </c>
      <c r="E73" s="67"/>
      <c r="F73" s="67">
        <v>27.1</v>
      </c>
      <c r="G73" s="67"/>
      <c r="H73" s="67"/>
      <c r="I73" s="30">
        <v>951.22018960000014</v>
      </c>
      <c r="J73" s="67"/>
      <c r="K73" s="239"/>
      <c r="L73" s="239"/>
      <c r="M73" s="241"/>
    </row>
    <row r="74" spans="1:13" ht="15.75" customHeight="1" outlineLevel="1">
      <c r="A74" s="100" t="s">
        <v>181</v>
      </c>
      <c r="B74" s="66" t="s">
        <v>107</v>
      </c>
      <c r="C74" s="28" t="s">
        <v>29</v>
      </c>
      <c r="D74" s="34">
        <v>67.323672000000002</v>
      </c>
      <c r="E74" s="67"/>
      <c r="F74" s="67">
        <v>34.07</v>
      </c>
      <c r="G74" s="67"/>
      <c r="H74" s="67"/>
      <c r="I74" s="30">
        <v>2293.7175050400001</v>
      </c>
      <c r="J74" s="67"/>
      <c r="K74" s="239"/>
      <c r="L74" s="239"/>
      <c r="M74" s="241"/>
    </row>
    <row r="75" spans="1:13" ht="15.75" customHeight="1" outlineLevel="1">
      <c r="A75" s="100" t="s">
        <v>181</v>
      </c>
      <c r="B75" s="66" t="s">
        <v>104</v>
      </c>
      <c r="C75" s="28" t="s">
        <v>22</v>
      </c>
      <c r="D75" s="34">
        <v>575.41600000000005</v>
      </c>
      <c r="E75" s="67"/>
      <c r="F75" s="67">
        <v>0.24</v>
      </c>
      <c r="G75" s="67"/>
      <c r="H75" s="67"/>
      <c r="I75" s="30">
        <v>138.09984</v>
      </c>
      <c r="J75" s="67"/>
      <c r="K75" s="239"/>
      <c r="L75" s="239"/>
      <c r="M75" s="241"/>
    </row>
    <row r="76" spans="1:13" ht="15.75" customHeight="1" outlineLevel="1">
      <c r="A76" s="100" t="s">
        <v>181</v>
      </c>
      <c r="B76" s="66" t="s">
        <v>87</v>
      </c>
      <c r="C76" s="28" t="s">
        <v>22</v>
      </c>
      <c r="D76" s="34">
        <v>46.896403999999997</v>
      </c>
      <c r="E76" s="67"/>
      <c r="F76" s="67">
        <v>0.6</v>
      </c>
      <c r="G76" s="67"/>
      <c r="H76" s="67"/>
      <c r="I76" s="30">
        <v>28.137842399999997</v>
      </c>
      <c r="J76" s="67"/>
      <c r="K76" s="239"/>
      <c r="L76" s="239"/>
      <c r="M76" s="241"/>
    </row>
    <row r="77" spans="1:13" ht="15.75" customHeight="1" outlineLevel="1">
      <c r="A77" s="100" t="s">
        <v>181</v>
      </c>
      <c r="B77" s="66" t="s">
        <v>109</v>
      </c>
      <c r="C77" s="28" t="s">
        <v>22</v>
      </c>
      <c r="D77" s="34">
        <v>135.22276000000002</v>
      </c>
      <c r="E77" s="67"/>
      <c r="F77" s="67">
        <v>0.23</v>
      </c>
      <c r="G77" s="67"/>
      <c r="H77" s="67"/>
      <c r="I77" s="30">
        <v>31.101234800000007</v>
      </c>
      <c r="J77" s="67"/>
      <c r="K77" s="239"/>
      <c r="L77" s="239"/>
      <c r="M77" s="241"/>
    </row>
    <row r="78" spans="1:13" ht="15.75" customHeight="1" outlineLevel="1">
      <c r="A78" s="100" t="s">
        <v>181</v>
      </c>
      <c r="B78" s="66" t="s">
        <v>170</v>
      </c>
      <c r="C78" s="28" t="s">
        <v>95</v>
      </c>
      <c r="D78" s="34">
        <v>1.4385400000000002</v>
      </c>
      <c r="E78" s="67"/>
      <c r="F78" s="67">
        <v>48.8</v>
      </c>
      <c r="G78" s="67"/>
      <c r="H78" s="67"/>
      <c r="I78" s="30">
        <v>70.200752000000008</v>
      </c>
      <c r="J78" s="67"/>
      <c r="K78" s="239"/>
      <c r="L78" s="239"/>
      <c r="M78" s="241"/>
    </row>
    <row r="79" spans="1:13" ht="15.75" customHeight="1" outlineLevel="1">
      <c r="A79" s="100" t="s">
        <v>181</v>
      </c>
      <c r="B79" s="66" t="s">
        <v>171</v>
      </c>
      <c r="C79" s="28" t="s">
        <v>95</v>
      </c>
      <c r="D79" s="34">
        <v>11.508320000000001</v>
      </c>
      <c r="E79" s="67"/>
      <c r="F79" s="67">
        <v>15</v>
      </c>
      <c r="G79" s="67"/>
      <c r="H79" s="67"/>
      <c r="I79" s="30">
        <v>172.62480000000002</v>
      </c>
      <c r="J79" s="67"/>
      <c r="K79" s="239"/>
      <c r="L79" s="239"/>
      <c r="M79" s="241"/>
    </row>
    <row r="80" spans="1:13" ht="15.75" customHeight="1" outlineLevel="1">
      <c r="A80" s="100" t="s">
        <v>181</v>
      </c>
      <c r="B80" s="66" t="s">
        <v>96</v>
      </c>
      <c r="C80" s="28" t="s">
        <v>29</v>
      </c>
      <c r="D80" s="34">
        <v>25.462158000000002</v>
      </c>
      <c r="E80" s="67"/>
      <c r="F80" s="67">
        <v>0.71</v>
      </c>
      <c r="G80" s="67"/>
      <c r="H80" s="67"/>
      <c r="I80" s="30">
        <v>18.078132180000001</v>
      </c>
      <c r="J80" s="67"/>
      <c r="K80" s="239"/>
      <c r="L80" s="239"/>
      <c r="M80" s="241"/>
    </row>
    <row r="81" spans="1:13" ht="15.75" customHeight="1" outlineLevel="1">
      <c r="A81" s="100" t="s">
        <v>181</v>
      </c>
      <c r="B81" s="66" t="s">
        <v>97</v>
      </c>
      <c r="C81" s="28" t="s">
        <v>29</v>
      </c>
      <c r="D81" s="34">
        <v>34.52496</v>
      </c>
      <c r="E81" s="67"/>
      <c r="F81" s="67">
        <v>8.3000000000000007</v>
      </c>
      <c r="G81" s="67"/>
      <c r="H81" s="67"/>
      <c r="I81" s="30">
        <v>286.55716800000005</v>
      </c>
      <c r="J81" s="67"/>
      <c r="K81" s="239"/>
      <c r="L81" s="239"/>
      <c r="M81" s="241"/>
    </row>
    <row r="82" spans="1:13" ht="15.75" customHeight="1" outlineLevel="1">
      <c r="A82" s="100" t="s">
        <v>181</v>
      </c>
      <c r="B82" s="66" t="s">
        <v>108</v>
      </c>
      <c r="C82" s="28" t="s">
        <v>22</v>
      </c>
      <c r="D82" s="34">
        <v>20.139559999999999</v>
      </c>
      <c r="E82" s="67"/>
      <c r="F82" s="67">
        <v>3.5</v>
      </c>
      <c r="G82" s="67"/>
      <c r="H82" s="67"/>
      <c r="I82" s="30">
        <v>70.488460000000003</v>
      </c>
      <c r="J82" s="67"/>
      <c r="K82" s="239"/>
      <c r="L82" s="239"/>
      <c r="M82" s="241"/>
    </row>
    <row r="83" spans="1:13" ht="15.75" customHeight="1" outlineLevel="1">
      <c r="A83" s="100" t="s">
        <v>181</v>
      </c>
      <c r="B83" s="66" t="s">
        <v>98</v>
      </c>
      <c r="C83" s="28" t="s">
        <v>99</v>
      </c>
      <c r="D83" s="34">
        <v>2.8770800000000003</v>
      </c>
      <c r="E83" s="67"/>
      <c r="F83" s="67">
        <v>55.6</v>
      </c>
      <c r="G83" s="67"/>
      <c r="H83" s="67"/>
      <c r="I83" s="30">
        <v>159.96564800000002</v>
      </c>
      <c r="J83" s="67"/>
      <c r="K83" s="239"/>
      <c r="L83" s="239"/>
      <c r="M83" s="241"/>
    </row>
    <row r="84" spans="1:13" ht="75" customHeight="1">
      <c r="A84" s="162">
        <v>15</v>
      </c>
      <c r="B84" s="70" t="s">
        <v>74</v>
      </c>
      <c r="C84" s="8" t="s">
        <v>0</v>
      </c>
      <c r="D84" s="69">
        <v>33.700000000000003</v>
      </c>
      <c r="E84" s="32">
        <v>336</v>
      </c>
      <c r="F84" s="33">
        <v>494.01715000000007</v>
      </c>
      <c r="G84" s="33">
        <v>830.01715000000013</v>
      </c>
      <c r="H84" s="33">
        <v>11323.2</v>
      </c>
      <c r="I84" s="33">
        <v>16648.377955000004</v>
      </c>
      <c r="J84" s="31">
        <v>27971.577955000004</v>
      </c>
      <c r="K84" s="239"/>
      <c r="L84" s="239"/>
      <c r="M84" s="241"/>
    </row>
    <row r="85" spans="1:13" ht="15.75" customHeight="1" outlineLevel="1">
      <c r="A85" s="100" t="s">
        <v>181</v>
      </c>
      <c r="B85" s="66" t="s">
        <v>93</v>
      </c>
      <c r="C85" s="28" t="s">
        <v>0</v>
      </c>
      <c r="D85" s="34">
        <v>36.059000000000005</v>
      </c>
      <c r="E85" s="67"/>
      <c r="F85" s="67">
        <v>124.62</v>
      </c>
      <c r="G85" s="67"/>
      <c r="H85" s="67"/>
      <c r="I85" s="30">
        <v>4493.6725800000004</v>
      </c>
      <c r="J85" s="67"/>
      <c r="K85" s="239"/>
      <c r="L85" s="239"/>
      <c r="M85" s="241"/>
    </row>
    <row r="86" spans="1:13" ht="15.75" customHeight="1" outlineLevel="1">
      <c r="A86" s="100" t="s">
        <v>181</v>
      </c>
      <c r="B86" s="66" t="s">
        <v>101</v>
      </c>
      <c r="C86" s="28" t="s">
        <v>29</v>
      </c>
      <c r="D86" s="34">
        <v>41.114000000000004</v>
      </c>
      <c r="E86" s="67"/>
      <c r="F86" s="67">
        <v>34</v>
      </c>
      <c r="G86" s="67"/>
      <c r="H86" s="67"/>
      <c r="I86" s="30">
        <v>1397.8760000000002</v>
      </c>
      <c r="J86" s="67"/>
      <c r="K86" s="239"/>
      <c r="L86" s="239"/>
      <c r="M86" s="241"/>
    </row>
    <row r="87" spans="1:13" ht="15.75" customHeight="1" outlineLevel="1">
      <c r="A87" s="100" t="s">
        <v>181</v>
      </c>
      <c r="B87" s="66" t="s">
        <v>102</v>
      </c>
      <c r="C87" s="28" t="s">
        <v>29</v>
      </c>
      <c r="D87" s="34">
        <v>78.858000000000004</v>
      </c>
      <c r="E87" s="67"/>
      <c r="F87" s="67">
        <v>45.67</v>
      </c>
      <c r="G87" s="67"/>
      <c r="H87" s="67"/>
      <c r="I87" s="30">
        <v>3601.4448600000005</v>
      </c>
      <c r="J87" s="67"/>
      <c r="K87" s="239"/>
      <c r="L87" s="239"/>
      <c r="M87" s="241"/>
    </row>
    <row r="88" spans="1:13" ht="15.75" customHeight="1" outlineLevel="1">
      <c r="A88" s="100" t="s">
        <v>181</v>
      </c>
      <c r="B88" s="66" t="s">
        <v>104</v>
      </c>
      <c r="C88" s="28" t="s">
        <v>22</v>
      </c>
      <c r="D88" s="34">
        <v>674</v>
      </c>
      <c r="E88" s="67"/>
      <c r="F88" s="67">
        <v>0.24</v>
      </c>
      <c r="G88" s="67"/>
      <c r="H88" s="67"/>
      <c r="I88" s="30">
        <v>161.76</v>
      </c>
      <c r="J88" s="67"/>
      <c r="K88" s="239"/>
      <c r="L88" s="239"/>
      <c r="M88" s="241"/>
    </row>
    <row r="89" spans="1:13" ht="15.75" customHeight="1" outlineLevel="1">
      <c r="A89" s="100" t="s">
        <v>181</v>
      </c>
      <c r="B89" s="66" t="s">
        <v>87</v>
      </c>
      <c r="C89" s="28" t="s">
        <v>22</v>
      </c>
      <c r="D89" s="34">
        <v>54.931000000000004</v>
      </c>
      <c r="E89" s="67"/>
      <c r="F89" s="67">
        <v>0.6</v>
      </c>
      <c r="G89" s="67"/>
      <c r="H89" s="67"/>
      <c r="I89" s="30">
        <v>32.958600000000004</v>
      </c>
      <c r="J89" s="67"/>
      <c r="K89" s="239"/>
      <c r="L89" s="239"/>
      <c r="M89" s="241"/>
    </row>
    <row r="90" spans="1:13" ht="15.75" customHeight="1" outlineLevel="1">
      <c r="A90" s="100" t="s">
        <v>181</v>
      </c>
      <c r="B90" s="66" t="s">
        <v>109</v>
      </c>
      <c r="C90" s="28" t="s">
        <v>22</v>
      </c>
      <c r="D90" s="34">
        <v>158.39000000000001</v>
      </c>
      <c r="E90" s="67"/>
      <c r="F90" s="67">
        <v>0.23</v>
      </c>
      <c r="G90" s="67"/>
      <c r="H90" s="67"/>
      <c r="I90" s="30">
        <v>36.429700000000004</v>
      </c>
      <c r="J90" s="67"/>
      <c r="K90" s="239"/>
      <c r="L90" s="239"/>
      <c r="M90" s="241"/>
    </row>
    <row r="91" spans="1:13" ht="15.75" customHeight="1" outlineLevel="1">
      <c r="A91" s="100" t="s">
        <v>181</v>
      </c>
      <c r="B91" s="66" t="s">
        <v>170</v>
      </c>
      <c r="C91" s="28" t="s">
        <v>95</v>
      </c>
      <c r="D91" s="34">
        <v>1.6850000000000003</v>
      </c>
      <c r="E91" s="67"/>
      <c r="F91" s="67">
        <v>48.8</v>
      </c>
      <c r="G91" s="67"/>
      <c r="H91" s="67"/>
      <c r="I91" s="30">
        <v>82.228000000000009</v>
      </c>
      <c r="J91" s="67"/>
      <c r="K91" s="239"/>
      <c r="L91" s="239"/>
      <c r="M91" s="241"/>
    </row>
    <row r="92" spans="1:13" ht="15.75" customHeight="1" outlineLevel="1">
      <c r="A92" s="100" t="s">
        <v>181</v>
      </c>
      <c r="B92" s="66" t="s">
        <v>171</v>
      </c>
      <c r="C92" s="28" t="s">
        <v>95</v>
      </c>
      <c r="D92" s="34">
        <v>13.480000000000002</v>
      </c>
      <c r="E92" s="67"/>
      <c r="F92" s="67">
        <v>15</v>
      </c>
      <c r="G92" s="67"/>
      <c r="H92" s="67"/>
      <c r="I92" s="30">
        <v>202.20000000000005</v>
      </c>
      <c r="J92" s="67"/>
      <c r="K92" s="239"/>
      <c r="L92" s="239"/>
      <c r="M92" s="241"/>
    </row>
    <row r="93" spans="1:13" ht="15.75" customHeight="1" outlineLevel="1">
      <c r="A93" s="100" t="s">
        <v>181</v>
      </c>
      <c r="B93" s="66" t="s">
        <v>96</v>
      </c>
      <c r="C93" s="28" t="s">
        <v>29</v>
      </c>
      <c r="D93" s="34">
        <v>29.824500000000004</v>
      </c>
      <c r="E93" s="67"/>
      <c r="F93" s="67">
        <v>0.71</v>
      </c>
      <c r="G93" s="67"/>
      <c r="H93" s="67"/>
      <c r="I93" s="30">
        <v>21.175395000000002</v>
      </c>
      <c r="J93" s="67"/>
      <c r="K93" s="239"/>
      <c r="L93" s="239"/>
      <c r="M93" s="241"/>
    </row>
    <row r="94" spans="1:13" ht="15.75" customHeight="1" outlineLevel="1">
      <c r="A94" s="100" t="s">
        <v>181</v>
      </c>
      <c r="B94" s="66" t="s">
        <v>97</v>
      </c>
      <c r="C94" s="28" t="s">
        <v>29</v>
      </c>
      <c r="D94" s="34">
        <v>40.440000000000005</v>
      </c>
      <c r="E94" s="67"/>
      <c r="F94" s="67">
        <v>8.3000000000000007</v>
      </c>
      <c r="G94" s="67"/>
      <c r="H94" s="67"/>
      <c r="I94" s="30">
        <v>335.65200000000004</v>
      </c>
      <c r="J94" s="67"/>
      <c r="K94" s="239"/>
      <c r="L94" s="239"/>
      <c r="M94" s="241"/>
    </row>
    <row r="95" spans="1:13" ht="15.75" customHeight="1" outlineLevel="1">
      <c r="A95" s="100" t="s">
        <v>181</v>
      </c>
      <c r="B95" s="66" t="s">
        <v>108</v>
      </c>
      <c r="C95" s="28" t="s">
        <v>22</v>
      </c>
      <c r="D95" s="34">
        <v>23.59</v>
      </c>
      <c r="E95" s="67"/>
      <c r="F95" s="67">
        <v>3.5</v>
      </c>
      <c r="G95" s="67"/>
      <c r="H95" s="67"/>
      <c r="I95" s="30">
        <v>82.564999999999998</v>
      </c>
      <c r="J95" s="67"/>
      <c r="K95" s="239"/>
      <c r="L95" s="239"/>
      <c r="M95" s="241"/>
    </row>
    <row r="96" spans="1:13" ht="15.75" customHeight="1" outlineLevel="1">
      <c r="A96" s="100" t="s">
        <v>181</v>
      </c>
      <c r="B96" s="66" t="s">
        <v>98</v>
      </c>
      <c r="C96" s="28" t="s">
        <v>99</v>
      </c>
      <c r="D96" s="34">
        <v>3.3700000000000006</v>
      </c>
      <c r="E96" s="67"/>
      <c r="F96" s="67">
        <v>55.6</v>
      </c>
      <c r="G96" s="67"/>
      <c r="H96" s="67"/>
      <c r="I96" s="30">
        <v>187.37200000000004</v>
      </c>
      <c r="J96" s="67"/>
      <c r="K96" s="239"/>
      <c r="L96" s="239"/>
      <c r="M96" s="241"/>
    </row>
    <row r="97" spans="1:13" ht="30" customHeight="1" outlineLevel="1">
      <c r="A97" s="100" t="s">
        <v>181</v>
      </c>
      <c r="B97" s="66" t="s">
        <v>105</v>
      </c>
      <c r="C97" s="28" t="s">
        <v>0</v>
      </c>
      <c r="D97" s="37">
        <v>34.374000000000002</v>
      </c>
      <c r="E97" s="67"/>
      <c r="F97" s="67">
        <v>174.93</v>
      </c>
      <c r="G97" s="67"/>
      <c r="H97" s="67"/>
      <c r="I97" s="30">
        <v>6013.0438200000008</v>
      </c>
      <c r="J97" s="67"/>
      <c r="K97" s="239"/>
      <c r="L97" s="239"/>
      <c r="M97" s="241"/>
    </row>
    <row r="98" spans="1:13" ht="45">
      <c r="A98" s="162">
        <v>16</v>
      </c>
      <c r="B98" s="70" t="s">
        <v>110</v>
      </c>
      <c r="C98" s="8" t="s">
        <v>0</v>
      </c>
      <c r="D98" s="69">
        <v>14.07</v>
      </c>
      <c r="E98" s="32">
        <v>278.39999999999998</v>
      </c>
      <c r="F98" s="33">
        <v>257.59215000000006</v>
      </c>
      <c r="G98" s="33">
        <v>535.99215000000004</v>
      </c>
      <c r="H98" s="33">
        <v>3917.0879999999997</v>
      </c>
      <c r="I98" s="33">
        <v>3624.3215505000012</v>
      </c>
      <c r="J98" s="31">
        <v>7541.4095505000005</v>
      </c>
      <c r="K98" s="239"/>
      <c r="L98" s="239"/>
      <c r="M98" s="241"/>
    </row>
    <row r="99" spans="1:13" ht="15.75" customHeight="1" outlineLevel="1">
      <c r="A99" s="100" t="s">
        <v>181</v>
      </c>
      <c r="B99" s="66" t="s">
        <v>100</v>
      </c>
      <c r="C99" s="28" t="s">
        <v>0</v>
      </c>
      <c r="D99" s="34">
        <v>15.054900000000002</v>
      </c>
      <c r="E99" s="67"/>
      <c r="F99" s="67">
        <v>124.62</v>
      </c>
      <c r="G99" s="67"/>
      <c r="H99" s="67"/>
      <c r="I99" s="30">
        <v>1876.1416380000003</v>
      </c>
      <c r="J99" s="67"/>
      <c r="K99" s="239"/>
      <c r="L99" s="239"/>
      <c r="M99" s="241"/>
    </row>
    <row r="100" spans="1:13" ht="15.75" customHeight="1" outlineLevel="1">
      <c r="A100" s="100" t="s">
        <v>181</v>
      </c>
      <c r="B100" s="66" t="s">
        <v>111</v>
      </c>
      <c r="C100" s="28" t="s">
        <v>29</v>
      </c>
      <c r="D100" s="34">
        <v>18.291</v>
      </c>
      <c r="E100" s="67"/>
      <c r="F100" s="67">
        <v>14.7</v>
      </c>
      <c r="G100" s="67"/>
      <c r="H100" s="67"/>
      <c r="I100" s="30">
        <v>268.8777</v>
      </c>
      <c r="J100" s="67"/>
      <c r="K100" s="239"/>
      <c r="L100" s="239"/>
      <c r="M100" s="241"/>
    </row>
    <row r="101" spans="1:13" ht="15.75" customHeight="1" outlineLevel="1">
      <c r="A101" s="100" t="s">
        <v>181</v>
      </c>
      <c r="B101" s="66" t="s">
        <v>112</v>
      </c>
      <c r="C101" s="28" t="s">
        <v>29</v>
      </c>
      <c r="D101" s="34">
        <v>35.7378</v>
      </c>
      <c r="E101" s="67"/>
      <c r="F101" s="67">
        <v>26.33</v>
      </c>
      <c r="G101" s="67"/>
      <c r="H101" s="67"/>
      <c r="I101" s="30">
        <v>940.97627399999999</v>
      </c>
      <c r="J101" s="67"/>
      <c r="K101" s="239"/>
      <c r="L101" s="239"/>
      <c r="M101" s="241"/>
    </row>
    <row r="102" spans="1:13" ht="15.75" customHeight="1" outlineLevel="1">
      <c r="A102" s="100" t="s">
        <v>181</v>
      </c>
      <c r="B102" s="66" t="s">
        <v>104</v>
      </c>
      <c r="C102" s="28" t="s">
        <v>22</v>
      </c>
      <c r="D102" s="34">
        <v>273.38010000000003</v>
      </c>
      <c r="E102" s="67"/>
      <c r="F102" s="67">
        <v>0.24</v>
      </c>
      <c r="G102" s="67"/>
      <c r="H102" s="67"/>
      <c r="I102" s="30">
        <v>65.611224000000007</v>
      </c>
      <c r="J102" s="67"/>
      <c r="K102" s="239"/>
      <c r="L102" s="239"/>
      <c r="M102" s="241"/>
    </row>
    <row r="103" spans="1:13" ht="15.75" customHeight="1" outlineLevel="1">
      <c r="A103" s="100" t="s">
        <v>181</v>
      </c>
      <c r="B103" s="66" t="s">
        <v>87</v>
      </c>
      <c r="C103" s="28" t="s">
        <v>22</v>
      </c>
      <c r="D103" s="34">
        <v>22.934099999999997</v>
      </c>
      <c r="E103" s="67"/>
      <c r="F103" s="67">
        <v>0.6</v>
      </c>
      <c r="G103" s="67"/>
      <c r="H103" s="67"/>
      <c r="I103" s="30">
        <v>13.760459999999998</v>
      </c>
      <c r="J103" s="67"/>
      <c r="K103" s="239"/>
      <c r="L103" s="239"/>
      <c r="M103" s="241"/>
    </row>
    <row r="104" spans="1:13" ht="15.75" customHeight="1" outlineLevel="1">
      <c r="A104" s="100" t="s">
        <v>181</v>
      </c>
      <c r="B104" s="66" t="s">
        <v>109</v>
      </c>
      <c r="C104" s="28" t="s">
        <v>22</v>
      </c>
      <c r="D104" s="34">
        <v>66.129000000000005</v>
      </c>
      <c r="E104" s="67"/>
      <c r="F104" s="67">
        <v>0.23</v>
      </c>
      <c r="G104" s="67"/>
      <c r="H104" s="67"/>
      <c r="I104" s="30">
        <v>15.209670000000001</v>
      </c>
      <c r="J104" s="67"/>
      <c r="K104" s="239"/>
      <c r="L104" s="239"/>
      <c r="M104" s="241"/>
    </row>
    <row r="105" spans="1:13" ht="15.75" customHeight="1" outlineLevel="1">
      <c r="A105" s="100" t="s">
        <v>181</v>
      </c>
      <c r="B105" s="66" t="s">
        <v>170</v>
      </c>
      <c r="C105" s="28" t="s">
        <v>95</v>
      </c>
      <c r="D105" s="34">
        <v>0.70350000000000001</v>
      </c>
      <c r="E105" s="67"/>
      <c r="F105" s="67">
        <v>48.8</v>
      </c>
      <c r="G105" s="67"/>
      <c r="H105" s="67"/>
      <c r="I105" s="30">
        <v>34.330799999999996</v>
      </c>
      <c r="J105" s="67"/>
      <c r="K105" s="239"/>
      <c r="L105" s="239"/>
      <c r="M105" s="241"/>
    </row>
    <row r="106" spans="1:13" ht="15.75" customHeight="1" outlineLevel="1">
      <c r="A106" s="100" t="s">
        <v>181</v>
      </c>
      <c r="B106" s="66" t="s">
        <v>171</v>
      </c>
      <c r="C106" s="28" t="s">
        <v>95</v>
      </c>
      <c r="D106" s="34">
        <v>9.8490000000000002</v>
      </c>
      <c r="E106" s="67"/>
      <c r="F106" s="67">
        <v>15</v>
      </c>
      <c r="G106" s="67"/>
      <c r="H106" s="67"/>
      <c r="I106" s="30">
        <v>147.73500000000001</v>
      </c>
      <c r="J106" s="67"/>
      <c r="K106" s="239"/>
      <c r="L106" s="239"/>
      <c r="M106" s="241"/>
    </row>
    <row r="107" spans="1:13" ht="15.75" customHeight="1" outlineLevel="1">
      <c r="A107" s="100" t="s">
        <v>181</v>
      </c>
      <c r="B107" s="66" t="s">
        <v>96</v>
      </c>
      <c r="C107" s="28" t="s">
        <v>29</v>
      </c>
      <c r="D107" s="34">
        <v>12.45195</v>
      </c>
      <c r="E107" s="67"/>
      <c r="F107" s="67">
        <v>0.71</v>
      </c>
      <c r="G107" s="67"/>
      <c r="H107" s="67"/>
      <c r="I107" s="30">
        <v>8.8408844999999996</v>
      </c>
      <c r="J107" s="67"/>
      <c r="K107" s="239"/>
      <c r="L107" s="239"/>
      <c r="M107" s="241"/>
    </row>
    <row r="108" spans="1:13" ht="15.75" customHeight="1" outlineLevel="1">
      <c r="A108" s="100" t="s">
        <v>181</v>
      </c>
      <c r="B108" s="66" t="s">
        <v>97</v>
      </c>
      <c r="C108" s="28" t="s">
        <v>29</v>
      </c>
      <c r="D108" s="34">
        <v>16.884</v>
      </c>
      <c r="E108" s="67"/>
      <c r="F108" s="67">
        <v>8.3000000000000007</v>
      </c>
      <c r="G108" s="67"/>
      <c r="H108" s="67"/>
      <c r="I108" s="30">
        <v>140.13720000000001</v>
      </c>
      <c r="J108" s="67"/>
      <c r="K108" s="239"/>
      <c r="L108" s="239"/>
      <c r="M108" s="241"/>
    </row>
    <row r="109" spans="1:13" ht="15.75" customHeight="1" outlineLevel="1">
      <c r="A109" s="100" t="s">
        <v>181</v>
      </c>
      <c r="B109" s="66" t="s">
        <v>108</v>
      </c>
      <c r="C109" s="28" t="s">
        <v>22</v>
      </c>
      <c r="D109" s="34">
        <v>9.8490000000000002</v>
      </c>
      <c r="E109" s="67"/>
      <c r="F109" s="67">
        <v>3.5</v>
      </c>
      <c r="G109" s="67"/>
      <c r="H109" s="67"/>
      <c r="I109" s="30">
        <v>34.471499999999999</v>
      </c>
      <c r="J109" s="67"/>
      <c r="K109" s="239"/>
      <c r="L109" s="239"/>
      <c r="M109" s="241"/>
    </row>
    <row r="110" spans="1:13" ht="15.75" customHeight="1" outlineLevel="1">
      <c r="A110" s="100" t="s">
        <v>181</v>
      </c>
      <c r="B110" s="66" t="s">
        <v>98</v>
      </c>
      <c r="C110" s="28" t="s">
        <v>99</v>
      </c>
      <c r="D110" s="34">
        <v>1.407</v>
      </c>
      <c r="E110" s="67"/>
      <c r="F110" s="67">
        <v>55.6</v>
      </c>
      <c r="G110" s="67"/>
      <c r="H110" s="67"/>
      <c r="I110" s="30">
        <v>78.229200000000006</v>
      </c>
      <c r="J110" s="67"/>
      <c r="K110" s="239"/>
      <c r="L110" s="239"/>
      <c r="M110" s="241"/>
    </row>
    <row r="111" spans="1:13" ht="31.5" customHeight="1">
      <c r="A111" s="162">
        <v>17</v>
      </c>
      <c r="B111" s="70" t="s">
        <v>262</v>
      </c>
      <c r="C111" s="8" t="s">
        <v>0</v>
      </c>
      <c r="D111" s="69">
        <v>14.9682</v>
      </c>
      <c r="E111" s="32">
        <v>860</v>
      </c>
      <c r="F111" s="33">
        <v>1860</v>
      </c>
      <c r="G111" s="33">
        <v>2720</v>
      </c>
      <c r="H111" s="33">
        <v>12872.652</v>
      </c>
      <c r="I111" s="33">
        <v>27840.851999999999</v>
      </c>
      <c r="J111" s="31">
        <v>40713.504000000001</v>
      </c>
      <c r="K111" s="239"/>
      <c r="L111" s="239"/>
      <c r="M111" s="241"/>
    </row>
    <row r="112" spans="1:13" ht="82.5" customHeight="1">
      <c r="A112" s="162">
        <v>18</v>
      </c>
      <c r="B112" s="70" t="s">
        <v>68</v>
      </c>
      <c r="C112" s="8" t="s">
        <v>0</v>
      </c>
      <c r="D112" s="69">
        <v>3.2117999999999984</v>
      </c>
      <c r="E112" s="32">
        <v>397.2</v>
      </c>
      <c r="F112" s="33">
        <v>659.47969999999998</v>
      </c>
      <c r="G112" s="33">
        <v>1056.6796999999999</v>
      </c>
      <c r="H112" s="33">
        <v>1275.7269599999993</v>
      </c>
      <c r="I112" s="33">
        <v>2118.1169004599988</v>
      </c>
      <c r="J112" s="31">
        <v>3393.8438604599978</v>
      </c>
      <c r="K112" s="239"/>
      <c r="L112" s="239"/>
      <c r="M112" s="241"/>
    </row>
    <row r="113" spans="1:13" ht="15.75" outlineLevel="1">
      <c r="A113" s="100" t="s">
        <v>181</v>
      </c>
      <c r="B113" s="66" t="s">
        <v>100</v>
      </c>
      <c r="C113" s="28" t="s">
        <v>0</v>
      </c>
      <c r="D113" s="34">
        <v>6.6484259999999962</v>
      </c>
      <c r="E113" s="67"/>
      <c r="F113" s="67">
        <v>124.62</v>
      </c>
      <c r="G113" s="67"/>
      <c r="H113" s="67"/>
      <c r="I113" s="30">
        <v>828.5268481199995</v>
      </c>
      <c r="J113" s="67"/>
      <c r="M113" s="241"/>
    </row>
    <row r="114" spans="1:13" ht="15.75" outlineLevel="1">
      <c r="A114" s="100" t="s">
        <v>181</v>
      </c>
      <c r="B114" s="66" t="s">
        <v>101</v>
      </c>
      <c r="C114" s="28" t="s">
        <v>29</v>
      </c>
      <c r="D114" s="34">
        <v>5.1388799999999977</v>
      </c>
      <c r="E114" s="67"/>
      <c r="F114" s="67">
        <v>34</v>
      </c>
      <c r="G114" s="67"/>
      <c r="H114" s="67"/>
      <c r="I114" s="30">
        <v>174.72191999999993</v>
      </c>
      <c r="J114" s="67"/>
      <c r="M114" s="241"/>
    </row>
    <row r="115" spans="1:13" ht="15.75" outlineLevel="1">
      <c r="A115" s="100" t="s">
        <v>181</v>
      </c>
      <c r="B115" s="66" t="s">
        <v>102</v>
      </c>
      <c r="C115" s="28" t="s">
        <v>29</v>
      </c>
      <c r="D115" s="34">
        <v>8.350679999999997</v>
      </c>
      <c r="E115" s="67"/>
      <c r="F115" s="67">
        <v>45.67</v>
      </c>
      <c r="G115" s="67"/>
      <c r="H115" s="67"/>
      <c r="I115" s="30">
        <v>381.37555559999987</v>
      </c>
      <c r="J115" s="67"/>
      <c r="M115" s="241"/>
    </row>
    <row r="116" spans="1:13" ht="15.75" outlineLevel="1">
      <c r="A116" s="100" t="s">
        <v>181</v>
      </c>
      <c r="B116" s="66" t="s">
        <v>104</v>
      </c>
      <c r="C116" s="28" t="s">
        <v>22</v>
      </c>
      <c r="D116" s="34">
        <v>122.04839999999994</v>
      </c>
      <c r="E116" s="67"/>
      <c r="F116" s="67">
        <v>0.24</v>
      </c>
      <c r="G116" s="67"/>
      <c r="H116" s="67"/>
      <c r="I116" s="30">
        <v>29.291615999999987</v>
      </c>
      <c r="J116" s="67"/>
      <c r="M116" s="241"/>
    </row>
    <row r="117" spans="1:13" ht="15.75" outlineLevel="1">
      <c r="A117" s="100" t="s">
        <v>181</v>
      </c>
      <c r="B117" s="66" t="s">
        <v>87</v>
      </c>
      <c r="C117" s="28" t="s">
        <v>22</v>
      </c>
      <c r="D117" s="34">
        <v>5.2352339999999975</v>
      </c>
      <c r="E117" s="67"/>
      <c r="F117" s="67">
        <v>0.6</v>
      </c>
      <c r="G117" s="67"/>
      <c r="H117" s="67"/>
      <c r="I117" s="30">
        <v>3.1411403999999985</v>
      </c>
      <c r="J117" s="67"/>
      <c r="M117" s="241"/>
    </row>
    <row r="118" spans="1:13" ht="15.75" outlineLevel="1">
      <c r="A118" s="100" t="s">
        <v>181</v>
      </c>
      <c r="B118" s="66" t="s">
        <v>109</v>
      </c>
      <c r="C118" s="28" t="s">
        <v>22</v>
      </c>
      <c r="D118" s="34">
        <v>15.095459999999994</v>
      </c>
      <c r="E118" s="67"/>
      <c r="F118" s="67">
        <v>0.23</v>
      </c>
      <c r="G118" s="67"/>
      <c r="H118" s="67"/>
      <c r="I118" s="30">
        <v>3.4719557999999986</v>
      </c>
      <c r="J118" s="67"/>
      <c r="M118" s="241"/>
    </row>
    <row r="119" spans="1:13" ht="15.75" outlineLevel="1">
      <c r="A119" s="100" t="s">
        <v>181</v>
      </c>
      <c r="B119" s="66" t="s">
        <v>170</v>
      </c>
      <c r="C119" s="28" t="s">
        <v>95</v>
      </c>
      <c r="D119" s="34">
        <v>0.32117999999999985</v>
      </c>
      <c r="E119" s="67"/>
      <c r="F119" s="67">
        <v>48.8</v>
      </c>
      <c r="G119" s="67"/>
      <c r="H119" s="67"/>
      <c r="I119" s="30">
        <v>15.673583999999993</v>
      </c>
      <c r="J119" s="67"/>
      <c r="M119" s="241"/>
    </row>
    <row r="120" spans="1:13" ht="15.75" outlineLevel="1">
      <c r="A120" s="100" t="s">
        <v>181</v>
      </c>
      <c r="B120" s="66" t="s">
        <v>171</v>
      </c>
      <c r="C120" s="28" t="s">
        <v>95</v>
      </c>
      <c r="D120" s="34">
        <v>2.473085999999999</v>
      </c>
      <c r="E120" s="67"/>
      <c r="F120" s="67">
        <v>15</v>
      </c>
      <c r="G120" s="67"/>
      <c r="H120" s="67"/>
      <c r="I120" s="30">
        <v>37.096289999999982</v>
      </c>
      <c r="J120" s="67"/>
      <c r="M120" s="241"/>
    </row>
    <row r="121" spans="1:13" ht="15.75" outlineLevel="1">
      <c r="A121" s="100" t="s">
        <v>181</v>
      </c>
      <c r="B121" s="66" t="s">
        <v>96</v>
      </c>
      <c r="C121" s="28" t="s">
        <v>29</v>
      </c>
      <c r="D121" s="34">
        <v>5.684885999999997</v>
      </c>
      <c r="E121" s="67"/>
      <c r="F121" s="67">
        <v>0.71</v>
      </c>
      <c r="G121" s="67"/>
      <c r="H121" s="67"/>
      <c r="I121" s="30">
        <v>4.0362690599999977</v>
      </c>
      <c r="J121" s="67"/>
      <c r="M121" s="241"/>
    </row>
    <row r="122" spans="1:13" ht="15.75" outlineLevel="1">
      <c r="A122" s="100" t="s">
        <v>181</v>
      </c>
      <c r="B122" s="66" t="s">
        <v>97</v>
      </c>
      <c r="C122" s="28" t="s">
        <v>29</v>
      </c>
      <c r="D122" s="34">
        <v>3.854159999999998</v>
      </c>
      <c r="E122" s="67"/>
      <c r="F122" s="67">
        <v>8.3000000000000007</v>
      </c>
      <c r="G122" s="67"/>
      <c r="H122" s="67"/>
      <c r="I122" s="30">
        <v>31.989527999999986</v>
      </c>
      <c r="J122" s="67"/>
      <c r="M122" s="241"/>
    </row>
    <row r="123" spans="1:13" ht="15.75" outlineLevel="1">
      <c r="A123" s="100" t="s">
        <v>181</v>
      </c>
      <c r="B123" s="66" t="s">
        <v>98</v>
      </c>
      <c r="C123" s="28" t="s">
        <v>99</v>
      </c>
      <c r="D123" s="34">
        <v>0.64235999999999971</v>
      </c>
      <c r="E123" s="67"/>
      <c r="F123" s="67">
        <v>55.6</v>
      </c>
      <c r="G123" s="67"/>
      <c r="H123" s="67"/>
      <c r="I123" s="30">
        <v>35.715215999999984</v>
      </c>
      <c r="J123" s="67"/>
      <c r="M123" s="241"/>
    </row>
    <row r="124" spans="1:13" ht="30" outlineLevel="1">
      <c r="A124" s="100" t="s">
        <v>181</v>
      </c>
      <c r="B124" s="66" t="s">
        <v>105</v>
      </c>
      <c r="C124" s="28" t="s">
        <v>0</v>
      </c>
      <c r="D124" s="37">
        <v>3.2760359999999986</v>
      </c>
      <c r="E124" s="67"/>
      <c r="F124" s="67">
        <v>174.93</v>
      </c>
      <c r="G124" s="67"/>
      <c r="H124" s="67"/>
      <c r="I124" s="30">
        <v>573.07697747999975</v>
      </c>
      <c r="J124" s="67"/>
      <c r="M124" s="242"/>
    </row>
    <row r="125" spans="1:13" ht="15.75" customHeight="1">
      <c r="A125" s="222" t="s">
        <v>116</v>
      </c>
      <c r="B125" s="223"/>
      <c r="C125" s="223"/>
      <c r="D125" s="223"/>
      <c r="E125" s="223"/>
      <c r="F125" s="223"/>
      <c r="G125" s="224"/>
      <c r="H125" s="67">
        <v>113947.231208</v>
      </c>
      <c r="I125" s="67">
        <v>128910.0168109448</v>
      </c>
      <c r="J125" s="67">
        <v>242857.24801894484</v>
      </c>
      <c r="M125" s="156"/>
    </row>
    <row r="126" spans="1:13" ht="21" customHeight="1">
      <c r="A126" s="225" t="s">
        <v>21</v>
      </c>
      <c r="B126" s="226"/>
      <c r="C126" s="226"/>
      <c r="D126" s="226"/>
      <c r="E126" s="226"/>
      <c r="F126" s="226"/>
      <c r="G126" s="226"/>
      <c r="H126" s="226"/>
      <c r="I126" s="226"/>
      <c r="J126" s="227"/>
      <c r="M126" s="156"/>
    </row>
    <row r="127" spans="1:13" ht="30">
      <c r="A127" s="162">
        <v>19</v>
      </c>
      <c r="B127" s="70" t="s">
        <v>42</v>
      </c>
      <c r="C127" s="8" t="s">
        <v>22</v>
      </c>
      <c r="D127" s="69">
        <v>2</v>
      </c>
      <c r="E127" s="32">
        <v>370</v>
      </c>
      <c r="F127" s="33">
        <v>0</v>
      </c>
      <c r="G127" s="33">
        <v>370</v>
      </c>
      <c r="H127" s="33">
        <v>740</v>
      </c>
      <c r="I127" s="33">
        <v>0</v>
      </c>
      <c r="J127" s="31">
        <v>740</v>
      </c>
      <c r="K127" s="235">
        <v>0</v>
      </c>
      <c r="L127" s="235">
        <v>5182.7413000000006</v>
      </c>
      <c r="M127" s="240">
        <v>1</v>
      </c>
    </row>
    <row r="128" spans="1:13" ht="24" customHeight="1">
      <c r="A128" s="162">
        <v>20</v>
      </c>
      <c r="B128" s="70" t="s">
        <v>44</v>
      </c>
      <c r="C128" s="8" t="s">
        <v>0</v>
      </c>
      <c r="D128" s="69">
        <v>19.774250000000002</v>
      </c>
      <c r="E128" s="32">
        <v>178</v>
      </c>
      <c r="F128" s="33">
        <v>0</v>
      </c>
      <c r="G128" s="33">
        <v>178</v>
      </c>
      <c r="H128" s="33">
        <v>3519.8165000000004</v>
      </c>
      <c r="I128" s="33">
        <v>0</v>
      </c>
      <c r="J128" s="31">
        <v>3519.8165000000004</v>
      </c>
      <c r="K128" s="236"/>
      <c r="L128" s="236"/>
      <c r="M128" s="241"/>
    </row>
    <row r="129" spans="1:13" ht="30">
      <c r="A129" s="162">
        <v>21</v>
      </c>
      <c r="B129" s="70" t="s">
        <v>209</v>
      </c>
      <c r="C129" s="8" t="s">
        <v>29</v>
      </c>
      <c r="D129" s="69">
        <v>9.81</v>
      </c>
      <c r="E129" s="32">
        <v>94.08</v>
      </c>
      <c r="F129" s="33">
        <v>0</v>
      </c>
      <c r="G129" s="33">
        <v>94.08</v>
      </c>
      <c r="H129" s="33">
        <v>922.9248</v>
      </c>
      <c r="I129" s="33">
        <v>0</v>
      </c>
      <c r="J129" s="31">
        <v>922.9248</v>
      </c>
      <c r="K129" s="236"/>
      <c r="L129" s="236"/>
      <c r="M129" s="241"/>
    </row>
    <row r="130" spans="1:13" ht="30">
      <c r="A130" s="162">
        <v>22</v>
      </c>
      <c r="B130" s="70" t="s">
        <v>263</v>
      </c>
      <c r="C130" s="8" t="s">
        <v>22</v>
      </c>
      <c r="D130" s="69">
        <v>1</v>
      </c>
      <c r="E130" s="32">
        <v>1490</v>
      </c>
      <c r="F130" s="33">
        <v>28705.98</v>
      </c>
      <c r="G130" s="33">
        <v>30195.98</v>
      </c>
      <c r="H130" s="33">
        <v>1490</v>
      </c>
      <c r="I130" s="33">
        <v>28705.98</v>
      </c>
      <c r="J130" s="31">
        <v>30195.98</v>
      </c>
      <c r="K130" s="235">
        <v>224716.13994999998</v>
      </c>
      <c r="L130" s="235">
        <v>266518.06474999996</v>
      </c>
      <c r="M130" s="241"/>
    </row>
    <row r="131" spans="1:13" ht="15.75" customHeight="1" outlineLevel="1">
      <c r="A131" s="100" t="s">
        <v>181</v>
      </c>
      <c r="B131" s="66" t="s">
        <v>115</v>
      </c>
      <c r="C131" s="28" t="s">
        <v>22</v>
      </c>
      <c r="D131" s="34">
        <v>1</v>
      </c>
      <c r="E131" s="67"/>
      <c r="F131" s="67">
        <v>28230</v>
      </c>
      <c r="G131" s="67"/>
      <c r="H131" s="67"/>
      <c r="I131" s="30">
        <v>28230</v>
      </c>
      <c r="J131" s="67"/>
      <c r="K131" s="236"/>
      <c r="L131" s="236"/>
      <c r="M131" s="241"/>
    </row>
    <row r="132" spans="1:13" s="101" customFormat="1" ht="15.75" customHeight="1" outlineLevel="1">
      <c r="A132" s="100" t="s">
        <v>181</v>
      </c>
      <c r="B132" s="66" t="s">
        <v>119</v>
      </c>
      <c r="C132" s="28" t="s">
        <v>22</v>
      </c>
      <c r="D132" s="37">
        <v>6</v>
      </c>
      <c r="E132" s="67"/>
      <c r="F132" s="67">
        <v>14</v>
      </c>
      <c r="G132" s="67"/>
      <c r="H132" s="67"/>
      <c r="I132" s="30">
        <v>84</v>
      </c>
      <c r="J132" s="67"/>
      <c r="K132" s="236"/>
      <c r="L132" s="236"/>
      <c r="M132" s="241"/>
    </row>
    <row r="133" spans="1:13" ht="15.75" customHeight="1" outlineLevel="1">
      <c r="A133" s="100" t="s">
        <v>181</v>
      </c>
      <c r="B133" s="66" t="s">
        <v>118</v>
      </c>
      <c r="C133" s="28" t="s">
        <v>117</v>
      </c>
      <c r="D133" s="34">
        <v>1</v>
      </c>
      <c r="E133" s="67"/>
      <c r="F133" s="67">
        <v>391.98</v>
      </c>
      <c r="G133" s="67"/>
      <c r="H133" s="67"/>
      <c r="I133" s="30">
        <v>391.98</v>
      </c>
      <c r="J133" s="67"/>
      <c r="K133" s="236"/>
      <c r="L133" s="236"/>
      <c r="M133" s="241"/>
    </row>
    <row r="134" spans="1:13" ht="17.25" customHeight="1">
      <c r="A134" s="162">
        <v>23</v>
      </c>
      <c r="B134" s="70" t="s">
        <v>113</v>
      </c>
      <c r="C134" s="8" t="s">
        <v>22</v>
      </c>
      <c r="D134" s="69">
        <v>3</v>
      </c>
      <c r="E134" s="32">
        <v>300</v>
      </c>
      <c r="F134" s="33">
        <v>1500</v>
      </c>
      <c r="G134" s="33">
        <v>1800</v>
      </c>
      <c r="H134" s="33">
        <v>900</v>
      </c>
      <c r="I134" s="33">
        <v>4500</v>
      </c>
      <c r="J134" s="31">
        <v>5400</v>
      </c>
      <c r="K134" s="236"/>
      <c r="L134" s="236"/>
      <c r="M134" s="241"/>
    </row>
    <row r="135" spans="1:13" ht="15.75" customHeight="1" outlineLevel="1">
      <c r="A135" s="100" t="s">
        <v>181</v>
      </c>
      <c r="B135" s="66" t="s">
        <v>114</v>
      </c>
      <c r="C135" s="28" t="s">
        <v>22</v>
      </c>
      <c r="D135" s="34">
        <v>3</v>
      </c>
      <c r="E135" s="67"/>
      <c r="F135" s="67">
        <v>1500</v>
      </c>
      <c r="G135" s="67"/>
      <c r="H135" s="67"/>
      <c r="I135" s="30">
        <v>4500</v>
      </c>
      <c r="J135" s="67"/>
      <c r="K135" s="236"/>
      <c r="L135" s="236"/>
      <c r="M135" s="241"/>
    </row>
    <row r="136" spans="1:13" ht="45">
      <c r="A136" s="162">
        <v>24</v>
      </c>
      <c r="B136" s="70" t="s">
        <v>70</v>
      </c>
      <c r="C136" s="8" t="s">
        <v>22</v>
      </c>
      <c r="D136" s="69">
        <v>2</v>
      </c>
      <c r="E136" s="32">
        <v>1490</v>
      </c>
      <c r="F136" s="33">
        <v>19435.98</v>
      </c>
      <c r="G136" s="33">
        <v>20925.98</v>
      </c>
      <c r="H136" s="33">
        <v>2980</v>
      </c>
      <c r="I136" s="33">
        <v>38871.96</v>
      </c>
      <c r="J136" s="31">
        <v>41851.96</v>
      </c>
      <c r="K136" s="236"/>
      <c r="L136" s="236"/>
      <c r="M136" s="241"/>
    </row>
    <row r="137" spans="1:13" s="101" customFormat="1" ht="30" customHeight="1" outlineLevel="1">
      <c r="A137" s="100" t="s">
        <v>181</v>
      </c>
      <c r="B137" s="66" t="s">
        <v>124</v>
      </c>
      <c r="C137" s="28" t="s">
        <v>22</v>
      </c>
      <c r="D137" s="37">
        <v>2</v>
      </c>
      <c r="E137" s="67"/>
      <c r="F137" s="67">
        <v>18960</v>
      </c>
      <c r="G137" s="67"/>
      <c r="H137" s="67"/>
      <c r="I137" s="30">
        <v>37920</v>
      </c>
      <c r="J137" s="67"/>
      <c r="K137" s="236"/>
      <c r="L137" s="236"/>
      <c r="M137" s="241"/>
    </row>
    <row r="138" spans="1:13" s="101" customFormat="1" ht="15.75" customHeight="1" outlineLevel="1">
      <c r="A138" s="100" t="s">
        <v>181</v>
      </c>
      <c r="B138" s="66" t="s">
        <v>119</v>
      </c>
      <c r="C138" s="28" t="s">
        <v>22</v>
      </c>
      <c r="D138" s="37">
        <v>12</v>
      </c>
      <c r="E138" s="67"/>
      <c r="F138" s="67">
        <v>14</v>
      </c>
      <c r="G138" s="67"/>
      <c r="H138" s="67"/>
      <c r="I138" s="30">
        <v>168</v>
      </c>
      <c r="J138" s="67"/>
      <c r="K138" s="236"/>
      <c r="L138" s="236"/>
      <c r="M138" s="241"/>
    </row>
    <row r="139" spans="1:13" ht="15.75" customHeight="1" outlineLevel="1">
      <c r="A139" s="100" t="s">
        <v>181</v>
      </c>
      <c r="B139" s="66" t="s">
        <v>118</v>
      </c>
      <c r="C139" s="28" t="s">
        <v>117</v>
      </c>
      <c r="D139" s="34">
        <v>2</v>
      </c>
      <c r="E139" s="67"/>
      <c r="F139" s="67">
        <v>391.98</v>
      </c>
      <c r="G139" s="67"/>
      <c r="H139" s="67"/>
      <c r="I139" s="30">
        <v>783.96</v>
      </c>
      <c r="J139" s="67"/>
      <c r="K139" s="236"/>
      <c r="L139" s="236"/>
      <c r="M139" s="241"/>
    </row>
    <row r="140" spans="1:13" ht="30">
      <c r="A140" s="162">
        <v>25</v>
      </c>
      <c r="B140" s="70" t="s">
        <v>71</v>
      </c>
      <c r="C140" s="8" t="s">
        <v>22</v>
      </c>
      <c r="D140" s="69">
        <v>8</v>
      </c>
      <c r="E140" s="32">
        <v>1940</v>
      </c>
      <c r="F140" s="33">
        <v>9239</v>
      </c>
      <c r="G140" s="33">
        <v>11179</v>
      </c>
      <c r="H140" s="33">
        <v>15520</v>
      </c>
      <c r="I140" s="33">
        <v>73912</v>
      </c>
      <c r="J140" s="31">
        <v>89432</v>
      </c>
      <c r="K140" s="236"/>
      <c r="L140" s="236"/>
      <c r="M140" s="241"/>
    </row>
    <row r="141" spans="1:13" s="101" customFormat="1" ht="15.75" customHeight="1" outlineLevel="1">
      <c r="A141" s="100" t="s">
        <v>181</v>
      </c>
      <c r="B141" s="66" t="s">
        <v>120</v>
      </c>
      <c r="C141" s="28" t="s">
        <v>22</v>
      </c>
      <c r="D141" s="37">
        <v>8</v>
      </c>
      <c r="E141" s="67"/>
      <c r="F141" s="67">
        <v>8960</v>
      </c>
      <c r="G141" s="67"/>
      <c r="H141" s="67"/>
      <c r="I141" s="30">
        <v>71680</v>
      </c>
      <c r="J141" s="67"/>
      <c r="K141" s="236"/>
      <c r="L141" s="236"/>
      <c r="M141" s="241"/>
    </row>
    <row r="142" spans="1:13" s="101" customFormat="1" ht="15.75" customHeight="1" outlineLevel="1">
      <c r="A142" s="100" t="s">
        <v>181</v>
      </c>
      <c r="B142" s="66" t="s">
        <v>119</v>
      </c>
      <c r="C142" s="28" t="s">
        <v>22</v>
      </c>
      <c r="D142" s="37">
        <v>48</v>
      </c>
      <c r="E142" s="67"/>
      <c r="F142" s="67">
        <v>14</v>
      </c>
      <c r="G142" s="67"/>
      <c r="H142" s="67"/>
      <c r="I142" s="30">
        <v>672</v>
      </c>
      <c r="J142" s="67"/>
      <c r="K142" s="236"/>
      <c r="L142" s="236"/>
      <c r="M142" s="241"/>
    </row>
    <row r="143" spans="1:13" ht="15.75" customHeight="1" outlineLevel="1">
      <c r="A143" s="100" t="s">
        <v>181</v>
      </c>
      <c r="B143" s="66" t="s">
        <v>328</v>
      </c>
      <c r="C143" s="28" t="s">
        <v>117</v>
      </c>
      <c r="D143" s="34">
        <v>8</v>
      </c>
      <c r="E143" s="67"/>
      <c r="F143" s="67">
        <v>195</v>
      </c>
      <c r="G143" s="67"/>
      <c r="H143" s="67"/>
      <c r="I143" s="30">
        <v>1560</v>
      </c>
      <c r="J143" s="67"/>
      <c r="K143" s="236"/>
      <c r="L143" s="236"/>
      <c r="M143" s="241"/>
    </row>
    <row r="144" spans="1:13">
      <c r="A144" s="162">
        <v>26</v>
      </c>
      <c r="B144" s="70" t="s">
        <v>123</v>
      </c>
      <c r="C144" s="8" t="s">
        <v>29</v>
      </c>
      <c r="D144" s="8">
        <v>16.200000000000003</v>
      </c>
      <c r="E144" s="32">
        <v>69.12</v>
      </c>
      <c r="F144" s="33">
        <v>230.99399999999997</v>
      </c>
      <c r="G144" s="33">
        <v>300.11399999999998</v>
      </c>
      <c r="H144" s="33">
        <v>1119.7440000000004</v>
      </c>
      <c r="I144" s="33">
        <v>3742.1028000000001</v>
      </c>
      <c r="J144" s="31">
        <v>4861.8468000000003</v>
      </c>
      <c r="K144" s="236"/>
      <c r="L144" s="236"/>
      <c r="M144" s="241"/>
    </row>
    <row r="145" spans="1:13" s="101" customFormat="1" ht="15.75" customHeight="1" outlineLevel="1">
      <c r="A145" s="100" t="s">
        <v>181</v>
      </c>
      <c r="B145" s="66" t="s">
        <v>188</v>
      </c>
      <c r="C145" s="28" t="s">
        <v>29</v>
      </c>
      <c r="D145" s="37">
        <v>17.334000000000003</v>
      </c>
      <c r="E145" s="67"/>
      <c r="F145" s="67">
        <v>214.2</v>
      </c>
      <c r="G145" s="67"/>
      <c r="H145" s="67"/>
      <c r="I145" s="30">
        <v>3712.9428000000003</v>
      </c>
      <c r="J145" s="67"/>
      <c r="K145" s="236"/>
      <c r="L145" s="236"/>
      <c r="M145" s="241"/>
    </row>
    <row r="146" spans="1:13" s="101" customFormat="1" ht="15.75" customHeight="1" outlineLevel="1">
      <c r="A146" s="100" t="s">
        <v>181</v>
      </c>
      <c r="B146" s="66" t="s">
        <v>87</v>
      </c>
      <c r="C146" s="28" t="s">
        <v>22</v>
      </c>
      <c r="D146" s="38">
        <v>48.600000000000009</v>
      </c>
      <c r="E146" s="67"/>
      <c r="F146" s="67">
        <v>0.6</v>
      </c>
      <c r="G146" s="67"/>
      <c r="H146" s="67"/>
      <c r="I146" s="30">
        <v>29.160000000000004</v>
      </c>
      <c r="J146" s="67"/>
      <c r="K146" s="236"/>
      <c r="L146" s="236"/>
      <c r="M146" s="241"/>
    </row>
    <row r="147" spans="1:13">
      <c r="A147" s="162">
        <v>27</v>
      </c>
      <c r="B147" s="70" t="s">
        <v>121</v>
      </c>
      <c r="C147" s="8" t="s">
        <v>29</v>
      </c>
      <c r="D147" s="8">
        <v>43.2</v>
      </c>
      <c r="E147" s="32">
        <v>69.12</v>
      </c>
      <c r="F147" s="33">
        <v>142.44</v>
      </c>
      <c r="G147" s="33">
        <v>211.56</v>
      </c>
      <c r="H147" s="33">
        <v>2985.9840000000004</v>
      </c>
      <c r="I147" s="33">
        <v>6153.4080000000004</v>
      </c>
      <c r="J147" s="31">
        <v>9139.3919999999998</v>
      </c>
      <c r="K147" s="236"/>
      <c r="L147" s="236"/>
      <c r="M147" s="241"/>
    </row>
    <row r="148" spans="1:13" s="101" customFormat="1" ht="15.75" customHeight="1" outlineLevel="1">
      <c r="A148" s="100" t="s">
        <v>181</v>
      </c>
      <c r="B148" s="66" t="s">
        <v>122</v>
      </c>
      <c r="C148" s="28" t="s">
        <v>29</v>
      </c>
      <c r="D148" s="37">
        <v>46.224000000000004</v>
      </c>
      <c r="E148" s="67"/>
      <c r="F148" s="67">
        <v>132</v>
      </c>
      <c r="G148" s="67"/>
      <c r="H148" s="67"/>
      <c r="I148" s="30">
        <v>6101.5680000000002</v>
      </c>
      <c r="J148" s="67"/>
      <c r="K148" s="236"/>
      <c r="L148" s="236"/>
      <c r="M148" s="241"/>
    </row>
    <row r="149" spans="1:13" s="101" customFormat="1" ht="15.75" customHeight="1" outlineLevel="1">
      <c r="A149" s="100" t="s">
        <v>181</v>
      </c>
      <c r="B149" s="66" t="s">
        <v>87</v>
      </c>
      <c r="C149" s="28" t="s">
        <v>22</v>
      </c>
      <c r="D149" s="38">
        <v>86.4</v>
      </c>
      <c r="E149" s="67"/>
      <c r="F149" s="67">
        <v>0.6</v>
      </c>
      <c r="G149" s="67"/>
      <c r="H149" s="67"/>
      <c r="I149" s="30">
        <v>51.84</v>
      </c>
      <c r="J149" s="67"/>
      <c r="K149" s="236"/>
      <c r="L149" s="236"/>
      <c r="M149" s="241"/>
    </row>
    <row r="150" spans="1:13">
      <c r="A150" s="162">
        <v>28</v>
      </c>
      <c r="B150" s="70" t="s">
        <v>43</v>
      </c>
      <c r="C150" s="8" t="s">
        <v>0</v>
      </c>
      <c r="D150" s="69">
        <v>18.597750000000001</v>
      </c>
      <c r="E150" s="32">
        <v>787.2</v>
      </c>
      <c r="F150" s="33">
        <v>3389</v>
      </c>
      <c r="G150" s="33">
        <v>4176.2</v>
      </c>
      <c r="H150" s="33">
        <v>14640.148800000003</v>
      </c>
      <c r="I150" s="33">
        <v>60451.845000000001</v>
      </c>
      <c r="J150" s="31">
        <v>75091.993799999997</v>
      </c>
      <c r="K150" s="236"/>
      <c r="L150" s="236"/>
      <c r="M150" s="241"/>
    </row>
    <row r="151" spans="1:13" s="101" customFormat="1" ht="15.75" customHeight="1" outlineLevel="1">
      <c r="A151" s="100" t="s">
        <v>181</v>
      </c>
      <c r="B151" s="66" t="s">
        <v>125</v>
      </c>
      <c r="C151" s="28" t="s">
        <v>0</v>
      </c>
      <c r="D151" s="37">
        <v>18.597750000000001</v>
      </c>
      <c r="E151" s="67"/>
      <c r="F151" s="67">
        <v>3180</v>
      </c>
      <c r="G151" s="67"/>
      <c r="H151" s="67"/>
      <c r="I151" s="30">
        <v>59140.845000000001</v>
      </c>
      <c r="J151" s="67"/>
      <c r="K151" s="236"/>
      <c r="L151" s="236"/>
      <c r="M151" s="241"/>
    </row>
    <row r="152" spans="1:13" s="101" customFormat="1" ht="15.75" customHeight="1" outlineLevel="1">
      <c r="A152" s="100" t="s">
        <v>181</v>
      </c>
      <c r="B152" s="66" t="s">
        <v>119</v>
      </c>
      <c r="C152" s="28" t="s">
        <v>22</v>
      </c>
      <c r="D152" s="37">
        <v>24</v>
      </c>
      <c r="E152" s="67"/>
      <c r="F152" s="67">
        <v>14</v>
      </c>
      <c r="G152" s="67"/>
      <c r="H152" s="67"/>
      <c r="I152" s="30">
        <v>336</v>
      </c>
      <c r="J152" s="67"/>
      <c r="K152" s="236"/>
      <c r="L152" s="236"/>
      <c r="M152" s="241"/>
    </row>
    <row r="153" spans="1:13" ht="15.75" customHeight="1" outlineLevel="1">
      <c r="A153" s="100" t="s">
        <v>181</v>
      </c>
      <c r="B153" s="66" t="s">
        <v>328</v>
      </c>
      <c r="C153" s="28" t="s">
        <v>117</v>
      </c>
      <c r="D153" s="37">
        <v>5</v>
      </c>
      <c r="E153" s="67"/>
      <c r="F153" s="67">
        <v>195</v>
      </c>
      <c r="G153" s="67"/>
      <c r="H153" s="67"/>
      <c r="I153" s="30">
        <v>975</v>
      </c>
      <c r="J153" s="67"/>
      <c r="K153" s="236"/>
      <c r="L153" s="236"/>
      <c r="M153" s="241"/>
    </row>
    <row r="154" spans="1:13" ht="30">
      <c r="A154" s="162">
        <v>29</v>
      </c>
      <c r="B154" s="70" t="s">
        <v>45</v>
      </c>
      <c r="C154" s="8" t="s">
        <v>29</v>
      </c>
      <c r="D154" s="69">
        <v>9.81</v>
      </c>
      <c r="E154" s="32">
        <v>220.8</v>
      </c>
      <c r="F154" s="33">
        <v>854.11255351681962</v>
      </c>
      <c r="G154" s="33">
        <v>1074.9125535168196</v>
      </c>
      <c r="H154" s="33">
        <v>2166.0480000000002</v>
      </c>
      <c r="I154" s="33">
        <v>8378.8441500000008</v>
      </c>
      <c r="J154" s="31">
        <v>10544.892150000001</v>
      </c>
      <c r="K154" s="236"/>
      <c r="L154" s="236"/>
      <c r="M154" s="241"/>
    </row>
    <row r="155" spans="1:13" s="101" customFormat="1" ht="15.75" outlineLevel="1">
      <c r="A155" s="100" t="s">
        <v>181</v>
      </c>
      <c r="B155" s="66" t="s">
        <v>264</v>
      </c>
      <c r="C155" s="28" t="s">
        <v>29</v>
      </c>
      <c r="D155" s="37">
        <v>10.1043</v>
      </c>
      <c r="E155" s="67"/>
      <c r="F155" s="67">
        <v>695.5</v>
      </c>
      <c r="G155" s="67"/>
      <c r="H155" s="67"/>
      <c r="I155" s="30">
        <v>7027.5406499999999</v>
      </c>
      <c r="J155" s="67"/>
      <c r="K155" s="146"/>
      <c r="M155" s="241"/>
    </row>
    <row r="156" spans="1:13" s="101" customFormat="1" ht="15.75" outlineLevel="1">
      <c r="A156" s="100" t="s">
        <v>181</v>
      </c>
      <c r="B156" s="66" t="s">
        <v>127</v>
      </c>
      <c r="C156" s="28" t="s">
        <v>22</v>
      </c>
      <c r="D156" s="37">
        <v>3</v>
      </c>
      <c r="E156" s="67"/>
      <c r="F156" s="67">
        <v>34</v>
      </c>
      <c r="G156" s="67"/>
      <c r="H156" s="67"/>
      <c r="I156" s="30">
        <v>102</v>
      </c>
      <c r="J156" s="67"/>
      <c r="M156" s="241"/>
    </row>
    <row r="157" spans="1:13" s="101" customFormat="1" ht="15.75" outlineLevel="1">
      <c r="A157" s="100" t="s">
        <v>181</v>
      </c>
      <c r="B157" s="66" t="s">
        <v>328</v>
      </c>
      <c r="C157" s="28" t="s">
        <v>22</v>
      </c>
      <c r="D157" s="37">
        <v>3.2373000000000003</v>
      </c>
      <c r="E157" s="67"/>
      <c r="F157" s="67">
        <v>195</v>
      </c>
      <c r="G157" s="67"/>
      <c r="H157" s="67"/>
      <c r="I157" s="30">
        <v>631.27350000000001</v>
      </c>
      <c r="J157" s="67"/>
      <c r="M157" s="241"/>
    </row>
    <row r="158" spans="1:13" ht="15.75" customHeight="1" outlineLevel="1">
      <c r="A158" s="100" t="s">
        <v>181</v>
      </c>
      <c r="B158" s="66" t="s">
        <v>126</v>
      </c>
      <c r="C158" s="28" t="s">
        <v>117</v>
      </c>
      <c r="D158" s="38">
        <v>2.9430000000000001</v>
      </c>
      <c r="E158" s="67"/>
      <c r="F158" s="67">
        <v>210</v>
      </c>
      <c r="G158" s="67"/>
      <c r="H158" s="67"/>
      <c r="I158" s="30">
        <v>618.03</v>
      </c>
      <c r="J158" s="67"/>
      <c r="K158" s="147"/>
      <c r="L158" s="148"/>
      <c r="M158" s="242"/>
    </row>
    <row r="159" spans="1:13" ht="15.75" customHeight="1">
      <c r="A159" s="222" t="s">
        <v>116</v>
      </c>
      <c r="B159" s="223"/>
      <c r="C159" s="223"/>
      <c r="D159" s="223"/>
      <c r="E159" s="223"/>
      <c r="F159" s="223"/>
      <c r="G159" s="224"/>
      <c r="H159" s="67">
        <v>46984.666100000002</v>
      </c>
      <c r="I159" s="67">
        <v>224716.13994999998</v>
      </c>
      <c r="J159" s="67">
        <v>271700.80604999996</v>
      </c>
      <c r="K159" s="147"/>
      <c r="L159" s="148"/>
      <c r="M159" s="158"/>
    </row>
    <row r="160" spans="1:13" ht="21" customHeight="1">
      <c r="A160" s="225" t="s">
        <v>27</v>
      </c>
      <c r="B160" s="226"/>
      <c r="C160" s="226"/>
      <c r="D160" s="226"/>
      <c r="E160" s="226"/>
      <c r="F160" s="226"/>
      <c r="G160" s="226"/>
      <c r="H160" s="226"/>
      <c r="I160" s="226"/>
      <c r="J160" s="227"/>
      <c r="M160" s="156"/>
    </row>
    <row r="161" spans="1:13">
      <c r="A161" s="162">
        <v>30</v>
      </c>
      <c r="B161" s="70" t="s">
        <v>212</v>
      </c>
      <c r="C161" s="8" t="s">
        <v>0</v>
      </c>
      <c r="D161" s="69">
        <v>29.630000000000003</v>
      </c>
      <c r="E161" s="32">
        <v>78.72</v>
      </c>
      <c r="F161" s="33">
        <v>0</v>
      </c>
      <c r="G161" s="33">
        <v>78.72</v>
      </c>
      <c r="H161" s="33">
        <v>2332.4736000000003</v>
      </c>
      <c r="I161" s="33">
        <v>0</v>
      </c>
      <c r="J161" s="31">
        <v>2332.4736000000003</v>
      </c>
      <c r="K161" s="235">
        <v>0</v>
      </c>
      <c r="L161" s="235">
        <v>12194.745600000002</v>
      </c>
      <c r="M161" s="240">
        <v>1</v>
      </c>
    </row>
    <row r="162" spans="1:13">
      <c r="A162" s="162">
        <v>31</v>
      </c>
      <c r="B162" s="70" t="s">
        <v>213</v>
      </c>
      <c r="C162" s="8" t="s">
        <v>0</v>
      </c>
      <c r="D162" s="69">
        <v>183.45000000000002</v>
      </c>
      <c r="E162" s="32">
        <v>53.76</v>
      </c>
      <c r="F162" s="33">
        <v>0</v>
      </c>
      <c r="G162" s="33">
        <v>53.76</v>
      </c>
      <c r="H162" s="33">
        <v>9862.2720000000008</v>
      </c>
      <c r="I162" s="33">
        <v>0</v>
      </c>
      <c r="J162" s="31">
        <v>9862.2720000000008</v>
      </c>
      <c r="K162" s="236"/>
      <c r="L162" s="236"/>
      <c r="M162" s="241"/>
    </row>
    <row r="163" spans="1:13">
      <c r="A163" s="162">
        <v>32</v>
      </c>
      <c r="B163" s="70" t="s">
        <v>46</v>
      </c>
      <c r="C163" s="8" t="s">
        <v>0</v>
      </c>
      <c r="D163" s="69">
        <v>12.309750000000001</v>
      </c>
      <c r="E163" s="32">
        <v>480</v>
      </c>
      <c r="F163" s="33">
        <v>202.32072031316639</v>
      </c>
      <c r="G163" s="33">
        <v>682.32072031316636</v>
      </c>
      <c r="H163" s="33">
        <v>5908.68</v>
      </c>
      <c r="I163" s="33">
        <v>2490.517486875</v>
      </c>
      <c r="J163" s="31">
        <v>8399.1974868750003</v>
      </c>
      <c r="K163" s="235">
        <v>74724.052986875002</v>
      </c>
      <c r="L163" s="235">
        <v>152777.23298687499</v>
      </c>
      <c r="M163" s="241"/>
    </row>
    <row r="164" spans="1:13" s="101" customFormat="1" ht="15.75" customHeight="1" outlineLevel="1">
      <c r="A164" s="100" t="s">
        <v>181</v>
      </c>
      <c r="B164" s="66" t="s">
        <v>100</v>
      </c>
      <c r="C164" s="28" t="s">
        <v>0</v>
      </c>
      <c r="D164" s="37">
        <v>15.387187500000001</v>
      </c>
      <c r="E164" s="67"/>
      <c r="F164" s="67">
        <v>124.62</v>
      </c>
      <c r="G164" s="67"/>
      <c r="H164" s="67"/>
      <c r="I164" s="30">
        <v>1917.5513062500002</v>
      </c>
      <c r="J164" s="67"/>
      <c r="K164" s="236"/>
      <c r="L164" s="236"/>
      <c r="M164" s="241"/>
    </row>
    <row r="165" spans="1:13" s="101" customFormat="1" ht="15.75" customHeight="1" outlineLevel="1">
      <c r="A165" s="100" t="s">
        <v>181</v>
      </c>
      <c r="B165" s="66" t="s">
        <v>94</v>
      </c>
      <c r="C165" s="28" t="s">
        <v>95</v>
      </c>
      <c r="D165" s="37">
        <v>3.0774375000000003</v>
      </c>
      <c r="E165" s="67"/>
      <c r="F165" s="67">
        <v>15</v>
      </c>
      <c r="G165" s="67"/>
      <c r="H165" s="67"/>
      <c r="I165" s="30">
        <v>46.161562500000002</v>
      </c>
      <c r="J165" s="67"/>
      <c r="K165" s="236"/>
      <c r="L165" s="236"/>
      <c r="M165" s="241"/>
    </row>
    <row r="166" spans="1:13" s="101" customFormat="1" ht="15.75" customHeight="1" outlineLevel="1">
      <c r="A166" s="100" t="s">
        <v>181</v>
      </c>
      <c r="B166" s="66" t="s">
        <v>96</v>
      </c>
      <c r="C166" s="28" t="s">
        <v>29</v>
      </c>
      <c r="D166" s="37">
        <v>9.2323125000000008</v>
      </c>
      <c r="E166" s="67"/>
      <c r="F166" s="67">
        <v>0.71</v>
      </c>
      <c r="G166" s="67"/>
      <c r="H166" s="67"/>
      <c r="I166" s="30">
        <v>6.5549418749999999</v>
      </c>
      <c r="J166" s="67"/>
      <c r="K166" s="236"/>
      <c r="L166" s="236"/>
      <c r="M166" s="241"/>
    </row>
    <row r="167" spans="1:13" s="101" customFormat="1" ht="15.75" customHeight="1" outlineLevel="1">
      <c r="A167" s="100" t="s">
        <v>181</v>
      </c>
      <c r="B167" s="66" t="s">
        <v>128</v>
      </c>
      <c r="C167" s="28" t="s">
        <v>95</v>
      </c>
      <c r="D167" s="37">
        <v>43.084125</v>
      </c>
      <c r="E167" s="67"/>
      <c r="F167" s="67">
        <v>11.17</v>
      </c>
      <c r="G167" s="67"/>
      <c r="H167" s="67"/>
      <c r="I167" s="30">
        <v>481.24967624999999</v>
      </c>
      <c r="J167" s="67"/>
      <c r="K167" s="236"/>
      <c r="L167" s="236"/>
      <c r="M167" s="241"/>
    </row>
    <row r="168" spans="1:13" s="101" customFormat="1" ht="15.75" customHeight="1" outlineLevel="1">
      <c r="A168" s="100" t="s">
        <v>181</v>
      </c>
      <c r="B168" s="66" t="s">
        <v>328</v>
      </c>
      <c r="C168" s="28" t="s">
        <v>117</v>
      </c>
      <c r="D168" s="37">
        <v>0.2</v>
      </c>
      <c r="E168" s="67"/>
      <c r="F168" s="67">
        <v>195</v>
      </c>
      <c r="G168" s="67"/>
      <c r="H168" s="67"/>
      <c r="I168" s="30">
        <v>39</v>
      </c>
      <c r="J168" s="67"/>
      <c r="K168" s="236"/>
      <c r="L168" s="236"/>
      <c r="M168" s="241"/>
    </row>
    <row r="169" spans="1:13" ht="30">
      <c r="A169" s="162">
        <v>33</v>
      </c>
      <c r="B169" s="70" t="s">
        <v>50</v>
      </c>
      <c r="C169" s="8" t="s">
        <v>0</v>
      </c>
      <c r="D169" s="69">
        <v>183.45000000000002</v>
      </c>
      <c r="E169" s="32">
        <v>24</v>
      </c>
      <c r="F169" s="33">
        <v>19.949999999999996</v>
      </c>
      <c r="G169" s="33">
        <v>43.949999999999996</v>
      </c>
      <c r="H169" s="33">
        <v>4402.8</v>
      </c>
      <c r="I169" s="33">
        <v>3659.8274999999999</v>
      </c>
      <c r="J169" s="31">
        <v>8062.6275000000005</v>
      </c>
      <c r="K169" s="236"/>
      <c r="L169" s="236"/>
      <c r="M169" s="241"/>
    </row>
    <row r="170" spans="1:13" ht="15.75" customHeight="1" outlineLevel="1">
      <c r="A170" s="100" t="s">
        <v>181</v>
      </c>
      <c r="B170" s="66" t="s">
        <v>129</v>
      </c>
      <c r="C170" s="28" t="s">
        <v>95</v>
      </c>
      <c r="D170" s="34">
        <v>64.207499999999996</v>
      </c>
      <c r="E170" s="67"/>
      <c r="F170" s="67">
        <v>57</v>
      </c>
      <c r="G170" s="67"/>
      <c r="H170" s="67"/>
      <c r="I170" s="30">
        <v>3659.8274999999999</v>
      </c>
      <c r="J170" s="67"/>
      <c r="K170" s="236"/>
      <c r="L170" s="236"/>
      <c r="M170" s="241"/>
    </row>
    <row r="171" spans="1:13" ht="30">
      <c r="A171" s="162">
        <v>34</v>
      </c>
      <c r="B171" s="70" t="s">
        <v>368</v>
      </c>
      <c r="C171" s="8" t="s">
        <v>0</v>
      </c>
      <c r="D171" s="69">
        <v>183.45000000000002</v>
      </c>
      <c r="E171" s="32">
        <v>340</v>
      </c>
      <c r="F171" s="33">
        <v>369.59999999999997</v>
      </c>
      <c r="G171" s="33">
        <v>709.59999999999991</v>
      </c>
      <c r="H171" s="33">
        <v>62373.000000000007</v>
      </c>
      <c r="I171" s="33">
        <v>67803.12</v>
      </c>
      <c r="J171" s="31">
        <v>130176.12</v>
      </c>
      <c r="K171" s="236"/>
      <c r="L171" s="236"/>
      <c r="M171" s="241"/>
    </row>
    <row r="172" spans="1:13" s="101" customFormat="1" ht="15.75" customHeight="1" outlineLevel="1">
      <c r="A172" s="100" t="s">
        <v>181</v>
      </c>
      <c r="B172" s="66" t="s">
        <v>139</v>
      </c>
      <c r="C172" s="28" t="s">
        <v>95</v>
      </c>
      <c r="D172" s="37">
        <v>6053.85</v>
      </c>
      <c r="E172" s="67"/>
      <c r="F172" s="67">
        <v>11.2</v>
      </c>
      <c r="G172" s="67"/>
      <c r="H172" s="67"/>
      <c r="I172" s="30">
        <v>67803.12</v>
      </c>
      <c r="J172" s="67"/>
      <c r="K172" s="236"/>
      <c r="L172" s="236"/>
      <c r="M172" s="241"/>
    </row>
    <row r="173" spans="1:13" ht="30">
      <c r="A173" s="162">
        <v>35</v>
      </c>
      <c r="B173" s="70" t="s">
        <v>369</v>
      </c>
      <c r="C173" s="8" t="s">
        <v>0</v>
      </c>
      <c r="D173" s="69">
        <v>1.2925</v>
      </c>
      <c r="E173" s="32">
        <v>440</v>
      </c>
      <c r="F173" s="33">
        <v>145.59999999999997</v>
      </c>
      <c r="G173" s="33">
        <v>585.59999999999991</v>
      </c>
      <c r="H173" s="33">
        <v>568.70000000000005</v>
      </c>
      <c r="I173" s="33">
        <v>188.18799999999996</v>
      </c>
      <c r="J173" s="31">
        <v>756.88800000000003</v>
      </c>
      <c r="K173" s="236"/>
      <c r="L173" s="236"/>
      <c r="M173" s="241"/>
    </row>
    <row r="174" spans="1:13" s="101" customFormat="1" ht="15.75" customHeight="1" outlineLevel="1">
      <c r="A174" s="100" t="s">
        <v>181</v>
      </c>
      <c r="B174" s="66" t="s">
        <v>139</v>
      </c>
      <c r="C174" s="28" t="s">
        <v>95</v>
      </c>
      <c r="D174" s="37">
        <v>16.802499999999998</v>
      </c>
      <c r="E174" s="67"/>
      <c r="F174" s="67">
        <v>11.2</v>
      </c>
      <c r="G174" s="67"/>
      <c r="H174" s="67"/>
      <c r="I174" s="30">
        <v>188.18799999999996</v>
      </c>
      <c r="J174" s="67"/>
      <c r="K174" s="236"/>
      <c r="L174" s="236"/>
      <c r="M174" s="241"/>
    </row>
    <row r="175" spans="1:13" ht="30">
      <c r="A175" s="162">
        <v>36</v>
      </c>
      <c r="B175" s="70" t="s">
        <v>370</v>
      </c>
      <c r="C175" s="8" t="s">
        <v>29</v>
      </c>
      <c r="D175" s="69">
        <v>40</v>
      </c>
      <c r="E175" s="32">
        <v>120</v>
      </c>
      <c r="F175" s="33">
        <v>14.559999999999999</v>
      </c>
      <c r="G175" s="33">
        <v>134.56</v>
      </c>
      <c r="H175" s="33">
        <v>4800</v>
      </c>
      <c r="I175" s="33">
        <v>582.4</v>
      </c>
      <c r="J175" s="31">
        <v>5382.4</v>
      </c>
      <c r="K175" s="236"/>
      <c r="L175" s="236"/>
      <c r="M175" s="241"/>
    </row>
    <row r="176" spans="1:13" s="101" customFormat="1" ht="15.75" outlineLevel="1">
      <c r="A176" s="100" t="s">
        <v>181</v>
      </c>
      <c r="B176" s="66" t="s">
        <v>139</v>
      </c>
      <c r="C176" s="28" t="s">
        <v>95</v>
      </c>
      <c r="D176" s="37">
        <v>52</v>
      </c>
      <c r="E176" s="67"/>
      <c r="F176" s="67">
        <v>11.2</v>
      </c>
      <c r="G176" s="67"/>
      <c r="H176" s="67"/>
      <c r="I176" s="30">
        <v>582.4</v>
      </c>
      <c r="J176" s="67"/>
      <c r="M176" s="242"/>
    </row>
    <row r="177" spans="1:13" ht="45" customHeight="1">
      <c r="A177" s="162">
        <v>37</v>
      </c>
      <c r="B177" s="70" t="s">
        <v>49</v>
      </c>
      <c r="C177" s="8" t="s">
        <v>0</v>
      </c>
      <c r="D177" s="69">
        <v>305.3734</v>
      </c>
      <c r="E177" s="32">
        <v>24</v>
      </c>
      <c r="F177" s="33">
        <v>11.120000000000001</v>
      </c>
      <c r="G177" s="33">
        <v>35.120000000000005</v>
      </c>
      <c r="H177" s="33">
        <v>7328.9616000000005</v>
      </c>
      <c r="I177" s="33">
        <v>3395.7522080000003</v>
      </c>
      <c r="J177" s="31">
        <v>10724.713808</v>
      </c>
      <c r="K177" s="235">
        <v>88776.897652000014</v>
      </c>
      <c r="L177" s="235">
        <v>137905.959252</v>
      </c>
      <c r="M177" s="240">
        <v>2</v>
      </c>
    </row>
    <row r="178" spans="1:13" ht="15.75" customHeight="1" outlineLevel="1">
      <c r="A178" s="100" t="s">
        <v>181</v>
      </c>
      <c r="B178" s="66" t="s">
        <v>98</v>
      </c>
      <c r="C178" s="28" t="s">
        <v>95</v>
      </c>
      <c r="D178" s="34">
        <v>61.074680000000001</v>
      </c>
      <c r="E178" s="67"/>
      <c r="F178" s="67">
        <v>55.6</v>
      </c>
      <c r="G178" s="67"/>
      <c r="H178" s="67"/>
      <c r="I178" s="30">
        <v>3395.7522080000003</v>
      </c>
      <c r="J178" s="67"/>
      <c r="K178" s="236"/>
      <c r="L178" s="236"/>
      <c r="M178" s="241"/>
    </row>
    <row r="179" spans="1:13" ht="30" customHeight="1">
      <c r="A179" s="162">
        <v>38</v>
      </c>
      <c r="B179" s="70" t="s">
        <v>132</v>
      </c>
      <c r="C179" s="8" t="s">
        <v>0</v>
      </c>
      <c r="D179" s="69">
        <v>25.78</v>
      </c>
      <c r="E179" s="32">
        <v>470</v>
      </c>
      <c r="F179" s="33">
        <v>413.90440000000007</v>
      </c>
      <c r="G179" s="33">
        <v>883.90440000000012</v>
      </c>
      <c r="H179" s="33">
        <v>12116.6</v>
      </c>
      <c r="I179" s="33">
        <v>10670.455432000002</v>
      </c>
      <c r="J179" s="31">
        <v>22787.055432000001</v>
      </c>
      <c r="K179" s="236"/>
      <c r="L179" s="236"/>
      <c r="M179" s="241"/>
    </row>
    <row r="180" spans="1:13" s="101" customFormat="1" ht="15.75" customHeight="1" outlineLevel="1">
      <c r="A180" s="100" t="s">
        <v>181</v>
      </c>
      <c r="B180" s="66" t="s">
        <v>130</v>
      </c>
      <c r="C180" s="28" t="s">
        <v>72</v>
      </c>
      <c r="D180" s="68">
        <v>0.25780000000000003</v>
      </c>
      <c r="E180" s="67"/>
      <c r="F180" s="67">
        <v>10680</v>
      </c>
      <c r="G180" s="67"/>
      <c r="H180" s="67"/>
      <c r="I180" s="30">
        <v>2753.3040000000001</v>
      </c>
      <c r="J180" s="67"/>
      <c r="K180" s="236"/>
      <c r="L180" s="236"/>
      <c r="M180" s="241"/>
    </row>
    <row r="181" spans="1:13" s="101" customFormat="1" ht="15.75" customHeight="1" outlineLevel="1">
      <c r="A181" s="100" t="s">
        <v>181</v>
      </c>
      <c r="B181" s="66" t="s">
        <v>148</v>
      </c>
      <c r="C181" s="28" t="s">
        <v>95</v>
      </c>
      <c r="D181" s="39">
        <v>2.5780000000000004E-3</v>
      </c>
      <c r="E181" s="67"/>
      <c r="F181" s="67">
        <v>44</v>
      </c>
      <c r="G181" s="67"/>
      <c r="H181" s="67"/>
      <c r="I181" s="30">
        <v>0.11343200000000002</v>
      </c>
      <c r="J181" s="67"/>
      <c r="K181" s="236"/>
      <c r="L181" s="236"/>
      <c r="M181" s="241"/>
    </row>
    <row r="182" spans="1:13" s="101" customFormat="1" ht="30" customHeight="1" outlineLevel="1">
      <c r="A182" s="100" t="s">
        <v>181</v>
      </c>
      <c r="B182" s="66" t="s">
        <v>133</v>
      </c>
      <c r="C182" s="28" t="s">
        <v>0</v>
      </c>
      <c r="D182" s="37">
        <v>28.358000000000004</v>
      </c>
      <c r="E182" s="67"/>
      <c r="F182" s="67">
        <v>249</v>
      </c>
      <c r="G182" s="67"/>
      <c r="H182" s="67"/>
      <c r="I182" s="30">
        <v>7061.1420000000007</v>
      </c>
      <c r="J182" s="67"/>
      <c r="K182" s="236"/>
      <c r="L182" s="236"/>
      <c r="M182" s="241"/>
    </row>
    <row r="183" spans="1:13" s="101" customFormat="1" ht="15.75" customHeight="1" outlineLevel="1">
      <c r="A183" s="100" t="s">
        <v>181</v>
      </c>
      <c r="B183" s="66" t="s">
        <v>131</v>
      </c>
      <c r="C183" s="28" t="s">
        <v>22</v>
      </c>
      <c r="D183" s="37">
        <v>386.70000000000005</v>
      </c>
      <c r="E183" s="67"/>
      <c r="F183" s="67">
        <v>0.1</v>
      </c>
      <c r="G183" s="67"/>
      <c r="H183" s="67"/>
      <c r="I183" s="30">
        <v>38.670000000000009</v>
      </c>
      <c r="J183" s="67"/>
      <c r="K183" s="236"/>
      <c r="L183" s="236"/>
      <c r="M183" s="241"/>
    </row>
    <row r="184" spans="1:13" ht="15.75" customHeight="1" outlineLevel="1">
      <c r="A184" s="100" t="s">
        <v>181</v>
      </c>
      <c r="B184" s="66" t="s">
        <v>153</v>
      </c>
      <c r="C184" s="28" t="s">
        <v>95</v>
      </c>
      <c r="D184" s="38">
        <v>12.89</v>
      </c>
      <c r="E184" s="67"/>
      <c r="F184" s="67">
        <v>63.4</v>
      </c>
      <c r="G184" s="67"/>
      <c r="H184" s="67"/>
      <c r="I184" s="30">
        <v>817.226</v>
      </c>
      <c r="J184" s="67"/>
      <c r="K184" s="236"/>
      <c r="L184" s="236"/>
      <c r="M184" s="241"/>
    </row>
    <row r="185" spans="1:13" ht="45.75" customHeight="1">
      <c r="A185" s="162">
        <v>39</v>
      </c>
      <c r="B185" s="70" t="s">
        <v>371</v>
      </c>
      <c r="C185" s="8" t="s">
        <v>0</v>
      </c>
      <c r="D185" s="69">
        <v>24.15</v>
      </c>
      <c r="E185" s="32">
        <v>470</v>
      </c>
      <c r="F185" s="33">
        <v>1552.4044000000001</v>
      </c>
      <c r="G185" s="33">
        <v>2022.4044000000001</v>
      </c>
      <c r="H185" s="33">
        <v>11350.5</v>
      </c>
      <c r="I185" s="33">
        <v>37490.56626</v>
      </c>
      <c r="J185" s="31">
        <v>48841.06626</v>
      </c>
      <c r="K185" s="236"/>
      <c r="L185" s="236"/>
      <c r="M185" s="241"/>
    </row>
    <row r="186" spans="1:13" s="101" customFormat="1" ht="15.75" customHeight="1" outlineLevel="1">
      <c r="A186" s="100" t="s">
        <v>181</v>
      </c>
      <c r="B186" s="66" t="s">
        <v>130</v>
      </c>
      <c r="C186" s="28" t="s">
        <v>72</v>
      </c>
      <c r="D186" s="37">
        <v>0.24149999999999999</v>
      </c>
      <c r="E186" s="67"/>
      <c r="F186" s="67">
        <v>10680</v>
      </c>
      <c r="G186" s="67"/>
      <c r="H186" s="67"/>
      <c r="I186" s="30">
        <v>2579.2199999999998</v>
      </c>
      <c r="J186" s="67"/>
      <c r="K186" s="236"/>
      <c r="L186" s="236"/>
      <c r="M186" s="241"/>
    </row>
    <row r="187" spans="1:13" s="101" customFormat="1" ht="15.75" customHeight="1" outlineLevel="1">
      <c r="A187" s="100" t="s">
        <v>181</v>
      </c>
      <c r="B187" s="66" t="s">
        <v>148</v>
      </c>
      <c r="C187" s="28" t="s">
        <v>95</v>
      </c>
      <c r="D187" s="39">
        <v>2.415E-3</v>
      </c>
      <c r="E187" s="67"/>
      <c r="F187" s="67">
        <v>44</v>
      </c>
      <c r="G187" s="67"/>
      <c r="H187" s="67"/>
      <c r="I187" s="30">
        <v>0.10626000000000001</v>
      </c>
      <c r="J187" s="67"/>
      <c r="K187" s="236"/>
      <c r="L187" s="236"/>
      <c r="M187" s="241"/>
    </row>
    <row r="188" spans="1:13" s="101" customFormat="1" ht="20.25" customHeight="1" outlineLevel="1">
      <c r="A188" s="100" t="s">
        <v>181</v>
      </c>
      <c r="B188" s="66" t="s">
        <v>372</v>
      </c>
      <c r="C188" s="28" t="s">
        <v>0</v>
      </c>
      <c r="D188" s="37">
        <v>25.840499999999999</v>
      </c>
      <c r="E188" s="67"/>
      <c r="F188" s="67">
        <v>1320</v>
      </c>
      <c r="G188" s="67"/>
      <c r="H188" s="67"/>
      <c r="I188" s="30">
        <v>34109.46</v>
      </c>
      <c r="J188" s="67"/>
      <c r="K188" s="236"/>
      <c r="L188" s="236"/>
      <c r="M188" s="241"/>
    </row>
    <row r="189" spans="1:13" s="101" customFormat="1" ht="15.75" customHeight="1" outlineLevel="1">
      <c r="A189" s="100" t="s">
        <v>181</v>
      </c>
      <c r="B189" s="66" t="s">
        <v>131</v>
      </c>
      <c r="C189" s="28" t="s">
        <v>22</v>
      </c>
      <c r="D189" s="37">
        <v>362.25</v>
      </c>
      <c r="E189" s="67"/>
      <c r="F189" s="67">
        <v>0.1</v>
      </c>
      <c r="G189" s="67"/>
      <c r="H189" s="67"/>
      <c r="I189" s="30">
        <v>36.225000000000001</v>
      </c>
      <c r="J189" s="67"/>
      <c r="K189" s="236"/>
      <c r="L189" s="236"/>
      <c r="M189" s="241"/>
    </row>
    <row r="190" spans="1:13" ht="15.75" customHeight="1" outlineLevel="1">
      <c r="A190" s="100" t="s">
        <v>181</v>
      </c>
      <c r="B190" s="66" t="s">
        <v>153</v>
      </c>
      <c r="C190" s="28" t="s">
        <v>95</v>
      </c>
      <c r="D190" s="38">
        <v>12.074999999999999</v>
      </c>
      <c r="E190" s="67"/>
      <c r="F190" s="67">
        <v>63.4</v>
      </c>
      <c r="G190" s="67"/>
      <c r="H190" s="67"/>
      <c r="I190" s="30">
        <v>765.55499999999995</v>
      </c>
      <c r="J190" s="67"/>
      <c r="K190" s="236"/>
      <c r="L190" s="236"/>
      <c r="M190" s="241"/>
    </row>
    <row r="191" spans="1:13">
      <c r="A191" s="162">
        <v>40</v>
      </c>
      <c r="B191" s="70" t="s">
        <v>374</v>
      </c>
      <c r="C191" s="8" t="s">
        <v>0</v>
      </c>
      <c r="D191" s="69">
        <v>13.580000000000002</v>
      </c>
      <c r="E191" s="32">
        <v>1350</v>
      </c>
      <c r="F191" s="33">
        <v>2740.8044</v>
      </c>
      <c r="G191" s="33">
        <v>4090.8044</v>
      </c>
      <c r="H191" s="33">
        <v>18333.000000000004</v>
      </c>
      <c r="I191" s="33">
        <v>37220.123752000007</v>
      </c>
      <c r="J191" s="31">
        <v>55553.123752000014</v>
      </c>
      <c r="K191" s="236"/>
      <c r="L191" s="236"/>
      <c r="M191" s="241"/>
    </row>
    <row r="192" spans="1:13" s="101" customFormat="1" ht="15.75" customHeight="1" outlineLevel="1">
      <c r="A192" s="100" t="s">
        <v>181</v>
      </c>
      <c r="B192" s="66" t="s">
        <v>137</v>
      </c>
      <c r="C192" s="28" t="s">
        <v>95</v>
      </c>
      <c r="D192" s="37">
        <v>57.036000000000008</v>
      </c>
      <c r="E192" s="67"/>
      <c r="F192" s="67">
        <v>24</v>
      </c>
      <c r="G192" s="67"/>
      <c r="H192" s="67"/>
      <c r="I192" s="30">
        <v>1368.8640000000003</v>
      </c>
      <c r="J192" s="67"/>
      <c r="M192" s="241"/>
    </row>
    <row r="193" spans="1:13" s="101" customFormat="1" ht="15.75" customHeight="1" outlineLevel="1">
      <c r="A193" s="100" t="s">
        <v>181</v>
      </c>
      <c r="B193" s="66" t="s">
        <v>148</v>
      </c>
      <c r="C193" s="28" t="s">
        <v>95</v>
      </c>
      <c r="D193" s="39">
        <v>1.3580000000000003E-3</v>
      </c>
      <c r="E193" s="67"/>
      <c r="F193" s="67">
        <v>44</v>
      </c>
      <c r="G193" s="67"/>
      <c r="H193" s="67"/>
      <c r="I193" s="30">
        <v>5.9752000000000013E-2</v>
      </c>
      <c r="J193" s="67"/>
      <c r="M193" s="241"/>
    </row>
    <row r="194" spans="1:13" s="101" customFormat="1" ht="15.75" customHeight="1" outlineLevel="1">
      <c r="A194" s="100" t="s">
        <v>181</v>
      </c>
      <c r="B194" s="66" t="s">
        <v>373</v>
      </c>
      <c r="C194" s="28" t="s">
        <v>0</v>
      </c>
      <c r="D194" s="37">
        <v>14.938000000000002</v>
      </c>
      <c r="E194" s="67"/>
      <c r="F194" s="67">
        <v>2400</v>
      </c>
      <c r="G194" s="67"/>
      <c r="H194" s="67"/>
      <c r="I194" s="30">
        <v>35851.200000000004</v>
      </c>
      <c r="J194" s="67"/>
      <c r="M194" s="241"/>
    </row>
    <row r="195" spans="1:13" ht="30" customHeight="1">
      <c r="A195" s="162">
        <v>41</v>
      </c>
      <c r="B195" s="70" t="s">
        <v>51</v>
      </c>
      <c r="C195" s="8" t="s">
        <v>29</v>
      </c>
      <c r="D195" s="69">
        <v>78.84</v>
      </c>
      <c r="E195" s="32">
        <v>48</v>
      </c>
      <c r="F195" s="33">
        <v>10.879</v>
      </c>
      <c r="G195" s="33">
        <v>58.878999999999998</v>
      </c>
      <c r="H195" s="33">
        <v>3784.32</v>
      </c>
      <c r="I195" s="33">
        <v>857.70036000000005</v>
      </c>
      <c r="J195" s="31">
        <v>4642.0203600000004</v>
      </c>
      <c r="K195" s="149">
        <v>857.70036000000005</v>
      </c>
      <c r="L195" s="149">
        <v>4642.0203600000004</v>
      </c>
      <c r="M195" s="241"/>
    </row>
    <row r="196" spans="1:13" s="101" customFormat="1" ht="15.75" customHeight="1" outlineLevel="1">
      <c r="A196" s="100" t="s">
        <v>181</v>
      </c>
      <c r="B196" s="66" t="s">
        <v>138</v>
      </c>
      <c r="C196" s="28" t="s">
        <v>95</v>
      </c>
      <c r="D196" s="37">
        <v>81.205200000000005</v>
      </c>
      <c r="E196" s="67"/>
      <c r="F196" s="67">
        <v>7.3</v>
      </c>
      <c r="G196" s="67"/>
      <c r="H196" s="67"/>
      <c r="I196" s="30">
        <v>592.79795999999999</v>
      </c>
      <c r="J196" s="67"/>
      <c r="M196" s="241"/>
    </row>
    <row r="197" spans="1:13" s="101" customFormat="1" ht="15.75" customHeight="1" outlineLevel="1">
      <c r="A197" s="100" t="s">
        <v>181</v>
      </c>
      <c r="B197" s="66" t="s">
        <v>139</v>
      </c>
      <c r="C197" s="28" t="s">
        <v>95</v>
      </c>
      <c r="D197" s="37">
        <v>23.652000000000001</v>
      </c>
      <c r="E197" s="67"/>
      <c r="F197" s="67">
        <v>11.2</v>
      </c>
      <c r="G197" s="67"/>
      <c r="H197" s="67"/>
      <c r="I197" s="30">
        <v>264.9024</v>
      </c>
      <c r="J197" s="67"/>
      <c r="M197" s="241"/>
    </row>
    <row r="198" spans="1:13" ht="30">
      <c r="A198" s="162">
        <v>42</v>
      </c>
      <c r="B198" s="70" t="s">
        <v>52</v>
      </c>
      <c r="C198" s="8" t="s">
        <v>29</v>
      </c>
      <c r="D198" s="69">
        <v>24.164999999999999</v>
      </c>
      <c r="E198" s="32">
        <v>48</v>
      </c>
      <c r="F198" s="33">
        <v>43.344999999999999</v>
      </c>
      <c r="G198" s="33">
        <v>91.344999999999999</v>
      </c>
      <c r="H198" s="33">
        <v>1159.92</v>
      </c>
      <c r="I198" s="33">
        <v>1047.4319249999999</v>
      </c>
      <c r="J198" s="31">
        <v>2207.3519249999999</v>
      </c>
      <c r="K198" s="235">
        <v>13781.526485100003</v>
      </c>
      <c r="L198" s="235">
        <v>82673.192735100005</v>
      </c>
      <c r="M198" s="241"/>
    </row>
    <row r="199" spans="1:13" s="101" customFormat="1" ht="15.75" customHeight="1" outlineLevel="1">
      <c r="A199" s="100" t="s">
        <v>181</v>
      </c>
      <c r="B199" s="66" t="s">
        <v>140</v>
      </c>
      <c r="C199" s="28" t="s">
        <v>29</v>
      </c>
      <c r="D199" s="37">
        <v>24.889949999999999</v>
      </c>
      <c r="E199" s="67"/>
      <c r="F199" s="67">
        <v>11.5</v>
      </c>
      <c r="G199" s="67"/>
      <c r="H199" s="67"/>
      <c r="I199" s="30">
        <v>286.23442499999999</v>
      </c>
      <c r="J199" s="67"/>
      <c r="K199" s="236"/>
      <c r="L199" s="236"/>
      <c r="M199" s="241"/>
    </row>
    <row r="200" spans="1:13" s="101" customFormat="1" ht="15.75" customHeight="1" outlineLevel="1">
      <c r="A200" s="100" t="s">
        <v>181</v>
      </c>
      <c r="B200" s="66" t="s">
        <v>126</v>
      </c>
      <c r="C200" s="28" t="s">
        <v>117</v>
      </c>
      <c r="D200" s="38">
        <v>3.6247499999999997</v>
      </c>
      <c r="E200" s="67"/>
      <c r="F200" s="67">
        <v>210</v>
      </c>
      <c r="G200" s="67"/>
      <c r="H200" s="67"/>
      <c r="I200" s="30">
        <v>761.19749999999999</v>
      </c>
      <c r="J200" s="67"/>
      <c r="K200" s="236"/>
      <c r="L200" s="236"/>
      <c r="M200" s="241"/>
    </row>
    <row r="201" spans="1:13" ht="30" customHeight="1">
      <c r="A201" s="162">
        <v>43</v>
      </c>
      <c r="B201" s="70" t="s">
        <v>144</v>
      </c>
      <c r="C201" s="8" t="s">
        <v>0</v>
      </c>
      <c r="D201" s="69">
        <v>254.40900000000002</v>
      </c>
      <c r="E201" s="32">
        <v>245</v>
      </c>
      <c r="F201" s="33">
        <v>47.296400000000006</v>
      </c>
      <c r="G201" s="33">
        <v>292.29640000000001</v>
      </c>
      <c r="H201" s="33">
        <v>62330.205000000002</v>
      </c>
      <c r="I201" s="33">
        <v>12032.629827600002</v>
      </c>
      <c r="J201" s="31">
        <v>74362.834827600003</v>
      </c>
      <c r="K201" s="236"/>
      <c r="L201" s="236"/>
      <c r="M201" s="241"/>
    </row>
    <row r="202" spans="1:13" s="101" customFormat="1" ht="15.75" customHeight="1" outlineLevel="1">
      <c r="A202" s="100" t="s">
        <v>181</v>
      </c>
      <c r="B202" s="66" t="s">
        <v>141</v>
      </c>
      <c r="C202" s="28" t="s">
        <v>142</v>
      </c>
      <c r="D202" s="37">
        <v>508.81800000000004</v>
      </c>
      <c r="E202" s="67"/>
      <c r="F202" s="67">
        <v>22.56</v>
      </c>
      <c r="G202" s="67"/>
      <c r="H202" s="67"/>
      <c r="I202" s="30">
        <v>11478.934080000001</v>
      </c>
      <c r="J202" s="67"/>
      <c r="K202" s="236"/>
      <c r="L202" s="236"/>
      <c r="M202" s="241"/>
    </row>
    <row r="203" spans="1:13" s="101" customFormat="1" ht="15.75" customHeight="1" outlineLevel="1">
      <c r="A203" s="100" t="s">
        <v>181</v>
      </c>
      <c r="B203" s="66" t="s">
        <v>148</v>
      </c>
      <c r="C203" s="28" t="s">
        <v>95</v>
      </c>
      <c r="D203" s="39">
        <v>2.5440900000000002E-2</v>
      </c>
      <c r="E203" s="67"/>
      <c r="F203" s="67">
        <v>44</v>
      </c>
      <c r="G203" s="67"/>
      <c r="H203" s="67"/>
      <c r="I203" s="30">
        <v>1.1193996000000002</v>
      </c>
      <c r="J203" s="67"/>
      <c r="K203" s="236"/>
      <c r="L203" s="236"/>
      <c r="M203" s="241"/>
    </row>
    <row r="204" spans="1:13" s="101" customFormat="1" ht="15.75" customHeight="1" outlineLevel="1">
      <c r="A204" s="100" t="s">
        <v>181</v>
      </c>
      <c r="B204" s="66" t="s">
        <v>143</v>
      </c>
      <c r="C204" s="28" t="s">
        <v>0</v>
      </c>
      <c r="D204" s="37">
        <v>7.6322700000000001</v>
      </c>
      <c r="E204" s="67"/>
      <c r="F204" s="67">
        <v>72.400000000000006</v>
      </c>
      <c r="G204" s="67"/>
      <c r="H204" s="67"/>
      <c r="I204" s="30">
        <v>552.57634800000005</v>
      </c>
      <c r="J204" s="67"/>
      <c r="K204" s="236"/>
      <c r="L204" s="236"/>
      <c r="M204" s="241"/>
    </row>
    <row r="205" spans="1:13" ht="30" customHeight="1">
      <c r="A205" s="162">
        <v>44</v>
      </c>
      <c r="B205" s="70" t="s">
        <v>145</v>
      </c>
      <c r="C205" s="8" t="s">
        <v>0</v>
      </c>
      <c r="D205" s="69">
        <v>14.831250000000001</v>
      </c>
      <c r="E205" s="32">
        <v>364.2</v>
      </c>
      <c r="F205" s="33">
        <v>47.296400000000006</v>
      </c>
      <c r="G205" s="33">
        <v>411.49639999999999</v>
      </c>
      <c r="H205" s="33">
        <v>5401.5412500000002</v>
      </c>
      <c r="I205" s="33">
        <v>701.46473250000008</v>
      </c>
      <c r="J205" s="31">
        <v>6103.0059825000008</v>
      </c>
      <c r="K205" s="236"/>
      <c r="L205" s="236"/>
      <c r="M205" s="241"/>
    </row>
    <row r="206" spans="1:13" s="101" customFormat="1" ht="15.75" customHeight="1" outlineLevel="1">
      <c r="A206" s="100" t="s">
        <v>181</v>
      </c>
      <c r="B206" s="66" t="s">
        <v>141</v>
      </c>
      <c r="C206" s="28" t="s">
        <v>142</v>
      </c>
      <c r="D206" s="37">
        <v>29.662500000000001</v>
      </c>
      <c r="E206" s="67"/>
      <c r="F206" s="67">
        <v>22.56</v>
      </c>
      <c r="G206" s="67"/>
      <c r="H206" s="67"/>
      <c r="I206" s="30">
        <v>669.18600000000004</v>
      </c>
      <c r="J206" s="67"/>
      <c r="M206" s="241"/>
    </row>
    <row r="207" spans="1:13" s="101" customFormat="1" ht="15.75" customHeight="1" outlineLevel="1">
      <c r="A207" s="100" t="s">
        <v>181</v>
      </c>
      <c r="B207" s="66" t="s">
        <v>148</v>
      </c>
      <c r="C207" s="28" t="s">
        <v>95</v>
      </c>
      <c r="D207" s="39">
        <v>1.4831250000000001E-3</v>
      </c>
      <c r="E207" s="67"/>
      <c r="F207" s="67">
        <v>44</v>
      </c>
      <c r="G207" s="67"/>
      <c r="H207" s="67"/>
      <c r="I207" s="30">
        <v>6.5257499999999996E-2</v>
      </c>
      <c r="J207" s="67"/>
      <c r="M207" s="241"/>
    </row>
    <row r="208" spans="1:13" s="101" customFormat="1" ht="15.75" customHeight="1" outlineLevel="1">
      <c r="A208" s="100" t="s">
        <v>181</v>
      </c>
      <c r="B208" s="66" t="s">
        <v>143</v>
      </c>
      <c r="C208" s="28" t="s">
        <v>0</v>
      </c>
      <c r="D208" s="37">
        <v>0.44493749999999999</v>
      </c>
      <c r="E208" s="67"/>
      <c r="F208" s="67">
        <v>72.400000000000006</v>
      </c>
      <c r="G208" s="67"/>
      <c r="H208" s="67"/>
      <c r="I208" s="30">
        <v>32.213475000000003</v>
      </c>
      <c r="J208" s="67"/>
      <c r="M208" s="241"/>
    </row>
    <row r="209" spans="1:13">
      <c r="A209" s="162">
        <v>45</v>
      </c>
      <c r="B209" s="70" t="s">
        <v>36</v>
      </c>
      <c r="C209" s="8" t="s">
        <v>0</v>
      </c>
      <c r="D209" s="69">
        <v>23.36</v>
      </c>
      <c r="E209" s="32">
        <v>145</v>
      </c>
      <c r="F209" s="33">
        <v>153.45439999999999</v>
      </c>
      <c r="G209" s="33">
        <v>298.45439999999996</v>
      </c>
      <c r="H209" s="33">
        <v>3387.2</v>
      </c>
      <c r="I209" s="33">
        <v>3584.6947839999998</v>
      </c>
      <c r="J209" s="31">
        <v>6971.8947840000001</v>
      </c>
      <c r="K209" s="149">
        <v>3584.6947839999998</v>
      </c>
      <c r="L209" s="149">
        <v>6971.8947840000001</v>
      </c>
      <c r="M209" s="241"/>
    </row>
    <row r="210" spans="1:13" s="101" customFormat="1" ht="15.75" outlineLevel="1">
      <c r="A210" s="100" t="s">
        <v>181</v>
      </c>
      <c r="B210" s="66" t="s">
        <v>146</v>
      </c>
      <c r="C210" s="28" t="s">
        <v>0</v>
      </c>
      <c r="D210" s="37">
        <v>26.863999999999997</v>
      </c>
      <c r="E210" s="67"/>
      <c r="F210" s="67">
        <v>124</v>
      </c>
      <c r="G210" s="67"/>
      <c r="H210" s="67"/>
      <c r="I210" s="30">
        <v>3331.1359999999995</v>
      </c>
      <c r="J210" s="67"/>
      <c r="L210" s="238"/>
      <c r="M210" s="241"/>
    </row>
    <row r="211" spans="1:13" s="101" customFormat="1" ht="15.75" outlineLevel="1">
      <c r="A211" s="100" t="s">
        <v>181</v>
      </c>
      <c r="B211" s="66" t="s">
        <v>147</v>
      </c>
      <c r="C211" s="28" t="s">
        <v>95</v>
      </c>
      <c r="D211" s="37">
        <v>0.8176000000000001</v>
      </c>
      <c r="E211" s="67"/>
      <c r="F211" s="67">
        <v>310</v>
      </c>
      <c r="G211" s="67"/>
      <c r="H211" s="67"/>
      <c r="I211" s="30">
        <v>253.45600000000005</v>
      </c>
      <c r="J211" s="67"/>
      <c r="L211" s="238"/>
      <c r="M211" s="241"/>
    </row>
    <row r="212" spans="1:13" s="101" customFormat="1" ht="15.75" outlineLevel="1">
      <c r="A212" s="100" t="s">
        <v>181</v>
      </c>
      <c r="B212" s="66" t="s">
        <v>148</v>
      </c>
      <c r="C212" s="28" t="s">
        <v>95</v>
      </c>
      <c r="D212" s="39">
        <v>2.336E-3</v>
      </c>
      <c r="E212" s="67"/>
      <c r="F212" s="67">
        <v>44</v>
      </c>
      <c r="G212" s="67"/>
      <c r="H212" s="67"/>
      <c r="I212" s="30">
        <v>0.102784</v>
      </c>
      <c r="J212" s="67"/>
      <c r="M212" s="242"/>
    </row>
    <row r="213" spans="1:13" ht="30">
      <c r="A213" s="162">
        <v>46</v>
      </c>
      <c r="B213" s="70" t="s">
        <v>47</v>
      </c>
      <c r="C213" s="8" t="s">
        <v>0</v>
      </c>
      <c r="D213" s="69">
        <v>222.68025</v>
      </c>
      <c r="E213" s="32">
        <v>115</v>
      </c>
      <c r="F213" s="33">
        <v>218.1104</v>
      </c>
      <c r="G213" s="33">
        <v>333.11040000000003</v>
      </c>
      <c r="H213" s="33">
        <v>25608.228749999998</v>
      </c>
      <c r="I213" s="33">
        <v>48568.878399599998</v>
      </c>
      <c r="J213" s="31">
        <v>74177.107149599993</v>
      </c>
      <c r="K213" s="235">
        <v>78918.822399600002</v>
      </c>
      <c r="L213" s="235">
        <v>110165.0591496</v>
      </c>
      <c r="M213" s="240">
        <v>3</v>
      </c>
    </row>
    <row r="214" spans="1:13" s="101" customFormat="1" ht="30" customHeight="1" outlineLevel="1">
      <c r="A214" s="100" t="s">
        <v>181</v>
      </c>
      <c r="B214" s="66" t="s">
        <v>152</v>
      </c>
      <c r="C214" s="28" t="s">
        <v>149</v>
      </c>
      <c r="D214" s="37">
        <v>140.2885575</v>
      </c>
      <c r="E214" s="67"/>
      <c r="F214" s="67">
        <v>339.62</v>
      </c>
      <c r="G214" s="67"/>
      <c r="H214" s="67"/>
      <c r="I214" s="30">
        <v>47644.799898149999</v>
      </c>
      <c r="J214" s="67"/>
      <c r="K214" s="236"/>
      <c r="L214" s="236"/>
      <c r="M214" s="241"/>
    </row>
    <row r="215" spans="1:13" s="101" customFormat="1" ht="15.75" customHeight="1" outlineLevel="1">
      <c r="A215" s="100" t="s">
        <v>181</v>
      </c>
      <c r="B215" s="66" t="s">
        <v>172</v>
      </c>
      <c r="C215" s="28" t="s">
        <v>173</v>
      </c>
      <c r="D215" s="38">
        <v>14.02885575</v>
      </c>
      <c r="E215" s="67"/>
      <c r="F215" s="67">
        <v>65.8</v>
      </c>
      <c r="G215" s="67"/>
      <c r="H215" s="67"/>
      <c r="I215" s="30">
        <v>923.09870834999992</v>
      </c>
      <c r="J215" s="67"/>
      <c r="K215" s="236"/>
      <c r="L215" s="236"/>
      <c r="M215" s="241"/>
    </row>
    <row r="216" spans="1:13" s="101" customFormat="1" ht="15.75" customHeight="1" outlineLevel="1">
      <c r="A216" s="100" t="s">
        <v>181</v>
      </c>
      <c r="B216" s="66" t="s">
        <v>148</v>
      </c>
      <c r="C216" s="28" t="s">
        <v>95</v>
      </c>
      <c r="D216" s="39">
        <v>2.2268025E-2</v>
      </c>
      <c r="E216" s="67"/>
      <c r="F216" s="67">
        <v>44</v>
      </c>
      <c r="G216" s="67"/>
      <c r="H216" s="67"/>
      <c r="I216" s="30">
        <v>0.97979309999999997</v>
      </c>
      <c r="J216" s="67"/>
      <c r="K216" s="236"/>
      <c r="L216" s="236"/>
      <c r="M216" s="241"/>
    </row>
    <row r="217" spans="1:13" ht="30">
      <c r="A217" s="162">
        <v>47</v>
      </c>
      <c r="B217" s="70" t="s">
        <v>54</v>
      </c>
      <c r="C217" s="8" t="s">
        <v>22</v>
      </c>
      <c r="D217" s="69">
        <v>4</v>
      </c>
      <c r="E217" s="32">
        <v>76.8</v>
      </c>
      <c r="F217" s="33">
        <v>433.8</v>
      </c>
      <c r="G217" s="33">
        <v>510.6</v>
      </c>
      <c r="H217" s="33">
        <v>307.2</v>
      </c>
      <c r="I217" s="33">
        <v>1735.2</v>
      </c>
      <c r="J217" s="31">
        <v>2042.4</v>
      </c>
      <c r="K217" s="236"/>
      <c r="L217" s="236"/>
      <c r="M217" s="241"/>
    </row>
    <row r="218" spans="1:13" s="101" customFormat="1" ht="30" customHeight="1" outlineLevel="1">
      <c r="A218" s="100" t="s">
        <v>181</v>
      </c>
      <c r="B218" s="66" t="s">
        <v>150</v>
      </c>
      <c r="C218" s="28" t="s">
        <v>22</v>
      </c>
      <c r="D218" s="37">
        <v>4</v>
      </c>
      <c r="E218" s="67"/>
      <c r="F218" s="67">
        <v>430</v>
      </c>
      <c r="G218" s="67"/>
      <c r="H218" s="67"/>
      <c r="I218" s="30">
        <v>1720</v>
      </c>
      <c r="J218" s="67"/>
      <c r="K218" s="236"/>
      <c r="L218" s="236"/>
      <c r="M218" s="241"/>
    </row>
    <row r="219" spans="1:13" s="101" customFormat="1" ht="15.75" customHeight="1" outlineLevel="1">
      <c r="A219" s="100" t="s">
        <v>181</v>
      </c>
      <c r="B219" s="66" t="s">
        <v>151</v>
      </c>
      <c r="C219" s="28" t="s">
        <v>22</v>
      </c>
      <c r="D219" s="37">
        <v>80</v>
      </c>
      <c r="E219" s="67"/>
      <c r="F219" s="67">
        <v>0.19</v>
      </c>
      <c r="G219" s="67"/>
      <c r="H219" s="67"/>
      <c r="I219" s="30">
        <v>15.2</v>
      </c>
      <c r="J219" s="67"/>
      <c r="K219" s="236"/>
      <c r="L219" s="236"/>
      <c r="M219" s="241"/>
    </row>
    <row r="220" spans="1:13">
      <c r="A220" s="162">
        <v>48</v>
      </c>
      <c r="B220" s="70" t="s">
        <v>268</v>
      </c>
      <c r="C220" s="8" t="s">
        <v>0</v>
      </c>
      <c r="D220" s="69">
        <v>10.879200000000001</v>
      </c>
      <c r="E220" s="32">
        <v>490</v>
      </c>
      <c r="F220" s="33">
        <v>2630.2250165453343</v>
      </c>
      <c r="G220" s="33">
        <v>3120.2250165453343</v>
      </c>
      <c r="H220" s="33">
        <v>5330.808</v>
      </c>
      <c r="I220" s="33">
        <v>28614.744000000002</v>
      </c>
      <c r="J220" s="31">
        <v>33945.552000000003</v>
      </c>
      <c r="K220" s="236"/>
      <c r="L220" s="236"/>
      <c r="M220" s="241"/>
    </row>
    <row r="221" spans="1:13" s="101" customFormat="1" ht="15.75" outlineLevel="1">
      <c r="A221" s="100" t="s">
        <v>181</v>
      </c>
      <c r="B221" s="66" t="s">
        <v>267</v>
      </c>
      <c r="C221" s="28" t="s">
        <v>0</v>
      </c>
      <c r="D221" s="37">
        <v>10.879200000000001</v>
      </c>
      <c r="E221" s="67"/>
      <c r="F221" s="67">
        <v>2320</v>
      </c>
      <c r="G221" s="67"/>
      <c r="H221" s="67"/>
      <c r="I221" s="30">
        <v>25239.744000000002</v>
      </c>
      <c r="J221" s="67"/>
      <c r="M221" s="241"/>
    </row>
    <row r="222" spans="1:13" s="101" customFormat="1" ht="15.75" outlineLevel="1">
      <c r="A222" s="100" t="s">
        <v>181</v>
      </c>
      <c r="B222" s="66" t="s">
        <v>269</v>
      </c>
      <c r="C222" s="28" t="s">
        <v>22</v>
      </c>
      <c r="D222" s="37">
        <v>9</v>
      </c>
      <c r="E222" s="67"/>
      <c r="F222" s="67">
        <v>375</v>
      </c>
      <c r="G222" s="67"/>
      <c r="H222" s="67"/>
      <c r="I222" s="30">
        <v>3375</v>
      </c>
      <c r="J222" s="67"/>
      <c r="M222" s="242"/>
    </row>
    <row r="223" spans="1:13" ht="15.75" customHeight="1">
      <c r="A223" s="222" t="s">
        <v>116</v>
      </c>
      <c r="B223" s="223"/>
      <c r="C223" s="223"/>
      <c r="D223" s="223"/>
      <c r="E223" s="223"/>
      <c r="F223" s="223"/>
      <c r="G223" s="224"/>
      <c r="H223" s="67">
        <v>246686.41020000001</v>
      </c>
      <c r="I223" s="67">
        <v>260643.69466757501</v>
      </c>
      <c r="J223" s="67">
        <v>507330.10486757511</v>
      </c>
      <c r="M223" s="156"/>
    </row>
    <row r="224" spans="1:13" ht="21" customHeight="1">
      <c r="A224" s="225" t="s">
        <v>30</v>
      </c>
      <c r="B224" s="226"/>
      <c r="C224" s="226"/>
      <c r="D224" s="226"/>
      <c r="E224" s="226"/>
      <c r="F224" s="226"/>
      <c r="G224" s="226"/>
      <c r="H224" s="226"/>
      <c r="I224" s="226"/>
      <c r="J224" s="227"/>
      <c r="M224" s="156"/>
    </row>
    <row r="225" spans="1:13" ht="30">
      <c r="A225" s="162">
        <v>49</v>
      </c>
      <c r="B225" s="70" t="s">
        <v>28</v>
      </c>
      <c r="C225" s="8" t="s">
        <v>29</v>
      </c>
      <c r="D225" s="69">
        <v>37</v>
      </c>
      <c r="E225" s="32">
        <v>99.52</v>
      </c>
      <c r="F225" s="33">
        <v>352.75920000000002</v>
      </c>
      <c r="G225" s="33">
        <v>452.2792</v>
      </c>
      <c r="H225" s="33">
        <v>3682.24</v>
      </c>
      <c r="I225" s="33">
        <v>13052.090400000001</v>
      </c>
      <c r="J225" s="31">
        <v>16734.330399999999</v>
      </c>
      <c r="K225" s="235">
        <v>41032.802459999992</v>
      </c>
      <c r="L225" s="235">
        <v>62755.972459999997</v>
      </c>
      <c r="M225" s="240">
        <v>1</v>
      </c>
    </row>
    <row r="226" spans="1:13" s="101" customFormat="1" ht="15.75" customHeight="1" outlineLevel="1">
      <c r="A226" s="100" t="s">
        <v>181</v>
      </c>
      <c r="B226" s="66" t="s">
        <v>89</v>
      </c>
      <c r="C226" s="28" t="s">
        <v>72</v>
      </c>
      <c r="D226" s="39">
        <v>5.3280000000000001E-2</v>
      </c>
      <c r="E226" s="67"/>
      <c r="F226" s="67">
        <v>57680</v>
      </c>
      <c r="G226" s="67"/>
      <c r="H226" s="67"/>
      <c r="I226" s="30">
        <v>3073.1904</v>
      </c>
      <c r="J226" s="67"/>
      <c r="K226" s="236"/>
      <c r="L226" s="236"/>
      <c r="M226" s="241"/>
    </row>
    <row r="227" spans="1:13" s="101" customFormat="1" ht="15.75" customHeight="1" outlineLevel="1">
      <c r="A227" s="100" t="s">
        <v>181</v>
      </c>
      <c r="B227" s="66" t="s">
        <v>88</v>
      </c>
      <c r="C227" s="28" t="s">
        <v>72</v>
      </c>
      <c r="D227" s="39">
        <v>1.7205000000000001</v>
      </c>
      <c r="E227" s="67"/>
      <c r="F227" s="67">
        <v>5800</v>
      </c>
      <c r="G227" s="67"/>
      <c r="H227" s="67"/>
      <c r="I227" s="30">
        <v>9978.9000000000015</v>
      </c>
      <c r="J227" s="67"/>
      <c r="K227" s="236"/>
      <c r="L227" s="236"/>
      <c r="M227" s="241"/>
    </row>
    <row r="228" spans="1:13">
      <c r="A228" s="162">
        <v>50</v>
      </c>
      <c r="B228" s="70" t="s">
        <v>218</v>
      </c>
      <c r="C228" s="8" t="s">
        <v>0</v>
      </c>
      <c r="D228" s="69">
        <v>3.75</v>
      </c>
      <c r="E228" s="32">
        <v>86.4</v>
      </c>
      <c r="F228" s="33">
        <v>0</v>
      </c>
      <c r="G228" s="33">
        <v>86.4</v>
      </c>
      <c r="H228" s="33">
        <v>324</v>
      </c>
      <c r="I228" s="33">
        <v>0</v>
      </c>
      <c r="J228" s="31">
        <v>324</v>
      </c>
      <c r="K228" s="236"/>
      <c r="L228" s="236"/>
      <c r="M228" s="241"/>
    </row>
    <row r="229" spans="1:13" ht="30">
      <c r="A229" s="162">
        <v>51</v>
      </c>
      <c r="B229" s="70" t="s">
        <v>215</v>
      </c>
      <c r="C229" s="8" t="s">
        <v>0</v>
      </c>
      <c r="D229" s="69">
        <v>84.77</v>
      </c>
      <c r="E229" s="32">
        <v>209</v>
      </c>
      <c r="F229" s="33">
        <v>330.07799999999997</v>
      </c>
      <c r="G229" s="33">
        <v>539.07799999999997</v>
      </c>
      <c r="H229" s="33">
        <v>17716.93</v>
      </c>
      <c r="I229" s="33">
        <v>27980.712059999994</v>
      </c>
      <c r="J229" s="31">
        <v>45697.642059999998</v>
      </c>
      <c r="K229" s="236"/>
      <c r="L229" s="236"/>
      <c r="M229" s="241"/>
    </row>
    <row r="230" spans="1:13" s="101" customFormat="1" ht="15.75" outlineLevel="1">
      <c r="A230" s="100" t="s">
        <v>181</v>
      </c>
      <c r="B230" s="66" t="s">
        <v>88</v>
      </c>
      <c r="C230" s="28" t="s">
        <v>72</v>
      </c>
      <c r="D230" s="39">
        <v>4.8242606999999991</v>
      </c>
      <c r="E230" s="67"/>
      <c r="F230" s="67">
        <v>5800</v>
      </c>
      <c r="G230" s="67"/>
      <c r="H230" s="67"/>
      <c r="I230" s="30">
        <v>27980.712059999994</v>
      </c>
      <c r="J230" s="67"/>
      <c r="M230" s="242"/>
    </row>
    <row r="231" spans="1:13" ht="45" customHeight="1">
      <c r="A231" s="162">
        <v>52</v>
      </c>
      <c r="B231" s="70" t="s">
        <v>39</v>
      </c>
      <c r="C231" s="8" t="s">
        <v>0</v>
      </c>
      <c r="D231" s="69">
        <v>84.77</v>
      </c>
      <c r="E231" s="32">
        <v>24</v>
      </c>
      <c r="F231" s="33">
        <v>11.120000000000001</v>
      </c>
      <c r="G231" s="33">
        <v>35.120000000000005</v>
      </c>
      <c r="H231" s="33">
        <v>2034.48</v>
      </c>
      <c r="I231" s="33">
        <v>942.64240000000007</v>
      </c>
      <c r="J231" s="31">
        <v>2977.1224000000002</v>
      </c>
      <c r="K231" s="235">
        <v>159982.808388</v>
      </c>
      <c r="L231" s="235">
        <v>203863.60838799996</v>
      </c>
      <c r="M231" s="240">
        <v>2</v>
      </c>
    </row>
    <row r="232" spans="1:13" s="101" customFormat="1" ht="15.75" customHeight="1" outlineLevel="1">
      <c r="A232" s="100" t="s">
        <v>181</v>
      </c>
      <c r="B232" s="66" t="s">
        <v>98</v>
      </c>
      <c r="C232" s="28" t="s">
        <v>95</v>
      </c>
      <c r="D232" s="34">
        <v>16.954000000000001</v>
      </c>
      <c r="E232" s="67"/>
      <c r="F232" s="67">
        <v>55.6</v>
      </c>
      <c r="G232" s="67"/>
      <c r="H232" s="67"/>
      <c r="I232" s="30">
        <v>942.64240000000007</v>
      </c>
      <c r="J232" s="67"/>
      <c r="K232" s="236"/>
      <c r="L232" s="236"/>
      <c r="M232" s="241"/>
    </row>
    <row r="233" spans="1:13" ht="45" customHeight="1">
      <c r="A233" s="162">
        <v>53</v>
      </c>
      <c r="B233" s="70" t="s">
        <v>376</v>
      </c>
      <c r="C233" s="8" t="s">
        <v>0</v>
      </c>
      <c r="D233" s="69">
        <v>77.47</v>
      </c>
      <c r="E233" s="32">
        <v>470</v>
      </c>
      <c r="F233" s="33">
        <v>1969.7043999999999</v>
      </c>
      <c r="G233" s="33">
        <v>2439.7043999999996</v>
      </c>
      <c r="H233" s="33">
        <v>36410.9</v>
      </c>
      <c r="I233" s="33">
        <v>152592.99986799998</v>
      </c>
      <c r="J233" s="31">
        <v>189003.89986799998</v>
      </c>
      <c r="K233" s="236"/>
      <c r="L233" s="236"/>
      <c r="M233" s="241"/>
    </row>
    <row r="234" spans="1:13" s="101" customFormat="1" ht="15.75" customHeight="1" outlineLevel="1">
      <c r="A234" s="100" t="s">
        <v>181</v>
      </c>
      <c r="B234" s="66" t="s">
        <v>130</v>
      </c>
      <c r="C234" s="28" t="s">
        <v>72</v>
      </c>
      <c r="D234" s="37">
        <v>0.77470000000000006</v>
      </c>
      <c r="E234" s="67"/>
      <c r="F234" s="67">
        <v>10680</v>
      </c>
      <c r="G234" s="67"/>
      <c r="H234" s="67"/>
      <c r="I234" s="30">
        <v>8273.7960000000003</v>
      </c>
      <c r="J234" s="67"/>
      <c r="K234" s="236"/>
      <c r="L234" s="236"/>
      <c r="M234" s="241"/>
    </row>
    <row r="235" spans="1:13" s="101" customFormat="1" ht="15.75" customHeight="1" outlineLevel="1">
      <c r="A235" s="100" t="s">
        <v>181</v>
      </c>
      <c r="B235" s="66" t="s">
        <v>148</v>
      </c>
      <c r="C235" s="28" t="s">
        <v>95</v>
      </c>
      <c r="D235" s="39">
        <v>7.7470000000000004E-3</v>
      </c>
      <c r="E235" s="67"/>
      <c r="F235" s="67">
        <v>44</v>
      </c>
      <c r="G235" s="67"/>
      <c r="H235" s="67"/>
      <c r="I235" s="30">
        <v>0.340868</v>
      </c>
      <c r="J235" s="67"/>
      <c r="K235" s="236"/>
      <c r="L235" s="236"/>
      <c r="M235" s="241"/>
    </row>
    <row r="236" spans="1:13" s="101" customFormat="1" ht="18" customHeight="1" outlineLevel="1">
      <c r="A236" s="100" t="s">
        <v>181</v>
      </c>
      <c r="B236" s="66" t="s">
        <v>372</v>
      </c>
      <c r="C236" s="28" t="s">
        <v>0</v>
      </c>
      <c r="D236" s="37">
        <v>82.892899999999997</v>
      </c>
      <c r="E236" s="67"/>
      <c r="F236" s="67">
        <v>1710</v>
      </c>
      <c r="G236" s="67"/>
      <c r="H236" s="67"/>
      <c r="I236" s="30">
        <v>141746.859</v>
      </c>
      <c r="J236" s="67"/>
      <c r="K236" s="236"/>
      <c r="L236" s="236"/>
      <c r="M236" s="241"/>
    </row>
    <row r="237" spans="1:13" s="101" customFormat="1" ht="15.75" customHeight="1" outlineLevel="1">
      <c r="A237" s="100" t="s">
        <v>181</v>
      </c>
      <c r="B237" s="66" t="s">
        <v>131</v>
      </c>
      <c r="C237" s="28" t="s">
        <v>22</v>
      </c>
      <c r="D237" s="37">
        <v>1162.05</v>
      </c>
      <c r="E237" s="67"/>
      <c r="F237" s="67">
        <v>0.1</v>
      </c>
      <c r="G237" s="67"/>
      <c r="H237" s="67"/>
      <c r="I237" s="30">
        <v>116.205</v>
      </c>
      <c r="J237" s="67"/>
      <c r="K237" s="236"/>
      <c r="L237" s="236"/>
      <c r="M237" s="241"/>
    </row>
    <row r="238" spans="1:13" ht="15.75" customHeight="1" outlineLevel="1">
      <c r="A238" s="100" t="s">
        <v>181</v>
      </c>
      <c r="B238" s="66" t="s">
        <v>153</v>
      </c>
      <c r="C238" s="28" t="s">
        <v>95</v>
      </c>
      <c r="D238" s="38">
        <v>38.734999999999999</v>
      </c>
      <c r="E238" s="67"/>
      <c r="F238" s="67">
        <v>63.4</v>
      </c>
      <c r="G238" s="67"/>
      <c r="H238" s="67"/>
      <c r="I238" s="30">
        <v>2455.799</v>
      </c>
      <c r="J238" s="67"/>
      <c r="K238" s="236"/>
      <c r="L238" s="236"/>
      <c r="M238" s="241"/>
    </row>
    <row r="239" spans="1:13">
      <c r="A239" s="162">
        <v>54</v>
      </c>
      <c r="B239" s="70" t="s">
        <v>220</v>
      </c>
      <c r="C239" s="8" t="s">
        <v>22</v>
      </c>
      <c r="D239" s="69">
        <v>1</v>
      </c>
      <c r="E239" s="32">
        <v>241.92</v>
      </c>
      <c r="F239" s="33">
        <v>642</v>
      </c>
      <c r="G239" s="33">
        <v>883.92</v>
      </c>
      <c r="H239" s="33">
        <v>241.92</v>
      </c>
      <c r="I239" s="33">
        <v>642</v>
      </c>
      <c r="J239" s="31">
        <v>883.92</v>
      </c>
      <c r="K239" s="236"/>
      <c r="L239" s="236"/>
      <c r="M239" s="241"/>
    </row>
    <row r="240" spans="1:13" s="101" customFormat="1" ht="15.75" customHeight="1" outlineLevel="1">
      <c r="A240" s="100"/>
      <c r="B240" s="66" t="s">
        <v>221</v>
      </c>
      <c r="C240" s="28" t="s">
        <v>22</v>
      </c>
      <c r="D240" s="37">
        <v>1</v>
      </c>
      <c r="E240" s="67"/>
      <c r="F240" s="67">
        <v>600</v>
      </c>
      <c r="G240" s="67"/>
      <c r="H240" s="67"/>
      <c r="I240" s="30">
        <v>600</v>
      </c>
      <c r="J240" s="67"/>
      <c r="K240" s="236"/>
      <c r="L240" s="236"/>
      <c r="M240" s="241"/>
    </row>
    <row r="241" spans="1:13" ht="15.75" customHeight="1" outlineLevel="1">
      <c r="A241" s="100"/>
      <c r="B241" s="66" t="s">
        <v>126</v>
      </c>
      <c r="C241" s="28" t="s">
        <v>117</v>
      </c>
      <c r="D241" s="37">
        <v>0.2</v>
      </c>
      <c r="E241" s="67"/>
      <c r="F241" s="67">
        <v>210</v>
      </c>
      <c r="G241" s="67"/>
      <c r="H241" s="67"/>
      <c r="I241" s="30">
        <v>42</v>
      </c>
      <c r="J241" s="67"/>
      <c r="K241" s="236"/>
      <c r="L241" s="236"/>
      <c r="M241" s="241"/>
    </row>
    <row r="242" spans="1:13" ht="30">
      <c r="A242" s="162">
        <v>55</v>
      </c>
      <c r="B242" s="70" t="s">
        <v>33</v>
      </c>
      <c r="C242" s="8" t="s">
        <v>0</v>
      </c>
      <c r="D242" s="69">
        <v>11.05</v>
      </c>
      <c r="E242" s="32">
        <v>470</v>
      </c>
      <c r="F242" s="33">
        <v>525.35439999999994</v>
      </c>
      <c r="G242" s="33">
        <v>995.35439999999994</v>
      </c>
      <c r="H242" s="33">
        <v>5193.5</v>
      </c>
      <c r="I242" s="33">
        <v>5805.1661199999999</v>
      </c>
      <c r="J242" s="31">
        <v>10998.66612</v>
      </c>
      <c r="K242" s="236"/>
      <c r="L242" s="236"/>
      <c r="M242" s="241"/>
    </row>
    <row r="243" spans="1:13" s="101" customFormat="1" ht="15.75" customHeight="1" outlineLevel="1">
      <c r="A243" s="100" t="s">
        <v>181</v>
      </c>
      <c r="B243" s="66" t="s">
        <v>130</v>
      </c>
      <c r="C243" s="28" t="s">
        <v>72</v>
      </c>
      <c r="D243" s="37">
        <v>0.11050000000000001</v>
      </c>
      <c r="E243" s="67"/>
      <c r="F243" s="67">
        <v>10680</v>
      </c>
      <c r="G243" s="67"/>
      <c r="H243" s="67"/>
      <c r="I243" s="30">
        <v>1180.1400000000001</v>
      </c>
      <c r="J243" s="67"/>
      <c r="L243" s="99"/>
      <c r="M243" s="241"/>
    </row>
    <row r="244" spans="1:13" s="101" customFormat="1" ht="15.75" customHeight="1" outlineLevel="1">
      <c r="A244" s="100" t="s">
        <v>181</v>
      </c>
      <c r="B244" s="66" t="s">
        <v>148</v>
      </c>
      <c r="C244" s="28" t="s">
        <v>95</v>
      </c>
      <c r="D244" s="39">
        <v>1.1050000000000001E-3</v>
      </c>
      <c r="E244" s="67"/>
      <c r="F244" s="67">
        <v>44</v>
      </c>
      <c r="G244" s="67"/>
      <c r="H244" s="67"/>
      <c r="I244" s="30">
        <v>4.8620000000000003E-2</v>
      </c>
      <c r="J244" s="67"/>
      <c r="M244" s="241"/>
    </row>
    <row r="245" spans="1:13" s="101" customFormat="1" ht="15.75" customHeight="1" outlineLevel="1">
      <c r="A245" s="100" t="s">
        <v>181</v>
      </c>
      <c r="B245" s="66" t="s">
        <v>154</v>
      </c>
      <c r="C245" s="28" t="s">
        <v>0</v>
      </c>
      <c r="D245" s="37">
        <v>11.602500000000001</v>
      </c>
      <c r="E245" s="67"/>
      <c r="F245" s="67">
        <v>367</v>
      </c>
      <c r="G245" s="67"/>
      <c r="H245" s="67"/>
      <c r="I245" s="30">
        <v>4258.1175000000003</v>
      </c>
      <c r="J245" s="67"/>
      <c r="M245" s="241"/>
    </row>
    <row r="246" spans="1:13" s="101" customFormat="1" ht="15.75" customHeight="1" outlineLevel="1">
      <c r="A246" s="100" t="s">
        <v>181</v>
      </c>
      <c r="B246" s="66" t="s">
        <v>131</v>
      </c>
      <c r="C246" s="28" t="s">
        <v>22</v>
      </c>
      <c r="D246" s="37">
        <v>165.75</v>
      </c>
      <c r="E246" s="67"/>
      <c r="F246" s="67">
        <v>0.1</v>
      </c>
      <c r="G246" s="67"/>
      <c r="H246" s="67"/>
      <c r="I246" s="30">
        <v>16.574999999999999</v>
      </c>
      <c r="J246" s="67"/>
      <c r="M246" s="241"/>
    </row>
    <row r="247" spans="1:13" ht="15.75" customHeight="1" outlineLevel="1">
      <c r="A247" s="100" t="s">
        <v>181</v>
      </c>
      <c r="B247" s="66" t="s">
        <v>153</v>
      </c>
      <c r="C247" s="28" t="s">
        <v>95</v>
      </c>
      <c r="D247" s="38">
        <v>5.5250000000000004</v>
      </c>
      <c r="E247" s="67"/>
      <c r="F247" s="67">
        <v>63.4</v>
      </c>
      <c r="G247" s="67"/>
      <c r="H247" s="67"/>
      <c r="I247" s="30">
        <v>350.28500000000003</v>
      </c>
      <c r="J247" s="67"/>
      <c r="M247" s="241"/>
    </row>
    <row r="248" spans="1:13">
      <c r="A248" s="162">
        <v>56</v>
      </c>
      <c r="B248" s="70" t="s">
        <v>37</v>
      </c>
      <c r="C248" s="8" t="s">
        <v>0</v>
      </c>
      <c r="D248" s="69">
        <v>5.94</v>
      </c>
      <c r="E248" s="32">
        <v>105.6</v>
      </c>
      <c r="F248" s="33">
        <v>261.11999999999995</v>
      </c>
      <c r="G248" s="33">
        <v>366.71999999999991</v>
      </c>
      <c r="H248" s="33">
        <v>627.26400000000001</v>
      </c>
      <c r="I248" s="33">
        <v>1551.0527999999999</v>
      </c>
      <c r="J248" s="31">
        <v>2178.3168000000001</v>
      </c>
      <c r="K248" s="235">
        <v>5310.7309530000002</v>
      </c>
      <c r="L248" s="235">
        <v>6451.2109530000016</v>
      </c>
      <c r="M248" s="241"/>
    </row>
    <row r="249" spans="1:13" s="101" customFormat="1" ht="15.75" customHeight="1" outlineLevel="1">
      <c r="A249" s="100" t="s">
        <v>181</v>
      </c>
      <c r="B249" s="66" t="s">
        <v>155</v>
      </c>
      <c r="C249" s="28" t="s">
        <v>95</v>
      </c>
      <c r="D249" s="34">
        <v>100.98</v>
      </c>
      <c r="E249" s="67"/>
      <c r="F249" s="67">
        <v>15.36</v>
      </c>
      <c r="G249" s="67"/>
      <c r="H249" s="67"/>
      <c r="I249" s="30">
        <v>1551.0527999999999</v>
      </c>
      <c r="J249" s="67"/>
      <c r="K249" s="236"/>
      <c r="L249" s="236"/>
      <c r="M249" s="241"/>
    </row>
    <row r="250" spans="1:13" ht="30">
      <c r="A250" s="162">
        <v>57</v>
      </c>
      <c r="B250" s="70" t="s">
        <v>156</v>
      </c>
      <c r="C250" s="8" t="s">
        <v>0</v>
      </c>
      <c r="D250" s="69">
        <v>5.94</v>
      </c>
      <c r="E250" s="32">
        <v>86.4</v>
      </c>
      <c r="F250" s="33">
        <v>632.94245000000012</v>
      </c>
      <c r="G250" s="33">
        <v>719.3424500000001</v>
      </c>
      <c r="H250" s="33">
        <v>513.21600000000012</v>
      </c>
      <c r="I250" s="33">
        <v>3759.6781530000007</v>
      </c>
      <c r="J250" s="31">
        <v>4272.8941530000011</v>
      </c>
      <c r="K250" s="236"/>
      <c r="L250" s="236"/>
      <c r="M250" s="241"/>
    </row>
    <row r="251" spans="1:13" s="101" customFormat="1" ht="15.75" customHeight="1" outlineLevel="1">
      <c r="A251" s="100" t="s">
        <v>181</v>
      </c>
      <c r="B251" s="66" t="s">
        <v>157</v>
      </c>
      <c r="C251" s="28" t="s">
        <v>0</v>
      </c>
      <c r="D251" s="37">
        <v>6.3558000000000012</v>
      </c>
      <c r="E251" s="67"/>
      <c r="F251" s="67">
        <v>532</v>
      </c>
      <c r="G251" s="67"/>
      <c r="H251" s="67"/>
      <c r="I251" s="30">
        <v>3381.2856000000006</v>
      </c>
      <c r="J251" s="67"/>
      <c r="M251" s="241"/>
    </row>
    <row r="252" spans="1:13" s="101" customFormat="1" ht="15.75" customHeight="1" outlineLevel="1">
      <c r="A252" s="100" t="s">
        <v>181</v>
      </c>
      <c r="B252" s="66" t="s">
        <v>158</v>
      </c>
      <c r="C252" s="28" t="s">
        <v>95</v>
      </c>
      <c r="D252" s="37">
        <v>3.1779000000000006</v>
      </c>
      <c r="E252" s="67"/>
      <c r="F252" s="67">
        <v>119.07</v>
      </c>
      <c r="G252" s="67"/>
      <c r="H252" s="67"/>
      <c r="I252" s="30">
        <v>378.39255300000008</v>
      </c>
      <c r="J252" s="67"/>
      <c r="M252" s="241"/>
    </row>
    <row r="253" spans="1:13">
      <c r="A253" s="162">
        <v>58</v>
      </c>
      <c r="B253" s="70" t="s">
        <v>38</v>
      </c>
      <c r="C253" s="8" t="s">
        <v>29</v>
      </c>
      <c r="D253" s="69">
        <v>0.88</v>
      </c>
      <c r="E253" s="32">
        <v>89</v>
      </c>
      <c r="F253" s="33">
        <v>129.80000000000001</v>
      </c>
      <c r="G253" s="33">
        <v>218.8</v>
      </c>
      <c r="H253" s="33">
        <v>78.320000000000007</v>
      </c>
      <c r="I253" s="33">
        <v>114.22400000000002</v>
      </c>
      <c r="J253" s="31">
        <v>192.54400000000004</v>
      </c>
      <c r="K253" s="149">
        <v>114.22400000000002</v>
      </c>
      <c r="L253" s="149">
        <v>192.54400000000004</v>
      </c>
      <c r="M253" s="241"/>
    </row>
    <row r="254" spans="1:13" s="101" customFormat="1" ht="15.75" customHeight="1" outlineLevel="1">
      <c r="A254" s="100" t="s">
        <v>181</v>
      </c>
      <c r="B254" s="66" t="s">
        <v>159</v>
      </c>
      <c r="C254" s="28" t="s">
        <v>0</v>
      </c>
      <c r="D254" s="37">
        <v>0.9416000000000001</v>
      </c>
      <c r="E254" s="67"/>
      <c r="F254" s="67">
        <v>120</v>
      </c>
      <c r="G254" s="67"/>
      <c r="H254" s="67"/>
      <c r="I254" s="30">
        <v>112.99200000000002</v>
      </c>
      <c r="J254" s="67"/>
      <c r="M254" s="241"/>
    </row>
    <row r="255" spans="1:13" s="101" customFormat="1" ht="15.75" customHeight="1" outlineLevel="1">
      <c r="A255" s="100" t="s">
        <v>181</v>
      </c>
      <c r="B255" s="66" t="s">
        <v>161</v>
      </c>
      <c r="C255" s="28" t="s">
        <v>22</v>
      </c>
      <c r="D255" s="38">
        <v>3.52</v>
      </c>
      <c r="E255" s="67"/>
      <c r="F255" s="67">
        <v>0.35</v>
      </c>
      <c r="G255" s="67"/>
      <c r="H255" s="67"/>
      <c r="I255" s="30">
        <v>1.232</v>
      </c>
      <c r="J255" s="67"/>
      <c r="M255" s="241"/>
    </row>
    <row r="256" spans="1:13">
      <c r="A256" s="162">
        <v>59</v>
      </c>
      <c r="B256" s="70" t="s">
        <v>56</v>
      </c>
      <c r="C256" s="8" t="s">
        <v>29</v>
      </c>
      <c r="D256" s="69">
        <v>8.8000000000000007</v>
      </c>
      <c r="E256" s="32">
        <v>44.16</v>
      </c>
      <c r="F256" s="33">
        <v>85.767909090909114</v>
      </c>
      <c r="G256" s="33">
        <v>129.92790909090911</v>
      </c>
      <c r="H256" s="33">
        <v>388.608</v>
      </c>
      <c r="I256" s="33">
        <v>754.75760000000025</v>
      </c>
      <c r="J256" s="31">
        <v>1143.3656000000003</v>
      </c>
      <c r="K256" s="149">
        <v>754.75760000000025</v>
      </c>
      <c r="L256" s="149">
        <v>1143.3656000000003</v>
      </c>
      <c r="M256" s="241"/>
    </row>
    <row r="257" spans="1:13" s="101" customFormat="1" ht="15.75" customHeight="1" outlineLevel="1">
      <c r="A257" s="100" t="s">
        <v>181</v>
      </c>
      <c r="B257" s="66" t="s">
        <v>160</v>
      </c>
      <c r="C257" s="28" t="s">
        <v>29</v>
      </c>
      <c r="D257" s="37">
        <v>9.4160000000000021</v>
      </c>
      <c r="E257" s="67"/>
      <c r="F257" s="67">
        <v>66.099999999999994</v>
      </c>
      <c r="G257" s="67"/>
      <c r="H257" s="67"/>
      <c r="I257" s="30">
        <v>622.39760000000012</v>
      </c>
      <c r="J257" s="67"/>
      <c r="M257" s="241"/>
    </row>
    <row r="258" spans="1:13" s="101" customFormat="1" ht="15.75" customHeight="1" outlineLevel="1">
      <c r="A258" s="100" t="s">
        <v>181</v>
      </c>
      <c r="B258" s="66" t="s">
        <v>162</v>
      </c>
      <c r="C258" s="28" t="s">
        <v>22</v>
      </c>
      <c r="D258" s="37">
        <v>1</v>
      </c>
      <c r="E258" s="67"/>
      <c r="F258" s="67">
        <v>7.2</v>
      </c>
      <c r="G258" s="67"/>
      <c r="H258" s="67"/>
      <c r="I258" s="30">
        <v>7.2</v>
      </c>
      <c r="J258" s="67"/>
      <c r="M258" s="241"/>
    </row>
    <row r="259" spans="1:13" s="101" customFormat="1" ht="15.75" customHeight="1" outlineLevel="1">
      <c r="A259" s="100" t="s">
        <v>181</v>
      </c>
      <c r="B259" s="66" t="s">
        <v>163</v>
      </c>
      <c r="C259" s="28" t="s">
        <v>22</v>
      </c>
      <c r="D259" s="37">
        <v>1</v>
      </c>
      <c r="E259" s="67"/>
      <c r="F259" s="67">
        <v>7.2</v>
      </c>
      <c r="G259" s="67"/>
      <c r="H259" s="67"/>
      <c r="I259" s="30">
        <v>7.2</v>
      </c>
      <c r="J259" s="67"/>
      <c r="M259" s="241"/>
    </row>
    <row r="260" spans="1:13" s="101" customFormat="1" ht="15.75" customHeight="1" outlineLevel="1">
      <c r="A260" s="100" t="s">
        <v>181</v>
      </c>
      <c r="B260" s="66" t="s">
        <v>197</v>
      </c>
      <c r="C260" s="28" t="s">
        <v>22</v>
      </c>
      <c r="D260" s="38">
        <v>4.4000000000000004</v>
      </c>
      <c r="E260" s="67"/>
      <c r="F260" s="67">
        <v>11.1</v>
      </c>
      <c r="G260" s="67"/>
      <c r="H260" s="67"/>
      <c r="I260" s="30">
        <v>48.84</v>
      </c>
      <c r="J260" s="67"/>
      <c r="M260" s="241"/>
    </row>
    <row r="261" spans="1:13" s="101" customFormat="1" ht="15.75" customHeight="1" outlineLevel="1">
      <c r="A261" s="100" t="s">
        <v>181</v>
      </c>
      <c r="B261" s="66" t="s">
        <v>164</v>
      </c>
      <c r="C261" s="28" t="s">
        <v>22</v>
      </c>
      <c r="D261" s="37">
        <v>4</v>
      </c>
      <c r="E261" s="67"/>
      <c r="F261" s="67">
        <v>12</v>
      </c>
      <c r="G261" s="67"/>
      <c r="H261" s="67"/>
      <c r="I261" s="30">
        <v>48</v>
      </c>
      <c r="J261" s="67"/>
      <c r="M261" s="241"/>
    </row>
    <row r="262" spans="1:13" s="101" customFormat="1" ht="15.75" customHeight="1" outlineLevel="1">
      <c r="A262" s="100" t="s">
        <v>181</v>
      </c>
      <c r="B262" s="66" t="s">
        <v>87</v>
      </c>
      <c r="C262" s="28" t="s">
        <v>22</v>
      </c>
      <c r="D262" s="38">
        <v>35.200000000000003</v>
      </c>
      <c r="E262" s="67"/>
      <c r="F262" s="67">
        <v>0.6</v>
      </c>
      <c r="G262" s="67"/>
      <c r="H262" s="67"/>
      <c r="I262" s="30">
        <v>21.12</v>
      </c>
      <c r="J262" s="67"/>
      <c r="M262" s="241"/>
    </row>
    <row r="263" spans="1:13" ht="30">
      <c r="A263" s="162">
        <v>60</v>
      </c>
      <c r="B263" s="70" t="s">
        <v>165</v>
      </c>
      <c r="C263" s="8" t="s">
        <v>29</v>
      </c>
      <c r="D263" s="69">
        <v>11.620000000000001</v>
      </c>
      <c r="E263" s="32">
        <v>86.4</v>
      </c>
      <c r="F263" s="33">
        <v>68.574400000000011</v>
      </c>
      <c r="G263" s="33">
        <v>154.9744</v>
      </c>
      <c r="H263" s="33">
        <v>1003.9680000000002</v>
      </c>
      <c r="I263" s="33">
        <v>796.8345280000002</v>
      </c>
      <c r="J263" s="31">
        <v>1800.8025280000004</v>
      </c>
      <c r="K263" s="235">
        <v>18641.251012000001</v>
      </c>
      <c r="L263" s="235">
        <v>27370.723012000002</v>
      </c>
      <c r="M263" s="241"/>
    </row>
    <row r="264" spans="1:13" s="101" customFormat="1" ht="15.75" customHeight="1" outlineLevel="1">
      <c r="A264" s="100" t="s">
        <v>181</v>
      </c>
      <c r="B264" s="66" t="s">
        <v>130</v>
      </c>
      <c r="C264" s="28" t="s">
        <v>72</v>
      </c>
      <c r="D264" s="37">
        <v>2.3240000000000004E-2</v>
      </c>
      <c r="E264" s="67"/>
      <c r="F264" s="67">
        <v>10680</v>
      </c>
      <c r="G264" s="67"/>
      <c r="H264" s="67"/>
      <c r="I264" s="30">
        <v>248.20320000000004</v>
      </c>
      <c r="J264" s="67"/>
      <c r="K264" s="236"/>
      <c r="L264" s="236"/>
      <c r="M264" s="241"/>
    </row>
    <row r="265" spans="1:13" s="101" customFormat="1" ht="15.75" customHeight="1" outlineLevel="1">
      <c r="A265" s="100" t="s">
        <v>181</v>
      </c>
      <c r="B265" s="66" t="s">
        <v>148</v>
      </c>
      <c r="C265" s="28" t="s">
        <v>95</v>
      </c>
      <c r="D265" s="39">
        <v>1.1620000000000001E-3</v>
      </c>
      <c r="E265" s="67"/>
      <c r="F265" s="67">
        <v>44</v>
      </c>
      <c r="G265" s="67"/>
      <c r="H265" s="67"/>
      <c r="I265" s="30">
        <v>5.1128E-2</v>
      </c>
      <c r="J265" s="67"/>
      <c r="K265" s="236"/>
      <c r="L265" s="236"/>
      <c r="M265" s="241"/>
    </row>
    <row r="266" spans="1:13" s="101" customFormat="1" ht="15.75" customHeight="1" outlineLevel="1">
      <c r="A266" s="100" t="s">
        <v>181</v>
      </c>
      <c r="B266" s="66" t="s">
        <v>154</v>
      </c>
      <c r="C266" s="28" t="s">
        <v>0</v>
      </c>
      <c r="D266" s="37">
        <v>1.3944000000000001</v>
      </c>
      <c r="E266" s="67"/>
      <c r="F266" s="67">
        <v>367</v>
      </c>
      <c r="G266" s="67"/>
      <c r="H266" s="67"/>
      <c r="I266" s="30">
        <v>511.74480000000005</v>
      </c>
      <c r="J266" s="67"/>
      <c r="K266" s="236"/>
      <c r="L266" s="236"/>
      <c r="M266" s="241"/>
    </row>
    <row r="267" spans="1:13" ht="15.75" customHeight="1" outlineLevel="1">
      <c r="A267" s="100" t="s">
        <v>181</v>
      </c>
      <c r="B267" s="66" t="s">
        <v>153</v>
      </c>
      <c r="C267" s="28" t="s">
        <v>95</v>
      </c>
      <c r="D267" s="38">
        <v>0.58100000000000007</v>
      </c>
      <c r="E267" s="67"/>
      <c r="F267" s="67">
        <v>63.4</v>
      </c>
      <c r="G267" s="67"/>
      <c r="H267" s="67"/>
      <c r="I267" s="30">
        <v>36.835400000000007</v>
      </c>
      <c r="J267" s="67"/>
      <c r="K267" s="236"/>
      <c r="L267" s="236"/>
      <c r="M267" s="241"/>
    </row>
    <row r="268" spans="1:13" ht="30">
      <c r="A268" s="162">
        <v>61</v>
      </c>
      <c r="B268" s="70" t="s">
        <v>375</v>
      </c>
      <c r="C268" s="8" t="s">
        <v>29</v>
      </c>
      <c r="D268" s="69">
        <v>77.61</v>
      </c>
      <c r="E268" s="32">
        <v>86.4</v>
      </c>
      <c r="F268" s="33">
        <v>207.5044</v>
      </c>
      <c r="G268" s="33">
        <v>293.90440000000001</v>
      </c>
      <c r="H268" s="33">
        <v>6705.5040000000008</v>
      </c>
      <c r="I268" s="33">
        <v>16104.416484000001</v>
      </c>
      <c r="J268" s="31">
        <v>22809.920484000002</v>
      </c>
      <c r="K268" s="236"/>
      <c r="L268" s="236"/>
      <c r="M268" s="241"/>
    </row>
    <row r="269" spans="1:13" s="101" customFormat="1" ht="15.75" customHeight="1" outlineLevel="1">
      <c r="A269" s="100" t="s">
        <v>181</v>
      </c>
      <c r="B269" s="66" t="s">
        <v>130</v>
      </c>
      <c r="C269" s="28" t="s">
        <v>72</v>
      </c>
      <c r="D269" s="37">
        <v>0.15522</v>
      </c>
      <c r="E269" s="67"/>
      <c r="F269" s="67">
        <v>10680</v>
      </c>
      <c r="G269" s="67"/>
      <c r="H269" s="67"/>
      <c r="I269" s="30">
        <v>1657.7495999999999</v>
      </c>
      <c r="J269" s="67"/>
      <c r="K269" s="236"/>
      <c r="L269" s="236"/>
      <c r="M269" s="241"/>
    </row>
    <row r="270" spans="1:13" s="101" customFormat="1" ht="15.75" customHeight="1" outlineLevel="1">
      <c r="A270" s="100" t="s">
        <v>181</v>
      </c>
      <c r="B270" s="66" t="s">
        <v>148</v>
      </c>
      <c r="C270" s="28" t="s">
        <v>95</v>
      </c>
      <c r="D270" s="39">
        <v>7.7610000000000005E-3</v>
      </c>
      <c r="E270" s="67"/>
      <c r="F270" s="67">
        <v>44</v>
      </c>
      <c r="G270" s="67"/>
      <c r="H270" s="67"/>
      <c r="I270" s="30">
        <v>0.34148400000000001</v>
      </c>
      <c r="J270" s="67"/>
      <c r="K270" s="236"/>
      <c r="L270" s="236"/>
      <c r="M270" s="241"/>
    </row>
    <row r="271" spans="1:13" s="101" customFormat="1" ht="19.5" customHeight="1" outlineLevel="1">
      <c r="A271" s="100" t="s">
        <v>181</v>
      </c>
      <c r="B271" s="66" t="s">
        <v>372</v>
      </c>
      <c r="C271" s="28" t="s">
        <v>0</v>
      </c>
      <c r="D271" s="37">
        <v>8.3042700000000007</v>
      </c>
      <c r="E271" s="67"/>
      <c r="F271" s="67">
        <v>1710</v>
      </c>
      <c r="G271" s="67"/>
      <c r="H271" s="67"/>
      <c r="I271" s="30">
        <v>14200.301700000002</v>
      </c>
      <c r="J271" s="67"/>
      <c r="K271" s="236"/>
      <c r="L271" s="236"/>
      <c r="M271" s="241"/>
    </row>
    <row r="272" spans="1:13" ht="15.75" customHeight="1" outlineLevel="1">
      <c r="A272" s="100" t="s">
        <v>181</v>
      </c>
      <c r="B272" s="66" t="s">
        <v>153</v>
      </c>
      <c r="C272" s="28" t="s">
        <v>95</v>
      </c>
      <c r="D272" s="38">
        <v>3.8805000000000001</v>
      </c>
      <c r="E272" s="67"/>
      <c r="F272" s="67">
        <v>63.4</v>
      </c>
      <c r="G272" s="67"/>
      <c r="H272" s="67"/>
      <c r="I272" s="30">
        <v>246.02369999999999</v>
      </c>
      <c r="J272" s="67"/>
      <c r="K272" s="236"/>
      <c r="L272" s="236"/>
      <c r="M272" s="241"/>
    </row>
    <row r="273" spans="1:13">
      <c r="A273" s="162">
        <v>62</v>
      </c>
      <c r="B273" s="70" t="s">
        <v>167</v>
      </c>
      <c r="C273" s="8" t="s">
        <v>22</v>
      </c>
      <c r="D273" s="69">
        <v>12</v>
      </c>
      <c r="E273" s="32">
        <v>85</v>
      </c>
      <c r="F273" s="33">
        <v>145</v>
      </c>
      <c r="G273" s="33">
        <v>230</v>
      </c>
      <c r="H273" s="33">
        <v>1020</v>
      </c>
      <c r="I273" s="33">
        <v>1740</v>
      </c>
      <c r="J273" s="31">
        <v>2760</v>
      </c>
      <c r="K273" s="236"/>
      <c r="L273" s="236"/>
      <c r="M273" s="241"/>
    </row>
    <row r="274" spans="1:13" s="101" customFormat="1" ht="30" outlineLevel="1">
      <c r="A274" s="100" t="s">
        <v>181</v>
      </c>
      <c r="B274" s="66" t="s">
        <v>168</v>
      </c>
      <c r="C274" s="28" t="s">
        <v>22</v>
      </c>
      <c r="D274" s="37">
        <v>12</v>
      </c>
      <c r="E274" s="67"/>
      <c r="F274" s="67">
        <v>145</v>
      </c>
      <c r="G274" s="67"/>
      <c r="H274" s="67"/>
      <c r="I274" s="30">
        <v>1740</v>
      </c>
      <c r="J274" s="67"/>
      <c r="M274" s="242"/>
    </row>
    <row r="275" spans="1:13" ht="15.75" customHeight="1">
      <c r="A275" s="222" t="s">
        <v>116</v>
      </c>
      <c r="B275" s="223"/>
      <c r="C275" s="223"/>
      <c r="D275" s="223"/>
      <c r="E275" s="223"/>
      <c r="F275" s="223"/>
      <c r="G275" s="224"/>
      <c r="H275" s="67">
        <v>75940.85000000002</v>
      </c>
      <c r="I275" s="67">
        <v>225836.57441299997</v>
      </c>
      <c r="J275" s="67">
        <v>301777.42441299994</v>
      </c>
      <c r="M275" s="156"/>
    </row>
    <row r="276" spans="1:13" ht="21" customHeight="1">
      <c r="A276" s="225" t="s">
        <v>31</v>
      </c>
      <c r="B276" s="226" t="s">
        <v>31</v>
      </c>
      <c r="C276" s="226"/>
      <c r="D276" s="226"/>
      <c r="E276" s="226"/>
      <c r="F276" s="226"/>
      <c r="G276" s="226"/>
      <c r="H276" s="226"/>
      <c r="I276" s="226"/>
      <c r="J276" s="227"/>
      <c r="M276" s="156"/>
    </row>
    <row r="277" spans="1:13">
      <c r="A277" s="162">
        <v>63</v>
      </c>
      <c r="B277" s="70" t="s">
        <v>217</v>
      </c>
      <c r="C277" s="8" t="s">
        <v>0</v>
      </c>
      <c r="D277" s="69">
        <v>29.678000000000004</v>
      </c>
      <c r="E277" s="32">
        <v>92.3</v>
      </c>
      <c r="F277" s="33">
        <v>0</v>
      </c>
      <c r="G277" s="33">
        <v>92.3</v>
      </c>
      <c r="H277" s="33">
        <v>2739.2794000000004</v>
      </c>
      <c r="I277" s="33">
        <v>0</v>
      </c>
      <c r="J277" s="31">
        <v>2739.2794000000004</v>
      </c>
      <c r="K277" s="149">
        <v>0</v>
      </c>
      <c r="L277" s="149">
        <v>2739.2794000000004</v>
      </c>
      <c r="M277" s="162">
        <v>1</v>
      </c>
    </row>
    <row r="278" spans="1:13" ht="30">
      <c r="A278" s="162">
        <v>64</v>
      </c>
      <c r="B278" s="70" t="s">
        <v>59</v>
      </c>
      <c r="C278" s="8" t="s">
        <v>0</v>
      </c>
      <c r="D278" s="69">
        <v>23.919000000000004</v>
      </c>
      <c r="E278" s="32">
        <v>423.3</v>
      </c>
      <c r="F278" s="33">
        <v>275.34585000000004</v>
      </c>
      <c r="G278" s="33">
        <v>698.64585000000011</v>
      </c>
      <c r="H278" s="33">
        <v>10124.912700000003</v>
      </c>
      <c r="I278" s="33">
        <v>6585.9973861500021</v>
      </c>
      <c r="J278" s="31">
        <v>16710.910086150005</v>
      </c>
      <c r="K278" s="235">
        <v>16187.435040950002</v>
      </c>
      <c r="L278" s="235">
        <v>39520.417340950007</v>
      </c>
      <c r="M278" s="240">
        <v>2</v>
      </c>
    </row>
    <row r="279" spans="1:13" ht="15.75" customHeight="1" outlineLevel="1">
      <c r="A279" s="100" t="s">
        <v>181</v>
      </c>
      <c r="B279" s="66" t="s">
        <v>169</v>
      </c>
      <c r="C279" s="28" t="s">
        <v>0</v>
      </c>
      <c r="D279" s="34">
        <v>25.593330000000005</v>
      </c>
      <c r="E279" s="67"/>
      <c r="F279" s="67">
        <v>101</v>
      </c>
      <c r="G279" s="67"/>
      <c r="H279" s="67"/>
      <c r="I279" s="30">
        <v>2584.9263300000007</v>
      </c>
      <c r="J279" s="67"/>
      <c r="K279" s="236"/>
      <c r="L279" s="236"/>
      <c r="M279" s="241"/>
    </row>
    <row r="280" spans="1:13" ht="15.75" customHeight="1" outlineLevel="1">
      <c r="A280" s="100" t="s">
        <v>181</v>
      </c>
      <c r="B280" s="66" t="s">
        <v>111</v>
      </c>
      <c r="C280" s="28" t="s">
        <v>29</v>
      </c>
      <c r="D280" s="34">
        <v>63.624540000000017</v>
      </c>
      <c r="E280" s="67"/>
      <c r="F280" s="67">
        <v>14.7</v>
      </c>
      <c r="G280" s="67"/>
      <c r="H280" s="67"/>
      <c r="I280" s="30">
        <v>935.28073800000016</v>
      </c>
      <c r="J280" s="67"/>
      <c r="K280" s="236"/>
      <c r="L280" s="236"/>
      <c r="M280" s="241"/>
    </row>
    <row r="281" spans="1:13" ht="15.75" customHeight="1" outlineLevel="1">
      <c r="A281" s="100" t="s">
        <v>181</v>
      </c>
      <c r="B281" s="66" t="s">
        <v>112</v>
      </c>
      <c r="C281" s="28" t="s">
        <v>29</v>
      </c>
      <c r="D281" s="34">
        <v>80.128650000000022</v>
      </c>
      <c r="E281" s="67"/>
      <c r="F281" s="67">
        <v>26.33</v>
      </c>
      <c r="G281" s="67"/>
      <c r="H281" s="67"/>
      <c r="I281" s="30">
        <v>2109.7873545000002</v>
      </c>
      <c r="J281" s="67"/>
      <c r="K281" s="236"/>
      <c r="L281" s="236"/>
      <c r="M281" s="241"/>
    </row>
    <row r="282" spans="1:13" ht="15.75" customHeight="1" outlineLevel="1">
      <c r="A282" s="100" t="s">
        <v>181</v>
      </c>
      <c r="B282" s="66" t="s">
        <v>104</v>
      </c>
      <c r="C282" s="28" t="s">
        <v>22</v>
      </c>
      <c r="D282" s="34">
        <v>550.13700000000006</v>
      </c>
      <c r="E282" s="67"/>
      <c r="F282" s="67">
        <v>0.24</v>
      </c>
      <c r="G282" s="67"/>
      <c r="H282" s="67"/>
      <c r="I282" s="30">
        <v>132.03288000000001</v>
      </c>
      <c r="J282" s="67"/>
      <c r="K282" s="236"/>
      <c r="L282" s="236"/>
      <c r="M282" s="241"/>
    </row>
    <row r="283" spans="1:13" ht="15.75" customHeight="1" outlineLevel="1">
      <c r="A283" s="100" t="s">
        <v>181</v>
      </c>
      <c r="B283" s="66" t="s">
        <v>87</v>
      </c>
      <c r="C283" s="28" t="s">
        <v>22</v>
      </c>
      <c r="D283" s="34">
        <v>77.01918000000002</v>
      </c>
      <c r="E283" s="67"/>
      <c r="F283" s="67">
        <v>0.6</v>
      </c>
      <c r="G283" s="67"/>
      <c r="H283" s="67"/>
      <c r="I283" s="30">
        <v>46.211508000000009</v>
      </c>
      <c r="J283" s="67"/>
      <c r="K283" s="236"/>
      <c r="L283" s="236"/>
      <c r="M283" s="241"/>
    </row>
    <row r="284" spans="1:13" ht="15.75" customHeight="1" outlineLevel="1">
      <c r="A284" s="100" t="s">
        <v>181</v>
      </c>
      <c r="B284" s="66" t="s">
        <v>109</v>
      </c>
      <c r="C284" s="28" t="s">
        <v>22</v>
      </c>
      <c r="D284" s="34">
        <v>112.41930000000002</v>
      </c>
      <c r="E284" s="67"/>
      <c r="F284" s="67">
        <v>0.23</v>
      </c>
      <c r="G284" s="67"/>
      <c r="H284" s="67"/>
      <c r="I284" s="30">
        <v>25.856439000000005</v>
      </c>
      <c r="J284" s="67"/>
      <c r="K284" s="236"/>
      <c r="L284" s="236"/>
      <c r="M284" s="241"/>
    </row>
    <row r="285" spans="1:13" ht="15.75" customHeight="1" outlineLevel="1">
      <c r="A285" s="100" t="s">
        <v>181</v>
      </c>
      <c r="B285" s="66" t="s">
        <v>170</v>
      </c>
      <c r="C285" s="28" t="s">
        <v>95</v>
      </c>
      <c r="D285" s="34">
        <v>0.95676000000000017</v>
      </c>
      <c r="E285" s="67"/>
      <c r="F285" s="67">
        <v>48.8</v>
      </c>
      <c r="G285" s="67"/>
      <c r="H285" s="67"/>
      <c r="I285" s="30">
        <v>46.689888000000003</v>
      </c>
      <c r="J285" s="67"/>
      <c r="K285" s="236"/>
      <c r="L285" s="236"/>
      <c r="M285" s="241"/>
    </row>
    <row r="286" spans="1:13" ht="15.75" customHeight="1" outlineLevel="1">
      <c r="A286" s="100" t="s">
        <v>181</v>
      </c>
      <c r="B286" s="66" t="s">
        <v>94</v>
      </c>
      <c r="C286" s="28" t="s">
        <v>95</v>
      </c>
      <c r="D286" s="34">
        <v>16.743300000000001</v>
      </c>
      <c r="E286" s="67"/>
      <c r="F286" s="67">
        <v>15</v>
      </c>
      <c r="G286" s="67"/>
      <c r="H286" s="67"/>
      <c r="I286" s="30">
        <v>251.14950000000002</v>
      </c>
      <c r="J286" s="67"/>
      <c r="K286" s="236"/>
      <c r="L286" s="236"/>
      <c r="M286" s="241"/>
    </row>
    <row r="287" spans="1:13" ht="15.75" customHeight="1" outlineLevel="1">
      <c r="A287" s="100" t="s">
        <v>181</v>
      </c>
      <c r="B287" s="66" t="s">
        <v>96</v>
      </c>
      <c r="C287" s="28" t="s">
        <v>29</v>
      </c>
      <c r="D287" s="34">
        <v>21.168315000000003</v>
      </c>
      <c r="E287" s="67"/>
      <c r="F287" s="67">
        <v>0.71</v>
      </c>
      <c r="G287" s="67"/>
      <c r="H287" s="67"/>
      <c r="I287" s="30">
        <v>15.029503650000002</v>
      </c>
      <c r="J287" s="67"/>
      <c r="K287" s="236"/>
      <c r="L287" s="236"/>
      <c r="M287" s="241"/>
    </row>
    <row r="288" spans="1:13" ht="15.75" customHeight="1" outlineLevel="1">
      <c r="A288" s="100" t="s">
        <v>181</v>
      </c>
      <c r="B288" s="66" t="s">
        <v>97</v>
      </c>
      <c r="C288" s="28" t="s">
        <v>29</v>
      </c>
      <c r="D288" s="34">
        <v>28.702800000000003</v>
      </c>
      <c r="E288" s="67"/>
      <c r="F288" s="67">
        <v>8.3000000000000007</v>
      </c>
      <c r="G288" s="67"/>
      <c r="H288" s="67"/>
      <c r="I288" s="30">
        <v>238.23324000000005</v>
      </c>
      <c r="J288" s="67"/>
      <c r="K288" s="236"/>
      <c r="L288" s="236"/>
      <c r="M288" s="241"/>
    </row>
    <row r="289" spans="1:13" ht="15.75" customHeight="1" outlineLevel="1">
      <c r="A289" s="100" t="s">
        <v>181</v>
      </c>
      <c r="B289" s="66" t="s">
        <v>108</v>
      </c>
      <c r="C289" s="28" t="s">
        <v>22</v>
      </c>
      <c r="D289" s="40">
        <v>19.374390000000005</v>
      </c>
      <c r="E289" s="67"/>
      <c r="F289" s="67">
        <v>3.5</v>
      </c>
      <c r="G289" s="67"/>
      <c r="H289" s="67"/>
      <c r="I289" s="30">
        <v>67.810365000000019</v>
      </c>
      <c r="J289" s="67"/>
      <c r="K289" s="236"/>
      <c r="L289" s="236"/>
      <c r="M289" s="241"/>
    </row>
    <row r="290" spans="1:13" ht="15.75" customHeight="1" outlineLevel="1">
      <c r="A290" s="100" t="s">
        <v>181</v>
      </c>
      <c r="B290" s="66" t="s">
        <v>98</v>
      </c>
      <c r="C290" s="28" t="s">
        <v>99</v>
      </c>
      <c r="D290" s="34">
        <v>2.3919000000000006</v>
      </c>
      <c r="E290" s="67"/>
      <c r="F290" s="67">
        <v>55.6</v>
      </c>
      <c r="G290" s="67"/>
      <c r="H290" s="67"/>
      <c r="I290" s="30">
        <v>132.98964000000004</v>
      </c>
      <c r="J290" s="67"/>
      <c r="K290" s="236"/>
      <c r="L290" s="236"/>
      <c r="M290" s="241"/>
    </row>
    <row r="291" spans="1:13" ht="30">
      <c r="A291" s="162">
        <v>65</v>
      </c>
      <c r="B291" s="70" t="s">
        <v>75</v>
      </c>
      <c r="C291" s="8" t="s">
        <v>0</v>
      </c>
      <c r="D291" s="69">
        <v>11.003</v>
      </c>
      <c r="E291" s="32">
        <v>91.2</v>
      </c>
      <c r="F291" s="33">
        <v>178.42860000000002</v>
      </c>
      <c r="G291" s="33">
        <v>269.62860000000001</v>
      </c>
      <c r="H291" s="33">
        <v>1003.4736</v>
      </c>
      <c r="I291" s="33">
        <v>1963.2498858000001</v>
      </c>
      <c r="J291" s="31">
        <v>2966.7234858000002</v>
      </c>
      <c r="K291" s="236"/>
      <c r="L291" s="236"/>
      <c r="M291" s="241"/>
    </row>
    <row r="292" spans="1:13" ht="30" customHeight="1" outlineLevel="1">
      <c r="A292" s="100" t="s">
        <v>181</v>
      </c>
      <c r="B292" s="66" t="s">
        <v>105</v>
      </c>
      <c r="C292" s="28" t="s">
        <v>0</v>
      </c>
      <c r="D292" s="37">
        <v>11.22306</v>
      </c>
      <c r="E292" s="67"/>
      <c r="F292" s="67">
        <v>174.93</v>
      </c>
      <c r="G292" s="67"/>
      <c r="H292" s="67"/>
      <c r="I292" s="30">
        <v>1963.2498858000001</v>
      </c>
      <c r="J292" s="67"/>
      <c r="K292" s="236"/>
      <c r="L292" s="236"/>
      <c r="M292" s="241"/>
    </row>
    <row r="293" spans="1:13" ht="30">
      <c r="A293" s="162">
        <v>66</v>
      </c>
      <c r="B293" s="70" t="s">
        <v>61</v>
      </c>
      <c r="C293" s="8" t="s">
        <v>0</v>
      </c>
      <c r="D293" s="69">
        <v>23.74</v>
      </c>
      <c r="E293" s="32">
        <v>378.6</v>
      </c>
      <c r="F293" s="33">
        <v>274.19584999999995</v>
      </c>
      <c r="G293" s="33">
        <v>652.79584999999997</v>
      </c>
      <c r="H293" s="33">
        <v>8987.9639999999999</v>
      </c>
      <c r="I293" s="33">
        <v>6509.409478999999</v>
      </c>
      <c r="J293" s="31">
        <v>15497.373478999998</v>
      </c>
      <c r="K293" s="236"/>
      <c r="L293" s="236"/>
      <c r="M293" s="241"/>
    </row>
    <row r="294" spans="1:13" ht="15.75" customHeight="1" outlineLevel="1">
      <c r="A294" s="100" t="s">
        <v>181</v>
      </c>
      <c r="B294" s="66" t="s">
        <v>169</v>
      </c>
      <c r="C294" s="28" t="s">
        <v>0</v>
      </c>
      <c r="D294" s="34">
        <v>25.401800000000001</v>
      </c>
      <c r="E294" s="67"/>
      <c r="F294" s="67">
        <v>101</v>
      </c>
      <c r="G294" s="67"/>
      <c r="H294" s="67"/>
      <c r="I294" s="30">
        <v>2565.5817999999999</v>
      </c>
      <c r="J294" s="67"/>
      <c r="K294" s="236"/>
      <c r="L294" s="236"/>
      <c r="M294" s="241"/>
    </row>
    <row r="295" spans="1:13" ht="15.75" customHeight="1" outlineLevel="1">
      <c r="A295" s="100" t="s">
        <v>181</v>
      </c>
      <c r="B295" s="66" t="s">
        <v>111</v>
      </c>
      <c r="C295" s="28" t="s">
        <v>29</v>
      </c>
      <c r="D295" s="34">
        <v>63.148400000000002</v>
      </c>
      <c r="E295" s="67"/>
      <c r="F295" s="67">
        <v>14.7</v>
      </c>
      <c r="G295" s="67"/>
      <c r="H295" s="67"/>
      <c r="I295" s="30">
        <v>928.28147999999999</v>
      </c>
      <c r="J295" s="67"/>
      <c r="K295" s="236"/>
      <c r="L295" s="236"/>
      <c r="M295" s="241"/>
    </row>
    <row r="296" spans="1:13" ht="15.75" customHeight="1" outlineLevel="1">
      <c r="A296" s="100" t="s">
        <v>181</v>
      </c>
      <c r="B296" s="66" t="s">
        <v>112</v>
      </c>
      <c r="C296" s="28" t="s">
        <v>29</v>
      </c>
      <c r="D296" s="34">
        <v>79.528999999999996</v>
      </c>
      <c r="E296" s="67"/>
      <c r="F296" s="67">
        <v>26.33</v>
      </c>
      <c r="G296" s="67"/>
      <c r="H296" s="67"/>
      <c r="I296" s="30">
        <v>2093.9985699999997</v>
      </c>
      <c r="J296" s="67"/>
      <c r="K296" s="236"/>
      <c r="L296" s="236"/>
      <c r="M296" s="241"/>
    </row>
    <row r="297" spans="1:13" ht="15.75" customHeight="1" outlineLevel="1">
      <c r="A297" s="100" t="s">
        <v>181</v>
      </c>
      <c r="B297" s="66" t="s">
        <v>104</v>
      </c>
      <c r="C297" s="28" t="s">
        <v>22</v>
      </c>
      <c r="D297" s="34">
        <v>546.02</v>
      </c>
      <c r="E297" s="67"/>
      <c r="F297" s="67">
        <v>0.19</v>
      </c>
      <c r="G297" s="67"/>
      <c r="H297" s="67"/>
      <c r="I297" s="30">
        <v>103.74379999999999</v>
      </c>
      <c r="J297" s="67"/>
      <c r="K297" s="236"/>
      <c r="L297" s="236"/>
      <c r="M297" s="241"/>
    </row>
    <row r="298" spans="1:13" ht="15.75" customHeight="1" outlineLevel="1">
      <c r="A298" s="100" t="s">
        <v>181</v>
      </c>
      <c r="B298" s="66" t="s">
        <v>87</v>
      </c>
      <c r="C298" s="28" t="s">
        <v>22</v>
      </c>
      <c r="D298" s="34">
        <v>76.442800000000005</v>
      </c>
      <c r="E298" s="67"/>
      <c r="F298" s="67">
        <v>0.6</v>
      </c>
      <c r="G298" s="67"/>
      <c r="H298" s="67"/>
      <c r="I298" s="30">
        <v>45.865680000000005</v>
      </c>
      <c r="J298" s="67"/>
      <c r="K298" s="236"/>
      <c r="L298" s="236"/>
      <c r="M298" s="241"/>
    </row>
    <row r="299" spans="1:13" ht="15.75" customHeight="1" outlineLevel="1">
      <c r="A299" s="100" t="s">
        <v>181</v>
      </c>
      <c r="B299" s="66" t="s">
        <v>109</v>
      </c>
      <c r="C299" s="28" t="s">
        <v>22</v>
      </c>
      <c r="D299" s="34">
        <v>111.578</v>
      </c>
      <c r="E299" s="67"/>
      <c r="F299" s="67">
        <v>0.23</v>
      </c>
      <c r="G299" s="67"/>
      <c r="H299" s="67"/>
      <c r="I299" s="30">
        <v>25.662940000000003</v>
      </c>
      <c r="J299" s="67"/>
      <c r="K299" s="236"/>
      <c r="L299" s="236"/>
      <c r="M299" s="241"/>
    </row>
    <row r="300" spans="1:13" ht="15.75" customHeight="1" outlineLevel="1">
      <c r="A300" s="100" t="s">
        <v>181</v>
      </c>
      <c r="B300" s="66" t="s">
        <v>170</v>
      </c>
      <c r="C300" s="28" t="s">
        <v>95</v>
      </c>
      <c r="D300" s="34">
        <v>0.9496</v>
      </c>
      <c r="E300" s="67"/>
      <c r="F300" s="67">
        <v>48.8</v>
      </c>
      <c r="G300" s="67"/>
      <c r="H300" s="67"/>
      <c r="I300" s="30">
        <v>46.340479999999999</v>
      </c>
      <c r="J300" s="67"/>
      <c r="K300" s="236"/>
      <c r="L300" s="236"/>
      <c r="M300" s="241"/>
    </row>
    <row r="301" spans="1:13" ht="15.75" customHeight="1" outlineLevel="1">
      <c r="A301" s="100" t="s">
        <v>181</v>
      </c>
      <c r="B301" s="66" t="s">
        <v>94</v>
      </c>
      <c r="C301" s="28" t="s">
        <v>95</v>
      </c>
      <c r="D301" s="34">
        <v>16.617999999999999</v>
      </c>
      <c r="E301" s="67"/>
      <c r="F301" s="67">
        <v>15</v>
      </c>
      <c r="G301" s="67"/>
      <c r="H301" s="67"/>
      <c r="I301" s="30">
        <v>249.26999999999998</v>
      </c>
      <c r="J301" s="67"/>
      <c r="K301" s="236"/>
      <c r="L301" s="236"/>
      <c r="M301" s="241"/>
    </row>
    <row r="302" spans="1:13" ht="15.75" customHeight="1" outlineLevel="1">
      <c r="A302" s="100" t="s">
        <v>181</v>
      </c>
      <c r="B302" s="66" t="s">
        <v>96</v>
      </c>
      <c r="C302" s="28" t="s">
        <v>29</v>
      </c>
      <c r="D302" s="34">
        <v>21.009899999999998</v>
      </c>
      <c r="E302" s="67"/>
      <c r="F302" s="67">
        <v>0.71</v>
      </c>
      <c r="G302" s="67"/>
      <c r="H302" s="67"/>
      <c r="I302" s="30">
        <v>14.917028999999998</v>
      </c>
      <c r="J302" s="67"/>
      <c r="K302" s="236"/>
      <c r="L302" s="236"/>
      <c r="M302" s="241"/>
    </row>
    <row r="303" spans="1:13" ht="15.75" customHeight="1" outlineLevel="1">
      <c r="A303" s="100" t="s">
        <v>181</v>
      </c>
      <c r="B303" s="66" t="s">
        <v>97</v>
      </c>
      <c r="C303" s="28" t="s">
        <v>29</v>
      </c>
      <c r="D303" s="34">
        <v>28.487999999999996</v>
      </c>
      <c r="E303" s="67"/>
      <c r="F303" s="67">
        <v>8.3000000000000007</v>
      </c>
      <c r="G303" s="67"/>
      <c r="H303" s="67"/>
      <c r="I303" s="30">
        <v>236.45039999999997</v>
      </c>
      <c r="J303" s="67"/>
      <c r="K303" s="236"/>
      <c r="L303" s="236"/>
      <c r="M303" s="241"/>
    </row>
    <row r="304" spans="1:13" ht="15.75" customHeight="1" outlineLevel="1">
      <c r="A304" s="100" t="s">
        <v>181</v>
      </c>
      <c r="B304" s="66" t="s">
        <v>108</v>
      </c>
      <c r="C304" s="28" t="s">
        <v>22</v>
      </c>
      <c r="D304" s="40">
        <v>19.229399999999998</v>
      </c>
      <c r="E304" s="67"/>
      <c r="F304" s="67">
        <v>3.5</v>
      </c>
      <c r="G304" s="67"/>
      <c r="H304" s="67"/>
      <c r="I304" s="30">
        <v>67.302899999999994</v>
      </c>
      <c r="J304" s="67"/>
      <c r="K304" s="236"/>
      <c r="L304" s="236"/>
      <c r="M304" s="241"/>
    </row>
    <row r="305" spans="1:13" ht="15.75" customHeight="1" outlineLevel="1">
      <c r="A305" s="100" t="s">
        <v>181</v>
      </c>
      <c r="B305" s="66" t="s">
        <v>98</v>
      </c>
      <c r="C305" s="28" t="s">
        <v>99</v>
      </c>
      <c r="D305" s="34">
        <v>2.3740000000000001</v>
      </c>
      <c r="E305" s="67"/>
      <c r="F305" s="67">
        <v>55.6</v>
      </c>
      <c r="G305" s="67"/>
      <c r="H305" s="67"/>
      <c r="I305" s="30">
        <v>131.99440000000001</v>
      </c>
      <c r="J305" s="67"/>
      <c r="K305" s="236"/>
      <c r="L305" s="236"/>
      <c r="M305" s="241"/>
    </row>
    <row r="306" spans="1:13" s="152" customFormat="1" ht="45" customHeight="1">
      <c r="A306" s="8">
        <v>67</v>
      </c>
      <c r="B306" s="70" t="s">
        <v>40</v>
      </c>
      <c r="C306" s="8" t="s">
        <v>0</v>
      </c>
      <c r="D306" s="69">
        <v>20.428000000000001</v>
      </c>
      <c r="E306" s="151">
        <v>24</v>
      </c>
      <c r="F306" s="33">
        <v>11.120000000000001</v>
      </c>
      <c r="G306" s="33">
        <v>35.120000000000005</v>
      </c>
      <c r="H306" s="33">
        <v>490.27200000000005</v>
      </c>
      <c r="I306" s="33">
        <v>227.15936000000002</v>
      </c>
      <c r="J306" s="31">
        <v>717.43136000000004</v>
      </c>
      <c r="K306" s="236"/>
      <c r="L306" s="236"/>
      <c r="M306" s="241"/>
    </row>
    <row r="307" spans="1:13" s="101" customFormat="1" ht="15.75" customHeight="1" outlineLevel="1">
      <c r="A307" s="100" t="s">
        <v>181</v>
      </c>
      <c r="B307" s="66" t="s">
        <v>98</v>
      </c>
      <c r="C307" s="28" t="s">
        <v>95</v>
      </c>
      <c r="D307" s="34">
        <v>4.0856000000000003</v>
      </c>
      <c r="E307" s="67"/>
      <c r="F307" s="67">
        <v>55.6</v>
      </c>
      <c r="G307" s="67"/>
      <c r="H307" s="67"/>
      <c r="I307" s="30">
        <v>227.15936000000002</v>
      </c>
      <c r="J307" s="67"/>
      <c r="K307" s="236"/>
      <c r="L307" s="236"/>
      <c r="M307" s="241"/>
    </row>
    <row r="308" spans="1:13" ht="30" customHeight="1">
      <c r="A308" s="162">
        <v>68</v>
      </c>
      <c r="B308" s="70" t="s">
        <v>51</v>
      </c>
      <c r="C308" s="8" t="s">
        <v>29</v>
      </c>
      <c r="D308" s="69">
        <v>38.67</v>
      </c>
      <c r="E308" s="32">
        <v>48</v>
      </c>
      <c r="F308" s="33">
        <v>10.879</v>
      </c>
      <c r="G308" s="33">
        <v>58.878999999999998</v>
      </c>
      <c r="H308" s="33">
        <v>1856.16</v>
      </c>
      <c r="I308" s="33">
        <v>420.69092999999998</v>
      </c>
      <c r="J308" s="31">
        <v>2276.8509300000001</v>
      </c>
      <c r="K308" s="236"/>
      <c r="L308" s="236"/>
      <c r="M308" s="241"/>
    </row>
    <row r="309" spans="1:13" s="101" customFormat="1" ht="15.75" customHeight="1" outlineLevel="1">
      <c r="A309" s="100" t="s">
        <v>181</v>
      </c>
      <c r="B309" s="66" t="s">
        <v>138</v>
      </c>
      <c r="C309" s="28" t="s">
        <v>95</v>
      </c>
      <c r="D309" s="37">
        <v>39.830100000000002</v>
      </c>
      <c r="E309" s="67"/>
      <c r="F309" s="67">
        <v>7.3</v>
      </c>
      <c r="G309" s="67"/>
      <c r="H309" s="67"/>
      <c r="I309" s="30">
        <v>290.75972999999999</v>
      </c>
      <c r="J309" s="67"/>
      <c r="K309" s="236"/>
      <c r="L309" s="236"/>
      <c r="M309" s="241"/>
    </row>
    <row r="310" spans="1:13" s="101" customFormat="1" ht="15.75" customHeight="1" outlineLevel="1">
      <c r="A310" s="100" t="s">
        <v>181</v>
      </c>
      <c r="B310" s="66" t="s">
        <v>139</v>
      </c>
      <c r="C310" s="28" t="s">
        <v>95</v>
      </c>
      <c r="D310" s="37">
        <v>11.601000000000001</v>
      </c>
      <c r="E310" s="67"/>
      <c r="F310" s="67">
        <v>11.2</v>
      </c>
      <c r="G310" s="67"/>
      <c r="H310" s="67"/>
      <c r="I310" s="30">
        <v>129.93119999999999</v>
      </c>
      <c r="J310" s="67"/>
      <c r="K310" s="236"/>
      <c r="L310" s="236"/>
      <c r="M310" s="241"/>
    </row>
    <row r="311" spans="1:13" ht="30">
      <c r="A311" s="162">
        <v>69</v>
      </c>
      <c r="B311" s="70" t="s">
        <v>174</v>
      </c>
      <c r="C311" s="8" t="s">
        <v>0</v>
      </c>
      <c r="D311" s="69">
        <v>3.8</v>
      </c>
      <c r="E311" s="32">
        <v>229</v>
      </c>
      <c r="F311" s="33">
        <v>126.55999999999999</v>
      </c>
      <c r="G311" s="33">
        <v>355.56</v>
      </c>
      <c r="H311" s="33">
        <v>870.19999999999993</v>
      </c>
      <c r="I311" s="33">
        <v>480.92799999999994</v>
      </c>
      <c r="J311" s="31">
        <v>1351.1279999999999</v>
      </c>
      <c r="K311" s="236"/>
      <c r="L311" s="236"/>
      <c r="M311" s="241"/>
    </row>
    <row r="312" spans="1:13" s="101" customFormat="1" ht="15.75" outlineLevel="1">
      <c r="A312" s="100" t="s">
        <v>181</v>
      </c>
      <c r="B312" s="66" t="s">
        <v>139</v>
      </c>
      <c r="C312" s="28" t="s">
        <v>95</v>
      </c>
      <c r="D312" s="34">
        <v>42.94</v>
      </c>
      <c r="E312" s="67"/>
      <c r="F312" s="67">
        <v>11.2</v>
      </c>
      <c r="G312" s="67"/>
      <c r="H312" s="67"/>
      <c r="I312" s="30">
        <v>480.92799999999994</v>
      </c>
      <c r="J312" s="67"/>
      <c r="L312" s="99"/>
      <c r="M312" s="242"/>
    </row>
    <row r="313" spans="1:13">
      <c r="A313" s="162">
        <v>70</v>
      </c>
      <c r="B313" s="70" t="s">
        <v>41</v>
      </c>
      <c r="C313" s="8" t="s">
        <v>0</v>
      </c>
      <c r="D313" s="69">
        <v>30.552000000000003</v>
      </c>
      <c r="E313" s="32">
        <v>268</v>
      </c>
      <c r="F313" s="33">
        <v>47.296400000000006</v>
      </c>
      <c r="G313" s="33">
        <v>315.29640000000001</v>
      </c>
      <c r="H313" s="33">
        <v>8187.9360000000006</v>
      </c>
      <c r="I313" s="33">
        <v>1444.9996128000002</v>
      </c>
      <c r="J313" s="31">
        <v>9632.9356127999999</v>
      </c>
      <c r="K313" s="235">
        <v>37843.681228600006</v>
      </c>
      <c r="L313" s="235">
        <v>70786.60922860002</v>
      </c>
      <c r="M313" s="204">
        <v>3</v>
      </c>
    </row>
    <row r="314" spans="1:13" s="101" customFormat="1" ht="15.75" customHeight="1" outlineLevel="1">
      <c r="A314" s="100" t="s">
        <v>181</v>
      </c>
      <c r="B314" s="66" t="s">
        <v>141</v>
      </c>
      <c r="C314" s="28" t="s">
        <v>142</v>
      </c>
      <c r="D314" s="37">
        <v>61.104000000000006</v>
      </c>
      <c r="E314" s="67"/>
      <c r="F314" s="67">
        <v>22.56</v>
      </c>
      <c r="G314" s="67"/>
      <c r="H314" s="67"/>
      <c r="I314" s="30">
        <v>1378.5062400000002</v>
      </c>
      <c r="J314" s="67"/>
      <c r="K314" s="235"/>
      <c r="L314" s="235"/>
      <c r="M314" s="204"/>
    </row>
    <row r="315" spans="1:13" s="101" customFormat="1" ht="15.75" customHeight="1" outlineLevel="1">
      <c r="A315" s="100" t="s">
        <v>181</v>
      </c>
      <c r="B315" s="66" t="s">
        <v>148</v>
      </c>
      <c r="C315" s="28" t="s">
        <v>95</v>
      </c>
      <c r="D315" s="39">
        <v>3.0552000000000005E-3</v>
      </c>
      <c r="E315" s="67"/>
      <c r="F315" s="67">
        <v>44</v>
      </c>
      <c r="G315" s="67"/>
      <c r="H315" s="67"/>
      <c r="I315" s="30">
        <v>0.13442880000000001</v>
      </c>
      <c r="J315" s="67"/>
      <c r="K315" s="235"/>
      <c r="L315" s="235"/>
      <c r="M315" s="204"/>
    </row>
    <row r="316" spans="1:13" s="101" customFormat="1" ht="15.75" customHeight="1" outlineLevel="1">
      <c r="A316" s="100" t="s">
        <v>181</v>
      </c>
      <c r="B316" s="66" t="s">
        <v>143</v>
      </c>
      <c r="C316" s="28" t="s">
        <v>0</v>
      </c>
      <c r="D316" s="37">
        <v>0.91656000000000004</v>
      </c>
      <c r="E316" s="67"/>
      <c r="F316" s="67">
        <v>72.400000000000006</v>
      </c>
      <c r="G316" s="67"/>
      <c r="H316" s="67"/>
      <c r="I316" s="30">
        <v>66.358944000000008</v>
      </c>
      <c r="J316" s="67"/>
      <c r="K316" s="235"/>
      <c r="L316" s="235"/>
      <c r="M316" s="204"/>
    </row>
    <row r="317" spans="1:13">
      <c r="A317" s="162">
        <v>71</v>
      </c>
      <c r="B317" s="70" t="s">
        <v>32</v>
      </c>
      <c r="C317" s="8" t="s">
        <v>0</v>
      </c>
      <c r="D317" s="69">
        <v>30.552000000000003</v>
      </c>
      <c r="E317" s="32">
        <v>125</v>
      </c>
      <c r="F317" s="33">
        <v>218.1104</v>
      </c>
      <c r="G317" s="33">
        <v>343.11040000000003</v>
      </c>
      <c r="H317" s="33">
        <v>3819.0000000000005</v>
      </c>
      <c r="I317" s="33">
        <v>6663.7089408000011</v>
      </c>
      <c r="J317" s="31">
        <v>10482.708940800001</v>
      </c>
      <c r="K317" s="235"/>
      <c r="L317" s="235"/>
      <c r="M317" s="204"/>
    </row>
    <row r="318" spans="1:13" s="101" customFormat="1" ht="30" customHeight="1" outlineLevel="1">
      <c r="A318" s="100" t="s">
        <v>181</v>
      </c>
      <c r="B318" s="66" t="s">
        <v>152</v>
      </c>
      <c r="C318" s="28" t="s">
        <v>149</v>
      </c>
      <c r="D318" s="37">
        <v>19.247760000000003</v>
      </c>
      <c r="E318" s="67"/>
      <c r="F318" s="67">
        <v>339.62</v>
      </c>
      <c r="G318" s="67"/>
      <c r="H318" s="67"/>
      <c r="I318" s="30">
        <v>6536.924251200001</v>
      </c>
      <c r="J318" s="67"/>
      <c r="K318" s="235"/>
      <c r="L318" s="235"/>
      <c r="M318" s="204"/>
    </row>
    <row r="319" spans="1:13" s="101" customFormat="1" ht="15.75" customHeight="1" outlineLevel="1">
      <c r="A319" s="100" t="s">
        <v>181</v>
      </c>
      <c r="B319" s="66" t="s">
        <v>172</v>
      </c>
      <c r="C319" s="28" t="s">
        <v>173</v>
      </c>
      <c r="D319" s="38">
        <v>1.9247760000000005</v>
      </c>
      <c r="E319" s="67"/>
      <c r="F319" s="67">
        <v>65.8</v>
      </c>
      <c r="G319" s="67"/>
      <c r="H319" s="67"/>
      <c r="I319" s="30">
        <v>126.65026080000003</v>
      </c>
      <c r="J319" s="67"/>
      <c r="K319" s="235"/>
      <c r="L319" s="235"/>
      <c r="M319" s="204"/>
    </row>
    <row r="320" spans="1:13" s="101" customFormat="1" ht="15.75" customHeight="1" outlineLevel="1">
      <c r="A320" s="100" t="s">
        <v>181</v>
      </c>
      <c r="B320" s="66" t="s">
        <v>148</v>
      </c>
      <c r="C320" s="28" t="s">
        <v>95</v>
      </c>
      <c r="D320" s="39">
        <v>3.0552000000000005E-3</v>
      </c>
      <c r="E320" s="67"/>
      <c r="F320" s="67">
        <v>44</v>
      </c>
      <c r="G320" s="67"/>
      <c r="H320" s="67"/>
      <c r="I320" s="30">
        <v>0.13442880000000001</v>
      </c>
      <c r="J320" s="67"/>
      <c r="K320" s="235"/>
      <c r="L320" s="235"/>
      <c r="M320" s="204"/>
    </row>
    <row r="321" spans="1:13" ht="30">
      <c r="A321" s="162">
        <v>72</v>
      </c>
      <c r="B321" s="70" t="s">
        <v>55</v>
      </c>
      <c r="C321" s="8" t="s">
        <v>0</v>
      </c>
      <c r="D321" s="69">
        <v>40.11</v>
      </c>
      <c r="E321" s="32">
        <v>211.2</v>
      </c>
      <c r="F321" s="33">
        <v>238.19328534031411</v>
      </c>
      <c r="G321" s="33">
        <v>449.39328534031409</v>
      </c>
      <c r="H321" s="33">
        <v>8471.232</v>
      </c>
      <c r="I321" s="33">
        <v>9553.9326749999982</v>
      </c>
      <c r="J321" s="31">
        <v>18025.164675</v>
      </c>
      <c r="K321" s="235"/>
      <c r="L321" s="235"/>
      <c r="M321" s="204"/>
    </row>
    <row r="322" spans="1:13" s="101" customFormat="1" ht="30" customHeight="1" outlineLevel="1">
      <c r="A322" s="100" t="s">
        <v>181</v>
      </c>
      <c r="B322" s="66" t="s">
        <v>175</v>
      </c>
      <c r="C322" s="28" t="s">
        <v>0</v>
      </c>
      <c r="D322" s="37">
        <v>31.686900000000001</v>
      </c>
      <c r="E322" s="67"/>
      <c r="F322" s="67">
        <v>270</v>
      </c>
      <c r="G322" s="67"/>
      <c r="H322" s="67"/>
      <c r="I322" s="30">
        <v>8555.4629999999997</v>
      </c>
      <c r="J322" s="67"/>
      <c r="K322" s="235"/>
      <c r="L322" s="235"/>
      <c r="M322" s="204"/>
    </row>
    <row r="323" spans="1:13" s="101" customFormat="1" ht="15.75" customHeight="1" outlineLevel="1">
      <c r="A323" s="100" t="s">
        <v>181</v>
      </c>
      <c r="B323" s="66" t="s">
        <v>176</v>
      </c>
      <c r="C323" s="28" t="s">
        <v>29</v>
      </c>
      <c r="D323" s="37">
        <v>48.615000000000002</v>
      </c>
      <c r="E323" s="67"/>
      <c r="F323" s="67">
        <v>14.7</v>
      </c>
      <c r="G323" s="67"/>
      <c r="H323" s="67"/>
      <c r="I323" s="30">
        <v>714.64049999999997</v>
      </c>
      <c r="J323" s="67"/>
      <c r="K323" s="235"/>
      <c r="L323" s="235"/>
      <c r="M323" s="204"/>
    </row>
    <row r="324" spans="1:13" s="101" customFormat="1" ht="15.75" customHeight="1" outlineLevel="1">
      <c r="A324" s="100" t="s">
        <v>181</v>
      </c>
      <c r="B324" s="66" t="s">
        <v>177</v>
      </c>
      <c r="C324" s="28" t="s">
        <v>22</v>
      </c>
      <c r="D324" s="38">
        <v>24.065999999999999</v>
      </c>
      <c r="E324" s="67"/>
      <c r="F324" s="67">
        <v>8.5</v>
      </c>
      <c r="G324" s="67"/>
      <c r="H324" s="67"/>
      <c r="I324" s="30">
        <v>204.56099999999998</v>
      </c>
      <c r="J324" s="67"/>
      <c r="K324" s="235"/>
      <c r="L324" s="235"/>
      <c r="M324" s="204"/>
    </row>
    <row r="325" spans="1:13" s="101" customFormat="1" ht="15.75" customHeight="1" outlineLevel="1">
      <c r="A325" s="100" t="s">
        <v>181</v>
      </c>
      <c r="B325" s="66" t="s">
        <v>151</v>
      </c>
      <c r="C325" s="28" t="s">
        <v>22</v>
      </c>
      <c r="D325" s="38">
        <v>72.922499999999999</v>
      </c>
      <c r="E325" s="67"/>
      <c r="F325" s="67">
        <v>0.19</v>
      </c>
      <c r="G325" s="67"/>
      <c r="H325" s="67"/>
      <c r="I325" s="30">
        <v>13.855275000000001</v>
      </c>
      <c r="J325" s="67"/>
      <c r="K325" s="235"/>
      <c r="L325" s="235"/>
      <c r="M325" s="204"/>
    </row>
    <row r="326" spans="1:13" s="101" customFormat="1" ht="15.75" customHeight="1" outlineLevel="1">
      <c r="A326" s="100" t="s">
        <v>181</v>
      </c>
      <c r="B326" s="66" t="s">
        <v>87</v>
      </c>
      <c r="C326" s="28" t="s">
        <v>22</v>
      </c>
      <c r="D326" s="38">
        <v>109.0215</v>
      </c>
      <c r="E326" s="67"/>
      <c r="F326" s="67">
        <v>0.6</v>
      </c>
      <c r="G326" s="67"/>
      <c r="H326" s="67"/>
      <c r="I326" s="30">
        <v>65.412899999999993</v>
      </c>
      <c r="J326" s="67"/>
      <c r="K326" s="235"/>
      <c r="L326" s="235"/>
      <c r="M326" s="204"/>
    </row>
    <row r="327" spans="1:13" ht="30">
      <c r="A327" s="162">
        <v>73</v>
      </c>
      <c r="B327" s="70" t="s">
        <v>60</v>
      </c>
      <c r="C327" s="8" t="s">
        <v>0</v>
      </c>
      <c r="D327" s="69">
        <v>29.678000000000004</v>
      </c>
      <c r="E327" s="32">
        <v>420</v>
      </c>
      <c r="F327" s="33">
        <v>680</v>
      </c>
      <c r="G327" s="33">
        <v>1100</v>
      </c>
      <c r="H327" s="33">
        <v>12464.760000000002</v>
      </c>
      <c r="I327" s="33">
        <v>20181.040000000005</v>
      </c>
      <c r="J327" s="31">
        <v>32645.800000000007</v>
      </c>
      <c r="K327" s="235"/>
      <c r="L327" s="235"/>
      <c r="M327" s="204"/>
    </row>
    <row r="328" spans="1:13" ht="15.75" customHeight="1">
      <c r="A328" s="222" t="s">
        <v>116</v>
      </c>
      <c r="B328" s="223"/>
      <c r="C328" s="223"/>
      <c r="D328" s="223"/>
      <c r="E328" s="223"/>
      <c r="F328" s="223"/>
      <c r="G328" s="224"/>
      <c r="H328" s="67">
        <v>59015.189699999995</v>
      </c>
      <c r="I328" s="67">
        <v>54031.11626955001</v>
      </c>
      <c r="J328" s="67">
        <v>113046.30596955003</v>
      </c>
      <c r="M328" s="156"/>
    </row>
    <row r="329" spans="1:13" ht="15.75" customHeight="1">
      <c r="A329" s="222" t="s">
        <v>341</v>
      </c>
      <c r="B329" s="223"/>
      <c r="C329" s="223"/>
      <c r="D329" s="223"/>
      <c r="E329" s="223"/>
      <c r="F329" s="223"/>
      <c r="G329" s="224"/>
      <c r="H329" s="67">
        <v>542574.34720800002</v>
      </c>
      <c r="I329" s="67">
        <v>894137.54211106966</v>
      </c>
      <c r="J329" s="67">
        <v>1436711.8893190699</v>
      </c>
      <c r="M329" s="156"/>
    </row>
    <row r="330" spans="1:13" ht="21" customHeight="1">
      <c r="A330" s="225" t="s">
        <v>76</v>
      </c>
      <c r="B330" s="226" t="s">
        <v>31</v>
      </c>
      <c r="C330" s="226"/>
      <c r="D330" s="226"/>
      <c r="E330" s="226"/>
      <c r="F330" s="226"/>
      <c r="G330" s="226"/>
      <c r="H330" s="226"/>
      <c r="I330" s="226"/>
      <c r="J330" s="227"/>
      <c r="M330" s="156"/>
    </row>
    <row r="331" spans="1:13">
      <c r="A331" s="162">
        <v>74</v>
      </c>
      <c r="B331" s="70" t="s">
        <v>225</v>
      </c>
      <c r="C331" s="8" t="s">
        <v>22</v>
      </c>
      <c r="D331" s="69">
        <v>1</v>
      </c>
      <c r="E331" s="32">
        <v>624</v>
      </c>
      <c r="F331" s="33">
        <v>1287.8030000000001</v>
      </c>
      <c r="G331" s="33">
        <v>1911.8030000000001</v>
      </c>
      <c r="H331" s="33">
        <v>624</v>
      </c>
      <c r="I331" s="33">
        <v>1287.8030000000001</v>
      </c>
      <c r="J331" s="31">
        <v>1911.8030000000001</v>
      </c>
      <c r="K331" s="235">
        <v>57258.993000000002</v>
      </c>
      <c r="L331" s="235">
        <v>153206.39299999998</v>
      </c>
      <c r="M331" s="240">
        <v>1</v>
      </c>
    </row>
    <row r="332" spans="1:13" s="101" customFormat="1" ht="15.75" customHeight="1" outlineLevel="1">
      <c r="A332" s="100" t="s">
        <v>181</v>
      </c>
      <c r="B332" s="66" t="s">
        <v>226</v>
      </c>
      <c r="C332" s="28" t="s">
        <v>22</v>
      </c>
      <c r="D332" s="38">
        <v>1</v>
      </c>
      <c r="E332" s="67"/>
      <c r="F332" s="67">
        <v>1287.8030000000001</v>
      </c>
      <c r="G332" s="67"/>
      <c r="H332" s="67"/>
      <c r="I332" s="30">
        <v>1287.8030000000001</v>
      </c>
      <c r="J332" s="67"/>
      <c r="K332" s="236"/>
      <c r="L332" s="236"/>
      <c r="M332" s="241"/>
    </row>
    <row r="333" spans="1:13" ht="30">
      <c r="A333" s="162">
        <v>75</v>
      </c>
      <c r="B333" s="70" t="s">
        <v>222</v>
      </c>
      <c r="C333" s="8" t="s">
        <v>22</v>
      </c>
      <c r="D333" s="69">
        <v>1</v>
      </c>
      <c r="E333" s="32">
        <v>960</v>
      </c>
      <c r="F333" s="33">
        <v>2886.4</v>
      </c>
      <c r="G333" s="33">
        <v>3846.4</v>
      </c>
      <c r="H333" s="33">
        <v>960</v>
      </c>
      <c r="I333" s="33">
        <v>2886.4</v>
      </c>
      <c r="J333" s="31">
        <v>3846.4</v>
      </c>
      <c r="K333" s="236"/>
      <c r="L333" s="236"/>
      <c r="M333" s="241"/>
    </row>
    <row r="334" spans="1:13" s="101" customFormat="1" ht="30" customHeight="1" outlineLevel="1">
      <c r="A334" s="100" t="s">
        <v>181</v>
      </c>
      <c r="B334" s="66" t="s">
        <v>224</v>
      </c>
      <c r="C334" s="28" t="s">
        <v>22</v>
      </c>
      <c r="D334" s="37">
        <v>1</v>
      </c>
      <c r="E334" s="67"/>
      <c r="F334" s="67">
        <v>2884</v>
      </c>
      <c r="G334" s="67"/>
      <c r="H334" s="67"/>
      <c r="I334" s="30">
        <v>2884</v>
      </c>
      <c r="J334" s="67"/>
      <c r="K334" s="236"/>
      <c r="L334" s="236"/>
      <c r="M334" s="241"/>
    </row>
    <row r="335" spans="1:13" s="101" customFormat="1" ht="15.75" customHeight="1" outlineLevel="1">
      <c r="A335" s="100" t="s">
        <v>181</v>
      </c>
      <c r="B335" s="66" t="s">
        <v>87</v>
      </c>
      <c r="C335" s="28" t="s">
        <v>22</v>
      </c>
      <c r="D335" s="38">
        <v>4</v>
      </c>
      <c r="E335" s="67"/>
      <c r="F335" s="67">
        <v>0.6</v>
      </c>
      <c r="G335" s="67"/>
      <c r="H335" s="67"/>
      <c r="I335" s="30">
        <v>2.4</v>
      </c>
      <c r="J335" s="67"/>
      <c r="K335" s="236"/>
      <c r="L335" s="236"/>
      <c r="M335" s="241"/>
    </row>
    <row r="336" spans="1:13">
      <c r="A336" s="162">
        <v>76</v>
      </c>
      <c r="B336" s="70" t="s">
        <v>223</v>
      </c>
      <c r="C336" s="8" t="s">
        <v>22</v>
      </c>
      <c r="D336" s="69">
        <v>5</v>
      </c>
      <c r="E336" s="32">
        <v>182.4</v>
      </c>
      <c r="F336" s="33">
        <v>287.947</v>
      </c>
      <c r="G336" s="33">
        <v>470.34699999999998</v>
      </c>
      <c r="H336" s="33">
        <v>912</v>
      </c>
      <c r="I336" s="33">
        <v>1439.7350000000001</v>
      </c>
      <c r="J336" s="31">
        <v>2351.7350000000001</v>
      </c>
      <c r="K336" s="236"/>
      <c r="L336" s="236"/>
      <c r="M336" s="241"/>
    </row>
    <row r="337" spans="1:13" s="101" customFormat="1" ht="15.75" customHeight="1" outlineLevel="1">
      <c r="A337" s="100" t="s">
        <v>181</v>
      </c>
      <c r="B337" s="66" t="s">
        <v>227</v>
      </c>
      <c r="C337" s="28" t="s">
        <v>22</v>
      </c>
      <c r="D337" s="38">
        <v>4</v>
      </c>
      <c r="E337" s="67"/>
      <c r="F337" s="67">
        <v>192.852</v>
      </c>
      <c r="G337" s="67"/>
      <c r="H337" s="67"/>
      <c r="I337" s="30">
        <v>771.40800000000002</v>
      </c>
      <c r="J337" s="67"/>
      <c r="K337" s="236"/>
      <c r="L337" s="236"/>
      <c r="M337" s="241"/>
    </row>
    <row r="338" spans="1:13" s="101" customFormat="1" ht="15.75" customHeight="1" outlineLevel="1">
      <c r="A338" s="100" t="s">
        <v>181</v>
      </c>
      <c r="B338" s="66" t="s">
        <v>229</v>
      </c>
      <c r="C338" s="28" t="s">
        <v>22</v>
      </c>
      <c r="D338" s="38">
        <v>1</v>
      </c>
      <c r="E338" s="67"/>
      <c r="F338" s="67">
        <v>668.32700000000011</v>
      </c>
      <c r="G338" s="67"/>
      <c r="H338" s="67"/>
      <c r="I338" s="30">
        <v>668.32700000000011</v>
      </c>
      <c r="J338" s="67"/>
      <c r="K338" s="236"/>
      <c r="L338" s="236"/>
      <c r="M338" s="241"/>
    </row>
    <row r="339" spans="1:13">
      <c r="A339" s="162">
        <v>77</v>
      </c>
      <c r="B339" s="70" t="s">
        <v>266</v>
      </c>
      <c r="C339" s="8" t="s">
        <v>22</v>
      </c>
      <c r="D339" s="69">
        <v>10</v>
      </c>
      <c r="E339" s="32">
        <v>259.2</v>
      </c>
      <c r="F339" s="33">
        <v>1973.4</v>
      </c>
      <c r="G339" s="33">
        <v>2232.6</v>
      </c>
      <c r="H339" s="33">
        <v>2592</v>
      </c>
      <c r="I339" s="33">
        <v>19734</v>
      </c>
      <c r="J339" s="31">
        <v>22326</v>
      </c>
      <c r="K339" s="236"/>
      <c r="L339" s="236"/>
      <c r="M339" s="241"/>
    </row>
    <row r="340" spans="1:13" s="101" customFormat="1" ht="15.75" customHeight="1" outlineLevel="1">
      <c r="A340" s="100" t="s">
        <v>181</v>
      </c>
      <c r="B340" s="66" t="s">
        <v>228</v>
      </c>
      <c r="C340" s="28" t="s">
        <v>22</v>
      </c>
      <c r="D340" s="38">
        <v>10</v>
      </c>
      <c r="E340" s="67"/>
      <c r="F340" s="67">
        <v>1973.4</v>
      </c>
      <c r="G340" s="67"/>
      <c r="H340" s="67"/>
      <c r="I340" s="30">
        <v>19734</v>
      </c>
      <c r="J340" s="67"/>
      <c r="K340" s="236"/>
      <c r="L340" s="236"/>
      <c r="M340" s="241"/>
    </row>
    <row r="341" spans="1:13">
      <c r="A341" s="162">
        <v>78</v>
      </c>
      <c r="B341" s="70" t="s">
        <v>230</v>
      </c>
      <c r="C341" s="8" t="s">
        <v>29</v>
      </c>
      <c r="D341" s="69">
        <v>465</v>
      </c>
      <c r="E341" s="32">
        <v>105</v>
      </c>
      <c r="F341" s="33">
        <v>8.1688172043010745</v>
      </c>
      <c r="G341" s="33">
        <v>113.16881720430108</v>
      </c>
      <c r="H341" s="33">
        <v>48825</v>
      </c>
      <c r="I341" s="33">
        <v>3798.5</v>
      </c>
      <c r="J341" s="31">
        <v>52623.5</v>
      </c>
      <c r="K341" s="236"/>
      <c r="L341" s="236"/>
      <c r="M341" s="241"/>
    </row>
    <row r="342" spans="1:13" s="101" customFormat="1" ht="15.75" customHeight="1" outlineLevel="1">
      <c r="A342" s="100" t="s">
        <v>181</v>
      </c>
      <c r="B342" s="66" t="s">
        <v>232</v>
      </c>
      <c r="C342" s="28" t="s">
        <v>0</v>
      </c>
      <c r="D342" s="38">
        <v>415</v>
      </c>
      <c r="E342" s="67"/>
      <c r="F342" s="67">
        <v>5.4119999999999999</v>
      </c>
      <c r="G342" s="67"/>
      <c r="H342" s="67"/>
      <c r="I342" s="30">
        <v>2245.98</v>
      </c>
      <c r="J342" s="67"/>
      <c r="K342" s="236"/>
      <c r="L342" s="236"/>
      <c r="M342" s="241"/>
    </row>
    <row r="343" spans="1:13" s="101" customFormat="1" ht="15.75" customHeight="1" outlineLevel="1">
      <c r="A343" s="100" t="s">
        <v>181</v>
      </c>
      <c r="B343" s="66" t="s">
        <v>233</v>
      </c>
      <c r="C343" s="28" t="s">
        <v>29</v>
      </c>
      <c r="D343" s="38">
        <v>50</v>
      </c>
      <c r="E343" s="67"/>
      <c r="F343" s="67">
        <v>9.1080000000000005</v>
      </c>
      <c r="G343" s="67"/>
      <c r="H343" s="67"/>
      <c r="I343" s="30">
        <v>455.40000000000003</v>
      </c>
      <c r="J343" s="67"/>
      <c r="K343" s="236"/>
      <c r="L343" s="236"/>
      <c r="M343" s="241"/>
    </row>
    <row r="344" spans="1:13" s="101" customFormat="1" ht="15.75" customHeight="1" outlineLevel="1">
      <c r="A344" s="100" t="s">
        <v>181</v>
      </c>
      <c r="B344" s="66" t="s">
        <v>234</v>
      </c>
      <c r="C344" s="28" t="s">
        <v>22</v>
      </c>
      <c r="D344" s="38">
        <v>400</v>
      </c>
      <c r="E344" s="67"/>
      <c r="F344" s="67">
        <v>1.7160000000000002</v>
      </c>
      <c r="G344" s="67"/>
      <c r="H344" s="67"/>
      <c r="I344" s="30">
        <v>686.40000000000009</v>
      </c>
      <c r="J344" s="67"/>
      <c r="K344" s="236"/>
      <c r="L344" s="236"/>
      <c r="M344" s="241"/>
    </row>
    <row r="345" spans="1:13" s="101" customFormat="1" ht="15.75" customHeight="1" outlineLevel="1">
      <c r="A345" s="100" t="s">
        <v>181</v>
      </c>
      <c r="B345" s="66" t="s">
        <v>235</v>
      </c>
      <c r="C345" s="28" t="s">
        <v>22</v>
      </c>
      <c r="D345" s="38">
        <v>80</v>
      </c>
      <c r="E345" s="67"/>
      <c r="F345" s="67">
        <v>2.1339999999999999</v>
      </c>
      <c r="G345" s="67"/>
      <c r="H345" s="67"/>
      <c r="I345" s="30">
        <v>170.72</v>
      </c>
      <c r="J345" s="67"/>
      <c r="K345" s="236"/>
      <c r="L345" s="236"/>
      <c r="M345" s="241"/>
    </row>
    <row r="346" spans="1:13" s="101" customFormat="1" ht="15.75" customHeight="1" outlineLevel="1">
      <c r="A346" s="100" t="s">
        <v>181</v>
      </c>
      <c r="B346" s="66" t="s">
        <v>87</v>
      </c>
      <c r="C346" s="28" t="s">
        <v>22</v>
      </c>
      <c r="D346" s="38">
        <v>400</v>
      </c>
      <c r="E346" s="67"/>
      <c r="F346" s="67">
        <v>0.6</v>
      </c>
      <c r="G346" s="67"/>
      <c r="H346" s="67"/>
      <c r="I346" s="30">
        <v>240</v>
      </c>
      <c r="J346" s="67"/>
      <c r="K346" s="236"/>
      <c r="L346" s="236"/>
      <c r="M346" s="241"/>
    </row>
    <row r="347" spans="1:13">
      <c r="A347" s="162">
        <v>79</v>
      </c>
      <c r="B347" s="70" t="s">
        <v>239</v>
      </c>
      <c r="C347" s="8" t="s">
        <v>29</v>
      </c>
      <c r="D347" s="69">
        <v>9</v>
      </c>
      <c r="E347" s="32">
        <v>167.2</v>
      </c>
      <c r="F347" s="33">
        <v>289.03722222222223</v>
      </c>
      <c r="G347" s="33">
        <v>456.23722222222221</v>
      </c>
      <c r="H347" s="33">
        <v>1504.8</v>
      </c>
      <c r="I347" s="33">
        <v>2601.335</v>
      </c>
      <c r="J347" s="31">
        <v>4106.1350000000002</v>
      </c>
      <c r="K347" s="236"/>
      <c r="L347" s="236"/>
      <c r="M347" s="241"/>
    </row>
    <row r="348" spans="1:13" s="101" customFormat="1" ht="15.75" customHeight="1" outlineLevel="1">
      <c r="A348" s="100" t="s">
        <v>181</v>
      </c>
      <c r="B348" s="66" t="s">
        <v>240</v>
      </c>
      <c r="C348" s="28" t="s">
        <v>29</v>
      </c>
      <c r="D348" s="38">
        <v>10.35</v>
      </c>
      <c r="E348" s="67"/>
      <c r="F348" s="67">
        <v>242.88000000000002</v>
      </c>
      <c r="G348" s="67"/>
      <c r="H348" s="67"/>
      <c r="I348" s="30">
        <v>2513.808</v>
      </c>
      <c r="J348" s="67"/>
      <c r="K348" s="236"/>
      <c r="L348" s="236"/>
      <c r="M348" s="241"/>
    </row>
    <row r="349" spans="1:13" s="101" customFormat="1" ht="15.75" customHeight="1" outlineLevel="1">
      <c r="A349" s="100" t="s">
        <v>181</v>
      </c>
      <c r="B349" s="66" t="s">
        <v>241</v>
      </c>
      <c r="C349" s="28" t="s">
        <v>22</v>
      </c>
      <c r="D349" s="38">
        <v>100</v>
      </c>
      <c r="E349" s="67"/>
      <c r="F349" s="67">
        <v>0.87526999999999999</v>
      </c>
      <c r="G349" s="67"/>
      <c r="H349" s="67"/>
      <c r="I349" s="30">
        <v>87.527000000000001</v>
      </c>
      <c r="J349" s="67"/>
      <c r="K349" s="236"/>
      <c r="L349" s="236"/>
      <c r="M349" s="241"/>
    </row>
    <row r="350" spans="1:13" ht="30">
      <c r="A350" s="162">
        <v>80</v>
      </c>
      <c r="B350" s="70" t="s">
        <v>231</v>
      </c>
      <c r="C350" s="8" t="s">
        <v>29</v>
      </c>
      <c r="D350" s="69">
        <v>415</v>
      </c>
      <c r="E350" s="32">
        <v>56.48</v>
      </c>
      <c r="F350" s="33">
        <v>35.842572289156628</v>
      </c>
      <c r="G350" s="33">
        <v>92.322572289156625</v>
      </c>
      <c r="H350" s="33">
        <v>23439.199999999997</v>
      </c>
      <c r="I350" s="33">
        <v>14874.6675</v>
      </c>
      <c r="J350" s="31">
        <v>38313.867499999993</v>
      </c>
      <c r="K350" s="236"/>
      <c r="L350" s="236"/>
      <c r="M350" s="241"/>
    </row>
    <row r="351" spans="1:13" s="101" customFormat="1" ht="15.75" customHeight="1" outlineLevel="1">
      <c r="A351" s="100" t="s">
        <v>181</v>
      </c>
      <c r="B351" s="66" t="s">
        <v>237</v>
      </c>
      <c r="C351" s="28" t="s">
        <v>29</v>
      </c>
      <c r="D351" s="38">
        <v>178.5</v>
      </c>
      <c r="E351" s="67"/>
      <c r="F351" s="67">
        <v>23.638999999999999</v>
      </c>
      <c r="G351" s="67"/>
      <c r="H351" s="67"/>
      <c r="I351" s="30">
        <v>4219.5614999999998</v>
      </c>
      <c r="J351" s="67"/>
      <c r="K351" s="236"/>
      <c r="L351" s="236"/>
      <c r="M351" s="241"/>
    </row>
    <row r="352" spans="1:13" s="101" customFormat="1" ht="15.75" customHeight="1" outlineLevel="1">
      <c r="A352" s="100" t="s">
        <v>181</v>
      </c>
      <c r="B352" s="66" t="s">
        <v>236</v>
      </c>
      <c r="C352" s="28" t="s">
        <v>29</v>
      </c>
      <c r="D352" s="38">
        <v>218</v>
      </c>
      <c r="E352" s="67"/>
      <c r="F352" s="67">
        <v>37.884</v>
      </c>
      <c r="G352" s="67"/>
      <c r="H352" s="67"/>
      <c r="I352" s="30">
        <v>8258.7119999999995</v>
      </c>
      <c r="J352" s="67"/>
      <c r="K352" s="236"/>
      <c r="L352" s="236"/>
      <c r="M352" s="241"/>
    </row>
    <row r="353" spans="1:13" s="101" customFormat="1" ht="15.75" customHeight="1" outlineLevel="1">
      <c r="A353" s="100" t="s">
        <v>181</v>
      </c>
      <c r="B353" s="66" t="s">
        <v>238</v>
      </c>
      <c r="C353" s="28" t="s">
        <v>29</v>
      </c>
      <c r="D353" s="38">
        <v>36.75</v>
      </c>
      <c r="E353" s="67"/>
      <c r="F353" s="67">
        <v>65.208000000000013</v>
      </c>
      <c r="G353" s="67"/>
      <c r="H353" s="67"/>
      <c r="I353" s="30">
        <v>2396.3940000000007</v>
      </c>
      <c r="J353" s="67"/>
      <c r="K353" s="236"/>
      <c r="L353" s="236"/>
      <c r="M353" s="241"/>
    </row>
    <row r="354" spans="1:13">
      <c r="A354" s="162">
        <v>81</v>
      </c>
      <c r="B354" s="70" t="s">
        <v>242</v>
      </c>
      <c r="C354" s="8" t="s">
        <v>29</v>
      </c>
      <c r="D354" s="69">
        <v>50</v>
      </c>
      <c r="E354" s="32">
        <v>144</v>
      </c>
      <c r="F354" s="33">
        <v>165.63855000000001</v>
      </c>
      <c r="G354" s="33">
        <v>309.63855000000001</v>
      </c>
      <c r="H354" s="33">
        <v>7200</v>
      </c>
      <c r="I354" s="33">
        <v>8281.9274999999998</v>
      </c>
      <c r="J354" s="31">
        <v>15481.9275</v>
      </c>
      <c r="K354" s="236"/>
      <c r="L354" s="236"/>
      <c r="M354" s="241"/>
    </row>
    <row r="355" spans="1:13" s="101" customFormat="1" ht="15.75" customHeight="1" outlineLevel="1">
      <c r="A355" s="100" t="s">
        <v>181</v>
      </c>
      <c r="B355" s="66" t="s">
        <v>243</v>
      </c>
      <c r="C355" s="28" t="s">
        <v>29</v>
      </c>
      <c r="D355" s="38">
        <v>52.5</v>
      </c>
      <c r="E355" s="67"/>
      <c r="F355" s="67">
        <v>157.751</v>
      </c>
      <c r="G355" s="67"/>
      <c r="H355" s="67"/>
      <c r="I355" s="30">
        <v>8281.9274999999998</v>
      </c>
      <c r="J355" s="67"/>
      <c r="K355" s="236"/>
      <c r="L355" s="236"/>
      <c r="M355" s="241"/>
    </row>
    <row r="356" spans="1:13">
      <c r="A356" s="162">
        <v>82</v>
      </c>
      <c r="B356" s="70" t="s">
        <v>339</v>
      </c>
      <c r="C356" s="8" t="s">
        <v>29</v>
      </c>
      <c r="D356" s="69">
        <v>195</v>
      </c>
      <c r="E356" s="32">
        <v>50.72</v>
      </c>
      <c r="F356" s="33">
        <v>12.074999999999999</v>
      </c>
      <c r="G356" s="33">
        <v>62.795000000000002</v>
      </c>
      <c r="H356" s="33">
        <v>9890.4</v>
      </c>
      <c r="I356" s="33">
        <v>2354.625</v>
      </c>
      <c r="J356" s="31">
        <v>12245.025</v>
      </c>
      <c r="K356" s="236"/>
      <c r="L356" s="236"/>
      <c r="M356" s="241"/>
    </row>
    <row r="357" spans="1:13" s="101" customFormat="1" ht="15.75" outlineLevel="1">
      <c r="A357" s="100" t="s">
        <v>181</v>
      </c>
      <c r="B357" s="66" t="s">
        <v>340</v>
      </c>
      <c r="C357" s="28" t="s">
        <v>29</v>
      </c>
      <c r="D357" s="38">
        <v>204.75</v>
      </c>
      <c r="E357" s="67"/>
      <c r="F357" s="67">
        <v>11.5</v>
      </c>
      <c r="G357" s="67"/>
      <c r="H357" s="67"/>
      <c r="I357" s="30">
        <v>2354.625</v>
      </c>
      <c r="J357" s="67"/>
      <c r="M357" s="241"/>
    </row>
    <row r="358" spans="1:13" ht="30">
      <c r="A358" s="162">
        <v>83</v>
      </c>
      <c r="B358" s="70" t="s">
        <v>244</v>
      </c>
      <c r="C358" s="8" t="s">
        <v>22</v>
      </c>
      <c r="D358" s="69">
        <v>7</v>
      </c>
      <c r="E358" s="69">
        <v>40.32</v>
      </c>
      <c r="F358" s="33">
        <v>0</v>
      </c>
      <c r="G358" s="33">
        <v>40.32</v>
      </c>
      <c r="H358" s="33">
        <v>282.24</v>
      </c>
      <c r="I358" s="33">
        <v>0</v>
      </c>
      <c r="J358" s="31">
        <v>282.24</v>
      </c>
      <c r="K358" s="235">
        <v>7306.8380000000016</v>
      </c>
      <c r="L358" s="235">
        <v>14006.678000000002</v>
      </c>
      <c r="M358" s="241"/>
    </row>
    <row r="359" spans="1:13" ht="30">
      <c r="A359" s="162">
        <v>84</v>
      </c>
      <c r="B359" s="70" t="s">
        <v>245</v>
      </c>
      <c r="C359" s="8" t="s">
        <v>22</v>
      </c>
      <c r="D359" s="69">
        <v>28</v>
      </c>
      <c r="E359" s="69">
        <v>115.2</v>
      </c>
      <c r="F359" s="33">
        <v>0</v>
      </c>
      <c r="G359" s="33">
        <v>115.2</v>
      </c>
      <c r="H359" s="33">
        <v>3225.6</v>
      </c>
      <c r="I359" s="33">
        <v>0</v>
      </c>
      <c r="J359" s="31">
        <v>3225.6</v>
      </c>
      <c r="K359" s="236"/>
      <c r="L359" s="236"/>
      <c r="M359" s="242"/>
    </row>
    <row r="360" spans="1:13">
      <c r="A360" s="162">
        <v>85</v>
      </c>
      <c r="B360" s="70" t="s">
        <v>246</v>
      </c>
      <c r="C360" s="8" t="s">
        <v>22</v>
      </c>
      <c r="D360" s="69">
        <v>22</v>
      </c>
      <c r="E360" s="32">
        <v>91.2</v>
      </c>
      <c r="F360" s="33">
        <v>207.39400000000006</v>
      </c>
      <c r="G360" s="33">
        <v>298.59400000000005</v>
      </c>
      <c r="H360" s="33">
        <v>2006.4</v>
      </c>
      <c r="I360" s="33">
        <v>4562.6680000000015</v>
      </c>
      <c r="J360" s="31">
        <v>6569.0680000000011</v>
      </c>
      <c r="K360" s="236"/>
      <c r="L360" s="236"/>
      <c r="M360" s="204">
        <v>2</v>
      </c>
    </row>
    <row r="361" spans="1:13" s="101" customFormat="1" ht="15.75" customHeight="1" outlineLevel="1">
      <c r="A361" s="100" t="s">
        <v>181</v>
      </c>
      <c r="B361" s="66" t="s">
        <v>248</v>
      </c>
      <c r="C361" s="28" t="s">
        <v>22</v>
      </c>
      <c r="D361" s="38">
        <v>22</v>
      </c>
      <c r="E361" s="67"/>
      <c r="F361" s="67">
        <v>6.8750000000000009</v>
      </c>
      <c r="G361" s="67"/>
      <c r="H361" s="67"/>
      <c r="I361" s="30">
        <v>151.25000000000003</v>
      </c>
      <c r="J361" s="67"/>
      <c r="K361" s="236"/>
      <c r="L361" s="236"/>
      <c r="M361" s="204"/>
    </row>
    <row r="362" spans="1:13" s="101" customFormat="1" ht="15.75" customHeight="1" outlineLevel="1">
      <c r="A362" s="100" t="s">
        <v>181</v>
      </c>
      <c r="B362" s="66" t="s">
        <v>251</v>
      </c>
      <c r="C362" s="28" t="s">
        <v>22</v>
      </c>
      <c r="D362" s="38">
        <v>22</v>
      </c>
      <c r="E362" s="67"/>
      <c r="F362" s="67">
        <v>154.84700000000004</v>
      </c>
      <c r="G362" s="67"/>
      <c r="H362" s="67"/>
      <c r="I362" s="30">
        <v>3406.6340000000009</v>
      </c>
      <c r="J362" s="67"/>
      <c r="K362" s="236"/>
      <c r="L362" s="236"/>
      <c r="M362" s="204"/>
    </row>
    <row r="363" spans="1:13" s="101" customFormat="1" ht="15.75" customHeight="1" outlineLevel="1">
      <c r="A363" s="100" t="s">
        <v>181</v>
      </c>
      <c r="B363" s="66" t="s">
        <v>249</v>
      </c>
      <c r="C363" s="28" t="s">
        <v>22</v>
      </c>
      <c r="D363" s="38">
        <v>22</v>
      </c>
      <c r="E363" s="67"/>
      <c r="F363" s="67">
        <v>45.672000000000004</v>
      </c>
      <c r="G363" s="67"/>
      <c r="H363" s="67"/>
      <c r="I363" s="30">
        <v>1004.7840000000001</v>
      </c>
      <c r="J363" s="67"/>
      <c r="K363" s="236"/>
      <c r="L363" s="236"/>
      <c r="M363" s="204"/>
    </row>
    <row r="364" spans="1:13">
      <c r="A364" s="162">
        <v>86</v>
      </c>
      <c r="B364" s="70" t="s">
        <v>247</v>
      </c>
      <c r="C364" s="8" t="s">
        <v>22</v>
      </c>
      <c r="D364" s="69">
        <v>13</v>
      </c>
      <c r="E364" s="32">
        <v>91.2</v>
      </c>
      <c r="F364" s="33">
        <v>211.09</v>
      </c>
      <c r="G364" s="33">
        <v>302.29000000000002</v>
      </c>
      <c r="H364" s="33">
        <v>1185.6000000000001</v>
      </c>
      <c r="I364" s="33">
        <v>2744.17</v>
      </c>
      <c r="J364" s="31">
        <v>3929.7700000000004</v>
      </c>
      <c r="K364" s="236"/>
      <c r="L364" s="236"/>
      <c r="M364" s="204"/>
    </row>
    <row r="365" spans="1:13" s="101" customFormat="1" ht="15.75" outlineLevel="1">
      <c r="A365" s="100" t="s">
        <v>181</v>
      </c>
      <c r="B365" s="66" t="s">
        <v>248</v>
      </c>
      <c r="C365" s="28" t="s">
        <v>22</v>
      </c>
      <c r="D365" s="38">
        <v>13</v>
      </c>
      <c r="E365" s="67"/>
      <c r="F365" s="67">
        <v>6.8750000000000009</v>
      </c>
      <c r="G365" s="67"/>
      <c r="H365" s="67"/>
      <c r="I365" s="30">
        <v>89.375000000000014</v>
      </c>
      <c r="J365" s="67"/>
      <c r="M365" s="204"/>
    </row>
    <row r="366" spans="1:13" s="101" customFormat="1" ht="15.75" outlineLevel="1">
      <c r="A366" s="100" t="s">
        <v>181</v>
      </c>
      <c r="B366" s="66" t="s">
        <v>250</v>
      </c>
      <c r="C366" s="28" t="s">
        <v>22</v>
      </c>
      <c r="D366" s="38">
        <v>13</v>
      </c>
      <c r="E366" s="67"/>
      <c r="F366" s="67">
        <v>158.54300000000001</v>
      </c>
      <c r="G366" s="67"/>
      <c r="H366" s="67"/>
      <c r="I366" s="30">
        <v>2061.0590000000002</v>
      </c>
      <c r="J366" s="67"/>
      <c r="M366" s="204"/>
    </row>
    <row r="367" spans="1:13" s="101" customFormat="1" ht="15.75" outlineLevel="1">
      <c r="A367" s="100" t="s">
        <v>181</v>
      </c>
      <c r="B367" s="66" t="s">
        <v>249</v>
      </c>
      <c r="C367" s="28" t="s">
        <v>22</v>
      </c>
      <c r="D367" s="38">
        <v>13</v>
      </c>
      <c r="E367" s="67"/>
      <c r="F367" s="67">
        <v>45.672000000000004</v>
      </c>
      <c r="G367" s="67"/>
      <c r="H367" s="67"/>
      <c r="I367" s="30">
        <v>593.7360000000001</v>
      </c>
      <c r="J367" s="67"/>
      <c r="M367" s="204"/>
    </row>
    <row r="368" spans="1:13" ht="30">
      <c r="A368" s="162">
        <v>87</v>
      </c>
      <c r="B368" s="70" t="s">
        <v>252</v>
      </c>
      <c r="C368" s="8" t="s">
        <v>22</v>
      </c>
      <c r="D368" s="69">
        <v>42</v>
      </c>
      <c r="E368" s="32">
        <v>364.8</v>
      </c>
      <c r="F368" s="33">
        <v>3700</v>
      </c>
      <c r="G368" s="33">
        <v>4064.8</v>
      </c>
      <c r="H368" s="33">
        <v>15321.6</v>
      </c>
      <c r="I368" s="33">
        <v>155400</v>
      </c>
      <c r="J368" s="31">
        <v>170721.6</v>
      </c>
      <c r="K368" s="149">
        <v>155400</v>
      </c>
      <c r="L368" s="149">
        <v>170721.6</v>
      </c>
      <c r="M368" s="240">
        <v>3</v>
      </c>
    </row>
    <row r="369" spans="1:13" s="101" customFormat="1" ht="45" customHeight="1" outlineLevel="1">
      <c r="A369" s="100" t="s">
        <v>181</v>
      </c>
      <c r="B369" s="66" t="s">
        <v>257</v>
      </c>
      <c r="C369" s="28" t="s">
        <v>22</v>
      </c>
      <c r="D369" s="38">
        <v>42</v>
      </c>
      <c r="E369" s="67"/>
      <c r="F369" s="67">
        <v>3700</v>
      </c>
      <c r="G369" s="67"/>
      <c r="H369" s="67"/>
      <c r="I369" s="30">
        <v>155400</v>
      </c>
      <c r="J369" s="67"/>
      <c r="M369" s="241"/>
    </row>
    <row r="370" spans="1:13" ht="30">
      <c r="A370" s="162">
        <v>88</v>
      </c>
      <c r="B370" s="70" t="s">
        <v>253</v>
      </c>
      <c r="C370" s="8" t="s">
        <v>22</v>
      </c>
      <c r="D370" s="69">
        <v>18</v>
      </c>
      <c r="E370" s="32">
        <v>241.2</v>
      </c>
      <c r="F370" s="33">
        <v>834.23767777777778</v>
      </c>
      <c r="G370" s="33">
        <v>1075.4376777777777</v>
      </c>
      <c r="H370" s="33">
        <v>4341.5999999999995</v>
      </c>
      <c r="I370" s="33">
        <v>15016.278200000001</v>
      </c>
      <c r="J370" s="31">
        <v>19357.878199999999</v>
      </c>
      <c r="K370" s="149">
        <v>15016.278200000001</v>
      </c>
      <c r="L370" s="149">
        <v>19357.878199999999</v>
      </c>
      <c r="M370" s="241"/>
    </row>
    <row r="371" spans="1:13" s="101" customFormat="1" ht="30" customHeight="1" outlineLevel="1">
      <c r="A371" s="100" t="s">
        <v>181</v>
      </c>
      <c r="B371" s="66" t="s">
        <v>254</v>
      </c>
      <c r="C371" s="28" t="s">
        <v>22</v>
      </c>
      <c r="D371" s="38">
        <v>16</v>
      </c>
      <c r="E371" s="67"/>
      <c r="F371" s="67">
        <v>682.04399999999998</v>
      </c>
      <c r="G371" s="67"/>
      <c r="H371" s="67"/>
      <c r="I371" s="30">
        <v>10912.704</v>
      </c>
      <c r="J371" s="67"/>
      <c r="M371" s="241"/>
    </row>
    <row r="372" spans="1:13" s="101" customFormat="1" ht="30" customHeight="1" outlineLevel="1">
      <c r="A372" s="100" t="s">
        <v>181</v>
      </c>
      <c r="B372" s="66" t="s">
        <v>256</v>
      </c>
      <c r="C372" s="28" t="s">
        <v>22</v>
      </c>
      <c r="D372" s="38">
        <v>2</v>
      </c>
      <c r="E372" s="67"/>
      <c r="F372" s="67">
        <v>511.50550000000004</v>
      </c>
      <c r="G372" s="67"/>
      <c r="H372" s="67"/>
      <c r="I372" s="30">
        <v>1023.0110000000001</v>
      </c>
      <c r="J372" s="67"/>
      <c r="M372" s="241"/>
    </row>
    <row r="373" spans="1:13" s="101" customFormat="1" ht="15.75" customHeight="1" outlineLevel="1">
      <c r="A373" s="100" t="s">
        <v>181</v>
      </c>
      <c r="B373" s="66" t="s">
        <v>255</v>
      </c>
      <c r="C373" s="28" t="s">
        <v>22</v>
      </c>
      <c r="D373" s="38">
        <v>74.800000000000011</v>
      </c>
      <c r="E373" s="67"/>
      <c r="F373" s="67">
        <v>41.183999999999997</v>
      </c>
      <c r="G373" s="67"/>
      <c r="H373" s="67"/>
      <c r="I373" s="30">
        <v>3080.5632000000005</v>
      </c>
      <c r="J373" s="67"/>
      <c r="K373" s="153"/>
      <c r="M373" s="241"/>
    </row>
    <row r="374" spans="1:13">
      <c r="A374" s="162">
        <v>89</v>
      </c>
      <c r="B374" s="70" t="s">
        <v>258</v>
      </c>
      <c r="C374" s="8" t="s">
        <v>22</v>
      </c>
      <c r="D374" s="69">
        <v>22</v>
      </c>
      <c r="E374" s="32">
        <v>254.4</v>
      </c>
      <c r="F374" s="33">
        <v>1498</v>
      </c>
      <c r="G374" s="33">
        <v>1752.4</v>
      </c>
      <c r="H374" s="33">
        <v>5596.8</v>
      </c>
      <c r="I374" s="33">
        <v>32956</v>
      </c>
      <c r="J374" s="31">
        <v>38552.800000000003</v>
      </c>
      <c r="K374" s="149">
        <v>32956</v>
      </c>
      <c r="L374" s="149">
        <v>38552.800000000003</v>
      </c>
      <c r="M374" s="241"/>
    </row>
    <row r="375" spans="1:13" s="101" customFormat="1" ht="15.75" outlineLevel="1">
      <c r="A375" s="100" t="s">
        <v>181</v>
      </c>
      <c r="B375" s="66" t="s">
        <v>259</v>
      </c>
      <c r="C375" s="28" t="s">
        <v>22</v>
      </c>
      <c r="D375" s="38">
        <v>22</v>
      </c>
      <c r="E375" s="67"/>
      <c r="F375" s="67">
        <v>1498</v>
      </c>
      <c r="G375" s="67"/>
      <c r="H375" s="67"/>
      <c r="I375" s="30">
        <v>32956</v>
      </c>
      <c r="J375" s="67"/>
      <c r="M375" s="242"/>
    </row>
    <row r="376" spans="1:13" ht="30">
      <c r="A376" s="162">
        <v>90</v>
      </c>
      <c r="B376" s="70" t="s">
        <v>265</v>
      </c>
      <c r="C376" s="8" t="s">
        <v>22</v>
      </c>
      <c r="D376" s="69">
        <v>23</v>
      </c>
      <c r="E376" s="32">
        <v>55</v>
      </c>
      <c r="F376" s="33">
        <v>0</v>
      </c>
      <c r="G376" s="33">
        <v>55</v>
      </c>
      <c r="H376" s="33">
        <v>1265</v>
      </c>
      <c r="I376" s="33">
        <v>0</v>
      </c>
      <c r="J376" s="31">
        <v>1265</v>
      </c>
      <c r="K376" s="149">
        <v>0</v>
      </c>
      <c r="L376" s="149">
        <v>1265</v>
      </c>
      <c r="M376" s="162">
        <v>1</v>
      </c>
    </row>
    <row r="377" spans="1:13">
      <c r="A377" s="162">
        <v>91</v>
      </c>
      <c r="B377" s="70" t="s">
        <v>277</v>
      </c>
      <c r="C377" s="8" t="s">
        <v>22</v>
      </c>
      <c r="D377" s="69">
        <v>2</v>
      </c>
      <c r="E377" s="32">
        <v>680</v>
      </c>
      <c r="F377" s="33">
        <v>4800</v>
      </c>
      <c r="G377" s="33">
        <v>5480</v>
      </c>
      <c r="H377" s="33">
        <v>1360</v>
      </c>
      <c r="I377" s="33">
        <v>9600</v>
      </c>
      <c r="J377" s="31">
        <v>10960</v>
      </c>
      <c r="K377" s="235">
        <v>21100</v>
      </c>
      <c r="L377" s="235">
        <v>23820</v>
      </c>
      <c r="M377" s="240">
        <v>3</v>
      </c>
    </row>
    <row r="378" spans="1:13" s="101" customFormat="1" ht="15.75" customHeight="1" outlineLevel="1">
      <c r="A378" s="100" t="s">
        <v>181</v>
      </c>
      <c r="B378" s="66" t="s">
        <v>278</v>
      </c>
      <c r="C378" s="28" t="s">
        <v>22</v>
      </c>
      <c r="D378" s="38">
        <v>2</v>
      </c>
      <c r="E378" s="67"/>
      <c r="F378" s="67">
        <v>4800</v>
      </c>
      <c r="G378" s="67"/>
      <c r="H378" s="67"/>
      <c r="I378" s="30">
        <v>9600</v>
      </c>
      <c r="J378" s="67"/>
      <c r="K378" s="236"/>
      <c r="L378" s="236"/>
      <c r="M378" s="241"/>
    </row>
    <row r="379" spans="1:13" ht="30">
      <c r="A379" s="162">
        <v>92</v>
      </c>
      <c r="B379" s="70" t="s">
        <v>279</v>
      </c>
      <c r="C379" s="8" t="s">
        <v>22</v>
      </c>
      <c r="D379" s="69">
        <v>2</v>
      </c>
      <c r="E379" s="32">
        <v>680</v>
      </c>
      <c r="F379" s="33">
        <v>5750</v>
      </c>
      <c r="G379" s="33">
        <v>6430</v>
      </c>
      <c r="H379" s="33">
        <v>1360</v>
      </c>
      <c r="I379" s="33">
        <v>11500</v>
      </c>
      <c r="J379" s="31">
        <v>12860</v>
      </c>
      <c r="K379" s="236"/>
      <c r="L379" s="236"/>
      <c r="M379" s="241"/>
    </row>
    <row r="380" spans="1:13" s="101" customFormat="1" ht="15.75" outlineLevel="1">
      <c r="A380" s="100" t="s">
        <v>181</v>
      </c>
      <c r="B380" s="66" t="s">
        <v>280</v>
      </c>
      <c r="C380" s="28" t="s">
        <v>22</v>
      </c>
      <c r="D380" s="38">
        <v>2</v>
      </c>
      <c r="E380" s="67"/>
      <c r="F380" s="67">
        <v>5750</v>
      </c>
      <c r="G380" s="67"/>
      <c r="H380" s="67"/>
      <c r="I380" s="30">
        <v>11500</v>
      </c>
      <c r="J380" s="67"/>
      <c r="M380" s="242"/>
    </row>
    <row r="381" spans="1:13" ht="15.75" customHeight="1">
      <c r="A381" s="222" t="s">
        <v>116</v>
      </c>
      <c r="B381" s="223"/>
      <c r="C381" s="223"/>
      <c r="D381" s="223"/>
      <c r="E381" s="223"/>
      <c r="F381" s="223"/>
      <c r="G381" s="224"/>
      <c r="H381" s="67">
        <v>131892.24</v>
      </c>
      <c r="I381" s="67">
        <v>289038.10920000001</v>
      </c>
      <c r="J381" s="67">
        <v>420930.3492</v>
      </c>
      <c r="M381" s="156"/>
    </row>
    <row r="382" spans="1:13" ht="21" customHeight="1">
      <c r="A382" s="225" t="s">
        <v>272</v>
      </c>
      <c r="B382" s="226" t="s">
        <v>31</v>
      </c>
      <c r="C382" s="226"/>
      <c r="D382" s="226"/>
      <c r="E382" s="226"/>
      <c r="F382" s="226"/>
      <c r="G382" s="226"/>
      <c r="H382" s="226"/>
      <c r="I382" s="226"/>
      <c r="J382" s="227"/>
      <c r="M382" s="156"/>
    </row>
    <row r="383" spans="1:13">
      <c r="A383" s="162">
        <v>93</v>
      </c>
      <c r="B383" s="70" t="s">
        <v>270</v>
      </c>
      <c r="C383" s="8" t="s">
        <v>22</v>
      </c>
      <c r="D383" s="69">
        <v>1</v>
      </c>
      <c r="E383" s="32">
        <v>1600</v>
      </c>
      <c r="F383" s="33">
        <v>4250</v>
      </c>
      <c r="G383" s="33">
        <v>5850</v>
      </c>
      <c r="H383" s="33">
        <v>1600</v>
      </c>
      <c r="I383" s="33">
        <v>4250</v>
      </c>
      <c r="J383" s="31">
        <v>5850</v>
      </c>
      <c r="K383" s="235">
        <v>39187</v>
      </c>
      <c r="L383" s="235">
        <v>47907</v>
      </c>
      <c r="M383" s="240">
        <v>3</v>
      </c>
    </row>
    <row r="384" spans="1:13" s="101" customFormat="1" ht="15.75" customHeight="1" outlineLevel="1">
      <c r="A384" s="100" t="s">
        <v>181</v>
      </c>
      <c r="B384" s="66" t="s">
        <v>271</v>
      </c>
      <c r="C384" s="28" t="s">
        <v>22</v>
      </c>
      <c r="D384" s="38">
        <v>1</v>
      </c>
      <c r="E384" s="67"/>
      <c r="F384" s="67">
        <v>3900</v>
      </c>
      <c r="G384" s="67"/>
      <c r="H384" s="67"/>
      <c r="I384" s="30">
        <v>3900</v>
      </c>
      <c r="J384" s="67"/>
      <c r="K384" s="236"/>
      <c r="L384" s="236"/>
      <c r="M384" s="241"/>
    </row>
    <row r="385" spans="1:13" s="101" customFormat="1" ht="15.75" customHeight="1" outlineLevel="1">
      <c r="A385" s="100" t="s">
        <v>181</v>
      </c>
      <c r="B385" s="66" t="s">
        <v>274</v>
      </c>
      <c r="C385" s="28" t="s">
        <v>22</v>
      </c>
      <c r="D385" s="38">
        <v>1</v>
      </c>
      <c r="E385" s="67"/>
      <c r="F385" s="67">
        <v>350</v>
      </c>
      <c r="G385" s="67"/>
      <c r="H385" s="67"/>
      <c r="I385" s="30">
        <v>350</v>
      </c>
      <c r="J385" s="67"/>
      <c r="K385" s="236"/>
      <c r="L385" s="236"/>
      <c r="M385" s="241"/>
    </row>
    <row r="386" spans="1:13" ht="30">
      <c r="A386" s="162">
        <v>94</v>
      </c>
      <c r="B386" s="70" t="s">
        <v>275</v>
      </c>
      <c r="C386" s="8" t="s">
        <v>22</v>
      </c>
      <c r="D386" s="69">
        <v>3</v>
      </c>
      <c r="E386" s="32">
        <v>1300</v>
      </c>
      <c r="F386" s="33">
        <v>5200</v>
      </c>
      <c r="G386" s="33">
        <v>6500</v>
      </c>
      <c r="H386" s="33">
        <v>3900</v>
      </c>
      <c r="I386" s="33">
        <v>15600</v>
      </c>
      <c r="J386" s="31">
        <v>19500</v>
      </c>
      <c r="K386" s="236"/>
      <c r="L386" s="236"/>
      <c r="M386" s="241"/>
    </row>
    <row r="387" spans="1:13" s="101" customFormat="1" ht="15.75" customHeight="1" outlineLevel="1">
      <c r="A387" s="100" t="s">
        <v>181</v>
      </c>
      <c r="B387" s="66" t="s">
        <v>273</v>
      </c>
      <c r="C387" s="28" t="s">
        <v>22</v>
      </c>
      <c r="D387" s="38">
        <v>3</v>
      </c>
      <c r="E387" s="67"/>
      <c r="F387" s="67">
        <v>2300</v>
      </c>
      <c r="G387" s="67"/>
      <c r="H387" s="67"/>
      <c r="I387" s="30">
        <v>6900</v>
      </c>
      <c r="J387" s="67"/>
      <c r="K387" s="236"/>
      <c r="L387" s="236"/>
      <c r="M387" s="241"/>
    </row>
    <row r="388" spans="1:13" s="101" customFormat="1" ht="15.75" customHeight="1" outlineLevel="1">
      <c r="A388" s="100" t="s">
        <v>181</v>
      </c>
      <c r="B388" s="66" t="s">
        <v>276</v>
      </c>
      <c r="C388" s="28" t="s">
        <v>22</v>
      </c>
      <c r="D388" s="38">
        <v>3</v>
      </c>
      <c r="E388" s="67"/>
      <c r="F388" s="67">
        <v>2600</v>
      </c>
      <c r="G388" s="67"/>
      <c r="H388" s="67"/>
      <c r="I388" s="30">
        <v>7800</v>
      </c>
      <c r="J388" s="67"/>
      <c r="K388" s="236"/>
      <c r="L388" s="236"/>
      <c r="M388" s="241"/>
    </row>
    <row r="389" spans="1:13" s="101" customFormat="1" ht="15.75" customHeight="1" outlineLevel="1">
      <c r="A389" s="100" t="s">
        <v>181</v>
      </c>
      <c r="B389" s="66" t="s">
        <v>486</v>
      </c>
      <c r="C389" s="28" t="s">
        <v>22</v>
      </c>
      <c r="D389" s="38">
        <v>3</v>
      </c>
      <c r="E389" s="67"/>
      <c r="F389" s="67">
        <v>300</v>
      </c>
      <c r="G389" s="67"/>
      <c r="H389" s="67"/>
      <c r="I389" s="30">
        <v>900</v>
      </c>
      <c r="J389" s="67"/>
      <c r="K389" s="236"/>
      <c r="L389" s="236"/>
      <c r="M389" s="241"/>
    </row>
    <row r="390" spans="1:13">
      <c r="A390" s="162">
        <v>95</v>
      </c>
      <c r="B390" s="70" t="s">
        <v>281</v>
      </c>
      <c r="C390" s="8" t="s">
        <v>22</v>
      </c>
      <c r="D390" s="69">
        <v>3</v>
      </c>
      <c r="E390" s="32">
        <v>230</v>
      </c>
      <c r="F390" s="33">
        <v>759.00000000000011</v>
      </c>
      <c r="G390" s="33">
        <v>989.00000000000011</v>
      </c>
      <c r="H390" s="33">
        <v>690</v>
      </c>
      <c r="I390" s="33">
        <v>2277.0000000000005</v>
      </c>
      <c r="J390" s="31">
        <v>2967.0000000000005</v>
      </c>
      <c r="K390" s="236"/>
      <c r="L390" s="236"/>
      <c r="M390" s="241"/>
    </row>
    <row r="391" spans="1:13" s="101" customFormat="1" ht="15.75" customHeight="1" outlineLevel="1">
      <c r="A391" s="100" t="s">
        <v>181</v>
      </c>
      <c r="B391" s="66" t="s">
        <v>282</v>
      </c>
      <c r="C391" s="28" t="s">
        <v>22</v>
      </c>
      <c r="D391" s="38">
        <v>3</v>
      </c>
      <c r="E391" s="67"/>
      <c r="F391" s="67">
        <v>759.00000000000011</v>
      </c>
      <c r="G391" s="67"/>
      <c r="H391" s="67"/>
      <c r="I391" s="30">
        <v>2277.0000000000005</v>
      </c>
      <c r="J391" s="67"/>
      <c r="K391" s="236"/>
      <c r="L391" s="236"/>
      <c r="M391" s="241"/>
    </row>
    <row r="392" spans="1:13">
      <c r="A392" s="162">
        <v>96</v>
      </c>
      <c r="B392" s="70" t="s">
        <v>283</v>
      </c>
      <c r="C392" s="8" t="s">
        <v>22</v>
      </c>
      <c r="D392" s="69">
        <v>1</v>
      </c>
      <c r="E392" s="32">
        <v>230</v>
      </c>
      <c r="F392" s="33">
        <v>3200</v>
      </c>
      <c r="G392" s="33">
        <v>3430</v>
      </c>
      <c r="H392" s="33">
        <v>230</v>
      </c>
      <c r="I392" s="33">
        <v>3200</v>
      </c>
      <c r="J392" s="31">
        <v>3430</v>
      </c>
      <c r="K392" s="236"/>
      <c r="L392" s="236"/>
      <c r="M392" s="241"/>
    </row>
    <row r="393" spans="1:13" s="101" customFormat="1" ht="30" customHeight="1" outlineLevel="1">
      <c r="A393" s="100" t="s">
        <v>181</v>
      </c>
      <c r="B393" s="66" t="s">
        <v>284</v>
      </c>
      <c r="C393" s="28" t="s">
        <v>22</v>
      </c>
      <c r="D393" s="38">
        <v>1</v>
      </c>
      <c r="E393" s="67"/>
      <c r="F393" s="67">
        <v>3200</v>
      </c>
      <c r="G393" s="67"/>
      <c r="H393" s="67"/>
      <c r="I393" s="30">
        <v>3200</v>
      </c>
      <c r="J393" s="67"/>
      <c r="K393" s="236"/>
      <c r="L393" s="236"/>
      <c r="M393" s="241"/>
    </row>
    <row r="394" spans="1:13" ht="30">
      <c r="A394" s="162">
        <v>97</v>
      </c>
      <c r="B394" s="70" t="s">
        <v>285</v>
      </c>
      <c r="C394" s="8" t="s">
        <v>22</v>
      </c>
      <c r="D394" s="69">
        <v>1</v>
      </c>
      <c r="E394" s="32">
        <v>230</v>
      </c>
      <c r="F394" s="33">
        <v>3150</v>
      </c>
      <c r="G394" s="33">
        <v>3380</v>
      </c>
      <c r="H394" s="33">
        <v>230</v>
      </c>
      <c r="I394" s="33">
        <v>3150</v>
      </c>
      <c r="J394" s="31">
        <v>3380</v>
      </c>
      <c r="K394" s="236"/>
      <c r="L394" s="236"/>
      <c r="M394" s="241"/>
    </row>
    <row r="395" spans="1:13" s="101" customFormat="1" ht="15.75" customHeight="1" outlineLevel="1">
      <c r="A395" s="100" t="s">
        <v>181</v>
      </c>
      <c r="B395" s="66" t="s">
        <v>286</v>
      </c>
      <c r="C395" s="28" t="s">
        <v>22</v>
      </c>
      <c r="D395" s="38">
        <v>1</v>
      </c>
      <c r="E395" s="67"/>
      <c r="F395" s="67">
        <v>3150</v>
      </c>
      <c r="G395" s="67"/>
      <c r="H395" s="67"/>
      <c r="I395" s="30">
        <v>3150</v>
      </c>
      <c r="J395" s="67"/>
      <c r="K395" s="236"/>
      <c r="L395" s="236"/>
      <c r="M395" s="241"/>
    </row>
    <row r="396" spans="1:13">
      <c r="A396" s="162">
        <v>98</v>
      </c>
      <c r="B396" s="70" t="s">
        <v>287</v>
      </c>
      <c r="C396" s="8" t="s">
        <v>22</v>
      </c>
      <c r="D396" s="69">
        <v>3</v>
      </c>
      <c r="E396" s="32">
        <v>690</v>
      </c>
      <c r="F396" s="33">
        <v>3570</v>
      </c>
      <c r="G396" s="33">
        <v>4260</v>
      </c>
      <c r="H396" s="33">
        <v>2070</v>
      </c>
      <c r="I396" s="33">
        <v>10710</v>
      </c>
      <c r="J396" s="31">
        <v>12780</v>
      </c>
      <c r="K396" s="236"/>
      <c r="L396" s="236"/>
      <c r="M396" s="241"/>
    </row>
    <row r="397" spans="1:13" s="101" customFormat="1" ht="15.75" outlineLevel="1">
      <c r="A397" s="100" t="s">
        <v>181</v>
      </c>
      <c r="B397" s="66" t="s">
        <v>288</v>
      </c>
      <c r="C397" s="28" t="s">
        <v>22</v>
      </c>
      <c r="D397" s="38">
        <v>3</v>
      </c>
      <c r="E397" s="67"/>
      <c r="F397" s="67">
        <v>3570</v>
      </c>
      <c r="G397" s="67"/>
      <c r="H397" s="67"/>
      <c r="I397" s="30">
        <v>10710</v>
      </c>
      <c r="J397" s="67"/>
      <c r="M397" s="242"/>
    </row>
    <row r="398" spans="1:13" ht="15.75" customHeight="1">
      <c r="A398" s="222" t="s">
        <v>116</v>
      </c>
      <c r="B398" s="223"/>
      <c r="C398" s="223"/>
      <c r="D398" s="223"/>
      <c r="E398" s="223"/>
      <c r="F398" s="223"/>
      <c r="G398" s="224"/>
      <c r="H398" s="67">
        <v>8720</v>
      </c>
      <c r="I398" s="67">
        <v>39187</v>
      </c>
      <c r="J398" s="67">
        <v>47907</v>
      </c>
      <c r="M398" s="156"/>
    </row>
    <row r="399" spans="1:13" ht="21" customHeight="1">
      <c r="A399" s="225" t="s">
        <v>260</v>
      </c>
      <c r="B399" s="226" t="s">
        <v>31</v>
      </c>
      <c r="C399" s="226"/>
      <c r="D399" s="226"/>
      <c r="E399" s="226"/>
      <c r="F399" s="226"/>
      <c r="G399" s="226"/>
      <c r="H399" s="226"/>
      <c r="I399" s="226"/>
      <c r="J399" s="227"/>
      <c r="M399" s="156"/>
    </row>
    <row r="400" spans="1:13" ht="30">
      <c r="A400" s="162">
        <v>99</v>
      </c>
      <c r="B400" s="70" t="s">
        <v>261</v>
      </c>
      <c r="C400" s="8" t="s">
        <v>22</v>
      </c>
      <c r="D400" s="69">
        <v>1</v>
      </c>
      <c r="E400" s="32">
        <v>108664</v>
      </c>
      <c r="F400" s="33">
        <v>581677.22399999993</v>
      </c>
      <c r="G400" s="33">
        <v>690341.22399999993</v>
      </c>
      <c r="H400" s="33">
        <v>108664</v>
      </c>
      <c r="I400" s="33">
        <v>581677.22399999993</v>
      </c>
      <c r="J400" s="31">
        <v>690341.22399999993</v>
      </c>
      <c r="K400" s="149">
        <v>581677.22399999993</v>
      </c>
      <c r="L400" s="149">
        <v>690341.22399999993</v>
      </c>
      <c r="M400" s="240">
        <v>1</v>
      </c>
    </row>
    <row r="401" spans="1:13" s="101" customFormat="1" ht="15.75" outlineLevel="1">
      <c r="A401" s="100" t="s">
        <v>181</v>
      </c>
      <c r="B401" s="66" t="s">
        <v>289</v>
      </c>
      <c r="C401" s="28" t="s">
        <v>22</v>
      </c>
      <c r="D401" s="38">
        <v>1</v>
      </c>
      <c r="E401" s="67"/>
      <c r="F401" s="67">
        <v>156799.57999999999</v>
      </c>
      <c r="G401" s="67"/>
      <c r="H401" s="67"/>
      <c r="I401" s="30">
        <v>156799.57999999999</v>
      </c>
      <c r="J401" s="67"/>
      <c r="M401" s="241"/>
    </row>
    <row r="402" spans="1:13" s="101" customFormat="1" ht="15.75" outlineLevel="1">
      <c r="A402" s="100" t="s">
        <v>181</v>
      </c>
      <c r="B402" s="66" t="s">
        <v>290</v>
      </c>
      <c r="C402" s="28" t="s">
        <v>22</v>
      </c>
      <c r="D402" s="38">
        <v>1</v>
      </c>
      <c r="E402" s="67"/>
      <c r="F402" s="67">
        <v>54330.74</v>
      </c>
      <c r="G402" s="67"/>
      <c r="H402" s="67"/>
      <c r="I402" s="30">
        <v>54330.74</v>
      </c>
      <c r="J402" s="67"/>
      <c r="M402" s="241"/>
    </row>
    <row r="403" spans="1:13" s="101" customFormat="1" ht="15.75" outlineLevel="1">
      <c r="A403" s="100" t="s">
        <v>181</v>
      </c>
      <c r="B403" s="66" t="s">
        <v>291</v>
      </c>
      <c r="C403" s="28" t="s">
        <v>22</v>
      </c>
      <c r="D403" s="38">
        <v>2</v>
      </c>
      <c r="E403" s="67"/>
      <c r="F403" s="67">
        <v>2950</v>
      </c>
      <c r="G403" s="67"/>
      <c r="H403" s="67"/>
      <c r="I403" s="30">
        <v>5900</v>
      </c>
      <c r="J403" s="67"/>
      <c r="M403" s="241"/>
    </row>
    <row r="404" spans="1:13" s="101" customFormat="1" ht="15.75" outlineLevel="1">
      <c r="A404" s="100" t="s">
        <v>181</v>
      </c>
      <c r="B404" s="66" t="s">
        <v>292</v>
      </c>
      <c r="C404" s="28" t="s">
        <v>22</v>
      </c>
      <c r="D404" s="38">
        <v>1</v>
      </c>
      <c r="E404" s="67"/>
      <c r="F404" s="67">
        <v>2336.4</v>
      </c>
      <c r="G404" s="67"/>
      <c r="H404" s="67"/>
      <c r="I404" s="30">
        <v>2336.4</v>
      </c>
      <c r="J404" s="67"/>
      <c r="M404" s="241"/>
    </row>
    <row r="405" spans="1:13" s="101" customFormat="1" ht="15.75" outlineLevel="1">
      <c r="A405" s="100" t="s">
        <v>181</v>
      </c>
      <c r="B405" s="66" t="s">
        <v>293</v>
      </c>
      <c r="C405" s="28" t="s">
        <v>22</v>
      </c>
      <c r="D405" s="38">
        <v>5</v>
      </c>
      <c r="E405" s="67"/>
      <c r="F405" s="67">
        <v>313.28999999999996</v>
      </c>
      <c r="G405" s="67"/>
      <c r="H405" s="67"/>
      <c r="I405" s="30">
        <v>1566.4499999999998</v>
      </c>
      <c r="J405" s="67"/>
      <c r="M405" s="241"/>
    </row>
    <row r="406" spans="1:13" s="101" customFormat="1" ht="15.75" outlineLevel="1">
      <c r="A406" s="100" t="s">
        <v>181</v>
      </c>
      <c r="B406" s="66" t="s">
        <v>294</v>
      </c>
      <c r="C406" s="28" t="s">
        <v>22</v>
      </c>
      <c r="D406" s="38">
        <v>1</v>
      </c>
      <c r="E406" s="67"/>
      <c r="F406" s="67">
        <v>449.93399999999997</v>
      </c>
      <c r="G406" s="67"/>
      <c r="H406" s="67"/>
      <c r="I406" s="30">
        <v>449.93399999999997</v>
      </c>
      <c r="J406" s="67"/>
      <c r="M406" s="241"/>
    </row>
    <row r="407" spans="1:13" s="101" customFormat="1" ht="15.75" outlineLevel="1">
      <c r="A407" s="100" t="s">
        <v>181</v>
      </c>
      <c r="B407" s="66" t="s">
        <v>295</v>
      </c>
      <c r="C407" s="28" t="s">
        <v>22</v>
      </c>
      <c r="D407" s="38">
        <v>6</v>
      </c>
      <c r="E407" s="67"/>
      <c r="F407" s="67">
        <v>313.28999999999996</v>
      </c>
      <c r="G407" s="67"/>
      <c r="H407" s="67"/>
      <c r="I407" s="30">
        <v>1879.7399999999998</v>
      </c>
      <c r="J407" s="67"/>
      <c r="M407" s="241"/>
    </row>
    <row r="408" spans="1:13" s="101" customFormat="1" ht="15.75" outlineLevel="1">
      <c r="A408" s="100" t="s">
        <v>181</v>
      </c>
      <c r="B408" s="66" t="s">
        <v>296</v>
      </c>
      <c r="C408" s="28" t="s">
        <v>22</v>
      </c>
      <c r="D408" s="38">
        <v>1</v>
      </c>
      <c r="E408" s="67"/>
      <c r="F408" s="67">
        <v>556.37</v>
      </c>
      <c r="G408" s="67"/>
      <c r="H408" s="67"/>
      <c r="I408" s="30">
        <v>556.37</v>
      </c>
      <c r="J408" s="67"/>
      <c r="M408" s="241"/>
    </row>
    <row r="409" spans="1:13" s="101" customFormat="1" ht="15.75" outlineLevel="1">
      <c r="A409" s="100" t="s">
        <v>181</v>
      </c>
      <c r="B409" s="66" t="s">
        <v>297</v>
      </c>
      <c r="C409" s="28" t="s">
        <v>22</v>
      </c>
      <c r="D409" s="38">
        <v>1</v>
      </c>
      <c r="E409" s="67"/>
      <c r="F409" s="67">
        <v>1416</v>
      </c>
      <c r="G409" s="67"/>
      <c r="H409" s="67"/>
      <c r="I409" s="30">
        <v>1416</v>
      </c>
      <c r="J409" s="67"/>
      <c r="M409" s="241"/>
    </row>
    <row r="410" spans="1:13" s="101" customFormat="1" ht="15.75" outlineLevel="1">
      <c r="A410" s="100" t="s">
        <v>181</v>
      </c>
      <c r="B410" s="66" t="s">
        <v>298</v>
      </c>
      <c r="C410" s="28" t="s">
        <v>22</v>
      </c>
      <c r="D410" s="38">
        <v>1</v>
      </c>
      <c r="E410" s="67"/>
      <c r="F410" s="67">
        <v>5805.5999999999995</v>
      </c>
      <c r="G410" s="67"/>
      <c r="H410" s="67"/>
      <c r="I410" s="30">
        <v>5805.5999999999995</v>
      </c>
      <c r="J410" s="67"/>
      <c r="M410" s="241"/>
    </row>
    <row r="411" spans="1:13" s="101" customFormat="1" ht="15.75" outlineLevel="1">
      <c r="A411" s="100" t="s">
        <v>181</v>
      </c>
      <c r="B411" s="66" t="s">
        <v>299</v>
      </c>
      <c r="C411" s="28" t="s">
        <v>22</v>
      </c>
      <c r="D411" s="38">
        <v>1</v>
      </c>
      <c r="E411" s="67"/>
      <c r="F411" s="67">
        <v>6773.2</v>
      </c>
      <c r="G411" s="67"/>
      <c r="H411" s="67"/>
      <c r="I411" s="30">
        <v>6773.2</v>
      </c>
      <c r="J411" s="67"/>
      <c r="M411" s="241"/>
    </row>
    <row r="412" spans="1:13" s="101" customFormat="1" ht="30" outlineLevel="1">
      <c r="A412" s="100" t="s">
        <v>181</v>
      </c>
      <c r="B412" s="66" t="s">
        <v>300</v>
      </c>
      <c r="C412" s="28" t="s">
        <v>22</v>
      </c>
      <c r="D412" s="38">
        <v>3</v>
      </c>
      <c r="E412" s="67"/>
      <c r="F412" s="67">
        <v>53100</v>
      </c>
      <c r="G412" s="67"/>
      <c r="H412" s="67"/>
      <c r="I412" s="30">
        <v>159300</v>
      </c>
      <c r="J412" s="67"/>
      <c r="M412" s="241"/>
    </row>
    <row r="413" spans="1:13" s="101" customFormat="1" ht="30" outlineLevel="1">
      <c r="A413" s="100" t="s">
        <v>181</v>
      </c>
      <c r="B413" s="66" t="s">
        <v>301</v>
      </c>
      <c r="C413" s="28" t="s">
        <v>22</v>
      </c>
      <c r="D413" s="38">
        <v>3</v>
      </c>
      <c r="E413" s="67"/>
      <c r="F413" s="67">
        <v>49560</v>
      </c>
      <c r="G413" s="67"/>
      <c r="H413" s="67"/>
      <c r="I413" s="30">
        <v>148680</v>
      </c>
      <c r="J413" s="67"/>
      <c r="M413" s="241"/>
    </row>
    <row r="414" spans="1:13" s="101" customFormat="1" ht="15.75" outlineLevel="1">
      <c r="A414" s="100" t="s">
        <v>181</v>
      </c>
      <c r="B414" s="66" t="s">
        <v>302</v>
      </c>
      <c r="C414" s="28" t="s">
        <v>29</v>
      </c>
      <c r="D414" s="38">
        <v>18</v>
      </c>
      <c r="E414" s="67"/>
      <c r="F414" s="67">
        <v>83.697400000000002</v>
      </c>
      <c r="G414" s="67"/>
      <c r="H414" s="67"/>
      <c r="I414" s="30">
        <v>1506.5532000000001</v>
      </c>
      <c r="J414" s="67"/>
      <c r="M414" s="241"/>
    </row>
    <row r="415" spans="1:13" s="101" customFormat="1" ht="15.75" outlineLevel="1">
      <c r="A415" s="100" t="s">
        <v>181</v>
      </c>
      <c r="B415" s="66" t="s">
        <v>303</v>
      </c>
      <c r="C415" s="28" t="s">
        <v>29</v>
      </c>
      <c r="D415" s="38">
        <v>2</v>
      </c>
      <c r="E415" s="67"/>
      <c r="F415" s="67">
        <v>161.1054</v>
      </c>
      <c r="G415" s="67"/>
      <c r="H415" s="67"/>
      <c r="I415" s="30">
        <v>322.21080000000001</v>
      </c>
      <c r="J415" s="67"/>
      <c r="M415" s="241"/>
    </row>
    <row r="416" spans="1:13" s="101" customFormat="1" ht="15.75" outlineLevel="1">
      <c r="A416" s="100" t="s">
        <v>181</v>
      </c>
      <c r="B416" s="66" t="s">
        <v>304</v>
      </c>
      <c r="C416" s="28" t="s">
        <v>0</v>
      </c>
      <c r="D416" s="38">
        <v>8</v>
      </c>
      <c r="E416" s="67"/>
      <c r="F416" s="67">
        <v>389.4</v>
      </c>
      <c r="G416" s="67"/>
      <c r="H416" s="67"/>
      <c r="I416" s="30">
        <v>3115.2</v>
      </c>
      <c r="J416" s="67"/>
      <c r="M416" s="241"/>
    </row>
    <row r="417" spans="1:13" s="101" customFormat="1" ht="15.75" outlineLevel="1">
      <c r="A417" s="100" t="s">
        <v>181</v>
      </c>
      <c r="B417" s="66" t="s">
        <v>305</v>
      </c>
      <c r="C417" s="28" t="s">
        <v>0</v>
      </c>
      <c r="D417" s="38">
        <v>24.9</v>
      </c>
      <c r="E417" s="67"/>
      <c r="F417" s="67">
        <v>1242.54</v>
      </c>
      <c r="G417" s="67"/>
      <c r="H417" s="67"/>
      <c r="I417" s="30">
        <v>30939.245999999996</v>
      </c>
      <c r="J417" s="67"/>
      <c r="M417" s="242"/>
    </row>
    <row r="418" spans="1:13" ht="15.75" customHeight="1">
      <c r="A418" s="222" t="s">
        <v>116</v>
      </c>
      <c r="B418" s="223"/>
      <c r="C418" s="223"/>
      <c r="D418" s="223"/>
      <c r="E418" s="223"/>
      <c r="F418" s="223"/>
      <c r="G418" s="224"/>
      <c r="H418" s="67">
        <v>108664</v>
      </c>
      <c r="I418" s="67">
        <v>581677.22399999993</v>
      </c>
      <c r="J418" s="67">
        <v>690341.22399999993</v>
      </c>
      <c r="M418" s="156"/>
    </row>
    <row r="419" spans="1:13" ht="21" customHeight="1">
      <c r="A419" s="225" t="s">
        <v>345</v>
      </c>
      <c r="B419" s="226" t="s">
        <v>31</v>
      </c>
      <c r="C419" s="226"/>
      <c r="D419" s="226"/>
      <c r="E419" s="226"/>
      <c r="F419" s="226"/>
      <c r="G419" s="226"/>
      <c r="H419" s="226"/>
      <c r="I419" s="226"/>
      <c r="J419" s="227"/>
      <c r="M419" s="156"/>
    </row>
    <row r="420" spans="1:13">
      <c r="A420" s="162">
        <v>100</v>
      </c>
      <c r="B420" s="70" t="s">
        <v>346</v>
      </c>
      <c r="C420" s="8" t="s">
        <v>29</v>
      </c>
      <c r="D420" s="69">
        <v>18.5</v>
      </c>
      <c r="E420" s="32">
        <v>45</v>
      </c>
      <c r="F420" s="33">
        <v>0</v>
      </c>
      <c r="G420" s="33">
        <v>45</v>
      </c>
      <c r="H420" s="33">
        <v>832.5</v>
      </c>
      <c r="I420" s="33">
        <v>0</v>
      </c>
      <c r="J420" s="31">
        <v>832.5</v>
      </c>
      <c r="K420" s="235">
        <v>0</v>
      </c>
      <c r="L420" s="235">
        <v>2032.5</v>
      </c>
      <c r="M420" s="204">
        <v>1</v>
      </c>
    </row>
    <row r="421" spans="1:13">
      <c r="A421" s="162">
        <v>101</v>
      </c>
      <c r="B421" s="70" t="s">
        <v>347</v>
      </c>
      <c r="C421" s="8" t="s">
        <v>22</v>
      </c>
      <c r="D421" s="69">
        <v>5</v>
      </c>
      <c r="E421" s="32">
        <v>240</v>
      </c>
      <c r="F421" s="33">
        <v>0</v>
      </c>
      <c r="G421" s="33">
        <v>240</v>
      </c>
      <c r="H421" s="33">
        <v>1200</v>
      </c>
      <c r="I421" s="33">
        <v>0</v>
      </c>
      <c r="J421" s="31">
        <v>1200</v>
      </c>
      <c r="K421" s="236"/>
      <c r="L421" s="236"/>
      <c r="M421" s="204"/>
    </row>
    <row r="422" spans="1:13">
      <c r="A422" s="162">
        <v>102</v>
      </c>
      <c r="B422" s="70" t="s">
        <v>348</v>
      </c>
      <c r="C422" s="8" t="s">
        <v>29</v>
      </c>
      <c r="D422" s="69">
        <v>27.2</v>
      </c>
      <c r="E422" s="32">
        <v>240</v>
      </c>
      <c r="F422" s="33">
        <v>275.67258823529414</v>
      </c>
      <c r="G422" s="33">
        <v>515.67258823529414</v>
      </c>
      <c r="H422" s="33">
        <v>6528</v>
      </c>
      <c r="I422" s="33">
        <v>7498.2944000000007</v>
      </c>
      <c r="J422" s="31">
        <v>14026.294400000001</v>
      </c>
      <c r="K422" s="235">
        <v>35005.1944</v>
      </c>
      <c r="L422" s="235">
        <v>46133.1944</v>
      </c>
      <c r="M422" s="240">
        <v>2</v>
      </c>
    </row>
    <row r="423" spans="1:13" s="101" customFormat="1" ht="30" customHeight="1" outlineLevel="1">
      <c r="A423" s="100" t="s">
        <v>181</v>
      </c>
      <c r="B423" s="66" t="s">
        <v>364</v>
      </c>
      <c r="C423" s="28" t="s">
        <v>29</v>
      </c>
      <c r="D423" s="38">
        <v>29.103999999999999</v>
      </c>
      <c r="E423" s="67"/>
      <c r="F423" s="67">
        <v>108.6</v>
      </c>
      <c r="G423" s="67"/>
      <c r="H423" s="67"/>
      <c r="I423" s="30">
        <v>3160.6943999999999</v>
      </c>
      <c r="J423" s="67"/>
      <c r="K423" s="236"/>
      <c r="L423" s="236"/>
      <c r="M423" s="241"/>
    </row>
    <row r="424" spans="1:13" s="101" customFormat="1" ht="15.75" customHeight="1" outlineLevel="1">
      <c r="A424" s="100" t="s">
        <v>181</v>
      </c>
      <c r="B424" s="66" t="s">
        <v>365</v>
      </c>
      <c r="C424" s="28" t="s">
        <v>22</v>
      </c>
      <c r="D424" s="38">
        <v>10</v>
      </c>
      <c r="E424" s="67"/>
      <c r="F424" s="67">
        <v>246.3</v>
      </c>
      <c r="G424" s="67"/>
      <c r="H424" s="67"/>
      <c r="I424" s="30">
        <v>2463</v>
      </c>
      <c r="J424" s="67"/>
      <c r="K424" s="236"/>
      <c r="L424" s="236"/>
      <c r="M424" s="241"/>
    </row>
    <row r="425" spans="1:13" s="101" customFormat="1" ht="15.75" customHeight="1" outlineLevel="1">
      <c r="A425" s="100" t="s">
        <v>181</v>
      </c>
      <c r="B425" s="66" t="s">
        <v>366</v>
      </c>
      <c r="C425" s="28" t="s">
        <v>22</v>
      </c>
      <c r="D425" s="38">
        <v>46</v>
      </c>
      <c r="E425" s="67"/>
      <c r="F425" s="67">
        <v>4.0999999999999996</v>
      </c>
      <c r="G425" s="67"/>
      <c r="H425" s="67"/>
      <c r="I425" s="30">
        <v>188.6</v>
      </c>
      <c r="J425" s="67"/>
      <c r="K425" s="236"/>
      <c r="L425" s="236"/>
      <c r="M425" s="241"/>
    </row>
    <row r="426" spans="1:13" s="101" customFormat="1" ht="15.75" customHeight="1" outlineLevel="1">
      <c r="A426" s="100" t="s">
        <v>181</v>
      </c>
      <c r="B426" s="66" t="s">
        <v>367</v>
      </c>
      <c r="C426" s="28" t="s">
        <v>22</v>
      </c>
      <c r="D426" s="38">
        <v>20</v>
      </c>
      <c r="E426" s="67"/>
      <c r="F426" s="67">
        <v>84.3</v>
      </c>
      <c r="G426" s="67"/>
      <c r="H426" s="67"/>
      <c r="I426" s="30">
        <v>1686</v>
      </c>
      <c r="J426" s="67"/>
      <c r="K426" s="236"/>
      <c r="L426" s="236"/>
      <c r="M426" s="241"/>
    </row>
    <row r="427" spans="1:13">
      <c r="A427" s="162">
        <v>103</v>
      </c>
      <c r="B427" s="70" t="s">
        <v>349</v>
      </c>
      <c r="C427" s="8" t="s">
        <v>22</v>
      </c>
      <c r="D427" s="69">
        <v>5</v>
      </c>
      <c r="E427" s="32">
        <v>920</v>
      </c>
      <c r="F427" s="33">
        <v>5501.38</v>
      </c>
      <c r="G427" s="33">
        <v>6421.38</v>
      </c>
      <c r="H427" s="33">
        <v>4600</v>
      </c>
      <c r="I427" s="33">
        <v>27506.9</v>
      </c>
      <c r="J427" s="31">
        <v>32106.9</v>
      </c>
      <c r="K427" s="236"/>
      <c r="L427" s="236"/>
      <c r="M427" s="241"/>
    </row>
    <row r="428" spans="1:13" s="101" customFormat="1" ht="15.75" outlineLevel="1">
      <c r="A428" s="100" t="s">
        <v>181</v>
      </c>
      <c r="B428" s="66" t="s">
        <v>350</v>
      </c>
      <c r="C428" s="28" t="s">
        <v>22</v>
      </c>
      <c r="D428" s="38">
        <v>10</v>
      </c>
      <c r="E428" s="67"/>
      <c r="F428" s="67">
        <v>43.6</v>
      </c>
      <c r="G428" s="67"/>
      <c r="H428" s="67"/>
      <c r="I428" s="30">
        <v>436</v>
      </c>
      <c r="J428" s="67"/>
      <c r="M428" s="241"/>
    </row>
    <row r="429" spans="1:13" s="101" customFormat="1" ht="15.75" outlineLevel="1">
      <c r="A429" s="100" t="s">
        <v>181</v>
      </c>
      <c r="B429" s="66" t="s">
        <v>351</v>
      </c>
      <c r="C429" s="28" t="s">
        <v>22</v>
      </c>
      <c r="D429" s="38">
        <v>5</v>
      </c>
      <c r="E429" s="67"/>
      <c r="F429" s="67">
        <v>92.3</v>
      </c>
      <c r="G429" s="67"/>
      <c r="H429" s="67"/>
      <c r="I429" s="30">
        <v>461.5</v>
      </c>
      <c r="J429" s="67"/>
      <c r="M429" s="241"/>
    </row>
    <row r="430" spans="1:13" s="101" customFormat="1" ht="15.75" outlineLevel="1">
      <c r="A430" s="100" t="s">
        <v>181</v>
      </c>
      <c r="B430" s="66" t="s">
        <v>353</v>
      </c>
      <c r="C430" s="28" t="s">
        <v>22</v>
      </c>
      <c r="D430" s="38">
        <v>5</v>
      </c>
      <c r="E430" s="67"/>
      <c r="F430" s="67">
        <v>4420</v>
      </c>
      <c r="G430" s="67"/>
      <c r="H430" s="67"/>
      <c r="I430" s="30">
        <v>22100</v>
      </c>
      <c r="J430" s="67"/>
      <c r="M430" s="241"/>
    </row>
    <row r="431" spans="1:13" s="101" customFormat="1" ht="15.75" outlineLevel="1">
      <c r="A431" s="143" t="s">
        <v>181</v>
      </c>
      <c r="B431" s="66" t="s">
        <v>354</v>
      </c>
      <c r="C431" s="28" t="s">
        <v>22</v>
      </c>
      <c r="D431" s="38">
        <v>10</v>
      </c>
      <c r="E431" s="67"/>
      <c r="F431" s="67">
        <v>446.3</v>
      </c>
      <c r="G431" s="67"/>
      <c r="H431" s="67"/>
      <c r="I431" s="30">
        <v>4463</v>
      </c>
      <c r="J431" s="67"/>
      <c r="M431" s="241"/>
    </row>
    <row r="432" spans="1:13" s="101" customFormat="1" ht="15.75" outlineLevel="1">
      <c r="A432" s="100" t="s">
        <v>181</v>
      </c>
      <c r="B432" s="66" t="s">
        <v>352</v>
      </c>
      <c r="C432" s="28" t="s">
        <v>22</v>
      </c>
      <c r="D432" s="38">
        <v>5</v>
      </c>
      <c r="E432" s="67"/>
      <c r="F432" s="67">
        <v>9.2799999999999994</v>
      </c>
      <c r="G432" s="67"/>
      <c r="H432" s="67"/>
      <c r="I432" s="30">
        <v>46.4</v>
      </c>
      <c r="J432" s="67"/>
      <c r="M432" s="242"/>
    </row>
    <row r="433" spans="1:13" ht="15.75" customHeight="1">
      <c r="A433" s="222" t="s">
        <v>116</v>
      </c>
      <c r="B433" s="223"/>
      <c r="C433" s="223"/>
      <c r="D433" s="223"/>
      <c r="E433" s="223"/>
      <c r="F433" s="223"/>
      <c r="G433" s="224"/>
      <c r="H433" s="67">
        <v>13160.5</v>
      </c>
      <c r="I433" s="67">
        <v>35005.1944</v>
      </c>
      <c r="J433" s="67">
        <v>48165.6944</v>
      </c>
      <c r="M433" s="156"/>
    </row>
    <row r="434" spans="1:13" ht="21" customHeight="1">
      <c r="A434" s="225" t="s">
        <v>26</v>
      </c>
      <c r="B434" s="226" t="s">
        <v>31</v>
      </c>
      <c r="C434" s="226"/>
      <c r="D434" s="226"/>
      <c r="E434" s="226"/>
      <c r="F434" s="226"/>
      <c r="G434" s="226"/>
      <c r="H434" s="226"/>
      <c r="I434" s="226"/>
      <c r="J434" s="227"/>
      <c r="M434" s="156"/>
    </row>
    <row r="435" spans="1:13" ht="30">
      <c r="A435" s="162">
        <v>104</v>
      </c>
      <c r="B435" s="70" t="s">
        <v>322</v>
      </c>
      <c r="C435" s="8" t="s">
        <v>22</v>
      </c>
      <c r="D435" s="69">
        <v>1</v>
      </c>
      <c r="E435" s="32">
        <v>4200</v>
      </c>
      <c r="F435" s="33">
        <v>27284.080000000002</v>
      </c>
      <c r="G435" s="33">
        <v>31484.080000000002</v>
      </c>
      <c r="H435" s="33">
        <v>4200</v>
      </c>
      <c r="I435" s="33">
        <v>27284.080000000002</v>
      </c>
      <c r="J435" s="31">
        <v>31484.080000000002</v>
      </c>
      <c r="K435" s="235">
        <v>58088.92</v>
      </c>
      <c r="L435" s="235">
        <v>71448.92</v>
      </c>
      <c r="M435" s="240">
        <v>3</v>
      </c>
    </row>
    <row r="436" spans="1:13" s="101" customFormat="1" ht="30" customHeight="1" outlineLevel="1">
      <c r="A436" s="100" t="s">
        <v>181</v>
      </c>
      <c r="B436" s="66" t="s">
        <v>323</v>
      </c>
      <c r="C436" s="28" t="s">
        <v>22</v>
      </c>
      <c r="D436" s="38">
        <v>1</v>
      </c>
      <c r="E436" s="67"/>
      <c r="F436" s="67">
        <v>25534.080000000002</v>
      </c>
      <c r="G436" s="67"/>
      <c r="H436" s="67"/>
      <c r="I436" s="30">
        <v>25534.080000000002</v>
      </c>
      <c r="J436" s="67"/>
      <c r="K436" s="236"/>
      <c r="L436" s="236"/>
      <c r="M436" s="241"/>
    </row>
    <row r="437" spans="1:13" s="101" customFormat="1" ht="30" customHeight="1" outlineLevel="1">
      <c r="A437" s="100" t="s">
        <v>181</v>
      </c>
      <c r="B437" s="66" t="s">
        <v>490</v>
      </c>
      <c r="C437" s="28" t="s">
        <v>319</v>
      </c>
      <c r="D437" s="38">
        <v>1</v>
      </c>
      <c r="E437" s="67"/>
      <c r="F437" s="67">
        <v>1750</v>
      </c>
      <c r="G437" s="67"/>
      <c r="H437" s="67"/>
      <c r="I437" s="30">
        <v>1750</v>
      </c>
      <c r="J437" s="67"/>
      <c r="K437" s="236"/>
      <c r="L437" s="236"/>
      <c r="M437" s="241"/>
    </row>
    <row r="438" spans="1:13" ht="45">
      <c r="A438" s="162">
        <v>105</v>
      </c>
      <c r="B438" s="70" t="s">
        <v>324</v>
      </c>
      <c r="C438" s="8" t="s">
        <v>22</v>
      </c>
      <c r="D438" s="69">
        <v>1</v>
      </c>
      <c r="E438" s="32">
        <v>5960</v>
      </c>
      <c r="F438" s="33">
        <v>20347.32</v>
      </c>
      <c r="G438" s="33">
        <v>26307.32</v>
      </c>
      <c r="H438" s="33">
        <v>5960</v>
      </c>
      <c r="I438" s="33">
        <v>20347.32</v>
      </c>
      <c r="J438" s="31">
        <v>26307.32</v>
      </c>
      <c r="K438" s="236"/>
      <c r="L438" s="236"/>
      <c r="M438" s="241"/>
    </row>
    <row r="439" spans="1:13" s="101" customFormat="1" ht="15.75" customHeight="1" outlineLevel="1">
      <c r="A439" s="100" t="s">
        <v>181</v>
      </c>
      <c r="B439" s="66" t="s">
        <v>326</v>
      </c>
      <c r="C439" s="28" t="s">
        <v>22</v>
      </c>
      <c r="D439" s="38">
        <v>1</v>
      </c>
      <c r="E439" s="67"/>
      <c r="F439" s="67">
        <v>14147.320000000002</v>
      </c>
      <c r="G439" s="67"/>
      <c r="H439" s="67"/>
      <c r="I439" s="30">
        <v>14147.320000000002</v>
      </c>
      <c r="J439" s="67"/>
      <c r="K439" s="236"/>
      <c r="L439" s="236"/>
      <c r="M439" s="241"/>
    </row>
    <row r="440" spans="1:13" s="101" customFormat="1" ht="30" customHeight="1" outlineLevel="1">
      <c r="A440" s="100" t="s">
        <v>181</v>
      </c>
      <c r="B440" s="66" t="s">
        <v>318</v>
      </c>
      <c r="C440" s="28" t="s">
        <v>22</v>
      </c>
      <c r="D440" s="38">
        <v>1</v>
      </c>
      <c r="E440" s="67"/>
      <c r="F440" s="67">
        <v>5700</v>
      </c>
      <c r="G440" s="67"/>
      <c r="H440" s="67"/>
      <c r="I440" s="30">
        <v>5700</v>
      </c>
      <c r="J440" s="67"/>
      <c r="K440" s="236"/>
      <c r="L440" s="236"/>
      <c r="M440" s="241"/>
    </row>
    <row r="441" spans="1:13" s="101" customFormat="1" ht="30" customHeight="1" outlineLevel="1">
      <c r="A441" s="100" t="s">
        <v>181</v>
      </c>
      <c r="B441" s="66" t="s">
        <v>489</v>
      </c>
      <c r="C441" s="28" t="s">
        <v>319</v>
      </c>
      <c r="D441" s="38">
        <v>1</v>
      </c>
      <c r="E441" s="67"/>
      <c r="F441" s="67">
        <v>500</v>
      </c>
      <c r="G441" s="67"/>
      <c r="H441" s="67"/>
      <c r="I441" s="30">
        <v>500</v>
      </c>
      <c r="J441" s="67"/>
      <c r="K441" s="236"/>
      <c r="L441" s="236"/>
      <c r="M441" s="241"/>
    </row>
    <row r="442" spans="1:13" ht="30">
      <c r="A442" s="162">
        <v>106</v>
      </c>
      <c r="B442" s="70" t="s">
        <v>325</v>
      </c>
      <c r="C442" s="8" t="s">
        <v>22</v>
      </c>
      <c r="D442" s="69">
        <v>1</v>
      </c>
      <c r="E442" s="32">
        <v>3200</v>
      </c>
      <c r="F442" s="33">
        <v>10457.52</v>
      </c>
      <c r="G442" s="33">
        <v>13657.52</v>
      </c>
      <c r="H442" s="33">
        <v>3200</v>
      </c>
      <c r="I442" s="33">
        <v>10457.52</v>
      </c>
      <c r="J442" s="31">
        <v>13657.52</v>
      </c>
      <c r="K442" s="236"/>
      <c r="L442" s="236"/>
      <c r="M442" s="241"/>
    </row>
    <row r="443" spans="1:13" s="101" customFormat="1" ht="30" outlineLevel="1">
      <c r="A443" s="100" t="s">
        <v>181</v>
      </c>
      <c r="B443" s="66" t="s">
        <v>327</v>
      </c>
      <c r="C443" s="28" t="s">
        <v>22</v>
      </c>
      <c r="D443" s="38">
        <v>1</v>
      </c>
      <c r="E443" s="67"/>
      <c r="F443" s="67">
        <v>8957.52</v>
      </c>
      <c r="G443" s="67"/>
      <c r="H443" s="67"/>
      <c r="I443" s="30">
        <v>8957.52</v>
      </c>
      <c r="J443" s="67"/>
      <c r="M443" s="241"/>
    </row>
    <row r="444" spans="1:13" s="101" customFormat="1" ht="45" outlineLevel="1">
      <c r="A444" s="100" t="s">
        <v>181</v>
      </c>
      <c r="B444" s="66" t="s">
        <v>488</v>
      </c>
      <c r="C444" s="28" t="s">
        <v>319</v>
      </c>
      <c r="D444" s="38">
        <v>1</v>
      </c>
      <c r="E444" s="67"/>
      <c r="F444" s="67">
        <v>1500</v>
      </c>
      <c r="G444" s="67"/>
      <c r="H444" s="67"/>
      <c r="I444" s="30">
        <v>1500</v>
      </c>
      <c r="J444" s="67"/>
      <c r="M444" s="242"/>
    </row>
    <row r="445" spans="1:13">
      <c r="A445" s="162">
        <v>107</v>
      </c>
      <c r="B445" s="70" t="s">
        <v>200</v>
      </c>
      <c r="C445" s="8" t="s">
        <v>72</v>
      </c>
      <c r="D445" s="8">
        <v>25.3</v>
      </c>
      <c r="E445" s="32">
        <v>960</v>
      </c>
      <c r="F445" s="33">
        <v>0</v>
      </c>
      <c r="G445" s="33">
        <v>960</v>
      </c>
      <c r="H445" s="33">
        <v>24288</v>
      </c>
      <c r="I445" s="33">
        <v>0</v>
      </c>
      <c r="J445" s="31">
        <v>24288</v>
      </c>
      <c r="K445" s="149">
        <v>0</v>
      </c>
      <c r="L445" s="149">
        <v>24288</v>
      </c>
      <c r="M445" s="162">
        <v>1</v>
      </c>
    </row>
    <row r="446" spans="1:13">
      <c r="A446" s="162">
        <v>108</v>
      </c>
      <c r="B446" s="70" t="s">
        <v>333</v>
      </c>
      <c r="C446" s="8" t="s">
        <v>1</v>
      </c>
      <c r="D446" s="8">
        <v>9.5</v>
      </c>
      <c r="E446" s="32">
        <v>1264</v>
      </c>
      <c r="F446" s="33">
        <v>0</v>
      </c>
      <c r="G446" s="33">
        <v>1264</v>
      </c>
      <c r="H446" s="33">
        <v>12008</v>
      </c>
      <c r="I446" s="33">
        <v>0</v>
      </c>
      <c r="J446" s="31">
        <v>12008</v>
      </c>
      <c r="K446" s="149">
        <v>0</v>
      </c>
      <c r="L446" s="149">
        <v>12008</v>
      </c>
      <c r="M446" s="159">
        <v>3</v>
      </c>
    </row>
    <row r="447" spans="1:13" ht="15.75" customHeight="1">
      <c r="A447" s="222" t="s">
        <v>116</v>
      </c>
      <c r="B447" s="223"/>
      <c r="C447" s="223"/>
      <c r="D447" s="223"/>
      <c r="E447" s="223"/>
      <c r="F447" s="223"/>
      <c r="G447" s="224"/>
      <c r="H447" s="67">
        <v>49656</v>
      </c>
      <c r="I447" s="67">
        <v>58088.92</v>
      </c>
      <c r="J447" s="67">
        <v>107744.92</v>
      </c>
      <c r="M447" s="156"/>
    </row>
    <row r="448" spans="1:13" ht="15.75" customHeight="1">
      <c r="A448" s="222" t="s">
        <v>306</v>
      </c>
      <c r="B448" s="223"/>
      <c r="C448" s="223"/>
      <c r="D448" s="223"/>
      <c r="E448" s="223"/>
      <c r="F448" s="223"/>
      <c r="G448" s="224"/>
      <c r="H448" s="67"/>
      <c r="I448" s="67"/>
      <c r="J448" s="67">
        <v>189713.39897110697</v>
      </c>
      <c r="M448" s="156"/>
    </row>
    <row r="449" spans="1:13" ht="15.75" customHeight="1">
      <c r="A449" s="222" t="s">
        <v>178</v>
      </c>
      <c r="B449" s="223"/>
      <c r="C449" s="223"/>
      <c r="D449" s="223"/>
      <c r="E449" s="223"/>
      <c r="F449" s="223"/>
      <c r="G449" s="224"/>
      <c r="H449" s="67">
        <v>854667.08720800001</v>
      </c>
      <c r="I449" s="67">
        <v>1897133.9897110695</v>
      </c>
      <c r="J449" s="67">
        <v>2941514.4758901764</v>
      </c>
      <c r="M449" s="156"/>
    </row>
  </sheetData>
  <mergeCells count="115">
    <mergeCell ref="I1:J1"/>
    <mergeCell ref="I2:J2"/>
    <mergeCell ref="I3:J3"/>
    <mergeCell ref="I4:J4"/>
    <mergeCell ref="A5:I5"/>
    <mergeCell ref="A6:I6"/>
    <mergeCell ref="C17:D17"/>
    <mergeCell ref="H17:I17"/>
    <mergeCell ref="C18:D18"/>
    <mergeCell ref="H18:I18"/>
    <mergeCell ref="C19:D19"/>
    <mergeCell ref="H19:I19"/>
    <mergeCell ref="A9:I9"/>
    <mergeCell ref="C11:D11"/>
    <mergeCell ref="C12:D12"/>
    <mergeCell ref="C13:D13"/>
    <mergeCell ref="C14:D14"/>
    <mergeCell ref="C16:D16"/>
    <mergeCell ref="H16:I16"/>
    <mergeCell ref="M26:M27"/>
    <mergeCell ref="A28:J28"/>
    <mergeCell ref="K29:K41"/>
    <mergeCell ref="L29:L41"/>
    <mergeCell ref="M29:M124"/>
    <mergeCell ref="K43:K112"/>
    <mergeCell ref="L43:L112"/>
    <mergeCell ref="C20:D20"/>
    <mergeCell ref="C21:D21"/>
    <mergeCell ref="H21:I21"/>
    <mergeCell ref="A26:A27"/>
    <mergeCell ref="B26:B27"/>
    <mergeCell ref="C26:C27"/>
    <mergeCell ref="D26:D27"/>
    <mergeCell ref="E26:G26"/>
    <mergeCell ref="H26:J26"/>
    <mergeCell ref="A159:G159"/>
    <mergeCell ref="A160:J160"/>
    <mergeCell ref="K161:K162"/>
    <mergeCell ref="L161:L162"/>
    <mergeCell ref="M161:M176"/>
    <mergeCell ref="K163:K175"/>
    <mergeCell ref="L163:L175"/>
    <mergeCell ref="A125:G125"/>
    <mergeCell ref="A126:J126"/>
    <mergeCell ref="K127:K129"/>
    <mergeCell ref="L127:L129"/>
    <mergeCell ref="M127:M158"/>
    <mergeCell ref="K130:K154"/>
    <mergeCell ref="L130:L154"/>
    <mergeCell ref="K213:K220"/>
    <mergeCell ref="L213:L220"/>
    <mergeCell ref="M213:M222"/>
    <mergeCell ref="A223:G223"/>
    <mergeCell ref="A224:J224"/>
    <mergeCell ref="K225:K229"/>
    <mergeCell ref="L225:L229"/>
    <mergeCell ref="M225:M230"/>
    <mergeCell ref="K177:K191"/>
    <mergeCell ref="L177:L191"/>
    <mergeCell ref="M177:M212"/>
    <mergeCell ref="K198:K205"/>
    <mergeCell ref="L198:L205"/>
    <mergeCell ref="L210:L211"/>
    <mergeCell ref="A275:G275"/>
    <mergeCell ref="A276:J276"/>
    <mergeCell ref="K278:K311"/>
    <mergeCell ref="L278:L311"/>
    <mergeCell ref="M278:M312"/>
    <mergeCell ref="K313:K327"/>
    <mergeCell ref="L313:L327"/>
    <mergeCell ref="M313:M327"/>
    <mergeCell ref="K231:K242"/>
    <mergeCell ref="L231:L242"/>
    <mergeCell ref="M231:M274"/>
    <mergeCell ref="K248:K250"/>
    <mergeCell ref="L248:L250"/>
    <mergeCell ref="K263:K273"/>
    <mergeCell ref="L263:L273"/>
    <mergeCell ref="K358:K364"/>
    <mergeCell ref="L358:L364"/>
    <mergeCell ref="M368:M375"/>
    <mergeCell ref="K377:K379"/>
    <mergeCell ref="L377:L379"/>
    <mergeCell ref="M377:M380"/>
    <mergeCell ref="A328:G328"/>
    <mergeCell ref="A329:G329"/>
    <mergeCell ref="A330:J330"/>
    <mergeCell ref="K331:K356"/>
    <mergeCell ref="L331:L356"/>
    <mergeCell ref="M360:M367"/>
    <mergeCell ref="M331:M359"/>
    <mergeCell ref="A399:J399"/>
    <mergeCell ref="M400:M417"/>
    <mergeCell ref="A418:G418"/>
    <mergeCell ref="A419:J419"/>
    <mergeCell ref="K420:K421"/>
    <mergeCell ref="L420:L421"/>
    <mergeCell ref="M420:M421"/>
    <mergeCell ref="A381:G381"/>
    <mergeCell ref="A382:J382"/>
    <mergeCell ref="K383:K396"/>
    <mergeCell ref="L383:L396"/>
    <mergeCell ref="M383:M397"/>
    <mergeCell ref="A398:G398"/>
    <mergeCell ref="A447:G447"/>
    <mergeCell ref="A448:G448"/>
    <mergeCell ref="A449:G449"/>
    <mergeCell ref="K422:K427"/>
    <mergeCell ref="L422:L427"/>
    <mergeCell ref="M422:M432"/>
    <mergeCell ref="A433:G433"/>
    <mergeCell ref="A434:J434"/>
    <mergeCell ref="K435:K442"/>
    <mergeCell ref="L435:L442"/>
    <mergeCell ref="M435:M444"/>
  </mergeCells>
  <conditionalFormatting sqref="F1:F1048576">
    <cfRule type="cellIs" dxfId="3" priority="2" operator="greaterThan">
      <formula>0</formula>
    </cfRule>
  </conditionalFormatting>
  <conditionalFormatting sqref="B129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49"/>
  <sheetViews>
    <sheetView topLeftCell="A215" workbookViewId="0">
      <selection activeCell="D233" sqref="D233"/>
    </sheetView>
  </sheetViews>
  <sheetFormatPr defaultRowHeight="15" outlineLevelRow="1"/>
  <cols>
    <col min="1" max="1" width="6.85546875" style="164" customWidth="1"/>
    <col min="2" max="2" width="40.85546875" style="154" customWidth="1"/>
    <col min="3" max="3" width="9.140625" style="155"/>
    <col min="4" max="4" width="10" style="155" bestFit="1" customWidth="1"/>
    <col min="5" max="5" width="12.140625" style="99" customWidth="1"/>
    <col min="6" max="6" width="13.85546875" style="99" customWidth="1"/>
    <col min="7" max="7" width="13.5703125" style="99" customWidth="1"/>
    <col min="8" max="8" width="12.140625" style="99" customWidth="1"/>
    <col min="9" max="9" width="14.85546875" style="99" customWidth="1"/>
    <col min="10" max="10" width="16.140625" style="99" customWidth="1"/>
    <col min="11" max="11" width="13.28515625" style="99" hidden="1" customWidth="1"/>
    <col min="12" max="12" width="14.28515625" style="99" hidden="1" customWidth="1"/>
    <col min="13" max="16384" width="9.140625" style="99"/>
  </cols>
  <sheetData>
    <row r="1" spans="1:11" s="108" customFormat="1">
      <c r="A1" s="104" t="s">
        <v>307</v>
      </c>
      <c r="B1" s="105"/>
      <c r="C1" s="106"/>
      <c r="D1" s="104"/>
      <c r="E1" s="104"/>
      <c r="F1" s="107"/>
      <c r="G1" s="107"/>
      <c r="H1" s="107"/>
      <c r="I1" s="216" t="s">
        <v>308</v>
      </c>
      <c r="J1" s="216"/>
      <c r="K1" s="107"/>
    </row>
    <row r="2" spans="1:11" s="108" customFormat="1">
      <c r="A2" s="109" t="s">
        <v>309</v>
      </c>
      <c r="B2" s="105"/>
      <c r="C2" s="106"/>
      <c r="D2" s="109"/>
      <c r="E2" s="109"/>
      <c r="F2" s="107"/>
      <c r="G2" s="107"/>
      <c r="H2" s="107"/>
      <c r="I2" s="215" t="s">
        <v>310</v>
      </c>
      <c r="J2" s="215"/>
      <c r="K2" s="107"/>
    </row>
    <row r="3" spans="1:11" s="108" customFormat="1">
      <c r="A3" s="109" t="s">
        <v>309</v>
      </c>
      <c r="B3" s="105"/>
      <c r="C3" s="106"/>
      <c r="D3" s="109"/>
      <c r="E3" s="109"/>
      <c r="F3" s="107"/>
      <c r="G3" s="107"/>
      <c r="H3" s="107"/>
      <c r="I3" s="215" t="s">
        <v>310</v>
      </c>
      <c r="J3" s="215"/>
      <c r="K3" s="107"/>
    </row>
    <row r="4" spans="1:11" s="108" customFormat="1" ht="26.25" customHeight="1">
      <c r="A4" s="110" t="s">
        <v>311</v>
      </c>
      <c r="B4" s="105"/>
      <c r="C4" s="106"/>
      <c r="D4" s="111"/>
      <c r="E4" s="111"/>
      <c r="F4" s="107"/>
      <c r="G4" s="107"/>
      <c r="H4" s="107"/>
      <c r="I4" s="217" t="s">
        <v>312</v>
      </c>
      <c r="J4" s="217"/>
      <c r="K4" s="107"/>
    </row>
    <row r="5" spans="1:11" s="108" customFormat="1" ht="16.5" customHeight="1">
      <c r="A5" s="218" t="s">
        <v>320</v>
      </c>
      <c r="B5" s="218"/>
      <c r="C5" s="218"/>
      <c r="D5" s="218"/>
      <c r="E5" s="218"/>
      <c r="F5" s="218"/>
      <c r="G5" s="218"/>
      <c r="H5" s="218"/>
      <c r="I5" s="218"/>
    </row>
    <row r="6" spans="1:11" s="108" customFormat="1">
      <c r="A6" s="219" t="s">
        <v>313</v>
      </c>
      <c r="B6" s="219"/>
      <c r="C6" s="219"/>
      <c r="D6" s="219"/>
      <c r="E6" s="219"/>
      <c r="F6" s="219"/>
      <c r="G6" s="219"/>
      <c r="H6" s="219"/>
      <c r="I6" s="219"/>
    </row>
    <row r="7" spans="1:11" s="108" customFormat="1" ht="9.75" customHeight="1">
      <c r="A7" s="112"/>
      <c r="B7" s="113"/>
      <c r="C7" s="107"/>
      <c r="D7" s="107"/>
      <c r="E7" s="107"/>
      <c r="F7" s="107"/>
      <c r="G7" s="107"/>
      <c r="H7" s="107"/>
      <c r="I7" s="107"/>
    </row>
    <row r="8" spans="1:11" s="108" customFormat="1" ht="15.75">
      <c r="A8" s="114" t="s">
        <v>314</v>
      </c>
      <c r="B8" s="115" t="s">
        <v>321</v>
      </c>
      <c r="C8" s="116"/>
      <c r="D8" s="117"/>
      <c r="E8" s="117"/>
      <c r="F8" s="116"/>
      <c r="G8" s="116"/>
      <c r="H8" s="116"/>
      <c r="I8" s="116"/>
    </row>
    <row r="9" spans="1:11" s="108" customFormat="1">
      <c r="A9" s="220" t="s">
        <v>315</v>
      </c>
      <c r="B9" s="220"/>
      <c r="C9" s="220"/>
      <c r="D9" s="220"/>
      <c r="E9" s="220"/>
      <c r="F9" s="220"/>
      <c r="G9" s="220"/>
      <c r="H9" s="220"/>
      <c r="I9" s="220"/>
    </row>
    <row r="10" spans="1:11" s="108" customFormat="1" ht="9" customHeight="1">
      <c r="A10" s="118"/>
      <c r="B10" s="119"/>
      <c r="C10" s="107"/>
      <c r="D10" s="107"/>
      <c r="E10" s="107"/>
      <c r="F10" s="107"/>
      <c r="G10" s="107"/>
      <c r="H10" s="107"/>
      <c r="I10" s="107"/>
    </row>
    <row r="11" spans="1:11" s="108" customFormat="1">
      <c r="A11" s="120"/>
      <c r="B11" s="121" t="s">
        <v>342</v>
      </c>
      <c r="C11" s="213">
        <v>854667.08720800001</v>
      </c>
      <c r="D11" s="214"/>
      <c r="E11" s="122"/>
      <c r="F11" s="123"/>
      <c r="G11" s="122"/>
      <c r="H11" s="122"/>
      <c r="I11" s="122"/>
    </row>
    <row r="12" spans="1:11" s="108" customFormat="1">
      <c r="A12" s="120"/>
      <c r="B12" s="121" t="s">
        <v>334</v>
      </c>
      <c r="C12" s="213">
        <v>1897133.9897110695</v>
      </c>
      <c r="D12" s="214"/>
      <c r="E12" s="122"/>
      <c r="F12" s="123"/>
      <c r="G12" s="122"/>
      <c r="H12" s="122"/>
      <c r="I12" s="122"/>
    </row>
    <row r="13" spans="1:11" s="108" customFormat="1">
      <c r="A13" s="120"/>
      <c r="B13" s="121" t="s">
        <v>335</v>
      </c>
      <c r="C13" s="213">
        <v>189713.39897110697</v>
      </c>
      <c r="D13" s="214"/>
      <c r="E13" s="122"/>
      <c r="F13" s="123"/>
      <c r="G13" s="122"/>
      <c r="H13" s="122"/>
      <c r="I13" s="122"/>
    </row>
    <row r="14" spans="1:11" s="108" customFormat="1">
      <c r="A14" s="120"/>
      <c r="B14" s="121" t="s">
        <v>316</v>
      </c>
      <c r="C14" s="221">
        <v>2941514.4758901764</v>
      </c>
      <c r="D14" s="221"/>
      <c r="E14" s="122"/>
      <c r="F14" s="124"/>
      <c r="G14" s="122"/>
      <c r="H14" s="122"/>
      <c r="I14" s="122"/>
    </row>
    <row r="15" spans="1:11" s="108" customFormat="1">
      <c r="A15" s="125"/>
      <c r="B15" s="126" t="s">
        <v>338</v>
      </c>
      <c r="C15" s="127"/>
      <c r="D15" s="128"/>
      <c r="E15" s="128"/>
      <c r="F15" s="128"/>
      <c r="G15" s="128"/>
      <c r="H15" s="128"/>
      <c r="I15" s="129"/>
    </row>
    <row r="16" spans="1:11" s="108" customFormat="1">
      <c r="A16" s="120"/>
      <c r="B16" s="121" t="s">
        <v>343</v>
      </c>
      <c r="C16" s="213" t="s">
        <v>83</v>
      </c>
      <c r="D16" s="214"/>
      <c r="E16" s="130">
        <v>542574.34720800002</v>
      </c>
      <c r="F16" s="131" t="s">
        <v>344</v>
      </c>
      <c r="G16" s="130">
        <v>894137.54211106966</v>
      </c>
      <c r="H16" s="237"/>
      <c r="I16" s="237"/>
      <c r="J16" s="132"/>
    </row>
    <row r="17" spans="1:13" s="108" customFormat="1">
      <c r="A17" s="120"/>
      <c r="B17" s="121" t="s">
        <v>336</v>
      </c>
      <c r="C17" s="213" t="s">
        <v>83</v>
      </c>
      <c r="D17" s="214"/>
      <c r="E17" s="130">
        <v>131892.24</v>
      </c>
      <c r="F17" s="131" t="s">
        <v>344</v>
      </c>
      <c r="G17" s="130">
        <v>289038.10920000001</v>
      </c>
      <c r="H17" s="237"/>
      <c r="I17" s="237"/>
      <c r="J17" s="132"/>
    </row>
    <row r="18" spans="1:13" s="108" customFormat="1">
      <c r="A18" s="120"/>
      <c r="B18" s="121" t="s">
        <v>337</v>
      </c>
      <c r="C18" s="213" t="s">
        <v>83</v>
      </c>
      <c r="D18" s="214"/>
      <c r="E18" s="130">
        <v>8720</v>
      </c>
      <c r="F18" s="131" t="s">
        <v>344</v>
      </c>
      <c r="G18" s="130">
        <v>39187</v>
      </c>
      <c r="H18" s="237"/>
      <c r="I18" s="237"/>
      <c r="J18" s="132"/>
    </row>
    <row r="19" spans="1:13" s="108" customFormat="1">
      <c r="A19" s="120"/>
      <c r="B19" s="121" t="s">
        <v>260</v>
      </c>
      <c r="C19" s="213" t="s">
        <v>83</v>
      </c>
      <c r="D19" s="214"/>
      <c r="E19" s="130">
        <v>108664</v>
      </c>
      <c r="F19" s="131" t="s">
        <v>344</v>
      </c>
      <c r="G19" s="130">
        <v>581677.22399999993</v>
      </c>
      <c r="H19" s="237"/>
      <c r="I19" s="237"/>
      <c r="J19" s="132"/>
    </row>
    <row r="20" spans="1:13" s="108" customFormat="1">
      <c r="A20" s="120"/>
      <c r="B20" s="121" t="s">
        <v>345</v>
      </c>
      <c r="C20" s="213" t="s">
        <v>83</v>
      </c>
      <c r="D20" s="214"/>
      <c r="E20" s="130">
        <v>13160.5</v>
      </c>
      <c r="F20" s="131" t="s">
        <v>344</v>
      </c>
      <c r="G20" s="130">
        <v>35005.1944</v>
      </c>
      <c r="H20" s="165"/>
      <c r="I20" s="165"/>
      <c r="J20" s="132"/>
    </row>
    <row r="21" spans="1:13" s="108" customFormat="1">
      <c r="A21" s="120"/>
      <c r="B21" s="121" t="s">
        <v>26</v>
      </c>
      <c r="C21" s="213" t="s">
        <v>83</v>
      </c>
      <c r="D21" s="214"/>
      <c r="E21" s="130">
        <v>49656</v>
      </c>
      <c r="F21" s="131" t="s">
        <v>344</v>
      </c>
      <c r="G21" s="130">
        <v>58088.92</v>
      </c>
      <c r="H21" s="237"/>
      <c r="I21" s="237"/>
      <c r="J21" s="132"/>
    </row>
    <row r="22" spans="1:13" s="108" customFormat="1">
      <c r="A22" s="125"/>
      <c r="B22" s="126"/>
      <c r="C22" s="127"/>
      <c r="D22" s="128"/>
      <c r="E22" s="128"/>
      <c r="F22" s="128"/>
      <c r="G22" s="128"/>
      <c r="H22" s="128"/>
      <c r="I22" s="129"/>
    </row>
    <row r="23" spans="1:13" s="108" customFormat="1" ht="10.5" customHeight="1">
      <c r="A23" s="120"/>
      <c r="B23" s="121"/>
      <c r="C23" s="134"/>
      <c r="D23" s="163"/>
      <c r="E23" s="123"/>
      <c r="F23" s="123"/>
      <c r="G23" s="122"/>
      <c r="H23" s="122"/>
      <c r="I23" s="122"/>
    </row>
    <row r="24" spans="1:13" s="108" customFormat="1">
      <c r="A24" s="125"/>
      <c r="B24" s="136" t="s">
        <v>317</v>
      </c>
      <c r="C24" s="106"/>
      <c r="D24" s="107"/>
      <c r="E24" s="107"/>
      <c r="F24" s="107"/>
      <c r="G24" s="107"/>
      <c r="H24" s="107"/>
      <c r="I24" s="107"/>
    </row>
    <row r="25" spans="1:13" s="108" customFormat="1" ht="8.25" customHeight="1">
      <c r="C25" s="137"/>
      <c r="D25" s="138"/>
      <c r="E25" s="138"/>
      <c r="F25" s="139"/>
      <c r="G25" s="139"/>
      <c r="H25" s="139"/>
      <c r="I25" s="139"/>
    </row>
    <row r="26" spans="1:13" ht="12.75" customHeight="1">
      <c r="A26" s="231" t="s">
        <v>77</v>
      </c>
      <c r="B26" s="231" t="s">
        <v>78</v>
      </c>
      <c r="C26" s="231" t="s">
        <v>79</v>
      </c>
      <c r="D26" s="233" t="s">
        <v>80</v>
      </c>
      <c r="E26" s="228" t="s">
        <v>81</v>
      </c>
      <c r="F26" s="229"/>
      <c r="G26" s="230"/>
      <c r="H26" s="228" t="s">
        <v>82</v>
      </c>
      <c r="I26" s="229"/>
      <c r="J26" s="230"/>
      <c r="M26" s="204" t="s">
        <v>355</v>
      </c>
    </row>
    <row r="27" spans="1:13" ht="12.75" customHeight="1">
      <c r="A27" s="232"/>
      <c r="B27" s="232"/>
      <c r="C27" s="232"/>
      <c r="D27" s="234"/>
      <c r="E27" s="140" t="s">
        <v>83</v>
      </c>
      <c r="F27" s="141" t="s">
        <v>84</v>
      </c>
      <c r="G27" s="141" t="s">
        <v>85</v>
      </c>
      <c r="H27" s="140" t="s">
        <v>83</v>
      </c>
      <c r="I27" s="141" t="s">
        <v>84</v>
      </c>
      <c r="J27" s="141" t="s">
        <v>85</v>
      </c>
      <c r="M27" s="204"/>
    </row>
    <row r="28" spans="1:13" ht="21" customHeight="1">
      <c r="A28" s="225" t="s">
        <v>18</v>
      </c>
      <c r="B28" s="226"/>
      <c r="C28" s="226"/>
      <c r="D28" s="226"/>
      <c r="E28" s="226"/>
      <c r="F28" s="226"/>
      <c r="G28" s="226"/>
      <c r="H28" s="226"/>
      <c r="I28" s="226"/>
      <c r="J28" s="227"/>
      <c r="M28" s="156"/>
    </row>
    <row r="29" spans="1:13" ht="30">
      <c r="A29" s="162">
        <v>1</v>
      </c>
      <c r="B29" s="70" t="s">
        <v>19</v>
      </c>
      <c r="C29" s="8" t="s">
        <v>22</v>
      </c>
      <c r="D29" s="8">
        <v>3</v>
      </c>
      <c r="E29" s="32">
        <v>1280</v>
      </c>
      <c r="F29" s="33">
        <v>0</v>
      </c>
      <c r="G29" s="33">
        <v>1280</v>
      </c>
      <c r="H29" s="33">
        <v>3840</v>
      </c>
      <c r="I29" s="33">
        <v>0</v>
      </c>
      <c r="J29" s="31">
        <v>3840</v>
      </c>
      <c r="K29" s="235">
        <v>16629.386158000005</v>
      </c>
      <c r="L29" s="235">
        <v>66453.047158000001</v>
      </c>
      <c r="M29" s="240">
        <v>1</v>
      </c>
    </row>
    <row r="30" spans="1:13" ht="60">
      <c r="A30" s="162">
        <v>2</v>
      </c>
      <c r="B30" s="70" t="s">
        <v>203</v>
      </c>
      <c r="C30" s="8" t="s">
        <v>22</v>
      </c>
      <c r="D30" s="8">
        <v>3</v>
      </c>
      <c r="E30" s="32">
        <v>480</v>
      </c>
      <c r="F30" s="33">
        <v>0</v>
      </c>
      <c r="G30" s="33">
        <v>480</v>
      </c>
      <c r="H30" s="33">
        <v>1440</v>
      </c>
      <c r="I30" s="33">
        <v>0</v>
      </c>
      <c r="J30" s="31">
        <v>1440</v>
      </c>
      <c r="K30" s="236"/>
      <c r="L30" s="236"/>
      <c r="M30" s="241"/>
    </row>
    <row r="31" spans="1:13" ht="60">
      <c r="A31" s="162">
        <v>3</v>
      </c>
      <c r="B31" s="70" t="s">
        <v>204</v>
      </c>
      <c r="C31" s="8" t="s">
        <v>22</v>
      </c>
      <c r="D31" s="8">
        <v>11</v>
      </c>
      <c r="E31" s="32">
        <v>690</v>
      </c>
      <c r="F31" s="33">
        <v>0</v>
      </c>
      <c r="G31" s="33">
        <v>690</v>
      </c>
      <c r="H31" s="33">
        <v>7590</v>
      </c>
      <c r="I31" s="33">
        <v>0</v>
      </c>
      <c r="J31" s="31">
        <v>7590</v>
      </c>
      <c r="K31" s="236"/>
      <c r="L31" s="236"/>
      <c r="M31" s="241"/>
    </row>
    <row r="32" spans="1:13" ht="60">
      <c r="A32" s="162">
        <v>4</v>
      </c>
      <c r="B32" s="70" t="s">
        <v>201</v>
      </c>
      <c r="C32" s="8" t="s">
        <v>22</v>
      </c>
      <c r="D32" s="8">
        <v>4</v>
      </c>
      <c r="E32" s="32">
        <v>780</v>
      </c>
      <c r="F32" s="33">
        <v>0</v>
      </c>
      <c r="G32" s="33">
        <v>780</v>
      </c>
      <c r="H32" s="33">
        <v>3120</v>
      </c>
      <c r="I32" s="33">
        <v>0</v>
      </c>
      <c r="J32" s="31">
        <v>3120</v>
      </c>
      <c r="K32" s="236"/>
      <c r="L32" s="236"/>
      <c r="M32" s="241"/>
    </row>
    <row r="33" spans="1:13" ht="60">
      <c r="A33" s="162">
        <v>5</v>
      </c>
      <c r="B33" s="70" t="s">
        <v>205</v>
      </c>
      <c r="C33" s="8" t="s">
        <v>22</v>
      </c>
      <c r="D33" s="8">
        <v>6</v>
      </c>
      <c r="E33" s="32">
        <v>2100</v>
      </c>
      <c r="F33" s="33">
        <v>0</v>
      </c>
      <c r="G33" s="33">
        <v>2100</v>
      </c>
      <c r="H33" s="33">
        <v>12600</v>
      </c>
      <c r="I33" s="33">
        <v>0</v>
      </c>
      <c r="J33" s="31">
        <v>12600</v>
      </c>
      <c r="K33" s="236"/>
      <c r="L33" s="236"/>
      <c r="M33" s="241"/>
    </row>
    <row r="34" spans="1:13" ht="60">
      <c r="A34" s="162">
        <v>6</v>
      </c>
      <c r="B34" s="70" t="s">
        <v>202</v>
      </c>
      <c r="C34" s="8" t="s">
        <v>22</v>
      </c>
      <c r="D34" s="8">
        <v>2</v>
      </c>
      <c r="E34" s="32">
        <v>2980</v>
      </c>
      <c r="F34" s="33">
        <v>0</v>
      </c>
      <c r="G34" s="33">
        <v>2980</v>
      </c>
      <c r="H34" s="33">
        <v>5960</v>
      </c>
      <c r="I34" s="33">
        <v>0</v>
      </c>
      <c r="J34" s="31">
        <v>5960</v>
      </c>
      <c r="K34" s="236"/>
      <c r="L34" s="236"/>
      <c r="M34" s="241"/>
    </row>
    <row r="35" spans="1:13">
      <c r="A35" s="162">
        <v>7</v>
      </c>
      <c r="B35" s="70" t="s">
        <v>86</v>
      </c>
      <c r="C35" s="8" t="s">
        <v>0</v>
      </c>
      <c r="D35" s="69">
        <v>1.1055999999999999</v>
      </c>
      <c r="E35" s="32">
        <v>390</v>
      </c>
      <c r="F35" s="33">
        <v>0</v>
      </c>
      <c r="G35" s="33">
        <v>390</v>
      </c>
      <c r="H35" s="33">
        <v>431.18399999999997</v>
      </c>
      <c r="I35" s="33">
        <v>0</v>
      </c>
      <c r="J35" s="31">
        <v>431.18399999999997</v>
      </c>
      <c r="K35" s="236"/>
      <c r="L35" s="236"/>
      <c r="M35" s="241"/>
    </row>
    <row r="36" spans="1:13" ht="45">
      <c r="A36" s="162">
        <v>8</v>
      </c>
      <c r="B36" s="70" t="s">
        <v>25</v>
      </c>
      <c r="C36" s="8" t="s">
        <v>24</v>
      </c>
      <c r="D36" s="69">
        <v>67.442000000000007</v>
      </c>
      <c r="E36" s="32">
        <v>190</v>
      </c>
      <c r="F36" s="33">
        <v>244.26508264879456</v>
      </c>
      <c r="G36" s="33">
        <v>434.26508264879453</v>
      </c>
      <c r="H36" s="33">
        <v>12813.980000000001</v>
      </c>
      <c r="I36" s="33">
        <v>16473.725704000004</v>
      </c>
      <c r="J36" s="31">
        <v>29287.705704000007</v>
      </c>
      <c r="K36" s="236"/>
      <c r="L36" s="236"/>
      <c r="M36" s="241"/>
    </row>
    <row r="37" spans="1:13" ht="15" customHeight="1" outlineLevel="1">
      <c r="A37" s="100" t="s">
        <v>181</v>
      </c>
      <c r="B37" s="66" t="s">
        <v>208</v>
      </c>
      <c r="C37" s="2" t="s">
        <v>72</v>
      </c>
      <c r="D37" s="142">
        <v>0.47931029400000014</v>
      </c>
      <c r="E37" s="67"/>
      <c r="F37" s="67">
        <v>31500</v>
      </c>
      <c r="G37" s="67"/>
      <c r="H37" s="67"/>
      <c r="I37" s="29">
        <v>15098.274261000004</v>
      </c>
      <c r="J37" s="67"/>
      <c r="K37" s="236"/>
      <c r="L37" s="236"/>
      <c r="M37" s="241"/>
    </row>
    <row r="38" spans="1:13" ht="15" customHeight="1" outlineLevel="1">
      <c r="A38" s="100" t="s">
        <v>181</v>
      </c>
      <c r="B38" s="66" t="s">
        <v>332</v>
      </c>
      <c r="C38" s="2" t="s">
        <v>72</v>
      </c>
      <c r="D38" s="35">
        <v>1.7647323333333336E-2</v>
      </c>
      <c r="E38" s="67"/>
      <c r="F38" s="67">
        <v>35700</v>
      </c>
      <c r="G38" s="67"/>
      <c r="H38" s="67"/>
      <c r="I38" s="29">
        <v>630.00944300000015</v>
      </c>
      <c r="J38" s="67"/>
      <c r="K38" s="236"/>
      <c r="L38" s="236"/>
      <c r="M38" s="241"/>
    </row>
    <row r="39" spans="1:13" ht="15" customHeight="1" outlineLevel="1">
      <c r="A39" s="143" t="s">
        <v>181</v>
      </c>
      <c r="B39" s="66" t="s">
        <v>329</v>
      </c>
      <c r="C39" s="2" t="s">
        <v>95</v>
      </c>
      <c r="D39" s="35">
        <v>10</v>
      </c>
      <c r="E39" s="67"/>
      <c r="F39" s="67">
        <v>67.8</v>
      </c>
      <c r="G39" s="67"/>
      <c r="H39" s="67"/>
      <c r="I39" s="29">
        <v>678</v>
      </c>
      <c r="J39" s="67"/>
      <c r="K39" s="236"/>
      <c r="L39" s="236"/>
      <c r="M39" s="241"/>
    </row>
    <row r="40" spans="1:13" ht="15" customHeight="1" outlineLevel="1">
      <c r="A40" s="100" t="s">
        <v>181</v>
      </c>
      <c r="B40" s="66" t="s">
        <v>87</v>
      </c>
      <c r="C40" s="144" t="s">
        <v>22</v>
      </c>
      <c r="D40" s="145">
        <v>112.40333333333335</v>
      </c>
      <c r="E40" s="67"/>
      <c r="F40" s="67">
        <v>0.6</v>
      </c>
      <c r="G40" s="67"/>
      <c r="H40" s="67"/>
      <c r="I40" s="29">
        <v>67.442000000000007</v>
      </c>
      <c r="J40" s="67"/>
      <c r="K40" s="236"/>
      <c r="L40" s="236"/>
      <c r="M40" s="241"/>
    </row>
    <row r="41" spans="1:13" ht="30">
      <c r="A41" s="162">
        <v>9</v>
      </c>
      <c r="B41" s="70" t="s">
        <v>330</v>
      </c>
      <c r="C41" s="8" t="s">
        <v>0</v>
      </c>
      <c r="D41" s="69">
        <v>10.676300000000001</v>
      </c>
      <c r="E41" s="32">
        <v>190</v>
      </c>
      <c r="F41" s="33">
        <v>14.58</v>
      </c>
      <c r="G41" s="33">
        <v>204.58</v>
      </c>
      <c r="H41" s="33">
        <v>2028.4970000000003</v>
      </c>
      <c r="I41" s="33">
        <v>155.66045400000002</v>
      </c>
      <c r="J41" s="31">
        <v>2184.1574540000001</v>
      </c>
      <c r="K41" s="236"/>
      <c r="L41" s="236"/>
      <c r="M41" s="241"/>
    </row>
    <row r="42" spans="1:13" ht="15" customHeight="1" outlineLevel="1">
      <c r="A42" s="100" t="s">
        <v>181</v>
      </c>
      <c r="B42" s="66" t="s">
        <v>331</v>
      </c>
      <c r="C42" s="2" t="s">
        <v>95</v>
      </c>
      <c r="D42" s="142">
        <v>1.6014450000000002</v>
      </c>
      <c r="E42" s="67"/>
      <c r="F42" s="67">
        <v>97.2</v>
      </c>
      <c r="G42" s="67"/>
      <c r="H42" s="67"/>
      <c r="I42" s="29">
        <v>155.66045400000002</v>
      </c>
      <c r="J42" s="67"/>
      <c r="M42" s="241"/>
    </row>
    <row r="43" spans="1:13" ht="60" customHeight="1">
      <c r="A43" s="162">
        <v>10</v>
      </c>
      <c r="B43" s="70" t="s">
        <v>23</v>
      </c>
      <c r="C43" s="8" t="s">
        <v>0</v>
      </c>
      <c r="D43" s="69">
        <v>1.9110000000000003</v>
      </c>
      <c r="E43" s="32">
        <v>650</v>
      </c>
      <c r="F43" s="33">
        <v>751.95219999999995</v>
      </c>
      <c r="G43" s="33">
        <v>1401.9521999999999</v>
      </c>
      <c r="H43" s="33">
        <v>1242.1500000000001</v>
      </c>
      <c r="I43" s="33">
        <v>1436.9806542000001</v>
      </c>
      <c r="J43" s="31">
        <v>2679.1306542000002</v>
      </c>
      <c r="K43" s="239">
        <v>112280.6306529448</v>
      </c>
      <c r="L43" s="239">
        <v>176404.20086094484</v>
      </c>
      <c r="M43" s="241"/>
    </row>
    <row r="44" spans="1:13" ht="15.75" customHeight="1" outlineLevel="1">
      <c r="A44" s="100" t="s">
        <v>181</v>
      </c>
      <c r="B44" s="66" t="s">
        <v>88</v>
      </c>
      <c r="C44" s="27" t="s">
        <v>72</v>
      </c>
      <c r="D44" s="34">
        <v>8.8861500000000024E-2</v>
      </c>
      <c r="E44" s="67"/>
      <c r="F44" s="67">
        <v>5800</v>
      </c>
      <c r="G44" s="67"/>
      <c r="H44" s="67"/>
      <c r="I44" s="30">
        <v>515.39670000000012</v>
      </c>
      <c r="J44" s="67"/>
      <c r="K44" s="239"/>
      <c r="L44" s="239"/>
      <c r="M44" s="241"/>
    </row>
    <row r="45" spans="1:13" ht="15.75" customHeight="1" outlineLevel="1">
      <c r="A45" s="100" t="s">
        <v>181</v>
      </c>
      <c r="B45" s="66" t="s">
        <v>92</v>
      </c>
      <c r="C45" s="28" t="s">
        <v>22</v>
      </c>
      <c r="D45" s="34">
        <v>57.330000000000005</v>
      </c>
      <c r="E45" s="67"/>
      <c r="F45" s="67">
        <v>12.5</v>
      </c>
      <c r="G45" s="67"/>
      <c r="H45" s="67"/>
      <c r="I45" s="30">
        <v>716.62500000000011</v>
      </c>
      <c r="J45" s="67"/>
      <c r="K45" s="239"/>
      <c r="L45" s="239"/>
      <c r="M45" s="241"/>
    </row>
    <row r="46" spans="1:13" ht="15.75" customHeight="1" outlineLevel="1">
      <c r="A46" s="100" t="s">
        <v>181</v>
      </c>
      <c r="B46" s="66" t="s">
        <v>89</v>
      </c>
      <c r="C46" s="27" t="s">
        <v>91</v>
      </c>
      <c r="D46" s="35">
        <v>2.9429400000000002E-3</v>
      </c>
      <c r="E46" s="67"/>
      <c r="F46" s="67">
        <v>57680</v>
      </c>
      <c r="G46" s="67"/>
      <c r="H46" s="67"/>
      <c r="I46" s="30">
        <v>169.7487792</v>
      </c>
      <c r="J46" s="67"/>
      <c r="K46" s="239"/>
      <c r="L46" s="239"/>
      <c r="M46" s="241"/>
    </row>
    <row r="47" spans="1:13" ht="15.75" customHeight="1" outlineLevel="1">
      <c r="A47" s="100" t="s">
        <v>181</v>
      </c>
      <c r="B47" s="66" t="s">
        <v>90</v>
      </c>
      <c r="C47" s="27" t="s">
        <v>91</v>
      </c>
      <c r="D47" s="36">
        <v>1.0510500000000002E-3</v>
      </c>
      <c r="E47" s="67"/>
      <c r="F47" s="67">
        <v>33500</v>
      </c>
      <c r="G47" s="67"/>
      <c r="H47" s="67"/>
      <c r="I47" s="30">
        <v>35.210175000000007</v>
      </c>
      <c r="J47" s="67"/>
      <c r="K47" s="239"/>
      <c r="L47" s="239"/>
      <c r="M47" s="241"/>
    </row>
    <row r="48" spans="1:13" ht="45">
      <c r="A48" s="162">
        <v>11</v>
      </c>
      <c r="B48" s="70" t="s">
        <v>20</v>
      </c>
      <c r="C48" s="8" t="s">
        <v>1</v>
      </c>
      <c r="D48" s="69">
        <v>0.7332780000000001</v>
      </c>
      <c r="E48" s="32">
        <v>2496</v>
      </c>
      <c r="F48" s="33">
        <v>7855.6016</v>
      </c>
      <c r="G48" s="33">
        <v>10351.6016</v>
      </c>
      <c r="H48" s="33">
        <v>1830.2618880000002</v>
      </c>
      <c r="I48" s="33">
        <v>5760.3398300448007</v>
      </c>
      <c r="J48" s="31">
        <v>7590.6017180448007</v>
      </c>
      <c r="K48" s="239"/>
      <c r="L48" s="239"/>
      <c r="M48" s="241"/>
    </row>
    <row r="49" spans="1:13" ht="15.75" customHeight="1" outlineLevel="1">
      <c r="A49" s="100" t="s">
        <v>181</v>
      </c>
      <c r="B49" s="66" t="s">
        <v>88</v>
      </c>
      <c r="C49" s="27" t="s">
        <v>72</v>
      </c>
      <c r="D49" s="34">
        <v>0.32733529920000004</v>
      </c>
      <c r="E49" s="67"/>
      <c r="F49" s="67">
        <v>5800</v>
      </c>
      <c r="G49" s="67"/>
      <c r="H49" s="67"/>
      <c r="I49" s="30">
        <v>1898.5447353600002</v>
      </c>
      <c r="J49" s="67"/>
      <c r="K49" s="239"/>
      <c r="L49" s="239"/>
      <c r="M49" s="241"/>
    </row>
    <row r="50" spans="1:13" ht="15.75" customHeight="1" outlineLevel="1">
      <c r="A50" s="100" t="s">
        <v>181</v>
      </c>
      <c r="B50" s="66" t="s">
        <v>92</v>
      </c>
      <c r="C50" s="28" t="s">
        <v>22</v>
      </c>
      <c r="D50" s="34">
        <v>293.31120000000004</v>
      </c>
      <c r="E50" s="67"/>
      <c r="F50" s="67">
        <v>12.5</v>
      </c>
      <c r="G50" s="67"/>
      <c r="H50" s="67"/>
      <c r="I50" s="30">
        <v>3666.3900000000003</v>
      </c>
      <c r="J50" s="67"/>
      <c r="K50" s="239"/>
      <c r="L50" s="239"/>
      <c r="M50" s="241"/>
    </row>
    <row r="51" spans="1:13" ht="15.75" customHeight="1" outlineLevel="1">
      <c r="A51" s="100" t="s">
        <v>181</v>
      </c>
      <c r="B51" s="66" t="s">
        <v>89</v>
      </c>
      <c r="C51" s="27" t="s">
        <v>91</v>
      </c>
      <c r="D51" s="35">
        <v>3.3877443600000006E-3</v>
      </c>
      <c r="E51" s="67"/>
      <c r="F51" s="67">
        <v>57680</v>
      </c>
      <c r="G51" s="67"/>
      <c r="H51" s="67"/>
      <c r="I51" s="30">
        <v>195.40509468480002</v>
      </c>
      <c r="J51" s="67"/>
      <c r="K51" s="239"/>
      <c r="L51" s="239"/>
      <c r="M51" s="241"/>
    </row>
    <row r="52" spans="1:13" ht="45">
      <c r="A52" s="162">
        <v>12</v>
      </c>
      <c r="B52" s="70" t="s">
        <v>65</v>
      </c>
      <c r="C52" s="8" t="s">
        <v>0</v>
      </c>
      <c r="D52" s="69">
        <v>2.59</v>
      </c>
      <c r="E52" s="32">
        <v>650</v>
      </c>
      <c r="F52" s="33">
        <v>751.95220000000006</v>
      </c>
      <c r="G52" s="33">
        <v>1401.9522000000002</v>
      </c>
      <c r="H52" s="33">
        <v>1683.5</v>
      </c>
      <c r="I52" s="33">
        <v>1947.556198</v>
      </c>
      <c r="J52" s="31">
        <v>3631.0561980000002</v>
      </c>
      <c r="K52" s="239"/>
      <c r="L52" s="239"/>
      <c r="M52" s="241"/>
    </row>
    <row r="53" spans="1:13" ht="15.75" customHeight="1" outlineLevel="1">
      <c r="A53" s="100" t="s">
        <v>181</v>
      </c>
      <c r="B53" s="66" t="s">
        <v>88</v>
      </c>
      <c r="C53" s="27" t="s">
        <v>72</v>
      </c>
      <c r="D53" s="34">
        <v>0.12043500000000001</v>
      </c>
      <c r="E53" s="67"/>
      <c r="F53" s="67">
        <v>5800</v>
      </c>
      <c r="G53" s="67"/>
      <c r="H53" s="67"/>
      <c r="I53" s="30">
        <v>698.52300000000014</v>
      </c>
      <c r="J53" s="67"/>
      <c r="K53" s="239"/>
      <c r="L53" s="239"/>
      <c r="M53" s="241"/>
    </row>
    <row r="54" spans="1:13" ht="15.75" customHeight="1" outlineLevel="1">
      <c r="A54" s="100" t="s">
        <v>181</v>
      </c>
      <c r="B54" s="66" t="s">
        <v>92</v>
      </c>
      <c r="C54" s="28" t="s">
        <v>22</v>
      </c>
      <c r="D54" s="34">
        <v>77.699999999999989</v>
      </c>
      <c r="E54" s="67"/>
      <c r="F54" s="67">
        <v>12.5</v>
      </c>
      <c r="G54" s="67"/>
      <c r="H54" s="67"/>
      <c r="I54" s="30">
        <v>971.24999999999989</v>
      </c>
      <c r="J54" s="67"/>
      <c r="K54" s="239"/>
      <c r="L54" s="239"/>
      <c r="M54" s="241"/>
    </row>
    <row r="55" spans="1:13" ht="15.75" customHeight="1" outlineLevel="1">
      <c r="A55" s="100" t="s">
        <v>181</v>
      </c>
      <c r="B55" s="66" t="s">
        <v>89</v>
      </c>
      <c r="C55" s="27" t="s">
        <v>91</v>
      </c>
      <c r="D55" s="35">
        <v>3.9885999999999993E-3</v>
      </c>
      <c r="E55" s="67"/>
      <c r="F55" s="67">
        <v>57680</v>
      </c>
      <c r="G55" s="67"/>
      <c r="H55" s="67"/>
      <c r="I55" s="30">
        <v>230.06244799999996</v>
      </c>
      <c r="J55" s="67"/>
      <c r="K55" s="239"/>
      <c r="L55" s="239"/>
      <c r="M55" s="241"/>
    </row>
    <row r="56" spans="1:13" ht="15.75" customHeight="1" outlineLevel="1">
      <c r="A56" s="100" t="s">
        <v>181</v>
      </c>
      <c r="B56" s="66" t="s">
        <v>90</v>
      </c>
      <c r="C56" s="27" t="s">
        <v>91</v>
      </c>
      <c r="D56" s="36">
        <v>1.4245E-3</v>
      </c>
      <c r="E56" s="67"/>
      <c r="F56" s="67">
        <v>33500</v>
      </c>
      <c r="G56" s="67"/>
      <c r="H56" s="67"/>
      <c r="I56" s="30">
        <v>47.720750000000002</v>
      </c>
      <c r="J56" s="67"/>
      <c r="K56" s="239"/>
      <c r="L56" s="239"/>
      <c r="M56" s="241"/>
    </row>
    <row r="57" spans="1:13" ht="90" customHeight="1">
      <c r="A57" s="162">
        <v>13</v>
      </c>
      <c r="B57" s="70" t="s">
        <v>3</v>
      </c>
      <c r="C57" s="8" t="s">
        <v>0</v>
      </c>
      <c r="D57" s="69">
        <v>51</v>
      </c>
      <c r="E57" s="32">
        <v>441.6</v>
      </c>
      <c r="F57" s="33">
        <v>879.36270000000002</v>
      </c>
      <c r="G57" s="33">
        <v>1320.9627</v>
      </c>
      <c r="H57" s="33">
        <v>22521.600000000002</v>
      </c>
      <c r="I57" s="33">
        <v>44847.4977</v>
      </c>
      <c r="J57" s="31">
        <v>67369.097699999998</v>
      </c>
      <c r="K57" s="239"/>
      <c r="L57" s="239"/>
      <c r="M57" s="241"/>
    </row>
    <row r="58" spans="1:13" ht="15.75" customHeight="1" outlineLevel="1">
      <c r="A58" s="100" t="s">
        <v>181</v>
      </c>
      <c r="B58" s="66" t="s">
        <v>100</v>
      </c>
      <c r="C58" s="28" t="s">
        <v>0</v>
      </c>
      <c r="D58" s="34">
        <v>207.57000000000002</v>
      </c>
      <c r="E58" s="67"/>
      <c r="F58" s="67">
        <v>124.62</v>
      </c>
      <c r="G58" s="67"/>
      <c r="H58" s="67"/>
      <c r="I58" s="30">
        <v>25867.373400000004</v>
      </c>
      <c r="J58" s="67"/>
      <c r="K58" s="239"/>
      <c r="L58" s="239"/>
      <c r="M58" s="241"/>
    </row>
    <row r="59" spans="1:13" ht="15.75" customHeight="1" outlineLevel="1">
      <c r="A59" s="100" t="s">
        <v>181</v>
      </c>
      <c r="B59" s="66" t="s">
        <v>101</v>
      </c>
      <c r="C59" s="28" t="s">
        <v>29</v>
      </c>
      <c r="D59" s="34">
        <v>40.800000000000004</v>
      </c>
      <c r="E59" s="67"/>
      <c r="F59" s="67">
        <v>34</v>
      </c>
      <c r="G59" s="67"/>
      <c r="H59" s="67"/>
      <c r="I59" s="30">
        <v>1387.2</v>
      </c>
      <c r="J59" s="67"/>
      <c r="K59" s="239"/>
      <c r="L59" s="239"/>
      <c r="M59" s="241"/>
    </row>
    <row r="60" spans="1:13" ht="15.75" customHeight="1" outlineLevel="1">
      <c r="A60" s="100" t="s">
        <v>181</v>
      </c>
      <c r="B60" s="66" t="s">
        <v>102</v>
      </c>
      <c r="C60" s="28" t="s">
        <v>29</v>
      </c>
      <c r="D60" s="34">
        <v>107.10000000000001</v>
      </c>
      <c r="E60" s="67"/>
      <c r="F60" s="67">
        <v>45.67</v>
      </c>
      <c r="G60" s="67"/>
      <c r="H60" s="67"/>
      <c r="I60" s="30">
        <v>4891.2570000000005</v>
      </c>
      <c r="J60" s="67"/>
      <c r="K60" s="239"/>
      <c r="L60" s="239"/>
      <c r="M60" s="241"/>
    </row>
    <row r="61" spans="1:13" ht="15.75" customHeight="1" outlineLevel="1">
      <c r="A61" s="100" t="s">
        <v>181</v>
      </c>
      <c r="B61" s="66" t="s">
        <v>104</v>
      </c>
      <c r="C61" s="28" t="s">
        <v>22</v>
      </c>
      <c r="D61" s="34">
        <v>765</v>
      </c>
      <c r="E61" s="67"/>
      <c r="F61" s="67">
        <v>0.24</v>
      </c>
      <c r="G61" s="67"/>
      <c r="H61" s="67"/>
      <c r="I61" s="30">
        <v>183.6</v>
      </c>
      <c r="J61" s="67"/>
      <c r="K61" s="239"/>
      <c r="L61" s="239"/>
      <c r="M61" s="241"/>
    </row>
    <row r="62" spans="1:13" ht="15.75" customHeight="1" outlineLevel="1">
      <c r="A62" s="100" t="s">
        <v>181</v>
      </c>
      <c r="B62" s="66" t="s">
        <v>103</v>
      </c>
      <c r="C62" s="28" t="s">
        <v>22</v>
      </c>
      <c r="D62" s="34">
        <v>1938</v>
      </c>
      <c r="E62" s="67"/>
      <c r="F62" s="67">
        <v>0.26</v>
      </c>
      <c r="G62" s="67"/>
      <c r="H62" s="67"/>
      <c r="I62" s="30">
        <v>503.88</v>
      </c>
      <c r="J62" s="67"/>
      <c r="K62" s="239"/>
      <c r="L62" s="239"/>
      <c r="M62" s="241"/>
    </row>
    <row r="63" spans="1:13" ht="15.75" customHeight="1" outlineLevel="1">
      <c r="A63" s="100" t="s">
        <v>181</v>
      </c>
      <c r="B63" s="66" t="s">
        <v>87</v>
      </c>
      <c r="C63" s="28" t="s">
        <v>22</v>
      </c>
      <c r="D63" s="34">
        <v>83.13</v>
      </c>
      <c r="E63" s="67"/>
      <c r="F63" s="67">
        <v>0.6</v>
      </c>
      <c r="G63" s="67"/>
      <c r="H63" s="67"/>
      <c r="I63" s="30">
        <v>49.877999999999993</v>
      </c>
      <c r="J63" s="67"/>
      <c r="K63" s="239"/>
      <c r="L63" s="239"/>
      <c r="M63" s="241"/>
    </row>
    <row r="64" spans="1:13" ht="15.75" customHeight="1" outlineLevel="1">
      <c r="A64" s="100" t="s">
        <v>181</v>
      </c>
      <c r="B64" s="66" t="s">
        <v>109</v>
      </c>
      <c r="C64" s="28" t="s">
        <v>22</v>
      </c>
      <c r="D64" s="34">
        <v>239.70000000000002</v>
      </c>
      <c r="E64" s="67"/>
      <c r="F64" s="67">
        <v>0.23</v>
      </c>
      <c r="G64" s="67"/>
      <c r="H64" s="67"/>
      <c r="I64" s="30">
        <v>55.131000000000007</v>
      </c>
      <c r="J64" s="67"/>
      <c r="K64" s="239"/>
      <c r="L64" s="239"/>
      <c r="M64" s="241"/>
    </row>
    <row r="65" spans="1:13" ht="15.75" customHeight="1" outlineLevel="1">
      <c r="A65" s="100" t="s">
        <v>181</v>
      </c>
      <c r="B65" s="66" t="s">
        <v>170</v>
      </c>
      <c r="C65" s="28" t="s">
        <v>95</v>
      </c>
      <c r="D65" s="34">
        <v>10.709999999999999</v>
      </c>
      <c r="E65" s="67"/>
      <c r="F65" s="67">
        <v>48.8</v>
      </c>
      <c r="G65" s="67"/>
      <c r="H65" s="67"/>
      <c r="I65" s="30">
        <v>522.64799999999991</v>
      </c>
      <c r="J65" s="67"/>
      <c r="K65" s="239"/>
      <c r="L65" s="239"/>
      <c r="M65" s="241"/>
    </row>
    <row r="66" spans="1:13" ht="15.75" customHeight="1" outlineLevel="1">
      <c r="A66" s="100" t="s">
        <v>181</v>
      </c>
      <c r="B66" s="66" t="s">
        <v>171</v>
      </c>
      <c r="C66" s="28" t="s">
        <v>95</v>
      </c>
      <c r="D66" s="34">
        <v>76.5</v>
      </c>
      <c r="E66" s="67"/>
      <c r="F66" s="67">
        <v>15</v>
      </c>
      <c r="G66" s="67"/>
      <c r="H66" s="67"/>
      <c r="I66" s="30">
        <v>1147.5</v>
      </c>
      <c r="J66" s="67"/>
      <c r="K66" s="239"/>
      <c r="L66" s="239"/>
      <c r="M66" s="241"/>
    </row>
    <row r="67" spans="1:13" ht="15.75" customHeight="1" outlineLevel="1">
      <c r="A67" s="100" t="s">
        <v>181</v>
      </c>
      <c r="B67" s="66" t="s">
        <v>96</v>
      </c>
      <c r="C67" s="28" t="s">
        <v>29</v>
      </c>
      <c r="D67" s="34">
        <v>90.27</v>
      </c>
      <c r="E67" s="67"/>
      <c r="F67" s="67">
        <v>0.71</v>
      </c>
      <c r="G67" s="67"/>
      <c r="H67" s="67"/>
      <c r="I67" s="30">
        <v>64.091699999999989</v>
      </c>
      <c r="J67" s="67"/>
      <c r="K67" s="239"/>
      <c r="L67" s="239"/>
      <c r="M67" s="241"/>
    </row>
    <row r="68" spans="1:13" ht="15.75" customHeight="1" outlineLevel="1">
      <c r="A68" s="100" t="s">
        <v>181</v>
      </c>
      <c r="B68" s="66" t="s">
        <v>97</v>
      </c>
      <c r="C68" s="28" t="s">
        <v>29</v>
      </c>
      <c r="D68" s="34">
        <v>61.199999999999996</v>
      </c>
      <c r="E68" s="67"/>
      <c r="F68" s="67">
        <v>8.3000000000000007</v>
      </c>
      <c r="G68" s="67"/>
      <c r="H68" s="67"/>
      <c r="I68" s="30">
        <v>507.96000000000004</v>
      </c>
      <c r="J68" s="67"/>
      <c r="K68" s="239"/>
      <c r="L68" s="239"/>
      <c r="M68" s="241"/>
    </row>
    <row r="69" spans="1:13" ht="15.75" customHeight="1" outlineLevel="1">
      <c r="A69" s="100" t="s">
        <v>181</v>
      </c>
      <c r="B69" s="66" t="s">
        <v>98</v>
      </c>
      <c r="C69" s="28" t="s">
        <v>99</v>
      </c>
      <c r="D69" s="34">
        <v>10.200000000000001</v>
      </c>
      <c r="E69" s="67"/>
      <c r="F69" s="67">
        <v>55.6</v>
      </c>
      <c r="G69" s="67"/>
      <c r="H69" s="67"/>
      <c r="I69" s="30">
        <v>567.12000000000012</v>
      </c>
      <c r="J69" s="67"/>
      <c r="K69" s="239"/>
      <c r="L69" s="239"/>
      <c r="M69" s="241"/>
    </row>
    <row r="70" spans="1:13" ht="30" customHeight="1" outlineLevel="1">
      <c r="A70" s="100" t="s">
        <v>181</v>
      </c>
      <c r="B70" s="66" t="s">
        <v>105</v>
      </c>
      <c r="C70" s="28" t="s">
        <v>0</v>
      </c>
      <c r="D70" s="37">
        <v>52.02</v>
      </c>
      <c r="E70" s="67"/>
      <c r="F70" s="67">
        <v>174.93</v>
      </c>
      <c r="G70" s="67"/>
      <c r="H70" s="67"/>
      <c r="I70" s="30">
        <v>9099.8586000000014</v>
      </c>
      <c r="J70" s="67"/>
      <c r="K70" s="239"/>
      <c r="L70" s="239"/>
      <c r="M70" s="241"/>
    </row>
    <row r="71" spans="1:13" ht="75" customHeight="1">
      <c r="A71" s="162">
        <v>14</v>
      </c>
      <c r="B71" s="70" t="s">
        <v>66</v>
      </c>
      <c r="C71" s="8" t="s">
        <v>0</v>
      </c>
      <c r="D71" s="69">
        <v>28.770800000000001</v>
      </c>
      <c r="E71" s="32">
        <v>259.2</v>
      </c>
      <c r="F71" s="33">
        <v>280.02654999999999</v>
      </c>
      <c r="G71" s="33">
        <v>539.22654999999997</v>
      </c>
      <c r="H71" s="33">
        <v>7457.3913599999996</v>
      </c>
      <c r="I71" s="33">
        <v>8056.5878647400004</v>
      </c>
      <c r="J71" s="31">
        <v>15513.97922474</v>
      </c>
      <c r="K71" s="239"/>
      <c r="L71" s="239"/>
      <c r="M71" s="241"/>
    </row>
    <row r="72" spans="1:13" ht="15.75" customHeight="1" outlineLevel="1">
      <c r="A72" s="100" t="s">
        <v>181</v>
      </c>
      <c r="B72" s="66" t="s">
        <v>93</v>
      </c>
      <c r="C72" s="28" t="s">
        <v>0</v>
      </c>
      <c r="D72" s="34">
        <v>30.784756000000002</v>
      </c>
      <c r="E72" s="67"/>
      <c r="F72" s="67">
        <v>124.62</v>
      </c>
      <c r="G72" s="67"/>
      <c r="H72" s="67"/>
      <c r="I72" s="30">
        <v>3836.3962927200005</v>
      </c>
      <c r="J72" s="67"/>
      <c r="K72" s="239"/>
      <c r="L72" s="239"/>
      <c r="M72" s="241"/>
    </row>
    <row r="73" spans="1:13" ht="15.75" customHeight="1" outlineLevel="1">
      <c r="A73" s="100" t="s">
        <v>181</v>
      </c>
      <c r="B73" s="66" t="s">
        <v>106</v>
      </c>
      <c r="C73" s="28" t="s">
        <v>29</v>
      </c>
      <c r="D73" s="34">
        <v>35.100376000000004</v>
      </c>
      <c r="E73" s="67"/>
      <c r="F73" s="67">
        <v>27.1</v>
      </c>
      <c r="G73" s="67"/>
      <c r="H73" s="67"/>
      <c r="I73" s="30">
        <v>951.22018960000014</v>
      </c>
      <c r="J73" s="67"/>
      <c r="K73" s="239"/>
      <c r="L73" s="239"/>
      <c r="M73" s="241"/>
    </row>
    <row r="74" spans="1:13" ht="15.75" customHeight="1" outlineLevel="1">
      <c r="A74" s="100" t="s">
        <v>181</v>
      </c>
      <c r="B74" s="66" t="s">
        <v>107</v>
      </c>
      <c r="C74" s="28" t="s">
        <v>29</v>
      </c>
      <c r="D74" s="34">
        <v>67.323672000000002</v>
      </c>
      <c r="E74" s="67"/>
      <c r="F74" s="67">
        <v>34.07</v>
      </c>
      <c r="G74" s="67"/>
      <c r="H74" s="67"/>
      <c r="I74" s="30">
        <v>2293.7175050400001</v>
      </c>
      <c r="J74" s="67"/>
      <c r="K74" s="239"/>
      <c r="L74" s="239"/>
      <c r="M74" s="241"/>
    </row>
    <row r="75" spans="1:13" ht="15.75" customHeight="1" outlineLevel="1">
      <c r="A75" s="100" t="s">
        <v>181</v>
      </c>
      <c r="B75" s="66" t="s">
        <v>104</v>
      </c>
      <c r="C75" s="28" t="s">
        <v>22</v>
      </c>
      <c r="D75" s="34">
        <v>575.41600000000005</v>
      </c>
      <c r="E75" s="67"/>
      <c r="F75" s="67">
        <v>0.24</v>
      </c>
      <c r="G75" s="67"/>
      <c r="H75" s="67"/>
      <c r="I75" s="30">
        <v>138.09984</v>
      </c>
      <c r="J75" s="67"/>
      <c r="K75" s="239"/>
      <c r="L75" s="239"/>
      <c r="M75" s="241"/>
    </row>
    <row r="76" spans="1:13" ht="15.75" customHeight="1" outlineLevel="1">
      <c r="A76" s="100" t="s">
        <v>181</v>
      </c>
      <c r="B76" s="66" t="s">
        <v>87</v>
      </c>
      <c r="C76" s="28" t="s">
        <v>22</v>
      </c>
      <c r="D76" s="34">
        <v>46.896403999999997</v>
      </c>
      <c r="E76" s="67"/>
      <c r="F76" s="67">
        <v>0.6</v>
      </c>
      <c r="G76" s="67"/>
      <c r="H76" s="67"/>
      <c r="I76" s="30">
        <v>28.137842399999997</v>
      </c>
      <c r="J76" s="67"/>
      <c r="K76" s="239"/>
      <c r="L76" s="239"/>
      <c r="M76" s="241"/>
    </row>
    <row r="77" spans="1:13" ht="15.75" customHeight="1" outlineLevel="1">
      <c r="A77" s="100" t="s">
        <v>181</v>
      </c>
      <c r="B77" s="66" t="s">
        <v>109</v>
      </c>
      <c r="C77" s="28" t="s">
        <v>22</v>
      </c>
      <c r="D77" s="34">
        <v>135.22276000000002</v>
      </c>
      <c r="E77" s="67"/>
      <c r="F77" s="67">
        <v>0.23</v>
      </c>
      <c r="G77" s="67"/>
      <c r="H77" s="67"/>
      <c r="I77" s="30">
        <v>31.101234800000007</v>
      </c>
      <c r="J77" s="67"/>
      <c r="K77" s="239"/>
      <c r="L77" s="239"/>
      <c r="M77" s="241"/>
    </row>
    <row r="78" spans="1:13" ht="15.75" customHeight="1" outlineLevel="1">
      <c r="A78" s="100" t="s">
        <v>181</v>
      </c>
      <c r="B78" s="66" t="s">
        <v>170</v>
      </c>
      <c r="C78" s="28" t="s">
        <v>95</v>
      </c>
      <c r="D78" s="34">
        <v>1.4385400000000002</v>
      </c>
      <c r="E78" s="67"/>
      <c r="F78" s="67">
        <v>48.8</v>
      </c>
      <c r="G78" s="67"/>
      <c r="H78" s="67"/>
      <c r="I78" s="30">
        <v>70.200752000000008</v>
      </c>
      <c r="J78" s="67"/>
      <c r="K78" s="239"/>
      <c r="L78" s="239"/>
      <c r="M78" s="241"/>
    </row>
    <row r="79" spans="1:13" ht="15.75" customHeight="1" outlineLevel="1">
      <c r="A79" s="100" t="s">
        <v>181</v>
      </c>
      <c r="B79" s="66" t="s">
        <v>171</v>
      </c>
      <c r="C79" s="28" t="s">
        <v>95</v>
      </c>
      <c r="D79" s="34">
        <v>11.508320000000001</v>
      </c>
      <c r="E79" s="67"/>
      <c r="F79" s="67">
        <v>15</v>
      </c>
      <c r="G79" s="67"/>
      <c r="H79" s="67"/>
      <c r="I79" s="30">
        <v>172.62480000000002</v>
      </c>
      <c r="J79" s="67"/>
      <c r="K79" s="239"/>
      <c r="L79" s="239"/>
      <c r="M79" s="241"/>
    </row>
    <row r="80" spans="1:13" ht="15.75" customHeight="1" outlineLevel="1">
      <c r="A80" s="100" t="s">
        <v>181</v>
      </c>
      <c r="B80" s="66" t="s">
        <v>96</v>
      </c>
      <c r="C80" s="28" t="s">
        <v>29</v>
      </c>
      <c r="D80" s="34">
        <v>25.462158000000002</v>
      </c>
      <c r="E80" s="67"/>
      <c r="F80" s="67">
        <v>0.71</v>
      </c>
      <c r="G80" s="67"/>
      <c r="H80" s="67"/>
      <c r="I80" s="30">
        <v>18.078132180000001</v>
      </c>
      <c r="J80" s="67"/>
      <c r="K80" s="239"/>
      <c r="L80" s="239"/>
      <c r="M80" s="241"/>
    </row>
    <row r="81" spans="1:13" ht="15.75" customHeight="1" outlineLevel="1">
      <c r="A81" s="100" t="s">
        <v>181</v>
      </c>
      <c r="B81" s="66" t="s">
        <v>97</v>
      </c>
      <c r="C81" s="28" t="s">
        <v>29</v>
      </c>
      <c r="D81" s="34">
        <v>34.52496</v>
      </c>
      <c r="E81" s="67"/>
      <c r="F81" s="67">
        <v>8.3000000000000007</v>
      </c>
      <c r="G81" s="67"/>
      <c r="H81" s="67"/>
      <c r="I81" s="30">
        <v>286.55716800000005</v>
      </c>
      <c r="J81" s="67"/>
      <c r="K81" s="239"/>
      <c r="L81" s="239"/>
      <c r="M81" s="241"/>
    </row>
    <row r="82" spans="1:13" ht="15.75" customHeight="1" outlineLevel="1">
      <c r="A82" s="100" t="s">
        <v>181</v>
      </c>
      <c r="B82" s="66" t="s">
        <v>108</v>
      </c>
      <c r="C82" s="28" t="s">
        <v>22</v>
      </c>
      <c r="D82" s="34">
        <v>20.139559999999999</v>
      </c>
      <c r="E82" s="67"/>
      <c r="F82" s="67">
        <v>3.5</v>
      </c>
      <c r="G82" s="67"/>
      <c r="H82" s="67"/>
      <c r="I82" s="30">
        <v>70.488460000000003</v>
      </c>
      <c r="J82" s="67"/>
      <c r="K82" s="239"/>
      <c r="L82" s="239"/>
      <c r="M82" s="241"/>
    </row>
    <row r="83" spans="1:13" ht="15.75" customHeight="1" outlineLevel="1">
      <c r="A83" s="100" t="s">
        <v>181</v>
      </c>
      <c r="B83" s="66" t="s">
        <v>98</v>
      </c>
      <c r="C83" s="28" t="s">
        <v>99</v>
      </c>
      <c r="D83" s="34">
        <v>2.8770800000000003</v>
      </c>
      <c r="E83" s="67"/>
      <c r="F83" s="67">
        <v>55.6</v>
      </c>
      <c r="G83" s="67"/>
      <c r="H83" s="67"/>
      <c r="I83" s="30">
        <v>159.96564800000002</v>
      </c>
      <c r="J83" s="67"/>
      <c r="K83" s="239"/>
      <c r="L83" s="239"/>
      <c r="M83" s="241"/>
    </row>
    <row r="84" spans="1:13" ht="75" customHeight="1">
      <c r="A84" s="162">
        <v>15</v>
      </c>
      <c r="B84" s="70" t="s">
        <v>74</v>
      </c>
      <c r="C84" s="8" t="s">
        <v>0</v>
      </c>
      <c r="D84" s="69">
        <v>33.700000000000003</v>
      </c>
      <c r="E84" s="32">
        <v>336</v>
      </c>
      <c r="F84" s="33">
        <v>494.01715000000007</v>
      </c>
      <c r="G84" s="33">
        <v>830.01715000000013</v>
      </c>
      <c r="H84" s="33">
        <v>11323.2</v>
      </c>
      <c r="I84" s="33">
        <v>16648.377955000004</v>
      </c>
      <c r="J84" s="31">
        <v>27971.577955000004</v>
      </c>
      <c r="K84" s="239"/>
      <c r="L84" s="239"/>
      <c r="M84" s="241"/>
    </row>
    <row r="85" spans="1:13" ht="15.75" customHeight="1" outlineLevel="1">
      <c r="A85" s="100" t="s">
        <v>181</v>
      </c>
      <c r="B85" s="66" t="s">
        <v>93</v>
      </c>
      <c r="C85" s="28" t="s">
        <v>0</v>
      </c>
      <c r="D85" s="34">
        <v>36.059000000000005</v>
      </c>
      <c r="E85" s="67"/>
      <c r="F85" s="67">
        <v>124.62</v>
      </c>
      <c r="G85" s="67"/>
      <c r="H85" s="67"/>
      <c r="I85" s="30">
        <v>4493.6725800000004</v>
      </c>
      <c r="J85" s="67"/>
      <c r="K85" s="239"/>
      <c r="L85" s="239"/>
      <c r="M85" s="241"/>
    </row>
    <row r="86" spans="1:13" ht="15.75" customHeight="1" outlineLevel="1">
      <c r="A86" s="100" t="s">
        <v>181</v>
      </c>
      <c r="B86" s="66" t="s">
        <v>101</v>
      </c>
      <c r="C86" s="28" t="s">
        <v>29</v>
      </c>
      <c r="D86" s="34">
        <v>41.114000000000004</v>
      </c>
      <c r="E86" s="67"/>
      <c r="F86" s="67">
        <v>34</v>
      </c>
      <c r="G86" s="67"/>
      <c r="H86" s="67"/>
      <c r="I86" s="30">
        <v>1397.8760000000002</v>
      </c>
      <c r="J86" s="67"/>
      <c r="K86" s="239"/>
      <c r="L86" s="239"/>
      <c r="M86" s="241"/>
    </row>
    <row r="87" spans="1:13" ht="15.75" customHeight="1" outlineLevel="1">
      <c r="A87" s="100" t="s">
        <v>181</v>
      </c>
      <c r="B87" s="66" t="s">
        <v>102</v>
      </c>
      <c r="C87" s="28" t="s">
        <v>29</v>
      </c>
      <c r="D87" s="34">
        <v>78.858000000000004</v>
      </c>
      <c r="E87" s="67"/>
      <c r="F87" s="67">
        <v>45.67</v>
      </c>
      <c r="G87" s="67"/>
      <c r="H87" s="67"/>
      <c r="I87" s="30">
        <v>3601.4448600000005</v>
      </c>
      <c r="J87" s="67"/>
      <c r="K87" s="239"/>
      <c r="L87" s="239"/>
      <c r="M87" s="241"/>
    </row>
    <row r="88" spans="1:13" ht="15.75" customHeight="1" outlineLevel="1">
      <c r="A88" s="100" t="s">
        <v>181</v>
      </c>
      <c r="B88" s="66" t="s">
        <v>104</v>
      </c>
      <c r="C88" s="28" t="s">
        <v>22</v>
      </c>
      <c r="D88" s="34">
        <v>674</v>
      </c>
      <c r="E88" s="67"/>
      <c r="F88" s="67">
        <v>0.24</v>
      </c>
      <c r="G88" s="67"/>
      <c r="H88" s="67"/>
      <c r="I88" s="30">
        <v>161.76</v>
      </c>
      <c r="J88" s="67"/>
      <c r="K88" s="239"/>
      <c r="L88" s="239"/>
      <c r="M88" s="241"/>
    </row>
    <row r="89" spans="1:13" ht="15.75" customHeight="1" outlineLevel="1">
      <c r="A89" s="100" t="s">
        <v>181</v>
      </c>
      <c r="B89" s="66" t="s">
        <v>87</v>
      </c>
      <c r="C89" s="28" t="s">
        <v>22</v>
      </c>
      <c r="D89" s="34">
        <v>54.931000000000004</v>
      </c>
      <c r="E89" s="67"/>
      <c r="F89" s="67">
        <v>0.6</v>
      </c>
      <c r="G89" s="67"/>
      <c r="H89" s="67"/>
      <c r="I89" s="30">
        <v>32.958600000000004</v>
      </c>
      <c r="J89" s="67"/>
      <c r="K89" s="239"/>
      <c r="L89" s="239"/>
      <c r="M89" s="241"/>
    </row>
    <row r="90" spans="1:13" ht="15.75" customHeight="1" outlineLevel="1">
      <c r="A90" s="100" t="s">
        <v>181</v>
      </c>
      <c r="B90" s="66" t="s">
        <v>109</v>
      </c>
      <c r="C90" s="28" t="s">
        <v>22</v>
      </c>
      <c r="D90" s="34">
        <v>158.39000000000001</v>
      </c>
      <c r="E90" s="67"/>
      <c r="F90" s="67">
        <v>0.23</v>
      </c>
      <c r="G90" s="67"/>
      <c r="H90" s="67"/>
      <c r="I90" s="30">
        <v>36.429700000000004</v>
      </c>
      <c r="J90" s="67"/>
      <c r="K90" s="239"/>
      <c r="L90" s="239"/>
      <c r="M90" s="241"/>
    </row>
    <row r="91" spans="1:13" ht="15.75" customHeight="1" outlineLevel="1">
      <c r="A91" s="100" t="s">
        <v>181</v>
      </c>
      <c r="B91" s="66" t="s">
        <v>170</v>
      </c>
      <c r="C91" s="28" t="s">
        <v>95</v>
      </c>
      <c r="D91" s="34">
        <v>1.6850000000000003</v>
      </c>
      <c r="E91" s="67"/>
      <c r="F91" s="67">
        <v>48.8</v>
      </c>
      <c r="G91" s="67"/>
      <c r="H91" s="67"/>
      <c r="I91" s="30">
        <v>82.228000000000009</v>
      </c>
      <c r="J91" s="67"/>
      <c r="K91" s="239"/>
      <c r="L91" s="239"/>
      <c r="M91" s="241"/>
    </row>
    <row r="92" spans="1:13" ht="15.75" customHeight="1" outlineLevel="1">
      <c r="A92" s="100" t="s">
        <v>181</v>
      </c>
      <c r="B92" s="66" t="s">
        <v>171</v>
      </c>
      <c r="C92" s="28" t="s">
        <v>95</v>
      </c>
      <c r="D92" s="34">
        <v>13.480000000000002</v>
      </c>
      <c r="E92" s="67"/>
      <c r="F92" s="67">
        <v>15</v>
      </c>
      <c r="G92" s="67"/>
      <c r="H92" s="67"/>
      <c r="I92" s="30">
        <v>202.20000000000005</v>
      </c>
      <c r="J92" s="67"/>
      <c r="K92" s="239"/>
      <c r="L92" s="239"/>
      <c r="M92" s="241"/>
    </row>
    <row r="93" spans="1:13" ht="15.75" customHeight="1" outlineLevel="1">
      <c r="A93" s="100" t="s">
        <v>181</v>
      </c>
      <c r="B93" s="66" t="s">
        <v>96</v>
      </c>
      <c r="C93" s="28" t="s">
        <v>29</v>
      </c>
      <c r="D93" s="34">
        <v>29.824500000000004</v>
      </c>
      <c r="E93" s="67"/>
      <c r="F93" s="67">
        <v>0.71</v>
      </c>
      <c r="G93" s="67"/>
      <c r="H93" s="67"/>
      <c r="I93" s="30">
        <v>21.175395000000002</v>
      </c>
      <c r="J93" s="67"/>
      <c r="K93" s="239"/>
      <c r="L93" s="239"/>
      <c r="M93" s="241"/>
    </row>
    <row r="94" spans="1:13" ht="15.75" customHeight="1" outlineLevel="1">
      <c r="A94" s="100" t="s">
        <v>181</v>
      </c>
      <c r="B94" s="66" t="s">
        <v>97</v>
      </c>
      <c r="C94" s="28" t="s">
        <v>29</v>
      </c>
      <c r="D94" s="34">
        <v>40.440000000000005</v>
      </c>
      <c r="E94" s="67"/>
      <c r="F94" s="67">
        <v>8.3000000000000007</v>
      </c>
      <c r="G94" s="67"/>
      <c r="H94" s="67"/>
      <c r="I94" s="30">
        <v>335.65200000000004</v>
      </c>
      <c r="J94" s="67"/>
      <c r="K94" s="239"/>
      <c r="L94" s="239"/>
      <c r="M94" s="241"/>
    </row>
    <row r="95" spans="1:13" ht="15.75" customHeight="1" outlineLevel="1">
      <c r="A95" s="100" t="s">
        <v>181</v>
      </c>
      <c r="B95" s="66" t="s">
        <v>108</v>
      </c>
      <c r="C95" s="28" t="s">
        <v>22</v>
      </c>
      <c r="D95" s="34">
        <v>23.59</v>
      </c>
      <c r="E95" s="67"/>
      <c r="F95" s="67">
        <v>3.5</v>
      </c>
      <c r="G95" s="67"/>
      <c r="H95" s="67"/>
      <c r="I95" s="30">
        <v>82.564999999999998</v>
      </c>
      <c r="J95" s="67"/>
      <c r="K95" s="239"/>
      <c r="L95" s="239"/>
      <c r="M95" s="241"/>
    </row>
    <row r="96" spans="1:13" ht="15.75" customHeight="1" outlineLevel="1">
      <c r="A96" s="100" t="s">
        <v>181</v>
      </c>
      <c r="B96" s="66" t="s">
        <v>98</v>
      </c>
      <c r="C96" s="28" t="s">
        <v>99</v>
      </c>
      <c r="D96" s="34">
        <v>3.3700000000000006</v>
      </c>
      <c r="E96" s="67"/>
      <c r="F96" s="67">
        <v>55.6</v>
      </c>
      <c r="G96" s="67"/>
      <c r="H96" s="67"/>
      <c r="I96" s="30">
        <v>187.37200000000004</v>
      </c>
      <c r="J96" s="67"/>
      <c r="K96" s="239"/>
      <c r="L96" s="239"/>
      <c r="M96" s="241"/>
    </row>
    <row r="97" spans="1:13" ht="30" customHeight="1" outlineLevel="1">
      <c r="A97" s="100" t="s">
        <v>181</v>
      </c>
      <c r="B97" s="66" t="s">
        <v>105</v>
      </c>
      <c r="C97" s="28" t="s">
        <v>0</v>
      </c>
      <c r="D97" s="37">
        <v>34.374000000000002</v>
      </c>
      <c r="E97" s="67"/>
      <c r="F97" s="67">
        <v>174.93</v>
      </c>
      <c r="G97" s="67"/>
      <c r="H97" s="67"/>
      <c r="I97" s="30">
        <v>6013.0438200000008</v>
      </c>
      <c r="J97" s="67"/>
      <c r="K97" s="239"/>
      <c r="L97" s="239"/>
      <c r="M97" s="241"/>
    </row>
    <row r="98" spans="1:13" ht="45">
      <c r="A98" s="162">
        <v>16</v>
      </c>
      <c r="B98" s="70" t="s">
        <v>110</v>
      </c>
      <c r="C98" s="8" t="s">
        <v>0</v>
      </c>
      <c r="D98" s="69">
        <v>14.07</v>
      </c>
      <c r="E98" s="32">
        <v>278.39999999999998</v>
      </c>
      <c r="F98" s="33">
        <v>257.59215000000006</v>
      </c>
      <c r="G98" s="33">
        <v>535.99215000000004</v>
      </c>
      <c r="H98" s="33">
        <v>3917.0879999999997</v>
      </c>
      <c r="I98" s="33">
        <v>3624.3215505000012</v>
      </c>
      <c r="J98" s="31">
        <v>7541.4095505000005</v>
      </c>
      <c r="K98" s="239"/>
      <c r="L98" s="239"/>
      <c r="M98" s="241"/>
    </row>
    <row r="99" spans="1:13" ht="15.75" customHeight="1" outlineLevel="1">
      <c r="A99" s="100" t="s">
        <v>181</v>
      </c>
      <c r="B99" s="66" t="s">
        <v>100</v>
      </c>
      <c r="C99" s="28" t="s">
        <v>0</v>
      </c>
      <c r="D99" s="34">
        <v>15.054900000000002</v>
      </c>
      <c r="E99" s="67"/>
      <c r="F99" s="67">
        <v>124.62</v>
      </c>
      <c r="G99" s="67"/>
      <c r="H99" s="67"/>
      <c r="I99" s="30">
        <v>1876.1416380000003</v>
      </c>
      <c r="J99" s="67"/>
      <c r="K99" s="239"/>
      <c r="L99" s="239"/>
      <c r="M99" s="241"/>
    </row>
    <row r="100" spans="1:13" ht="15.75" customHeight="1" outlineLevel="1">
      <c r="A100" s="100" t="s">
        <v>181</v>
      </c>
      <c r="B100" s="66" t="s">
        <v>111</v>
      </c>
      <c r="C100" s="28" t="s">
        <v>29</v>
      </c>
      <c r="D100" s="34">
        <v>18.291</v>
      </c>
      <c r="E100" s="67"/>
      <c r="F100" s="67">
        <v>14.7</v>
      </c>
      <c r="G100" s="67"/>
      <c r="H100" s="67"/>
      <c r="I100" s="30">
        <v>268.8777</v>
      </c>
      <c r="J100" s="67"/>
      <c r="K100" s="239"/>
      <c r="L100" s="239"/>
      <c r="M100" s="241"/>
    </row>
    <row r="101" spans="1:13" ht="15.75" customHeight="1" outlineLevel="1">
      <c r="A101" s="100" t="s">
        <v>181</v>
      </c>
      <c r="B101" s="66" t="s">
        <v>112</v>
      </c>
      <c r="C101" s="28" t="s">
        <v>29</v>
      </c>
      <c r="D101" s="34">
        <v>35.7378</v>
      </c>
      <c r="E101" s="67"/>
      <c r="F101" s="67">
        <v>26.33</v>
      </c>
      <c r="G101" s="67"/>
      <c r="H101" s="67"/>
      <c r="I101" s="30">
        <v>940.97627399999999</v>
      </c>
      <c r="J101" s="67"/>
      <c r="K101" s="239"/>
      <c r="L101" s="239"/>
      <c r="M101" s="241"/>
    </row>
    <row r="102" spans="1:13" ht="15.75" customHeight="1" outlineLevel="1">
      <c r="A102" s="100" t="s">
        <v>181</v>
      </c>
      <c r="B102" s="66" t="s">
        <v>104</v>
      </c>
      <c r="C102" s="28" t="s">
        <v>22</v>
      </c>
      <c r="D102" s="34">
        <v>273.38010000000003</v>
      </c>
      <c r="E102" s="67"/>
      <c r="F102" s="67">
        <v>0.24</v>
      </c>
      <c r="G102" s="67"/>
      <c r="H102" s="67"/>
      <c r="I102" s="30">
        <v>65.611224000000007</v>
      </c>
      <c r="J102" s="67"/>
      <c r="K102" s="239"/>
      <c r="L102" s="239"/>
      <c r="M102" s="241"/>
    </row>
    <row r="103" spans="1:13" ht="15.75" customHeight="1" outlineLevel="1">
      <c r="A103" s="100" t="s">
        <v>181</v>
      </c>
      <c r="B103" s="66" t="s">
        <v>87</v>
      </c>
      <c r="C103" s="28" t="s">
        <v>22</v>
      </c>
      <c r="D103" s="34">
        <v>22.934099999999997</v>
      </c>
      <c r="E103" s="67"/>
      <c r="F103" s="67">
        <v>0.6</v>
      </c>
      <c r="G103" s="67"/>
      <c r="H103" s="67"/>
      <c r="I103" s="30">
        <v>13.760459999999998</v>
      </c>
      <c r="J103" s="67"/>
      <c r="K103" s="239"/>
      <c r="L103" s="239"/>
      <c r="M103" s="241"/>
    </row>
    <row r="104" spans="1:13" ht="15.75" customHeight="1" outlineLevel="1">
      <c r="A104" s="100" t="s">
        <v>181</v>
      </c>
      <c r="B104" s="66" t="s">
        <v>109</v>
      </c>
      <c r="C104" s="28" t="s">
        <v>22</v>
      </c>
      <c r="D104" s="34">
        <v>66.129000000000005</v>
      </c>
      <c r="E104" s="67"/>
      <c r="F104" s="67">
        <v>0.23</v>
      </c>
      <c r="G104" s="67"/>
      <c r="H104" s="67"/>
      <c r="I104" s="30">
        <v>15.209670000000001</v>
      </c>
      <c r="J104" s="67"/>
      <c r="K104" s="239"/>
      <c r="L104" s="239"/>
      <c r="M104" s="241"/>
    </row>
    <row r="105" spans="1:13" ht="15.75" customHeight="1" outlineLevel="1">
      <c r="A105" s="100" t="s">
        <v>181</v>
      </c>
      <c r="B105" s="66" t="s">
        <v>170</v>
      </c>
      <c r="C105" s="28" t="s">
        <v>95</v>
      </c>
      <c r="D105" s="34">
        <v>0.70350000000000001</v>
      </c>
      <c r="E105" s="67"/>
      <c r="F105" s="67">
        <v>48.8</v>
      </c>
      <c r="G105" s="67"/>
      <c r="H105" s="67"/>
      <c r="I105" s="30">
        <v>34.330799999999996</v>
      </c>
      <c r="J105" s="67"/>
      <c r="K105" s="239"/>
      <c r="L105" s="239"/>
      <c r="M105" s="241"/>
    </row>
    <row r="106" spans="1:13" ht="15.75" customHeight="1" outlineLevel="1">
      <c r="A106" s="100" t="s">
        <v>181</v>
      </c>
      <c r="B106" s="66" t="s">
        <v>171</v>
      </c>
      <c r="C106" s="28" t="s">
        <v>95</v>
      </c>
      <c r="D106" s="34">
        <v>9.8490000000000002</v>
      </c>
      <c r="E106" s="67"/>
      <c r="F106" s="67">
        <v>15</v>
      </c>
      <c r="G106" s="67"/>
      <c r="H106" s="67"/>
      <c r="I106" s="30">
        <v>147.73500000000001</v>
      </c>
      <c r="J106" s="67"/>
      <c r="K106" s="239"/>
      <c r="L106" s="239"/>
      <c r="M106" s="241"/>
    </row>
    <row r="107" spans="1:13" ht="15.75" customHeight="1" outlineLevel="1">
      <c r="A107" s="100" t="s">
        <v>181</v>
      </c>
      <c r="B107" s="66" t="s">
        <v>96</v>
      </c>
      <c r="C107" s="28" t="s">
        <v>29</v>
      </c>
      <c r="D107" s="34">
        <v>12.45195</v>
      </c>
      <c r="E107" s="67"/>
      <c r="F107" s="67">
        <v>0.71</v>
      </c>
      <c r="G107" s="67"/>
      <c r="H107" s="67"/>
      <c r="I107" s="30">
        <v>8.8408844999999996</v>
      </c>
      <c r="J107" s="67"/>
      <c r="K107" s="239"/>
      <c r="L107" s="239"/>
      <c r="M107" s="241"/>
    </row>
    <row r="108" spans="1:13" ht="15.75" customHeight="1" outlineLevel="1">
      <c r="A108" s="100" t="s">
        <v>181</v>
      </c>
      <c r="B108" s="66" t="s">
        <v>97</v>
      </c>
      <c r="C108" s="28" t="s">
        <v>29</v>
      </c>
      <c r="D108" s="34">
        <v>16.884</v>
      </c>
      <c r="E108" s="67"/>
      <c r="F108" s="67">
        <v>8.3000000000000007</v>
      </c>
      <c r="G108" s="67"/>
      <c r="H108" s="67"/>
      <c r="I108" s="30">
        <v>140.13720000000001</v>
      </c>
      <c r="J108" s="67"/>
      <c r="K108" s="239"/>
      <c r="L108" s="239"/>
      <c r="M108" s="241"/>
    </row>
    <row r="109" spans="1:13" ht="15.75" customHeight="1" outlineLevel="1">
      <c r="A109" s="100" t="s">
        <v>181</v>
      </c>
      <c r="B109" s="66" t="s">
        <v>108</v>
      </c>
      <c r="C109" s="28" t="s">
        <v>22</v>
      </c>
      <c r="D109" s="34">
        <v>9.8490000000000002</v>
      </c>
      <c r="E109" s="67"/>
      <c r="F109" s="67">
        <v>3.5</v>
      </c>
      <c r="G109" s="67"/>
      <c r="H109" s="67"/>
      <c r="I109" s="30">
        <v>34.471499999999999</v>
      </c>
      <c r="J109" s="67"/>
      <c r="K109" s="239"/>
      <c r="L109" s="239"/>
      <c r="M109" s="241"/>
    </row>
    <row r="110" spans="1:13" ht="15.75" customHeight="1" outlineLevel="1">
      <c r="A110" s="100" t="s">
        <v>181</v>
      </c>
      <c r="B110" s="66" t="s">
        <v>98</v>
      </c>
      <c r="C110" s="28" t="s">
        <v>99</v>
      </c>
      <c r="D110" s="34">
        <v>1.407</v>
      </c>
      <c r="E110" s="67"/>
      <c r="F110" s="67">
        <v>55.6</v>
      </c>
      <c r="G110" s="67"/>
      <c r="H110" s="67"/>
      <c r="I110" s="30">
        <v>78.229200000000006</v>
      </c>
      <c r="J110" s="67"/>
      <c r="K110" s="239"/>
      <c r="L110" s="239"/>
      <c r="M110" s="241"/>
    </row>
    <row r="111" spans="1:13" ht="31.5" customHeight="1">
      <c r="A111" s="162">
        <v>17</v>
      </c>
      <c r="B111" s="70" t="s">
        <v>262</v>
      </c>
      <c r="C111" s="8" t="s">
        <v>0</v>
      </c>
      <c r="D111" s="69">
        <v>14.9682</v>
      </c>
      <c r="E111" s="32">
        <v>860</v>
      </c>
      <c r="F111" s="33">
        <v>1860</v>
      </c>
      <c r="G111" s="33">
        <v>2720</v>
      </c>
      <c r="H111" s="33">
        <v>12872.652</v>
      </c>
      <c r="I111" s="33">
        <v>27840.851999999999</v>
      </c>
      <c r="J111" s="31">
        <v>40713.504000000001</v>
      </c>
      <c r="K111" s="239"/>
      <c r="L111" s="239"/>
      <c r="M111" s="241"/>
    </row>
    <row r="112" spans="1:13" ht="82.5" customHeight="1">
      <c r="A112" s="162">
        <v>18</v>
      </c>
      <c r="B112" s="70" t="s">
        <v>68</v>
      </c>
      <c r="C112" s="8" t="s">
        <v>0</v>
      </c>
      <c r="D112" s="69">
        <v>3.2117999999999984</v>
      </c>
      <c r="E112" s="32">
        <v>397.2</v>
      </c>
      <c r="F112" s="33">
        <v>659.47969999999998</v>
      </c>
      <c r="G112" s="33">
        <v>1056.6796999999999</v>
      </c>
      <c r="H112" s="33">
        <v>1275.7269599999993</v>
      </c>
      <c r="I112" s="33">
        <v>2118.1169004599988</v>
      </c>
      <c r="J112" s="31">
        <v>3393.8438604599978</v>
      </c>
      <c r="K112" s="239"/>
      <c r="L112" s="239"/>
      <c r="M112" s="241"/>
    </row>
    <row r="113" spans="1:13" ht="15.75" outlineLevel="1">
      <c r="A113" s="100" t="s">
        <v>181</v>
      </c>
      <c r="B113" s="66" t="s">
        <v>100</v>
      </c>
      <c r="C113" s="28" t="s">
        <v>0</v>
      </c>
      <c r="D113" s="34">
        <v>6.6484259999999962</v>
      </c>
      <c r="E113" s="67"/>
      <c r="F113" s="67">
        <v>124.62</v>
      </c>
      <c r="G113" s="67"/>
      <c r="H113" s="67"/>
      <c r="I113" s="30">
        <v>828.5268481199995</v>
      </c>
      <c r="J113" s="67"/>
      <c r="M113" s="241"/>
    </row>
    <row r="114" spans="1:13" ht="15.75" outlineLevel="1">
      <c r="A114" s="100" t="s">
        <v>181</v>
      </c>
      <c r="B114" s="66" t="s">
        <v>101</v>
      </c>
      <c r="C114" s="28" t="s">
        <v>29</v>
      </c>
      <c r="D114" s="34">
        <v>5.1388799999999977</v>
      </c>
      <c r="E114" s="67"/>
      <c r="F114" s="67">
        <v>34</v>
      </c>
      <c r="G114" s="67"/>
      <c r="H114" s="67"/>
      <c r="I114" s="30">
        <v>174.72191999999993</v>
      </c>
      <c r="J114" s="67"/>
      <c r="M114" s="241"/>
    </row>
    <row r="115" spans="1:13" ht="15.75" outlineLevel="1">
      <c r="A115" s="100" t="s">
        <v>181</v>
      </c>
      <c r="B115" s="66" t="s">
        <v>102</v>
      </c>
      <c r="C115" s="28" t="s">
        <v>29</v>
      </c>
      <c r="D115" s="34">
        <v>8.350679999999997</v>
      </c>
      <c r="E115" s="67"/>
      <c r="F115" s="67">
        <v>45.67</v>
      </c>
      <c r="G115" s="67"/>
      <c r="H115" s="67"/>
      <c r="I115" s="30">
        <v>381.37555559999987</v>
      </c>
      <c r="J115" s="67"/>
      <c r="M115" s="241"/>
    </row>
    <row r="116" spans="1:13" ht="15.75" outlineLevel="1">
      <c r="A116" s="100" t="s">
        <v>181</v>
      </c>
      <c r="B116" s="66" t="s">
        <v>104</v>
      </c>
      <c r="C116" s="28" t="s">
        <v>22</v>
      </c>
      <c r="D116" s="34">
        <v>122.04839999999994</v>
      </c>
      <c r="E116" s="67"/>
      <c r="F116" s="67">
        <v>0.24</v>
      </c>
      <c r="G116" s="67"/>
      <c r="H116" s="67"/>
      <c r="I116" s="30">
        <v>29.291615999999987</v>
      </c>
      <c r="J116" s="67"/>
      <c r="M116" s="241"/>
    </row>
    <row r="117" spans="1:13" ht="15.75" outlineLevel="1">
      <c r="A117" s="100" t="s">
        <v>181</v>
      </c>
      <c r="B117" s="66" t="s">
        <v>87</v>
      </c>
      <c r="C117" s="28" t="s">
        <v>22</v>
      </c>
      <c r="D117" s="34">
        <v>5.2352339999999975</v>
      </c>
      <c r="E117" s="67"/>
      <c r="F117" s="67">
        <v>0.6</v>
      </c>
      <c r="G117" s="67"/>
      <c r="H117" s="67"/>
      <c r="I117" s="30">
        <v>3.1411403999999985</v>
      </c>
      <c r="J117" s="67"/>
      <c r="M117" s="241"/>
    </row>
    <row r="118" spans="1:13" ht="15.75" outlineLevel="1">
      <c r="A118" s="100" t="s">
        <v>181</v>
      </c>
      <c r="B118" s="66" t="s">
        <v>109</v>
      </c>
      <c r="C118" s="28" t="s">
        <v>22</v>
      </c>
      <c r="D118" s="34">
        <v>15.095459999999994</v>
      </c>
      <c r="E118" s="67"/>
      <c r="F118" s="67">
        <v>0.23</v>
      </c>
      <c r="G118" s="67"/>
      <c r="H118" s="67"/>
      <c r="I118" s="30">
        <v>3.4719557999999986</v>
      </c>
      <c r="J118" s="67"/>
      <c r="M118" s="241"/>
    </row>
    <row r="119" spans="1:13" ht="15.75" outlineLevel="1">
      <c r="A119" s="100" t="s">
        <v>181</v>
      </c>
      <c r="B119" s="66" t="s">
        <v>170</v>
      </c>
      <c r="C119" s="28" t="s">
        <v>95</v>
      </c>
      <c r="D119" s="34">
        <v>0.32117999999999985</v>
      </c>
      <c r="E119" s="67"/>
      <c r="F119" s="67">
        <v>48.8</v>
      </c>
      <c r="G119" s="67"/>
      <c r="H119" s="67"/>
      <c r="I119" s="30">
        <v>15.673583999999993</v>
      </c>
      <c r="J119" s="67"/>
      <c r="M119" s="241"/>
    </row>
    <row r="120" spans="1:13" ht="15.75" outlineLevel="1">
      <c r="A120" s="100" t="s">
        <v>181</v>
      </c>
      <c r="B120" s="66" t="s">
        <v>171</v>
      </c>
      <c r="C120" s="28" t="s">
        <v>95</v>
      </c>
      <c r="D120" s="34">
        <v>2.473085999999999</v>
      </c>
      <c r="E120" s="67"/>
      <c r="F120" s="67">
        <v>15</v>
      </c>
      <c r="G120" s="67"/>
      <c r="H120" s="67"/>
      <c r="I120" s="30">
        <v>37.096289999999982</v>
      </c>
      <c r="J120" s="67"/>
      <c r="M120" s="241"/>
    </row>
    <row r="121" spans="1:13" ht="15.75" outlineLevel="1">
      <c r="A121" s="100" t="s">
        <v>181</v>
      </c>
      <c r="B121" s="66" t="s">
        <v>96</v>
      </c>
      <c r="C121" s="28" t="s">
        <v>29</v>
      </c>
      <c r="D121" s="34">
        <v>5.684885999999997</v>
      </c>
      <c r="E121" s="67"/>
      <c r="F121" s="67">
        <v>0.71</v>
      </c>
      <c r="G121" s="67"/>
      <c r="H121" s="67"/>
      <c r="I121" s="30">
        <v>4.0362690599999977</v>
      </c>
      <c r="J121" s="67"/>
      <c r="M121" s="241"/>
    </row>
    <row r="122" spans="1:13" ht="15.75" outlineLevel="1">
      <c r="A122" s="100" t="s">
        <v>181</v>
      </c>
      <c r="B122" s="66" t="s">
        <v>97</v>
      </c>
      <c r="C122" s="28" t="s">
        <v>29</v>
      </c>
      <c r="D122" s="34">
        <v>3.854159999999998</v>
      </c>
      <c r="E122" s="67"/>
      <c r="F122" s="67">
        <v>8.3000000000000007</v>
      </c>
      <c r="G122" s="67"/>
      <c r="H122" s="67"/>
      <c r="I122" s="30">
        <v>31.989527999999986</v>
      </c>
      <c r="J122" s="67"/>
      <c r="M122" s="241"/>
    </row>
    <row r="123" spans="1:13" ht="15.75" outlineLevel="1">
      <c r="A123" s="100" t="s">
        <v>181</v>
      </c>
      <c r="B123" s="66" t="s">
        <v>98</v>
      </c>
      <c r="C123" s="28" t="s">
        <v>99</v>
      </c>
      <c r="D123" s="34">
        <v>0.64235999999999971</v>
      </c>
      <c r="E123" s="67"/>
      <c r="F123" s="67">
        <v>55.6</v>
      </c>
      <c r="G123" s="67"/>
      <c r="H123" s="67"/>
      <c r="I123" s="30">
        <v>35.715215999999984</v>
      </c>
      <c r="J123" s="67"/>
      <c r="M123" s="241"/>
    </row>
    <row r="124" spans="1:13" ht="30" outlineLevel="1">
      <c r="A124" s="100" t="s">
        <v>181</v>
      </c>
      <c r="B124" s="66" t="s">
        <v>105</v>
      </c>
      <c r="C124" s="28" t="s">
        <v>0</v>
      </c>
      <c r="D124" s="37">
        <v>3.2760359999999986</v>
      </c>
      <c r="E124" s="67"/>
      <c r="F124" s="67">
        <v>174.93</v>
      </c>
      <c r="G124" s="67"/>
      <c r="H124" s="67"/>
      <c r="I124" s="30">
        <v>573.07697747999975</v>
      </c>
      <c r="J124" s="67"/>
      <c r="M124" s="242"/>
    </row>
    <row r="125" spans="1:13" ht="15.75" customHeight="1">
      <c r="A125" s="222" t="s">
        <v>116</v>
      </c>
      <c r="B125" s="223"/>
      <c r="C125" s="223"/>
      <c r="D125" s="223"/>
      <c r="E125" s="223"/>
      <c r="F125" s="223"/>
      <c r="G125" s="224"/>
      <c r="H125" s="67">
        <v>113947.231208</v>
      </c>
      <c r="I125" s="67">
        <v>128910.0168109448</v>
      </c>
      <c r="J125" s="67">
        <v>242857.24801894484</v>
      </c>
      <c r="M125" s="156"/>
    </row>
    <row r="126" spans="1:13" ht="21" customHeight="1">
      <c r="A126" s="225" t="s">
        <v>21</v>
      </c>
      <c r="B126" s="226"/>
      <c r="C126" s="226"/>
      <c r="D126" s="226"/>
      <c r="E126" s="226"/>
      <c r="F126" s="226"/>
      <c r="G126" s="226"/>
      <c r="H126" s="226"/>
      <c r="I126" s="226"/>
      <c r="J126" s="227"/>
      <c r="M126" s="156"/>
    </row>
    <row r="127" spans="1:13" ht="30">
      <c r="A127" s="162">
        <v>19</v>
      </c>
      <c r="B127" s="70" t="s">
        <v>42</v>
      </c>
      <c r="C127" s="8" t="s">
        <v>22</v>
      </c>
      <c r="D127" s="69">
        <v>2</v>
      </c>
      <c r="E127" s="32">
        <v>370</v>
      </c>
      <c r="F127" s="33">
        <v>0</v>
      </c>
      <c r="G127" s="33">
        <v>370</v>
      </c>
      <c r="H127" s="33">
        <v>740</v>
      </c>
      <c r="I127" s="33">
        <v>0</v>
      </c>
      <c r="J127" s="31">
        <v>740</v>
      </c>
      <c r="K127" s="235">
        <v>0</v>
      </c>
      <c r="L127" s="235">
        <v>5182.7413000000006</v>
      </c>
      <c r="M127" s="240">
        <v>1</v>
      </c>
    </row>
    <row r="128" spans="1:13" ht="24" customHeight="1">
      <c r="A128" s="162">
        <v>20</v>
      </c>
      <c r="B128" s="70" t="s">
        <v>44</v>
      </c>
      <c r="C128" s="8" t="s">
        <v>0</v>
      </c>
      <c r="D128" s="69">
        <v>19.774250000000002</v>
      </c>
      <c r="E128" s="32">
        <v>178</v>
      </c>
      <c r="F128" s="33">
        <v>0</v>
      </c>
      <c r="G128" s="33">
        <v>178</v>
      </c>
      <c r="H128" s="33">
        <v>3519.8165000000004</v>
      </c>
      <c r="I128" s="33">
        <v>0</v>
      </c>
      <c r="J128" s="31">
        <v>3519.8165000000004</v>
      </c>
      <c r="K128" s="236"/>
      <c r="L128" s="236"/>
      <c r="M128" s="241"/>
    </row>
    <row r="129" spans="1:13" ht="30">
      <c r="A129" s="162">
        <v>21</v>
      </c>
      <c r="B129" s="70" t="s">
        <v>209</v>
      </c>
      <c r="C129" s="8" t="s">
        <v>29</v>
      </c>
      <c r="D129" s="69">
        <v>9.81</v>
      </c>
      <c r="E129" s="32">
        <v>94.08</v>
      </c>
      <c r="F129" s="33">
        <v>0</v>
      </c>
      <c r="G129" s="33">
        <v>94.08</v>
      </c>
      <c r="H129" s="33">
        <v>922.9248</v>
      </c>
      <c r="I129" s="33">
        <v>0</v>
      </c>
      <c r="J129" s="31">
        <v>922.9248</v>
      </c>
      <c r="K129" s="236"/>
      <c r="L129" s="236"/>
      <c r="M129" s="241"/>
    </row>
    <row r="130" spans="1:13" ht="30">
      <c r="A130" s="162">
        <v>22</v>
      </c>
      <c r="B130" s="70" t="s">
        <v>263</v>
      </c>
      <c r="C130" s="8" t="s">
        <v>22</v>
      </c>
      <c r="D130" s="69">
        <v>1</v>
      </c>
      <c r="E130" s="32">
        <v>1490</v>
      </c>
      <c r="F130" s="33">
        <v>28705.98</v>
      </c>
      <c r="G130" s="33">
        <v>30195.98</v>
      </c>
      <c r="H130" s="33">
        <v>1490</v>
      </c>
      <c r="I130" s="33">
        <v>28705.98</v>
      </c>
      <c r="J130" s="31">
        <v>30195.98</v>
      </c>
      <c r="K130" s="235">
        <v>224716.13994999998</v>
      </c>
      <c r="L130" s="235">
        <v>266518.06474999996</v>
      </c>
      <c r="M130" s="241"/>
    </row>
    <row r="131" spans="1:13" ht="15.75" customHeight="1" outlineLevel="1">
      <c r="A131" s="100" t="s">
        <v>181</v>
      </c>
      <c r="B131" s="66" t="s">
        <v>115</v>
      </c>
      <c r="C131" s="28" t="s">
        <v>22</v>
      </c>
      <c r="D131" s="34">
        <v>1</v>
      </c>
      <c r="E131" s="67"/>
      <c r="F131" s="67">
        <v>28230</v>
      </c>
      <c r="G131" s="67"/>
      <c r="H131" s="67"/>
      <c r="I131" s="30">
        <v>28230</v>
      </c>
      <c r="J131" s="67"/>
      <c r="K131" s="236"/>
      <c r="L131" s="236"/>
      <c r="M131" s="241"/>
    </row>
    <row r="132" spans="1:13" s="101" customFormat="1" ht="15.75" customHeight="1" outlineLevel="1">
      <c r="A132" s="100" t="s">
        <v>181</v>
      </c>
      <c r="B132" s="66" t="s">
        <v>119</v>
      </c>
      <c r="C132" s="28" t="s">
        <v>22</v>
      </c>
      <c r="D132" s="37">
        <v>6</v>
      </c>
      <c r="E132" s="67"/>
      <c r="F132" s="67">
        <v>14</v>
      </c>
      <c r="G132" s="67"/>
      <c r="H132" s="67"/>
      <c r="I132" s="30">
        <v>84</v>
      </c>
      <c r="J132" s="67"/>
      <c r="K132" s="236"/>
      <c r="L132" s="236"/>
      <c r="M132" s="241"/>
    </row>
    <row r="133" spans="1:13" ht="15.75" customHeight="1" outlineLevel="1">
      <c r="A133" s="100" t="s">
        <v>181</v>
      </c>
      <c r="B133" s="66" t="s">
        <v>118</v>
      </c>
      <c r="C133" s="28" t="s">
        <v>117</v>
      </c>
      <c r="D133" s="34">
        <v>1</v>
      </c>
      <c r="E133" s="67"/>
      <c r="F133" s="67">
        <v>391.98</v>
      </c>
      <c r="G133" s="67"/>
      <c r="H133" s="67"/>
      <c r="I133" s="30">
        <v>391.98</v>
      </c>
      <c r="J133" s="67"/>
      <c r="K133" s="236"/>
      <c r="L133" s="236"/>
      <c r="M133" s="241"/>
    </row>
    <row r="134" spans="1:13" ht="17.25" customHeight="1">
      <c r="A134" s="162">
        <v>23</v>
      </c>
      <c r="B134" s="70" t="s">
        <v>113</v>
      </c>
      <c r="C134" s="8" t="s">
        <v>22</v>
      </c>
      <c r="D134" s="69">
        <v>3</v>
      </c>
      <c r="E134" s="32">
        <v>300</v>
      </c>
      <c r="F134" s="33">
        <v>1500</v>
      </c>
      <c r="G134" s="33">
        <v>1800</v>
      </c>
      <c r="H134" s="33">
        <v>900</v>
      </c>
      <c r="I134" s="33">
        <v>4500</v>
      </c>
      <c r="J134" s="31">
        <v>5400</v>
      </c>
      <c r="K134" s="236"/>
      <c r="L134" s="236"/>
      <c r="M134" s="241"/>
    </row>
    <row r="135" spans="1:13" ht="15.75" customHeight="1" outlineLevel="1">
      <c r="A135" s="100" t="s">
        <v>181</v>
      </c>
      <c r="B135" s="66" t="s">
        <v>114</v>
      </c>
      <c r="C135" s="28" t="s">
        <v>22</v>
      </c>
      <c r="D135" s="34">
        <v>3</v>
      </c>
      <c r="E135" s="67"/>
      <c r="F135" s="67">
        <v>1500</v>
      </c>
      <c r="G135" s="67"/>
      <c r="H135" s="67"/>
      <c r="I135" s="30">
        <v>4500</v>
      </c>
      <c r="J135" s="67"/>
      <c r="K135" s="236"/>
      <c r="L135" s="236"/>
      <c r="M135" s="241"/>
    </row>
    <row r="136" spans="1:13" ht="45">
      <c r="A136" s="162">
        <v>24</v>
      </c>
      <c r="B136" s="70" t="s">
        <v>70</v>
      </c>
      <c r="C136" s="8" t="s">
        <v>22</v>
      </c>
      <c r="D136" s="69">
        <v>2</v>
      </c>
      <c r="E136" s="32">
        <v>1490</v>
      </c>
      <c r="F136" s="33">
        <v>19435.98</v>
      </c>
      <c r="G136" s="33">
        <v>20925.98</v>
      </c>
      <c r="H136" s="33">
        <v>2980</v>
      </c>
      <c r="I136" s="33">
        <v>38871.96</v>
      </c>
      <c r="J136" s="31">
        <v>41851.96</v>
      </c>
      <c r="K136" s="236"/>
      <c r="L136" s="236"/>
      <c r="M136" s="241"/>
    </row>
    <row r="137" spans="1:13" s="101" customFormat="1" ht="30" customHeight="1" outlineLevel="1">
      <c r="A137" s="100" t="s">
        <v>181</v>
      </c>
      <c r="B137" s="66" t="s">
        <v>124</v>
      </c>
      <c r="C137" s="28" t="s">
        <v>22</v>
      </c>
      <c r="D137" s="37">
        <v>2</v>
      </c>
      <c r="E137" s="67"/>
      <c r="F137" s="67">
        <v>18960</v>
      </c>
      <c r="G137" s="67"/>
      <c r="H137" s="67"/>
      <c r="I137" s="30">
        <v>37920</v>
      </c>
      <c r="J137" s="67"/>
      <c r="K137" s="236"/>
      <c r="L137" s="236"/>
      <c r="M137" s="241"/>
    </row>
    <row r="138" spans="1:13" s="101" customFormat="1" ht="15.75" customHeight="1" outlineLevel="1">
      <c r="A138" s="100" t="s">
        <v>181</v>
      </c>
      <c r="B138" s="66" t="s">
        <v>119</v>
      </c>
      <c r="C138" s="28" t="s">
        <v>22</v>
      </c>
      <c r="D138" s="37">
        <v>12</v>
      </c>
      <c r="E138" s="67"/>
      <c r="F138" s="67">
        <v>14</v>
      </c>
      <c r="G138" s="67"/>
      <c r="H138" s="67"/>
      <c r="I138" s="30">
        <v>168</v>
      </c>
      <c r="J138" s="67"/>
      <c r="K138" s="236"/>
      <c r="L138" s="236"/>
      <c r="M138" s="241"/>
    </row>
    <row r="139" spans="1:13" ht="15.75" customHeight="1" outlineLevel="1">
      <c r="A139" s="100" t="s">
        <v>181</v>
      </c>
      <c r="B139" s="66" t="s">
        <v>118</v>
      </c>
      <c r="C139" s="28" t="s">
        <v>117</v>
      </c>
      <c r="D139" s="34">
        <v>2</v>
      </c>
      <c r="E139" s="67"/>
      <c r="F139" s="67">
        <v>391.98</v>
      </c>
      <c r="G139" s="67"/>
      <c r="H139" s="67"/>
      <c r="I139" s="30">
        <v>783.96</v>
      </c>
      <c r="J139" s="67"/>
      <c r="K139" s="236"/>
      <c r="L139" s="236"/>
      <c r="M139" s="241"/>
    </row>
    <row r="140" spans="1:13" ht="30">
      <c r="A140" s="162">
        <v>25</v>
      </c>
      <c r="B140" s="70" t="s">
        <v>71</v>
      </c>
      <c r="C140" s="8" t="s">
        <v>22</v>
      </c>
      <c r="D140" s="69">
        <v>8</v>
      </c>
      <c r="E140" s="32">
        <v>1940</v>
      </c>
      <c r="F140" s="33">
        <v>9239</v>
      </c>
      <c r="G140" s="33">
        <v>11179</v>
      </c>
      <c r="H140" s="33">
        <v>15520</v>
      </c>
      <c r="I140" s="33">
        <v>73912</v>
      </c>
      <c r="J140" s="31">
        <v>89432</v>
      </c>
      <c r="K140" s="236"/>
      <c r="L140" s="236"/>
      <c r="M140" s="241"/>
    </row>
    <row r="141" spans="1:13" s="101" customFormat="1" ht="15.75" customHeight="1" outlineLevel="1">
      <c r="A141" s="100" t="s">
        <v>181</v>
      </c>
      <c r="B141" s="66" t="s">
        <v>120</v>
      </c>
      <c r="C141" s="28" t="s">
        <v>22</v>
      </c>
      <c r="D141" s="37">
        <v>8</v>
      </c>
      <c r="E141" s="67"/>
      <c r="F141" s="67">
        <v>8960</v>
      </c>
      <c r="G141" s="67"/>
      <c r="H141" s="67"/>
      <c r="I141" s="30">
        <v>71680</v>
      </c>
      <c r="J141" s="67"/>
      <c r="K141" s="236"/>
      <c r="L141" s="236"/>
      <c r="M141" s="241"/>
    </row>
    <row r="142" spans="1:13" s="101" customFormat="1" ht="15.75" customHeight="1" outlineLevel="1">
      <c r="A142" s="100" t="s">
        <v>181</v>
      </c>
      <c r="B142" s="66" t="s">
        <v>119</v>
      </c>
      <c r="C142" s="28" t="s">
        <v>22</v>
      </c>
      <c r="D142" s="37">
        <v>48</v>
      </c>
      <c r="E142" s="67"/>
      <c r="F142" s="67">
        <v>14</v>
      </c>
      <c r="G142" s="67"/>
      <c r="H142" s="67"/>
      <c r="I142" s="30">
        <v>672</v>
      </c>
      <c r="J142" s="67"/>
      <c r="K142" s="236"/>
      <c r="L142" s="236"/>
      <c r="M142" s="241"/>
    </row>
    <row r="143" spans="1:13" ht="15.75" customHeight="1" outlineLevel="1">
      <c r="A143" s="100" t="s">
        <v>181</v>
      </c>
      <c r="B143" s="66" t="s">
        <v>328</v>
      </c>
      <c r="C143" s="28" t="s">
        <v>117</v>
      </c>
      <c r="D143" s="34">
        <v>8</v>
      </c>
      <c r="E143" s="67"/>
      <c r="F143" s="67">
        <v>195</v>
      </c>
      <c r="G143" s="67"/>
      <c r="H143" s="67"/>
      <c r="I143" s="30">
        <v>1560</v>
      </c>
      <c r="J143" s="67"/>
      <c r="K143" s="236"/>
      <c r="L143" s="236"/>
      <c r="M143" s="241"/>
    </row>
    <row r="144" spans="1:13">
      <c r="A144" s="162">
        <v>26</v>
      </c>
      <c r="B144" s="70" t="s">
        <v>123</v>
      </c>
      <c r="C144" s="8" t="s">
        <v>29</v>
      </c>
      <c r="D144" s="8">
        <v>16.200000000000003</v>
      </c>
      <c r="E144" s="32">
        <v>69.12</v>
      </c>
      <c r="F144" s="33">
        <v>230.99399999999997</v>
      </c>
      <c r="G144" s="33">
        <v>300.11399999999998</v>
      </c>
      <c r="H144" s="33">
        <v>1119.7440000000004</v>
      </c>
      <c r="I144" s="33">
        <v>3742.1028000000001</v>
      </c>
      <c r="J144" s="31">
        <v>4861.8468000000003</v>
      </c>
      <c r="K144" s="236"/>
      <c r="L144" s="236"/>
      <c r="M144" s="241"/>
    </row>
    <row r="145" spans="1:13" s="101" customFormat="1" ht="15.75" customHeight="1" outlineLevel="1">
      <c r="A145" s="100" t="s">
        <v>181</v>
      </c>
      <c r="B145" s="66" t="s">
        <v>188</v>
      </c>
      <c r="C145" s="28" t="s">
        <v>29</v>
      </c>
      <c r="D145" s="37">
        <v>17.334000000000003</v>
      </c>
      <c r="E145" s="67"/>
      <c r="F145" s="67">
        <v>214.2</v>
      </c>
      <c r="G145" s="67"/>
      <c r="H145" s="67"/>
      <c r="I145" s="30">
        <v>3712.9428000000003</v>
      </c>
      <c r="J145" s="67"/>
      <c r="K145" s="236"/>
      <c r="L145" s="236"/>
      <c r="M145" s="241"/>
    </row>
    <row r="146" spans="1:13" s="101" customFormat="1" ht="15.75" customHeight="1" outlineLevel="1">
      <c r="A146" s="100" t="s">
        <v>181</v>
      </c>
      <c r="B146" s="66" t="s">
        <v>87</v>
      </c>
      <c r="C146" s="28" t="s">
        <v>22</v>
      </c>
      <c r="D146" s="38">
        <v>48.600000000000009</v>
      </c>
      <c r="E146" s="67"/>
      <c r="F146" s="67">
        <v>0.6</v>
      </c>
      <c r="G146" s="67"/>
      <c r="H146" s="67"/>
      <c r="I146" s="30">
        <v>29.160000000000004</v>
      </c>
      <c r="J146" s="67"/>
      <c r="K146" s="236"/>
      <c r="L146" s="236"/>
      <c r="M146" s="241"/>
    </row>
    <row r="147" spans="1:13">
      <c r="A147" s="162">
        <v>27</v>
      </c>
      <c r="B147" s="70" t="s">
        <v>121</v>
      </c>
      <c r="C147" s="8" t="s">
        <v>29</v>
      </c>
      <c r="D147" s="8">
        <v>43.2</v>
      </c>
      <c r="E147" s="32">
        <v>69.12</v>
      </c>
      <c r="F147" s="33">
        <v>142.44</v>
      </c>
      <c r="G147" s="33">
        <v>211.56</v>
      </c>
      <c r="H147" s="33">
        <v>2985.9840000000004</v>
      </c>
      <c r="I147" s="33">
        <v>6153.4080000000004</v>
      </c>
      <c r="J147" s="31">
        <v>9139.3919999999998</v>
      </c>
      <c r="K147" s="236"/>
      <c r="L147" s="236"/>
      <c r="M147" s="241"/>
    </row>
    <row r="148" spans="1:13" s="101" customFormat="1" ht="15.75" customHeight="1" outlineLevel="1">
      <c r="A148" s="100" t="s">
        <v>181</v>
      </c>
      <c r="B148" s="66" t="s">
        <v>122</v>
      </c>
      <c r="C148" s="28" t="s">
        <v>29</v>
      </c>
      <c r="D148" s="37">
        <v>46.224000000000004</v>
      </c>
      <c r="E148" s="67"/>
      <c r="F148" s="67">
        <v>132</v>
      </c>
      <c r="G148" s="67"/>
      <c r="H148" s="67"/>
      <c r="I148" s="30">
        <v>6101.5680000000002</v>
      </c>
      <c r="J148" s="67"/>
      <c r="K148" s="236"/>
      <c r="L148" s="236"/>
      <c r="M148" s="241"/>
    </row>
    <row r="149" spans="1:13" s="101" customFormat="1" ht="15.75" customHeight="1" outlineLevel="1">
      <c r="A149" s="100" t="s">
        <v>181</v>
      </c>
      <c r="B149" s="66" t="s">
        <v>87</v>
      </c>
      <c r="C149" s="28" t="s">
        <v>22</v>
      </c>
      <c r="D149" s="38">
        <v>86.4</v>
      </c>
      <c r="E149" s="67"/>
      <c r="F149" s="67">
        <v>0.6</v>
      </c>
      <c r="G149" s="67"/>
      <c r="H149" s="67"/>
      <c r="I149" s="30">
        <v>51.84</v>
      </c>
      <c r="J149" s="67"/>
      <c r="K149" s="236"/>
      <c r="L149" s="236"/>
      <c r="M149" s="241"/>
    </row>
    <row r="150" spans="1:13">
      <c r="A150" s="162">
        <v>28</v>
      </c>
      <c r="B150" s="70" t="s">
        <v>43</v>
      </c>
      <c r="C150" s="8" t="s">
        <v>0</v>
      </c>
      <c r="D150" s="69">
        <v>18.597750000000001</v>
      </c>
      <c r="E150" s="32">
        <v>787.2</v>
      </c>
      <c r="F150" s="33">
        <v>3389</v>
      </c>
      <c r="G150" s="33">
        <v>4176.2</v>
      </c>
      <c r="H150" s="33">
        <v>14640.148800000003</v>
      </c>
      <c r="I150" s="33">
        <v>60451.845000000001</v>
      </c>
      <c r="J150" s="31">
        <v>75091.993799999997</v>
      </c>
      <c r="K150" s="236"/>
      <c r="L150" s="236"/>
      <c r="M150" s="241"/>
    </row>
    <row r="151" spans="1:13" s="101" customFormat="1" ht="15.75" customHeight="1" outlineLevel="1">
      <c r="A151" s="100" t="s">
        <v>181</v>
      </c>
      <c r="B151" s="66" t="s">
        <v>125</v>
      </c>
      <c r="C151" s="28" t="s">
        <v>0</v>
      </c>
      <c r="D151" s="37">
        <v>18.597750000000001</v>
      </c>
      <c r="E151" s="67"/>
      <c r="F151" s="67">
        <v>3180</v>
      </c>
      <c r="G151" s="67"/>
      <c r="H151" s="67"/>
      <c r="I151" s="30">
        <v>59140.845000000001</v>
      </c>
      <c r="J151" s="67"/>
      <c r="K151" s="236"/>
      <c r="L151" s="236"/>
      <c r="M151" s="241"/>
    </row>
    <row r="152" spans="1:13" s="101" customFormat="1" ht="15.75" customHeight="1" outlineLevel="1">
      <c r="A152" s="100" t="s">
        <v>181</v>
      </c>
      <c r="B152" s="66" t="s">
        <v>119</v>
      </c>
      <c r="C152" s="28" t="s">
        <v>22</v>
      </c>
      <c r="D152" s="37">
        <v>24</v>
      </c>
      <c r="E152" s="67"/>
      <c r="F152" s="67">
        <v>14</v>
      </c>
      <c r="G152" s="67"/>
      <c r="H152" s="67"/>
      <c r="I152" s="30">
        <v>336</v>
      </c>
      <c r="J152" s="67"/>
      <c r="K152" s="236"/>
      <c r="L152" s="236"/>
      <c r="M152" s="241"/>
    </row>
    <row r="153" spans="1:13" ht="15.75" customHeight="1" outlineLevel="1">
      <c r="A153" s="100" t="s">
        <v>181</v>
      </c>
      <c r="B153" s="66" t="s">
        <v>328</v>
      </c>
      <c r="C153" s="28" t="s">
        <v>117</v>
      </c>
      <c r="D153" s="37">
        <v>5</v>
      </c>
      <c r="E153" s="67"/>
      <c r="F153" s="67">
        <v>195</v>
      </c>
      <c r="G153" s="67"/>
      <c r="H153" s="67"/>
      <c r="I153" s="30">
        <v>975</v>
      </c>
      <c r="J153" s="67"/>
      <c r="K153" s="236"/>
      <c r="L153" s="236"/>
      <c r="M153" s="241"/>
    </row>
    <row r="154" spans="1:13" ht="30">
      <c r="A154" s="162">
        <v>29</v>
      </c>
      <c r="B154" s="70" t="s">
        <v>45</v>
      </c>
      <c r="C154" s="8" t="s">
        <v>29</v>
      </c>
      <c r="D154" s="69">
        <v>9.81</v>
      </c>
      <c r="E154" s="32">
        <v>220.8</v>
      </c>
      <c r="F154" s="33">
        <v>854.11255351681962</v>
      </c>
      <c r="G154" s="33">
        <v>1074.9125535168196</v>
      </c>
      <c r="H154" s="33">
        <v>2166.0480000000002</v>
      </c>
      <c r="I154" s="33">
        <v>8378.8441500000008</v>
      </c>
      <c r="J154" s="31">
        <v>10544.892150000001</v>
      </c>
      <c r="K154" s="236"/>
      <c r="L154" s="236"/>
      <c r="M154" s="241"/>
    </row>
    <row r="155" spans="1:13" s="101" customFormat="1" ht="15.75" outlineLevel="1">
      <c r="A155" s="100" t="s">
        <v>181</v>
      </c>
      <c r="B155" s="66" t="s">
        <v>264</v>
      </c>
      <c r="C155" s="28" t="s">
        <v>29</v>
      </c>
      <c r="D155" s="37">
        <v>10.1043</v>
      </c>
      <c r="E155" s="67"/>
      <c r="F155" s="67">
        <v>695.5</v>
      </c>
      <c r="G155" s="67"/>
      <c r="H155" s="67"/>
      <c r="I155" s="30">
        <v>7027.5406499999999</v>
      </c>
      <c r="J155" s="67"/>
      <c r="K155" s="146"/>
      <c r="M155" s="241"/>
    </row>
    <row r="156" spans="1:13" s="101" customFormat="1" ht="15.75" outlineLevel="1">
      <c r="A156" s="100" t="s">
        <v>181</v>
      </c>
      <c r="B156" s="66" t="s">
        <v>127</v>
      </c>
      <c r="C156" s="28" t="s">
        <v>22</v>
      </c>
      <c r="D156" s="37">
        <v>3</v>
      </c>
      <c r="E156" s="67"/>
      <c r="F156" s="67">
        <v>34</v>
      </c>
      <c r="G156" s="67"/>
      <c r="H156" s="67"/>
      <c r="I156" s="30">
        <v>102</v>
      </c>
      <c r="J156" s="67"/>
      <c r="M156" s="241"/>
    </row>
    <row r="157" spans="1:13" s="101" customFormat="1" ht="15.75" outlineLevel="1">
      <c r="A157" s="100" t="s">
        <v>181</v>
      </c>
      <c r="B157" s="66" t="s">
        <v>328</v>
      </c>
      <c r="C157" s="28" t="s">
        <v>22</v>
      </c>
      <c r="D157" s="37">
        <v>3.2373000000000003</v>
      </c>
      <c r="E157" s="67"/>
      <c r="F157" s="67">
        <v>195</v>
      </c>
      <c r="G157" s="67"/>
      <c r="H157" s="67"/>
      <c r="I157" s="30">
        <v>631.27350000000001</v>
      </c>
      <c r="J157" s="67"/>
      <c r="M157" s="241"/>
    </row>
    <row r="158" spans="1:13" ht="15.75" customHeight="1" outlineLevel="1">
      <c r="A158" s="100" t="s">
        <v>181</v>
      </c>
      <c r="B158" s="66" t="s">
        <v>126</v>
      </c>
      <c r="C158" s="28" t="s">
        <v>117</v>
      </c>
      <c r="D158" s="38">
        <v>2.9430000000000001</v>
      </c>
      <c r="E158" s="67"/>
      <c r="F158" s="67">
        <v>210</v>
      </c>
      <c r="G158" s="67"/>
      <c r="H158" s="67"/>
      <c r="I158" s="30">
        <v>618.03</v>
      </c>
      <c r="J158" s="67"/>
      <c r="K158" s="147"/>
      <c r="L158" s="148"/>
      <c r="M158" s="242"/>
    </row>
    <row r="159" spans="1:13" ht="15.75" customHeight="1">
      <c r="A159" s="222" t="s">
        <v>116</v>
      </c>
      <c r="B159" s="223"/>
      <c r="C159" s="223"/>
      <c r="D159" s="223"/>
      <c r="E159" s="223"/>
      <c r="F159" s="223"/>
      <c r="G159" s="224"/>
      <c r="H159" s="67">
        <v>46984.666100000002</v>
      </c>
      <c r="I159" s="67">
        <v>224716.13994999998</v>
      </c>
      <c r="J159" s="67">
        <v>271700.80604999996</v>
      </c>
      <c r="K159" s="147"/>
      <c r="L159" s="148"/>
      <c r="M159" s="158"/>
    </row>
    <row r="160" spans="1:13" ht="21" customHeight="1">
      <c r="A160" s="225" t="s">
        <v>27</v>
      </c>
      <c r="B160" s="226"/>
      <c r="C160" s="226"/>
      <c r="D160" s="226"/>
      <c r="E160" s="226"/>
      <c r="F160" s="226"/>
      <c r="G160" s="226"/>
      <c r="H160" s="226"/>
      <c r="I160" s="226"/>
      <c r="J160" s="227"/>
      <c r="M160" s="156"/>
    </row>
    <row r="161" spans="1:13">
      <c r="A161" s="162">
        <v>30</v>
      </c>
      <c r="B161" s="70" t="s">
        <v>212</v>
      </c>
      <c r="C161" s="8" t="s">
        <v>0</v>
      </c>
      <c r="D161" s="69">
        <v>29.630000000000003</v>
      </c>
      <c r="E161" s="32">
        <v>78.72</v>
      </c>
      <c r="F161" s="33">
        <v>0</v>
      </c>
      <c r="G161" s="33">
        <v>78.72</v>
      </c>
      <c r="H161" s="33">
        <v>2332.4736000000003</v>
      </c>
      <c r="I161" s="33">
        <v>0</v>
      </c>
      <c r="J161" s="31">
        <v>2332.4736000000003</v>
      </c>
      <c r="K161" s="235">
        <v>0</v>
      </c>
      <c r="L161" s="235">
        <v>12194.745600000002</v>
      </c>
      <c r="M161" s="240">
        <v>1</v>
      </c>
    </row>
    <row r="162" spans="1:13">
      <c r="A162" s="162">
        <v>31</v>
      </c>
      <c r="B162" s="70" t="s">
        <v>213</v>
      </c>
      <c r="C162" s="8" t="s">
        <v>0</v>
      </c>
      <c r="D162" s="69">
        <v>183.45000000000002</v>
      </c>
      <c r="E162" s="32">
        <v>53.76</v>
      </c>
      <c r="F162" s="33">
        <v>0</v>
      </c>
      <c r="G162" s="33">
        <v>53.76</v>
      </c>
      <c r="H162" s="33">
        <v>9862.2720000000008</v>
      </c>
      <c r="I162" s="33">
        <v>0</v>
      </c>
      <c r="J162" s="31">
        <v>9862.2720000000008</v>
      </c>
      <c r="K162" s="236"/>
      <c r="L162" s="236"/>
      <c r="M162" s="241"/>
    </row>
    <row r="163" spans="1:13">
      <c r="A163" s="162">
        <v>32</v>
      </c>
      <c r="B163" s="70" t="s">
        <v>46</v>
      </c>
      <c r="C163" s="8" t="s">
        <v>0</v>
      </c>
      <c r="D163" s="69">
        <v>12.309750000000001</v>
      </c>
      <c r="E163" s="32">
        <v>480</v>
      </c>
      <c r="F163" s="33">
        <v>202.32072031316639</v>
      </c>
      <c r="G163" s="33">
        <v>682.32072031316636</v>
      </c>
      <c r="H163" s="33">
        <v>5908.68</v>
      </c>
      <c r="I163" s="33">
        <v>2490.517486875</v>
      </c>
      <c r="J163" s="31">
        <v>8399.1974868750003</v>
      </c>
      <c r="K163" s="235">
        <v>74724.052986875002</v>
      </c>
      <c r="L163" s="235">
        <v>152777.23298687499</v>
      </c>
      <c r="M163" s="241"/>
    </row>
    <row r="164" spans="1:13" s="101" customFormat="1" ht="15.75" customHeight="1" outlineLevel="1">
      <c r="A164" s="100" t="s">
        <v>181</v>
      </c>
      <c r="B164" s="66" t="s">
        <v>100</v>
      </c>
      <c r="C164" s="28" t="s">
        <v>0</v>
      </c>
      <c r="D164" s="37">
        <v>15.387187500000001</v>
      </c>
      <c r="E164" s="67"/>
      <c r="F164" s="67">
        <v>124.62</v>
      </c>
      <c r="G164" s="67"/>
      <c r="H164" s="67"/>
      <c r="I164" s="30">
        <v>1917.5513062500002</v>
      </c>
      <c r="J164" s="67"/>
      <c r="K164" s="236"/>
      <c r="L164" s="236"/>
      <c r="M164" s="241"/>
    </row>
    <row r="165" spans="1:13" s="101" customFormat="1" ht="15.75" customHeight="1" outlineLevel="1">
      <c r="A165" s="100" t="s">
        <v>181</v>
      </c>
      <c r="B165" s="66" t="s">
        <v>94</v>
      </c>
      <c r="C165" s="28" t="s">
        <v>95</v>
      </c>
      <c r="D165" s="37">
        <v>3.0774375000000003</v>
      </c>
      <c r="E165" s="67"/>
      <c r="F165" s="67">
        <v>15</v>
      </c>
      <c r="G165" s="67"/>
      <c r="H165" s="67"/>
      <c r="I165" s="30">
        <v>46.161562500000002</v>
      </c>
      <c r="J165" s="67"/>
      <c r="K165" s="236"/>
      <c r="L165" s="236"/>
      <c r="M165" s="241"/>
    </row>
    <row r="166" spans="1:13" s="101" customFormat="1" ht="15.75" customHeight="1" outlineLevel="1">
      <c r="A166" s="100" t="s">
        <v>181</v>
      </c>
      <c r="B166" s="66" t="s">
        <v>96</v>
      </c>
      <c r="C166" s="28" t="s">
        <v>29</v>
      </c>
      <c r="D166" s="37">
        <v>9.2323125000000008</v>
      </c>
      <c r="E166" s="67"/>
      <c r="F166" s="67">
        <v>0.71</v>
      </c>
      <c r="G166" s="67"/>
      <c r="H166" s="67"/>
      <c r="I166" s="30">
        <v>6.5549418749999999</v>
      </c>
      <c r="J166" s="67"/>
      <c r="K166" s="236"/>
      <c r="L166" s="236"/>
      <c r="M166" s="241"/>
    </row>
    <row r="167" spans="1:13" s="101" customFormat="1" ht="15.75" customHeight="1" outlineLevel="1">
      <c r="A167" s="100" t="s">
        <v>181</v>
      </c>
      <c r="B167" s="66" t="s">
        <v>128</v>
      </c>
      <c r="C167" s="28" t="s">
        <v>95</v>
      </c>
      <c r="D167" s="37">
        <v>43.084125</v>
      </c>
      <c r="E167" s="67"/>
      <c r="F167" s="67">
        <v>11.17</v>
      </c>
      <c r="G167" s="67"/>
      <c r="H167" s="67"/>
      <c r="I167" s="30">
        <v>481.24967624999999</v>
      </c>
      <c r="J167" s="67"/>
      <c r="K167" s="236"/>
      <c r="L167" s="236"/>
      <c r="M167" s="241"/>
    </row>
    <row r="168" spans="1:13" s="101" customFormat="1" ht="15.75" customHeight="1" outlineLevel="1">
      <c r="A168" s="100" t="s">
        <v>181</v>
      </c>
      <c r="B168" s="66" t="s">
        <v>328</v>
      </c>
      <c r="C168" s="28" t="s">
        <v>117</v>
      </c>
      <c r="D168" s="37">
        <v>0.2</v>
      </c>
      <c r="E168" s="67"/>
      <c r="F168" s="67">
        <v>195</v>
      </c>
      <c r="G168" s="67"/>
      <c r="H168" s="67"/>
      <c r="I168" s="30">
        <v>39</v>
      </c>
      <c r="J168" s="67"/>
      <c r="K168" s="236"/>
      <c r="L168" s="236"/>
      <c r="M168" s="241"/>
    </row>
    <row r="169" spans="1:13" ht="30">
      <c r="A169" s="162">
        <v>33</v>
      </c>
      <c r="B169" s="70" t="s">
        <v>50</v>
      </c>
      <c r="C169" s="8" t="s">
        <v>0</v>
      </c>
      <c r="D169" s="69">
        <v>183.45000000000002</v>
      </c>
      <c r="E169" s="32">
        <v>24</v>
      </c>
      <c r="F169" s="33">
        <v>19.949999999999996</v>
      </c>
      <c r="G169" s="33">
        <v>43.949999999999996</v>
      </c>
      <c r="H169" s="33">
        <v>4402.8</v>
      </c>
      <c r="I169" s="33">
        <v>3659.8274999999999</v>
      </c>
      <c r="J169" s="31">
        <v>8062.6275000000005</v>
      </c>
      <c r="K169" s="236"/>
      <c r="L169" s="236"/>
      <c r="M169" s="241"/>
    </row>
    <row r="170" spans="1:13" ht="15.75" customHeight="1" outlineLevel="1">
      <c r="A170" s="100" t="s">
        <v>181</v>
      </c>
      <c r="B170" s="66" t="s">
        <v>129</v>
      </c>
      <c r="C170" s="28" t="s">
        <v>95</v>
      </c>
      <c r="D170" s="34">
        <v>64.207499999999996</v>
      </c>
      <c r="E170" s="67"/>
      <c r="F170" s="67">
        <v>57</v>
      </c>
      <c r="G170" s="67"/>
      <c r="H170" s="67"/>
      <c r="I170" s="30">
        <v>3659.8274999999999</v>
      </c>
      <c r="J170" s="67"/>
      <c r="K170" s="236"/>
      <c r="L170" s="236"/>
      <c r="M170" s="241"/>
    </row>
    <row r="171" spans="1:13" ht="30">
      <c r="A171" s="162">
        <v>34</v>
      </c>
      <c r="B171" s="70" t="s">
        <v>368</v>
      </c>
      <c r="C171" s="8" t="s">
        <v>0</v>
      </c>
      <c r="D171" s="69">
        <v>183.45000000000002</v>
      </c>
      <c r="E171" s="32">
        <v>340</v>
      </c>
      <c r="F171" s="33">
        <v>369.59999999999997</v>
      </c>
      <c r="G171" s="33">
        <v>709.59999999999991</v>
      </c>
      <c r="H171" s="33">
        <v>62373.000000000007</v>
      </c>
      <c r="I171" s="33">
        <v>67803.12</v>
      </c>
      <c r="J171" s="31">
        <v>130176.12</v>
      </c>
      <c r="K171" s="236"/>
      <c r="L171" s="236"/>
      <c r="M171" s="241"/>
    </row>
    <row r="172" spans="1:13" s="101" customFormat="1" ht="15.75" customHeight="1" outlineLevel="1">
      <c r="A172" s="100" t="s">
        <v>181</v>
      </c>
      <c r="B172" s="66" t="s">
        <v>139</v>
      </c>
      <c r="C172" s="28" t="s">
        <v>95</v>
      </c>
      <c r="D172" s="37">
        <v>6053.85</v>
      </c>
      <c r="E172" s="67"/>
      <c r="F172" s="67">
        <v>11.2</v>
      </c>
      <c r="G172" s="67"/>
      <c r="H172" s="67"/>
      <c r="I172" s="30">
        <v>67803.12</v>
      </c>
      <c r="J172" s="67"/>
      <c r="K172" s="236"/>
      <c r="L172" s="236"/>
      <c r="M172" s="241"/>
    </row>
    <row r="173" spans="1:13" ht="30">
      <c r="A173" s="162">
        <v>35</v>
      </c>
      <c r="B173" s="70" t="s">
        <v>369</v>
      </c>
      <c r="C173" s="8" t="s">
        <v>0</v>
      </c>
      <c r="D173" s="69">
        <v>1.2925</v>
      </c>
      <c r="E173" s="32">
        <v>440</v>
      </c>
      <c r="F173" s="33">
        <v>145.59999999999997</v>
      </c>
      <c r="G173" s="33">
        <v>585.59999999999991</v>
      </c>
      <c r="H173" s="33">
        <v>568.70000000000005</v>
      </c>
      <c r="I173" s="33">
        <v>188.18799999999996</v>
      </c>
      <c r="J173" s="31">
        <v>756.88800000000003</v>
      </c>
      <c r="K173" s="236"/>
      <c r="L173" s="236"/>
      <c r="M173" s="241"/>
    </row>
    <row r="174" spans="1:13" s="101" customFormat="1" ht="15.75" customHeight="1" outlineLevel="1">
      <c r="A174" s="100" t="s">
        <v>181</v>
      </c>
      <c r="B174" s="66" t="s">
        <v>139</v>
      </c>
      <c r="C174" s="28" t="s">
        <v>95</v>
      </c>
      <c r="D174" s="37">
        <v>16.802499999999998</v>
      </c>
      <c r="E174" s="67"/>
      <c r="F174" s="67">
        <v>11.2</v>
      </c>
      <c r="G174" s="67"/>
      <c r="H174" s="67"/>
      <c r="I174" s="30">
        <v>188.18799999999996</v>
      </c>
      <c r="J174" s="67"/>
      <c r="K174" s="236"/>
      <c r="L174" s="236"/>
      <c r="M174" s="241"/>
    </row>
    <row r="175" spans="1:13" ht="30">
      <c r="A175" s="162">
        <v>36</v>
      </c>
      <c r="B175" s="70" t="s">
        <v>370</v>
      </c>
      <c r="C175" s="8" t="s">
        <v>29</v>
      </c>
      <c r="D175" s="69">
        <v>40</v>
      </c>
      <c r="E175" s="32">
        <v>120</v>
      </c>
      <c r="F175" s="33">
        <v>14.559999999999999</v>
      </c>
      <c r="G175" s="33">
        <v>134.56</v>
      </c>
      <c r="H175" s="33">
        <v>4800</v>
      </c>
      <c r="I175" s="33">
        <v>582.4</v>
      </c>
      <c r="J175" s="31">
        <v>5382.4</v>
      </c>
      <c r="K175" s="236"/>
      <c r="L175" s="236"/>
      <c r="M175" s="241"/>
    </row>
    <row r="176" spans="1:13" s="101" customFormat="1" ht="15.75" outlineLevel="1">
      <c r="A176" s="100" t="s">
        <v>181</v>
      </c>
      <c r="B176" s="66" t="s">
        <v>139</v>
      </c>
      <c r="C176" s="28" t="s">
        <v>95</v>
      </c>
      <c r="D176" s="37">
        <v>52</v>
      </c>
      <c r="E176" s="67"/>
      <c r="F176" s="67">
        <v>11.2</v>
      </c>
      <c r="G176" s="67"/>
      <c r="H176" s="67"/>
      <c r="I176" s="30">
        <v>582.4</v>
      </c>
      <c r="J176" s="67"/>
      <c r="M176" s="242"/>
    </row>
    <row r="177" spans="1:13" ht="45" customHeight="1">
      <c r="A177" s="162">
        <v>37</v>
      </c>
      <c r="B177" s="70" t="s">
        <v>49</v>
      </c>
      <c r="C177" s="8" t="s">
        <v>0</v>
      </c>
      <c r="D177" s="69">
        <v>305.3734</v>
      </c>
      <c r="E177" s="32">
        <v>24</v>
      </c>
      <c r="F177" s="33">
        <v>11.120000000000001</v>
      </c>
      <c r="G177" s="33">
        <v>35.120000000000005</v>
      </c>
      <c r="H177" s="33">
        <v>7328.9616000000005</v>
      </c>
      <c r="I177" s="33">
        <v>3395.7522080000003</v>
      </c>
      <c r="J177" s="31">
        <v>10724.713808</v>
      </c>
      <c r="K177" s="235">
        <v>88776.897652000014</v>
      </c>
      <c r="L177" s="235">
        <v>137905.959252</v>
      </c>
      <c r="M177" s="240">
        <v>2</v>
      </c>
    </row>
    <row r="178" spans="1:13" ht="15.75" customHeight="1" outlineLevel="1">
      <c r="A178" s="100" t="s">
        <v>181</v>
      </c>
      <c r="B178" s="66" t="s">
        <v>98</v>
      </c>
      <c r="C178" s="28" t="s">
        <v>95</v>
      </c>
      <c r="D178" s="34">
        <v>61.074680000000001</v>
      </c>
      <c r="E178" s="67"/>
      <c r="F178" s="67">
        <v>55.6</v>
      </c>
      <c r="G178" s="67"/>
      <c r="H178" s="67"/>
      <c r="I178" s="30">
        <v>3395.7522080000003</v>
      </c>
      <c r="J178" s="67"/>
      <c r="K178" s="236"/>
      <c r="L178" s="236"/>
      <c r="M178" s="241"/>
    </row>
    <row r="179" spans="1:13" ht="30" customHeight="1">
      <c r="A179" s="162">
        <v>38</v>
      </c>
      <c r="B179" s="70" t="s">
        <v>132</v>
      </c>
      <c r="C179" s="8" t="s">
        <v>0</v>
      </c>
      <c r="D179" s="69">
        <v>25.78</v>
      </c>
      <c r="E179" s="32">
        <v>470</v>
      </c>
      <c r="F179" s="33">
        <v>413.90440000000007</v>
      </c>
      <c r="G179" s="33">
        <v>883.90440000000012</v>
      </c>
      <c r="H179" s="33">
        <v>12116.6</v>
      </c>
      <c r="I179" s="33">
        <v>10670.455432000002</v>
      </c>
      <c r="J179" s="31">
        <v>22787.055432000001</v>
      </c>
      <c r="K179" s="236"/>
      <c r="L179" s="236"/>
      <c r="M179" s="241"/>
    </row>
    <row r="180" spans="1:13" s="101" customFormat="1" ht="15.75" customHeight="1" outlineLevel="1">
      <c r="A180" s="100" t="s">
        <v>181</v>
      </c>
      <c r="B180" s="66" t="s">
        <v>130</v>
      </c>
      <c r="C180" s="28" t="s">
        <v>72</v>
      </c>
      <c r="D180" s="68">
        <v>0.25780000000000003</v>
      </c>
      <c r="E180" s="67"/>
      <c r="F180" s="67">
        <v>10680</v>
      </c>
      <c r="G180" s="67"/>
      <c r="H180" s="67"/>
      <c r="I180" s="30">
        <v>2753.3040000000001</v>
      </c>
      <c r="J180" s="67"/>
      <c r="K180" s="236"/>
      <c r="L180" s="236"/>
      <c r="M180" s="241"/>
    </row>
    <row r="181" spans="1:13" s="101" customFormat="1" ht="15.75" customHeight="1" outlineLevel="1">
      <c r="A181" s="100" t="s">
        <v>181</v>
      </c>
      <c r="B181" s="66" t="s">
        <v>148</v>
      </c>
      <c r="C181" s="28" t="s">
        <v>95</v>
      </c>
      <c r="D181" s="39">
        <v>2.5780000000000004E-3</v>
      </c>
      <c r="E181" s="67"/>
      <c r="F181" s="67">
        <v>44</v>
      </c>
      <c r="G181" s="67"/>
      <c r="H181" s="67"/>
      <c r="I181" s="30">
        <v>0.11343200000000002</v>
      </c>
      <c r="J181" s="67"/>
      <c r="K181" s="236"/>
      <c r="L181" s="236"/>
      <c r="M181" s="241"/>
    </row>
    <row r="182" spans="1:13" s="101" customFormat="1" ht="30" customHeight="1" outlineLevel="1">
      <c r="A182" s="100" t="s">
        <v>181</v>
      </c>
      <c r="B182" s="66" t="s">
        <v>133</v>
      </c>
      <c r="C182" s="28" t="s">
        <v>0</v>
      </c>
      <c r="D182" s="37">
        <v>28.358000000000004</v>
      </c>
      <c r="E182" s="67"/>
      <c r="F182" s="67">
        <v>249</v>
      </c>
      <c r="G182" s="67"/>
      <c r="H182" s="67"/>
      <c r="I182" s="30">
        <v>7061.1420000000007</v>
      </c>
      <c r="J182" s="67"/>
      <c r="K182" s="236"/>
      <c r="L182" s="236"/>
      <c r="M182" s="241"/>
    </row>
    <row r="183" spans="1:13" s="101" customFormat="1" ht="15.75" customHeight="1" outlineLevel="1">
      <c r="A183" s="100" t="s">
        <v>181</v>
      </c>
      <c r="B183" s="66" t="s">
        <v>131</v>
      </c>
      <c r="C183" s="28" t="s">
        <v>22</v>
      </c>
      <c r="D183" s="37">
        <v>386.70000000000005</v>
      </c>
      <c r="E183" s="67"/>
      <c r="F183" s="67">
        <v>0.1</v>
      </c>
      <c r="G183" s="67"/>
      <c r="H183" s="67"/>
      <c r="I183" s="30">
        <v>38.670000000000009</v>
      </c>
      <c r="J183" s="67"/>
      <c r="K183" s="236"/>
      <c r="L183" s="236"/>
      <c r="M183" s="241"/>
    </row>
    <row r="184" spans="1:13" ht="15.75" customHeight="1" outlineLevel="1">
      <c r="A184" s="100" t="s">
        <v>181</v>
      </c>
      <c r="B184" s="66" t="s">
        <v>153</v>
      </c>
      <c r="C184" s="28" t="s">
        <v>95</v>
      </c>
      <c r="D184" s="38">
        <v>12.89</v>
      </c>
      <c r="E184" s="67"/>
      <c r="F184" s="67">
        <v>63.4</v>
      </c>
      <c r="G184" s="67"/>
      <c r="H184" s="67"/>
      <c r="I184" s="30">
        <v>817.226</v>
      </c>
      <c r="J184" s="67"/>
      <c r="K184" s="236"/>
      <c r="L184" s="236"/>
      <c r="M184" s="241"/>
    </row>
    <row r="185" spans="1:13" ht="45.75" customHeight="1">
      <c r="A185" s="162">
        <v>39</v>
      </c>
      <c r="B185" s="70" t="s">
        <v>371</v>
      </c>
      <c r="C185" s="8" t="s">
        <v>0</v>
      </c>
      <c r="D185" s="69">
        <v>24.15</v>
      </c>
      <c r="E185" s="32">
        <v>470</v>
      </c>
      <c r="F185" s="33">
        <v>1552.4044000000001</v>
      </c>
      <c r="G185" s="33">
        <v>2022.4044000000001</v>
      </c>
      <c r="H185" s="33">
        <v>11350.5</v>
      </c>
      <c r="I185" s="33">
        <v>37490.56626</v>
      </c>
      <c r="J185" s="31">
        <v>48841.06626</v>
      </c>
      <c r="K185" s="236"/>
      <c r="L185" s="236"/>
      <c r="M185" s="241"/>
    </row>
    <row r="186" spans="1:13" s="101" customFormat="1" ht="15.75" customHeight="1" outlineLevel="1">
      <c r="A186" s="100" t="s">
        <v>181</v>
      </c>
      <c r="B186" s="66" t="s">
        <v>130</v>
      </c>
      <c r="C186" s="28" t="s">
        <v>72</v>
      </c>
      <c r="D186" s="37">
        <v>0.24149999999999999</v>
      </c>
      <c r="E186" s="67"/>
      <c r="F186" s="67">
        <v>10680</v>
      </c>
      <c r="G186" s="67"/>
      <c r="H186" s="67"/>
      <c r="I186" s="30">
        <v>2579.2199999999998</v>
      </c>
      <c r="J186" s="67"/>
      <c r="K186" s="236"/>
      <c r="L186" s="236"/>
      <c r="M186" s="241"/>
    </row>
    <row r="187" spans="1:13" s="101" customFormat="1" ht="15.75" customHeight="1" outlineLevel="1">
      <c r="A187" s="100" t="s">
        <v>181</v>
      </c>
      <c r="B187" s="66" t="s">
        <v>148</v>
      </c>
      <c r="C187" s="28" t="s">
        <v>95</v>
      </c>
      <c r="D187" s="39">
        <v>2.415E-3</v>
      </c>
      <c r="E187" s="67"/>
      <c r="F187" s="67">
        <v>44</v>
      </c>
      <c r="G187" s="67"/>
      <c r="H187" s="67"/>
      <c r="I187" s="30">
        <v>0.10626000000000001</v>
      </c>
      <c r="J187" s="67"/>
      <c r="K187" s="236"/>
      <c r="L187" s="236"/>
      <c r="M187" s="241"/>
    </row>
    <row r="188" spans="1:13" s="101" customFormat="1" ht="20.25" customHeight="1" outlineLevel="1">
      <c r="A188" s="100" t="s">
        <v>181</v>
      </c>
      <c r="B188" s="66" t="s">
        <v>372</v>
      </c>
      <c r="C188" s="28" t="s">
        <v>0</v>
      </c>
      <c r="D188" s="37">
        <v>25.840499999999999</v>
      </c>
      <c r="E188" s="67"/>
      <c r="F188" s="67">
        <v>1320</v>
      </c>
      <c r="G188" s="67"/>
      <c r="H188" s="67"/>
      <c r="I188" s="30">
        <v>34109.46</v>
      </c>
      <c r="J188" s="67"/>
      <c r="K188" s="236"/>
      <c r="L188" s="236"/>
      <c r="M188" s="241"/>
    </row>
    <row r="189" spans="1:13" s="101" customFormat="1" ht="15.75" customHeight="1" outlineLevel="1">
      <c r="A189" s="100" t="s">
        <v>181</v>
      </c>
      <c r="B189" s="66" t="s">
        <v>131</v>
      </c>
      <c r="C189" s="28" t="s">
        <v>22</v>
      </c>
      <c r="D189" s="37">
        <v>362.25</v>
      </c>
      <c r="E189" s="67"/>
      <c r="F189" s="67">
        <v>0.1</v>
      </c>
      <c r="G189" s="67"/>
      <c r="H189" s="67"/>
      <c r="I189" s="30">
        <v>36.225000000000001</v>
      </c>
      <c r="J189" s="67"/>
      <c r="K189" s="236"/>
      <c r="L189" s="236"/>
      <c r="M189" s="241"/>
    </row>
    <row r="190" spans="1:13" ht="15.75" customHeight="1" outlineLevel="1">
      <c r="A190" s="100" t="s">
        <v>181</v>
      </c>
      <c r="B190" s="66" t="s">
        <v>153</v>
      </c>
      <c r="C190" s="28" t="s">
        <v>95</v>
      </c>
      <c r="D190" s="38">
        <v>12.074999999999999</v>
      </c>
      <c r="E190" s="67"/>
      <c r="F190" s="67">
        <v>63.4</v>
      </c>
      <c r="G190" s="67"/>
      <c r="H190" s="67"/>
      <c r="I190" s="30">
        <v>765.55499999999995</v>
      </c>
      <c r="J190" s="67"/>
      <c r="K190" s="236"/>
      <c r="L190" s="236"/>
      <c r="M190" s="241"/>
    </row>
    <row r="191" spans="1:13">
      <c r="A191" s="162">
        <v>40</v>
      </c>
      <c r="B191" s="70" t="s">
        <v>374</v>
      </c>
      <c r="C191" s="8" t="s">
        <v>0</v>
      </c>
      <c r="D191" s="69">
        <v>13.580000000000002</v>
      </c>
      <c r="E191" s="32">
        <v>1350</v>
      </c>
      <c r="F191" s="33">
        <v>2740.8044</v>
      </c>
      <c r="G191" s="33">
        <v>4090.8044</v>
      </c>
      <c r="H191" s="33">
        <v>18333.000000000004</v>
      </c>
      <c r="I191" s="33">
        <v>37220.123752000007</v>
      </c>
      <c r="J191" s="31">
        <v>55553.123752000014</v>
      </c>
      <c r="K191" s="236"/>
      <c r="L191" s="236"/>
      <c r="M191" s="241"/>
    </row>
    <row r="192" spans="1:13" s="101" customFormat="1" ht="15.75" customHeight="1" outlineLevel="1">
      <c r="A192" s="100" t="s">
        <v>181</v>
      </c>
      <c r="B192" s="66" t="s">
        <v>137</v>
      </c>
      <c r="C192" s="28" t="s">
        <v>95</v>
      </c>
      <c r="D192" s="37">
        <v>57.036000000000008</v>
      </c>
      <c r="E192" s="67"/>
      <c r="F192" s="67">
        <v>24</v>
      </c>
      <c r="G192" s="67"/>
      <c r="H192" s="67"/>
      <c r="I192" s="30">
        <v>1368.8640000000003</v>
      </c>
      <c r="J192" s="67"/>
      <c r="M192" s="241"/>
    </row>
    <row r="193" spans="1:13" s="101" customFormat="1" ht="15.75" customHeight="1" outlineLevel="1">
      <c r="A193" s="100" t="s">
        <v>181</v>
      </c>
      <c r="B193" s="66" t="s">
        <v>148</v>
      </c>
      <c r="C193" s="28" t="s">
        <v>95</v>
      </c>
      <c r="D193" s="39">
        <v>1.3580000000000003E-3</v>
      </c>
      <c r="E193" s="67"/>
      <c r="F193" s="67">
        <v>44</v>
      </c>
      <c r="G193" s="67"/>
      <c r="H193" s="67"/>
      <c r="I193" s="30">
        <v>5.9752000000000013E-2</v>
      </c>
      <c r="J193" s="67"/>
      <c r="M193" s="241"/>
    </row>
    <row r="194" spans="1:13" s="101" customFormat="1" ht="15.75" customHeight="1" outlineLevel="1">
      <c r="A194" s="100" t="s">
        <v>181</v>
      </c>
      <c r="B194" s="66" t="s">
        <v>373</v>
      </c>
      <c r="C194" s="28" t="s">
        <v>0</v>
      </c>
      <c r="D194" s="37">
        <v>14.938000000000002</v>
      </c>
      <c r="E194" s="67"/>
      <c r="F194" s="67">
        <v>2400</v>
      </c>
      <c r="G194" s="67"/>
      <c r="H194" s="67"/>
      <c r="I194" s="30">
        <v>35851.200000000004</v>
      </c>
      <c r="J194" s="67"/>
      <c r="M194" s="241"/>
    </row>
    <row r="195" spans="1:13" ht="30" customHeight="1">
      <c r="A195" s="162">
        <v>41</v>
      </c>
      <c r="B195" s="70" t="s">
        <v>51</v>
      </c>
      <c r="C195" s="8" t="s">
        <v>29</v>
      </c>
      <c r="D195" s="69">
        <v>78.84</v>
      </c>
      <c r="E195" s="32">
        <v>48</v>
      </c>
      <c r="F195" s="33">
        <v>10.879</v>
      </c>
      <c r="G195" s="33">
        <v>58.878999999999998</v>
      </c>
      <c r="H195" s="33">
        <v>3784.32</v>
      </c>
      <c r="I195" s="33">
        <v>857.70036000000005</v>
      </c>
      <c r="J195" s="31">
        <v>4642.0203600000004</v>
      </c>
      <c r="K195" s="149">
        <v>857.70036000000005</v>
      </c>
      <c r="L195" s="149">
        <v>4642.0203600000004</v>
      </c>
      <c r="M195" s="241"/>
    </row>
    <row r="196" spans="1:13" s="101" customFormat="1" ht="15.75" customHeight="1" outlineLevel="1">
      <c r="A196" s="100" t="s">
        <v>181</v>
      </c>
      <c r="B196" s="66" t="s">
        <v>138</v>
      </c>
      <c r="C196" s="28" t="s">
        <v>95</v>
      </c>
      <c r="D196" s="37">
        <v>81.205200000000005</v>
      </c>
      <c r="E196" s="67"/>
      <c r="F196" s="67">
        <v>7.3</v>
      </c>
      <c r="G196" s="67"/>
      <c r="H196" s="67"/>
      <c r="I196" s="30">
        <v>592.79795999999999</v>
      </c>
      <c r="J196" s="67"/>
      <c r="M196" s="241"/>
    </row>
    <row r="197" spans="1:13" s="101" customFormat="1" ht="15.75" customHeight="1" outlineLevel="1">
      <c r="A197" s="100" t="s">
        <v>181</v>
      </c>
      <c r="B197" s="66" t="s">
        <v>139</v>
      </c>
      <c r="C197" s="28" t="s">
        <v>95</v>
      </c>
      <c r="D197" s="37">
        <v>23.652000000000001</v>
      </c>
      <c r="E197" s="67"/>
      <c r="F197" s="67">
        <v>11.2</v>
      </c>
      <c r="G197" s="67"/>
      <c r="H197" s="67"/>
      <c r="I197" s="30">
        <v>264.9024</v>
      </c>
      <c r="J197" s="67"/>
      <c r="M197" s="241"/>
    </row>
    <row r="198" spans="1:13" ht="30">
      <c r="A198" s="162">
        <v>42</v>
      </c>
      <c r="B198" s="70" t="s">
        <v>52</v>
      </c>
      <c r="C198" s="8" t="s">
        <v>29</v>
      </c>
      <c r="D198" s="69">
        <v>24.164999999999999</v>
      </c>
      <c r="E198" s="32">
        <v>48</v>
      </c>
      <c r="F198" s="33">
        <v>43.344999999999999</v>
      </c>
      <c r="G198" s="33">
        <v>91.344999999999999</v>
      </c>
      <c r="H198" s="33">
        <v>1159.92</v>
      </c>
      <c r="I198" s="33">
        <v>1047.4319249999999</v>
      </c>
      <c r="J198" s="31">
        <v>2207.3519249999999</v>
      </c>
      <c r="K198" s="235">
        <v>13781.526485100003</v>
      </c>
      <c r="L198" s="235">
        <v>82673.192735100005</v>
      </c>
      <c r="M198" s="241"/>
    </row>
    <row r="199" spans="1:13" s="101" customFormat="1" ht="15.75" customHeight="1" outlineLevel="1">
      <c r="A199" s="100" t="s">
        <v>181</v>
      </c>
      <c r="B199" s="66" t="s">
        <v>140</v>
      </c>
      <c r="C199" s="28" t="s">
        <v>29</v>
      </c>
      <c r="D199" s="37">
        <v>24.889949999999999</v>
      </c>
      <c r="E199" s="67"/>
      <c r="F199" s="67">
        <v>11.5</v>
      </c>
      <c r="G199" s="67"/>
      <c r="H199" s="67"/>
      <c r="I199" s="30">
        <v>286.23442499999999</v>
      </c>
      <c r="J199" s="67"/>
      <c r="K199" s="236"/>
      <c r="L199" s="236"/>
      <c r="M199" s="241"/>
    </row>
    <row r="200" spans="1:13" s="101" customFormat="1" ht="15.75" customHeight="1" outlineLevel="1">
      <c r="A200" s="100" t="s">
        <v>181</v>
      </c>
      <c r="B200" s="66" t="s">
        <v>126</v>
      </c>
      <c r="C200" s="28" t="s">
        <v>117</v>
      </c>
      <c r="D200" s="38">
        <v>3.6247499999999997</v>
      </c>
      <c r="E200" s="67"/>
      <c r="F200" s="67">
        <v>210</v>
      </c>
      <c r="G200" s="67"/>
      <c r="H200" s="67"/>
      <c r="I200" s="30">
        <v>761.19749999999999</v>
      </c>
      <c r="J200" s="67"/>
      <c r="K200" s="236"/>
      <c r="L200" s="236"/>
      <c r="M200" s="241"/>
    </row>
    <row r="201" spans="1:13" ht="30" customHeight="1">
      <c r="A201" s="162">
        <v>43</v>
      </c>
      <c r="B201" s="70" t="s">
        <v>144</v>
      </c>
      <c r="C201" s="8" t="s">
        <v>0</v>
      </c>
      <c r="D201" s="69">
        <v>254.40900000000002</v>
      </c>
      <c r="E201" s="32">
        <v>245</v>
      </c>
      <c r="F201" s="33">
        <v>47.296400000000006</v>
      </c>
      <c r="G201" s="33">
        <v>292.29640000000001</v>
      </c>
      <c r="H201" s="33">
        <v>62330.205000000002</v>
      </c>
      <c r="I201" s="33">
        <v>12032.629827600002</v>
      </c>
      <c r="J201" s="31">
        <v>74362.834827600003</v>
      </c>
      <c r="K201" s="236"/>
      <c r="L201" s="236"/>
      <c r="M201" s="241"/>
    </row>
    <row r="202" spans="1:13" s="101" customFormat="1" ht="15.75" customHeight="1" outlineLevel="1">
      <c r="A202" s="100" t="s">
        <v>181</v>
      </c>
      <c r="B202" s="66" t="s">
        <v>141</v>
      </c>
      <c r="C202" s="28" t="s">
        <v>142</v>
      </c>
      <c r="D202" s="37">
        <v>508.81800000000004</v>
      </c>
      <c r="E202" s="67"/>
      <c r="F202" s="67">
        <v>22.56</v>
      </c>
      <c r="G202" s="67"/>
      <c r="H202" s="67"/>
      <c r="I202" s="30">
        <v>11478.934080000001</v>
      </c>
      <c r="J202" s="67"/>
      <c r="K202" s="236"/>
      <c r="L202" s="236"/>
      <c r="M202" s="241"/>
    </row>
    <row r="203" spans="1:13" s="101" customFormat="1" ht="15.75" customHeight="1" outlineLevel="1">
      <c r="A203" s="100" t="s">
        <v>181</v>
      </c>
      <c r="B203" s="66" t="s">
        <v>148</v>
      </c>
      <c r="C203" s="28" t="s">
        <v>95</v>
      </c>
      <c r="D203" s="39">
        <v>2.5440900000000002E-2</v>
      </c>
      <c r="E203" s="67"/>
      <c r="F203" s="67">
        <v>44</v>
      </c>
      <c r="G203" s="67"/>
      <c r="H203" s="67"/>
      <c r="I203" s="30">
        <v>1.1193996000000002</v>
      </c>
      <c r="J203" s="67"/>
      <c r="K203" s="236"/>
      <c r="L203" s="236"/>
      <c r="M203" s="241"/>
    </row>
    <row r="204" spans="1:13" s="101" customFormat="1" ht="15.75" customHeight="1" outlineLevel="1">
      <c r="A204" s="100" t="s">
        <v>181</v>
      </c>
      <c r="B204" s="66" t="s">
        <v>143</v>
      </c>
      <c r="C204" s="28" t="s">
        <v>0</v>
      </c>
      <c r="D204" s="37">
        <v>7.6322700000000001</v>
      </c>
      <c r="E204" s="67"/>
      <c r="F204" s="67">
        <v>72.400000000000006</v>
      </c>
      <c r="G204" s="67"/>
      <c r="H204" s="67"/>
      <c r="I204" s="30">
        <v>552.57634800000005</v>
      </c>
      <c r="J204" s="67"/>
      <c r="K204" s="236"/>
      <c r="L204" s="236"/>
      <c r="M204" s="241"/>
    </row>
    <row r="205" spans="1:13" ht="30" customHeight="1">
      <c r="A205" s="162">
        <v>44</v>
      </c>
      <c r="B205" s="70" t="s">
        <v>145</v>
      </c>
      <c r="C205" s="8" t="s">
        <v>0</v>
      </c>
      <c r="D205" s="69">
        <v>14.831250000000001</v>
      </c>
      <c r="E205" s="32">
        <v>364.2</v>
      </c>
      <c r="F205" s="33">
        <v>47.296400000000006</v>
      </c>
      <c r="G205" s="33">
        <v>411.49639999999999</v>
      </c>
      <c r="H205" s="33">
        <v>5401.5412500000002</v>
      </c>
      <c r="I205" s="33">
        <v>701.46473250000008</v>
      </c>
      <c r="J205" s="31">
        <v>6103.0059825000008</v>
      </c>
      <c r="K205" s="236"/>
      <c r="L205" s="236"/>
      <c r="M205" s="241"/>
    </row>
    <row r="206" spans="1:13" s="101" customFormat="1" ht="15.75" customHeight="1" outlineLevel="1">
      <c r="A206" s="100" t="s">
        <v>181</v>
      </c>
      <c r="B206" s="66" t="s">
        <v>141</v>
      </c>
      <c r="C206" s="28" t="s">
        <v>142</v>
      </c>
      <c r="D206" s="37">
        <v>29.662500000000001</v>
      </c>
      <c r="E206" s="67"/>
      <c r="F206" s="67">
        <v>22.56</v>
      </c>
      <c r="G206" s="67"/>
      <c r="H206" s="67"/>
      <c r="I206" s="30">
        <v>669.18600000000004</v>
      </c>
      <c r="J206" s="67"/>
      <c r="M206" s="241"/>
    </row>
    <row r="207" spans="1:13" s="101" customFormat="1" ht="15.75" customHeight="1" outlineLevel="1">
      <c r="A207" s="100" t="s">
        <v>181</v>
      </c>
      <c r="B207" s="66" t="s">
        <v>148</v>
      </c>
      <c r="C207" s="28" t="s">
        <v>95</v>
      </c>
      <c r="D207" s="39">
        <v>1.4831250000000001E-3</v>
      </c>
      <c r="E207" s="67"/>
      <c r="F207" s="67">
        <v>44</v>
      </c>
      <c r="G207" s="67"/>
      <c r="H207" s="67"/>
      <c r="I207" s="30">
        <v>6.5257499999999996E-2</v>
      </c>
      <c r="J207" s="67"/>
      <c r="M207" s="241"/>
    </row>
    <row r="208" spans="1:13" s="101" customFormat="1" ht="15.75" customHeight="1" outlineLevel="1">
      <c r="A208" s="100" t="s">
        <v>181</v>
      </c>
      <c r="B208" s="66" t="s">
        <v>143</v>
      </c>
      <c r="C208" s="28" t="s">
        <v>0</v>
      </c>
      <c r="D208" s="37">
        <v>0.44493749999999999</v>
      </c>
      <c r="E208" s="67"/>
      <c r="F208" s="67">
        <v>72.400000000000006</v>
      </c>
      <c r="G208" s="67"/>
      <c r="H208" s="67"/>
      <c r="I208" s="30">
        <v>32.213475000000003</v>
      </c>
      <c r="J208" s="67"/>
      <c r="M208" s="241"/>
    </row>
    <row r="209" spans="1:13">
      <c r="A209" s="162">
        <v>45</v>
      </c>
      <c r="B209" s="70" t="s">
        <v>36</v>
      </c>
      <c r="C209" s="8" t="s">
        <v>0</v>
      </c>
      <c r="D209" s="69">
        <v>23.36</v>
      </c>
      <c r="E209" s="32">
        <v>145</v>
      </c>
      <c r="F209" s="33">
        <v>153.45439999999999</v>
      </c>
      <c r="G209" s="33">
        <v>298.45439999999996</v>
      </c>
      <c r="H209" s="33">
        <v>3387.2</v>
      </c>
      <c r="I209" s="33">
        <v>3584.6947839999998</v>
      </c>
      <c r="J209" s="31">
        <v>6971.8947840000001</v>
      </c>
      <c r="K209" s="149">
        <v>3584.6947839999998</v>
      </c>
      <c r="L209" s="149">
        <v>6971.8947840000001</v>
      </c>
      <c r="M209" s="241"/>
    </row>
    <row r="210" spans="1:13" s="101" customFormat="1" ht="15.75" outlineLevel="1">
      <c r="A210" s="100" t="s">
        <v>181</v>
      </c>
      <c r="B210" s="66" t="s">
        <v>146</v>
      </c>
      <c r="C210" s="28" t="s">
        <v>0</v>
      </c>
      <c r="D210" s="37">
        <v>26.863999999999997</v>
      </c>
      <c r="E210" s="67"/>
      <c r="F210" s="67">
        <v>124</v>
      </c>
      <c r="G210" s="67"/>
      <c r="H210" s="67"/>
      <c r="I210" s="30">
        <v>3331.1359999999995</v>
      </c>
      <c r="J210" s="67"/>
      <c r="L210" s="238"/>
      <c r="M210" s="241"/>
    </row>
    <row r="211" spans="1:13" s="101" customFormat="1" ht="15.75" outlineLevel="1">
      <c r="A211" s="100" t="s">
        <v>181</v>
      </c>
      <c r="B211" s="66" t="s">
        <v>147</v>
      </c>
      <c r="C211" s="28" t="s">
        <v>95</v>
      </c>
      <c r="D211" s="37">
        <v>0.8176000000000001</v>
      </c>
      <c r="E211" s="67"/>
      <c r="F211" s="67">
        <v>310</v>
      </c>
      <c r="G211" s="67"/>
      <c r="H211" s="67"/>
      <c r="I211" s="30">
        <v>253.45600000000005</v>
      </c>
      <c r="J211" s="67"/>
      <c r="L211" s="238"/>
      <c r="M211" s="241"/>
    </row>
    <row r="212" spans="1:13" s="101" customFormat="1" ht="15.75" outlineLevel="1">
      <c r="A212" s="100" t="s">
        <v>181</v>
      </c>
      <c r="B212" s="66" t="s">
        <v>148</v>
      </c>
      <c r="C212" s="28" t="s">
        <v>95</v>
      </c>
      <c r="D212" s="39">
        <v>2.336E-3</v>
      </c>
      <c r="E212" s="67"/>
      <c r="F212" s="67">
        <v>44</v>
      </c>
      <c r="G212" s="67"/>
      <c r="H212" s="67"/>
      <c r="I212" s="30">
        <v>0.102784</v>
      </c>
      <c r="J212" s="67"/>
      <c r="M212" s="242"/>
    </row>
    <row r="213" spans="1:13" ht="30">
      <c r="A213" s="162">
        <v>46</v>
      </c>
      <c r="B213" s="70" t="s">
        <v>47</v>
      </c>
      <c r="C213" s="8" t="s">
        <v>0</v>
      </c>
      <c r="D213" s="69">
        <v>222.68025</v>
      </c>
      <c r="E213" s="32">
        <v>115</v>
      </c>
      <c r="F213" s="33">
        <v>218.1104</v>
      </c>
      <c r="G213" s="33">
        <v>333.11040000000003</v>
      </c>
      <c r="H213" s="33">
        <v>25608.228749999998</v>
      </c>
      <c r="I213" s="33">
        <v>48568.878399599998</v>
      </c>
      <c r="J213" s="31">
        <v>74177.107149599993</v>
      </c>
      <c r="K213" s="235">
        <v>78918.822399600002</v>
      </c>
      <c r="L213" s="235">
        <v>110165.0591496</v>
      </c>
      <c r="M213" s="240">
        <v>3</v>
      </c>
    </row>
    <row r="214" spans="1:13" s="101" customFormat="1" ht="30" customHeight="1" outlineLevel="1">
      <c r="A214" s="100" t="s">
        <v>181</v>
      </c>
      <c r="B214" s="66" t="s">
        <v>152</v>
      </c>
      <c r="C214" s="28" t="s">
        <v>149</v>
      </c>
      <c r="D214" s="37">
        <v>140.2885575</v>
      </c>
      <c r="E214" s="67"/>
      <c r="F214" s="67">
        <v>339.62</v>
      </c>
      <c r="G214" s="67"/>
      <c r="H214" s="67"/>
      <c r="I214" s="30">
        <v>47644.799898149999</v>
      </c>
      <c r="J214" s="67"/>
      <c r="K214" s="236"/>
      <c r="L214" s="236"/>
      <c r="M214" s="241"/>
    </row>
    <row r="215" spans="1:13" s="101" customFormat="1" ht="15.75" customHeight="1" outlineLevel="1">
      <c r="A215" s="100" t="s">
        <v>181</v>
      </c>
      <c r="B215" s="66" t="s">
        <v>172</v>
      </c>
      <c r="C215" s="28" t="s">
        <v>173</v>
      </c>
      <c r="D215" s="38">
        <v>14.02885575</v>
      </c>
      <c r="E215" s="67"/>
      <c r="F215" s="67">
        <v>65.8</v>
      </c>
      <c r="G215" s="67"/>
      <c r="H215" s="67"/>
      <c r="I215" s="30">
        <v>923.09870834999992</v>
      </c>
      <c r="J215" s="67"/>
      <c r="K215" s="236"/>
      <c r="L215" s="236"/>
      <c r="M215" s="241"/>
    </row>
    <row r="216" spans="1:13" s="101" customFormat="1" ht="15.75" customHeight="1" outlineLevel="1">
      <c r="A216" s="100" t="s">
        <v>181</v>
      </c>
      <c r="B216" s="66" t="s">
        <v>148</v>
      </c>
      <c r="C216" s="28" t="s">
        <v>95</v>
      </c>
      <c r="D216" s="39">
        <v>2.2268025E-2</v>
      </c>
      <c r="E216" s="67"/>
      <c r="F216" s="67">
        <v>44</v>
      </c>
      <c r="G216" s="67"/>
      <c r="H216" s="67"/>
      <c r="I216" s="30">
        <v>0.97979309999999997</v>
      </c>
      <c r="J216" s="67"/>
      <c r="K216" s="236"/>
      <c r="L216" s="236"/>
      <c r="M216" s="241"/>
    </row>
    <row r="217" spans="1:13" ht="30">
      <c r="A217" s="162">
        <v>47</v>
      </c>
      <c r="B217" s="70" t="s">
        <v>54</v>
      </c>
      <c r="C217" s="8" t="s">
        <v>22</v>
      </c>
      <c r="D217" s="69">
        <v>4</v>
      </c>
      <c r="E217" s="32">
        <v>76.8</v>
      </c>
      <c r="F217" s="33">
        <v>433.8</v>
      </c>
      <c r="G217" s="33">
        <v>510.6</v>
      </c>
      <c r="H217" s="33">
        <v>307.2</v>
      </c>
      <c r="I217" s="33">
        <v>1735.2</v>
      </c>
      <c r="J217" s="31">
        <v>2042.4</v>
      </c>
      <c r="K217" s="236"/>
      <c r="L217" s="236"/>
      <c r="M217" s="241"/>
    </row>
    <row r="218" spans="1:13" s="101" customFormat="1" ht="30" customHeight="1" outlineLevel="1">
      <c r="A218" s="100" t="s">
        <v>181</v>
      </c>
      <c r="B218" s="66" t="s">
        <v>150</v>
      </c>
      <c r="C218" s="28" t="s">
        <v>22</v>
      </c>
      <c r="D218" s="37">
        <v>4</v>
      </c>
      <c r="E218" s="67"/>
      <c r="F218" s="67">
        <v>430</v>
      </c>
      <c r="G218" s="67"/>
      <c r="H218" s="67"/>
      <c r="I218" s="30">
        <v>1720</v>
      </c>
      <c r="J218" s="67"/>
      <c r="K218" s="236"/>
      <c r="L218" s="236"/>
      <c r="M218" s="241"/>
    </row>
    <row r="219" spans="1:13" s="101" customFormat="1" ht="15.75" customHeight="1" outlineLevel="1">
      <c r="A219" s="100" t="s">
        <v>181</v>
      </c>
      <c r="B219" s="66" t="s">
        <v>151</v>
      </c>
      <c r="C219" s="28" t="s">
        <v>22</v>
      </c>
      <c r="D219" s="37">
        <v>80</v>
      </c>
      <c r="E219" s="67"/>
      <c r="F219" s="67">
        <v>0.19</v>
      </c>
      <c r="G219" s="67"/>
      <c r="H219" s="67"/>
      <c r="I219" s="30">
        <v>15.2</v>
      </c>
      <c r="J219" s="67"/>
      <c r="K219" s="236"/>
      <c r="L219" s="236"/>
      <c r="M219" s="241"/>
    </row>
    <row r="220" spans="1:13">
      <c r="A220" s="162">
        <v>48</v>
      </c>
      <c r="B220" s="70" t="s">
        <v>268</v>
      </c>
      <c r="C220" s="8" t="s">
        <v>0</v>
      </c>
      <c r="D220" s="69">
        <v>10.879200000000001</v>
      </c>
      <c r="E220" s="32">
        <v>490</v>
      </c>
      <c r="F220" s="33">
        <v>2630.2250165453343</v>
      </c>
      <c r="G220" s="33">
        <v>3120.2250165453343</v>
      </c>
      <c r="H220" s="33">
        <v>5330.808</v>
      </c>
      <c r="I220" s="33">
        <v>28614.744000000002</v>
      </c>
      <c r="J220" s="31">
        <v>33945.552000000003</v>
      </c>
      <c r="K220" s="236"/>
      <c r="L220" s="236"/>
      <c r="M220" s="241"/>
    </row>
    <row r="221" spans="1:13" s="101" customFormat="1" ht="15.75" outlineLevel="1">
      <c r="A221" s="100" t="s">
        <v>181</v>
      </c>
      <c r="B221" s="66" t="s">
        <v>267</v>
      </c>
      <c r="C221" s="28" t="s">
        <v>0</v>
      </c>
      <c r="D221" s="37">
        <v>10.879200000000001</v>
      </c>
      <c r="E221" s="67"/>
      <c r="F221" s="67">
        <v>2320</v>
      </c>
      <c r="G221" s="67"/>
      <c r="H221" s="67"/>
      <c r="I221" s="30">
        <v>25239.744000000002</v>
      </c>
      <c r="J221" s="67"/>
      <c r="M221" s="241"/>
    </row>
    <row r="222" spans="1:13" s="101" customFormat="1" ht="15.75" outlineLevel="1">
      <c r="A222" s="100" t="s">
        <v>181</v>
      </c>
      <c r="B222" s="66" t="s">
        <v>269</v>
      </c>
      <c r="C222" s="28" t="s">
        <v>22</v>
      </c>
      <c r="D222" s="37">
        <v>9</v>
      </c>
      <c r="E222" s="67"/>
      <c r="F222" s="67">
        <v>375</v>
      </c>
      <c r="G222" s="67"/>
      <c r="H222" s="67"/>
      <c r="I222" s="30">
        <v>3375</v>
      </c>
      <c r="J222" s="67"/>
      <c r="M222" s="242"/>
    </row>
    <row r="223" spans="1:13" ht="15.75" customHeight="1">
      <c r="A223" s="222" t="s">
        <v>116</v>
      </c>
      <c r="B223" s="223"/>
      <c r="C223" s="223"/>
      <c r="D223" s="223"/>
      <c r="E223" s="223"/>
      <c r="F223" s="223"/>
      <c r="G223" s="224"/>
      <c r="H223" s="67">
        <v>246686.41020000001</v>
      </c>
      <c r="I223" s="67">
        <v>260643.69466757501</v>
      </c>
      <c r="J223" s="67">
        <v>507330.10486757511</v>
      </c>
      <c r="M223" s="156"/>
    </row>
    <row r="224" spans="1:13" ht="21" customHeight="1">
      <c r="A224" s="225" t="s">
        <v>30</v>
      </c>
      <c r="B224" s="226"/>
      <c r="C224" s="226"/>
      <c r="D224" s="226"/>
      <c r="E224" s="226"/>
      <c r="F224" s="226"/>
      <c r="G224" s="226"/>
      <c r="H224" s="226"/>
      <c r="I224" s="226"/>
      <c r="J224" s="227"/>
      <c r="M224" s="156"/>
    </row>
    <row r="225" spans="1:13" ht="30">
      <c r="A225" s="162">
        <v>49</v>
      </c>
      <c r="B225" s="70" t="s">
        <v>28</v>
      </c>
      <c r="C225" s="8" t="s">
        <v>29</v>
      </c>
      <c r="D225" s="69">
        <v>37</v>
      </c>
      <c r="E225" s="32">
        <v>99.52</v>
      </c>
      <c r="F225" s="33">
        <v>352.75920000000002</v>
      </c>
      <c r="G225" s="33">
        <v>452.2792</v>
      </c>
      <c r="H225" s="33">
        <v>3682.24</v>
      </c>
      <c r="I225" s="33">
        <v>13052.090400000001</v>
      </c>
      <c r="J225" s="31">
        <v>16734.330399999999</v>
      </c>
      <c r="K225" s="235">
        <v>41032.802459999992</v>
      </c>
      <c r="L225" s="235">
        <v>62755.972459999997</v>
      </c>
      <c r="M225" s="240">
        <v>1</v>
      </c>
    </row>
    <row r="226" spans="1:13" s="101" customFormat="1" ht="15.75" customHeight="1" outlineLevel="1">
      <c r="A226" s="100" t="s">
        <v>181</v>
      </c>
      <c r="B226" s="66" t="s">
        <v>89</v>
      </c>
      <c r="C226" s="28" t="s">
        <v>72</v>
      </c>
      <c r="D226" s="39">
        <v>5.3280000000000001E-2</v>
      </c>
      <c r="E226" s="67"/>
      <c r="F226" s="67">
        <v>57680</v>
      </c>
      <c r="G226" s="67"/>
      <c r="H226" s="67"/>
      <c r="I226" s="30">
        <v>3073.1904</v>
      </c>
      <c r="J226" s="67"/>
      <c r="K226" s="236"/>
      <c r="L226" s="236"/>
      <c r="M226" s="241"/>
    </row>
    <row r="227" spans="1:13" s="101" customFormat="1" ht="15.75" customHeight="1" outlineLevel="1">
      <c r="A227" s="100" t="s">
        <v>181</v>
      </c>
      <c r="B227" s="66" t="s">
        <v>88</v>
      </c>
      <c r="C227" s="28" t="s">
        <v>72</v>
      </c>
      <c r="D227" s="39">
        <v>1.7205000000000001</v>
      </c>
      <c r="E227" s="67"/>
      <c r="F227" s="67">
        <v>5800</v>
      </c>
      <c r="G227" s="67"/>
      <c r="H227" s="67"/>
      <c r="I227" s="30">
        <v>9978.9000000000015</v>
      </c>
      <c r="J227" s="67"/>
      <c r="K227" s="236"/>
      <c r="L227" s="236"/>
      <c r="M227" s="241"/>
    </row>
    <row r="228" spans="1:13">
      <c r="A228" s="162">
        <v>50</v>
      </c>
      <c r="B228" s="70" t="s">
        <v>218</v>
      </c>
      <c r="C228" s="8" t="s">
        <v>0</v>
      </c>
      <c r="D228" s="69">
        <v>3.75</v>
      </c>
      <c r="E228" s="32">
        <v>86.4</v>
      </c>
      <c r="F228" s="33">
        <v>0</v>
      </c>
      <c r="G228" s="33">
        <v>86.4</v>
      </c>
      <c r="H228" s="33">
        <v>324</v>
      </c>
      <c r="I228" s="33">
        <v>0</v>
      </c>
      <c r="J228" s="31">
        <v>324</v>
      </c>
      <c r="K228" s="236"/>
      <c r="L228" s="236"/>
      <c r="M228" s="241"/>
    </row>
    <row r="229" spans="1:13" ht="30">
      <c r="A229" s="162">
        <v>51</v>
      </c>
      <c r="B229" s="70" t="s">
        <v>215</v>
      </c>
      <c r="C229" s="8" t="s">
        <v>0</v>
      </c>
      <c r="D229" s="69">
        <v>84.77</v>
      </c>
      <c r="E229" s="32">
        <v>209</v>
      </c>
      <c r="F229" s="33">
        <v>330.07799999999997</v>
      </c>
      <c r="G229" s="33">
        <v>539.07799999999997</v>
      </c>
      <c r="H229" s="33">
        <v>17716.93</v>
      </c>
      <c r="I229" s="33">
        <v>27980.712059999994</v>
      </c>
      <c r="J229" s="31">
        <v>45697.642059999998</v>
      </c>
      <c r="K229" s="236"/>
      <c r="L229" s="236"/>
      <c r="M229" s="241"/>
    </row>
    <row r="230" spans="1:13" s="101" customFormat="1" ht="15.75" outlineLevel="1">
      <c r="A230" s="100" t="s">
        <v>181</v>
      </c>
      <c r="B230" s="66" t="s">
        <v>88</v>
      </c>
      <c r="C230" s="28" t="s">
        <v>72</v>
      </c>
      <c r="D230" s="39">
        <v>4.8242606999999991</v>
      </c>
      <c r="E230" s="67"/>
      <c r="F230" s="67">
        <v>5800</v>
      </c>
      <c r="G230" s="67"/>
      <c r="H230" s="67"/>
      <c r="I230" s="30">
        <v>27980.712059999994</v>
      </c>
      <c r="J230" s="67"/>
      <c r="M230" s="242"/>
    </row>
    <row r="231" spans="1:13" ht="45" customHeight="1">
      <c r="A231" s="162">
        <v>52</v>
      </c>
      <c r="B231" s="70" t="s">
        <v>39</v>
      </c>
      <c r="C231" s="8" t="s">
        <v>0</v>
      </c>
      <c r="D231" s="69">
        <v>84.77</v>
      </c>
      <c r="E231" s="32">
        <v>24</v>
      </c>
      <c r="F231" s="33">
        <v>11.120000000000001</v>
      </c>
      <c r="G231" s="33">
        <v>35.120000000000005</v>
      </c>
      <c r="H231" s="33">
        <v>2034.48</v>
      </c>
      <c r="I231" s="33">
        <v>942.64240000000007</v>
      </c>
      <c r="J231" s="31">
        <v>2977.1224000000002</v>
      </c>
      <c r="K231" s="235">
        <v>159982.808388</v>
      </c>
      <c r="L231" s="235">
        <v>203863.60838799996</v>
      </c>
      <c r="M231" s="240">
        <v>2</v>
      </c>
    </row>
    <row r="232" spans="1:13" s="101" customFormat="1" ht="15.75" customHeight="1" outlineLevel="1">
      <c r="A232" s="100" t="s">
        <v>181</v>
      </c>
      <c r="B232" s="66" t="s">
        <v>98</v>
      </c>
      <c r="C232" s="28" t="s">
        <v>95</v>
      </c>
      <c r="D232" s="34">
        <v>16.954000000000001</v>
      </c>
      <c r="E232" s="67"/>
      <c r="F232" s="67">
        <v>55.6</v>
      </c>
      <c r="G232" s="67"/>
      <c r="H232" s="67"/>
      <c r="I232" s="30">
        <v>942.64240000000007</v>
      </c>
      <c r="J232" s="67"/>
      <c r="K232" s="236"/>
      <c r="L232" s="236"/>
      <c r="M232" s="241"/>
    </row>
    <row r="233" spans="1:13" ht="45" customHeight="1">
      <c r="A233" s="162">
        <v>53</v>
      </c>
      <c r="B233" s="70" t="s">
        <v>376</v>
      </c>
      <c r="C233" s="8" t="s">
        <v>0</v>
      </c>
      <c r="D233" s="69">
        <v>77.47</v>
      </c>
      <c r="E233" s="32">
        <v>470</v>
      </c>
      <c r="F233" s="33">
        <v>1969.7043999999999</v>
      </c>
      <c r="G233" s="33">
        <v>2439.7043999999996</v>
      </c>
      <c r="H233" s="33">
        <v>36410.9</v>
      </c>
      <c r="I233" s="33">
        <v>152592.99986799998</v>
      </c>
      <c r="J233" s="31">
        <v>189003.89986799998</v>
      </c>
      <c r="K233" s="236"/>
      <c r="L233" s="236"/>
      <c r="M233" s="241"/>
    </row>
    <row r="234" spans="1:13" s="101" customFormat="1" ht="15.75" customHeight="1" outlineLevel="1">
      <c r="A234" s="100" t="s">
        <v>181</v>
      </c>
      <c r="B234" s="66" t="s">
        <v>130</v>
      </c>
      <c r="C234" s="28" t="s">
        <v>72</v>
      </c>
      <c r="D234" s="37">
        <v>0.77470000000000006</v>
      </c>
      <c r="E234" s="67"/>
      <c r="F234" s="67">
        <v>10680</v>
      </c>
      <c r="G234" s="67"/>
      <c r="H234" s="67"/>
      <c r="I234" s="30">
        <v>8273.7960000000003</v>
      </c>
      <c r="J234" s="67"/>
      <c r="K234" s="236"/>
      <c r="L234" s="236"/>
      <c r="M234" s="241"/>
    </row>
    <row r="235" spans="1:13" s="101" customFormat="1" ht="15.75" customHeight="1" outlineLevel="1">
      <c r="A235" s="100" t="s">
        <v>181</v>
      </c>
      <c r="B235" s="66" t="s">
        <v>148</v>
      </c>
      <c r="C235" s="28" t="s">
        <v>95</v>
      </c>
      <c r="D235" s="39">
        <v>7.7470000000000004E-3</v>
      </c>
      <c r="E235" s="67"/>
      <c r="F235" s="67">
        <v>44</v>
      </c>
      <c r="G235" s="67"/>
      <c r="H235" s="67"/>
      <c r="I235" s="30">
        <v>0.340868</v>
      </c>
      <c r="J235" s="67"/>
      <c r="K235" s="236"/>
      <c r="L235" s="236"/>
      <c r="M235" s="241"/>
    </row>
    <row r="236" spans="1:13" s="101" customFormat="1" ht="18" customHeight="1" outlineLevel="1">
      <c r="A236" s="100" t="s">
        <v>181</v>
      </c>
      <c r="B236" s="66" t="s">
        <v>372</v>
      </c>
      <c r="C236" s="28" t="s">
        <v>0</v>
      </c>
      <c r="D236" s="37">
        <v>82.892899999999997</v>
      </c>
      <c r="E236" s="67"/>
      <c r="F236" s="67">
        <v>1710</v>
      </c>
      <c r="G236" s="67"/>
      <c r="H236" s="67"/>
      <c r="I236" s="30">
        <v>141746.859</v>
      </c>
      <c r="J236" s="67"/>
      <c r="K236" s="236"/>
      <c r="L236" s="236"/>
      <c r="M236" s="241"/>
    </row>
    <row r="237" spans="1:13" s="101" customFormat="1" ht="15.75" customHeight="1" outlineLevel="1">
      <c r="A237" s="100" t="s">
        <v>181</v>
      </c>
      <c r="B237" s="66" t="s">
        <v>131</v>
      </c>
      <c r="C237" s="28" t="s">
        <v>22</v>
      </c>
      <c r="D237" s="37">
        <v>1162.05</v>
      </c>
      <c r="E237" s="67"/>
      <c r="F237" s="67">
        <v>0.1</v>
      </c>
      <c r="G237" s="67"/>
      <c r="H237" s="67"/>
      <c r="I237" s="30">
        <v>116.205</v>
      </c>
      <c r="J237" s="67"/>
      <c r="K237" s="236"/>
      <c r="L237" s="236"/>
      <c r="M237" s="241"/>
    </row>
    <row r="238" spans="1:13" ht="15.75" customHeight="1" outlineLevel="1">
      <c r="A238" s="100" t="s">
        <v>181</v>
      </c>
      <c r="B238" s="66" t="s">
        <v>153</v>
      </c>
      <c r="C238" s="28" t="s">
        <v>95</v>
      </c>
      <c r="D238" s="38">
        <v>38.734999999999999</v>
      </c>
      <c r="E238" s="67"/>
      <c r="F238" s="67">
        <v>63.4</v>
      </c>
      <c r="G238" s="67"/>
      <c r="H238" s="67"/>
      <c r="I238" s="30">
        <v>2455.799</v>
      </c>
      <c r="J238" s="67"/>
      <c r="K238" s="236"/>
      <c r="L238" s="236"/>
      <c r="M238" s="241"/>
    </row>
    <row r="239" spans="1:13">
      <c r="A239" s="162">
        <v>54</v>
      </c>
      <c r="B239" s="70" t="s">
        <v>220</v>
      </c>
      <c r="C239" s="8" t="s">
        <v>22</v>
      </c>
      <c r="D239" s="69">
        <v>1</v>
      </c>
      <c r="E239" s="32">
        <v>241.92</v>
      </c>
      <c r="F239" s="33">
        <v>642</v>
      </c>
      <c r="G239" s="33">
        <v>883.92</v>
      </c>
      <c r="H239" s="33">
        <v>241.92</v>
      </c>
      <c r="I239" s="33">
        <v>642</v>
      </c>
      <c r="J239" s="31">
        <v>883.92</v>
      </c>
      <c r="K239" s="236"/>
      <c r="L239" s="236"/>
      <c r="M239" s="241"/>
    </row>
    <row r="240" spans="1:13" s="101" customFormat="1" ht="15.75" customHeight="1" outlineLevel="1">
      <c r="A240" s="100"/>
      <c r="B240" s="66" t="s">
        <v>221</v>
      </c>
      <c r="C240" s="28" t="s">
        <v>22</v>
      </c>
      <c r="D240" s="37">
        <v>1</v>
      </c>
      <c r="E240" s="67"/>
      <c r="F240" s="67">
        <v>600</v>
      </c>
      <c r="G240" s="67"/>
      <c r="H240" s="67"/>
      <c r="I240" s="30">
        <v>600</v>
      </c>
      <c r="J240" s="67"/>
      <c r="K240" s="236"/>
      <c r="L240" s="236"/>
      <c r="M240" s="241"/>
    </row>
    <row r="241" spans="1:13" ht="15.75" customHeight="1" outlineLevel="1">
      <c r="A241" s="100"/>
      <c r="B241" s="66" t="s">
        <v>126</v>
      </c>
      <c r="C241" s="28" t="s">
        <v>117</v>
      </c>
      <c r="D241" s="37">
        <v>0.2</v>
      </c>
      <c r="E241" s="67"/>
      <c r="F241" s="67">
        <v>210</v>
      </c>
      <c r="G241" s="67"/>
      <c r="H241" s="67"/>
      <c r="I241" s="30">
        <v>42</v>
      </c>
      <c r="J241" s="67"/>
      <c r="K241" s="236"/>
      <c r="L241" s="236"/>
      <c r="M241" s="241"/>
    </row>
    <row r="242" spans="1:13" ht="30">
      <c r="A242" s="162">
        <v>55</v>
      </c>
      <c r="B242" s="70" t="s">
        <v>33</v>
      </c>
      <c r="C242" s="8" t="s">
        <v>0</v>
      </c>
      <c r="D242" s="69">
        <v>11.05</v>
      </c>
      <c r="E242" s="32">
        <v>470</v>
      </c>
      <c r="F242" s="33">
        <v>525.35439999999994</v>
      </c>
      <c r="G242" s="33">
        <v>995.35439999999994</v>
      </c>
      <c r="H242" s="33">
        <v>5193.5</v>
      </c>
      <c r="I242" s="33">
        <v>5805.1661199999999</v>
      </c>
      <c r="J242" s="31">
        <v>10998.66612</v>
      </c>
      <c r="K242" s="236"/>
      <c r="L242" s="236"/>
      <c r="M242" s="241"/>
    </row>
    <row r="243" spans="1:13" s="101" customFormat="1" ht="15.75" customHeight="1" outlineLevel="1">
      <c r="A243" s="100" t="s">
        <v>181</v>
      </c>
      <c r="B243" s="66" t="s">
        <v>130</v>
      </c>
      <c r="C243" s="28" t="s">
        <v>72</v>
      </c>
      <c r="D243" s="37">
        <v>0.11050000000000001</v>
      </c>
      <c r="E243" s="67"/>
      <c r="F243" s="67">
        <v>10680</v>
      </c>
      <c r="G243" s="67"/>
      <c r="H243" s="67"/>
      <c r="I243" s="30">
        <v>1180.1400000000001</v>
      </c>
      <c r="J243" s="67"/>
      <c r="L243" s="99"/>
      <c r="M243" s="241"/>
    </row>
    <row r="244" spans="1:13" s="101" customFormat="1" ht="15.75" customHeight="1" outlineLevel="1">
      <c r="A244" s="100" t="s">
        <v>181</v>
      </c>
      <c r="B244" s="66" t="s">
        <v>148</v>
      </c>
      <c r="C244" s="28" t="s">
        <v>95</v>
      </c>
      <c r="D244" s="39">
        <v>1.1050000000000001E-3</v>
      </c>
      <c r="E244" s="67"/>
      <c r="F244" s="67">
        <v>44</v>
      </c>
      <c r="G244" s="67"/>
      <c r="H244" s="67"/>
      <c r="I244" s="30">
        <v>4.8620000000000003E-2</v>
      </c>
      <c r="J244" s="67"/>
      <c r="M244" s="241"/>
    </row>
    <row r="245" spans="1:13" s="101" customFormat="1" ht="15.75" customHeight="1" outlineLevel="1">
      <c r="A245" s="100" t="s">
        <v>181</v>
      </c>
      <c r="B245" s="66" t="s">
        <v>154</v>
      </c>
      <c r="C245" s="28" t="s">
        <v>0</v>
      </c>
      <c r="D245" s="37">
        <v>11.602500000000001</v>
      </c>
      <c r="E245" s="67"/>
      <c r="F245" s="67">
        <v>367</v>
      </c>
      <c r="G245" s="67"/>
      <c r="H245" s="67"/>
      <c r="I245" s="30">
        <v>4258.1175000000003</v>
      </c>
      <c r="J245" s="67"/>
      <c r="M245" s="241"/>
    </row>
    <row r="246" spans="1:13" s="101" customFormat="1" ht="15.75" customHeight="1" outlineLevel="1">
      <c r="A246" s="100" t="s">
        <v>181</v>
      </c>
      <c r="B246" s="66" t="s">
        <v>131</v>
      </c>
      <c r="C246" s="28" t="s">
        <v>22</v>
      </c>
      <c r="D246" s="37">
        <v>165.75</v>
      </c>
      <c r="E246" s="67"/>
      <c r="F246" s="67">
        <v>0.1</v>
      </c>
      <c r="G246" s="67"/>
      <c r="H246" s="67"/>
      <c r="I246" s="30">
        <v>16.574999999999999</v>
      </c>
      <c r="J246" s="67"/>
      <c r="M246" s="241"/>
    </row>
    <row r="247" spans="1:13" ht="15.75" customHeight="1" outlineLevel="1">
      <c r="A247" s="100" t="s">
        <v>181</v>
      </c>
      <c r="B247" s="66" t="s">
        <v>153</v>
      </c>
      <c r="C247" s="28" t="s">
        <v>95</v>
      </c>
      <c r="D247" s="38">
        <v>5.5250000000000004</v>
      </c>
      <c r="E247" s="67"/>
      <c r="F247" s="67">
        <v>63.4</v>
      </c>
      <c r="G247" s="67"/>
      <c r="H247" s="67"/>
      <c r="I247" s="30">
        <v>350.28500000000003</v>
      </c>
      <c r="J247" s="67"/>
      <c r="M247" s="241"/>
    </row>
    <row r="248" spans="1:13">
      <c r="A248" s="162">
        <v>56</v>
      </c>
      <c r="B248" s="70" t="s">
        <v>37</v>
      </c>
      <c r="C248" s="8" t="s">
        <v>0</v>
      </c>
      <c r="D248" s="69">
        <v>5.94</v>
      </c>
      <c r="E248" s="32">
        <v>105.6</v>
      </c>
      <c r="F248" s="33">
        <v>261.11999999999995</v>
      </c>
      <c r="G248" s="33">
        <v>366.71999999999991</v>
      </c>
      <c r="H248" s="33">
        <v>627.26400000000001</v>
      </c>
      <c r="I248" s="33">
        <v>1551.0527999999999</v>
      </c>
      <c r="J248" s="31">
        <v>2178.3168000000001</v>
      </c>
      <c r="K248" s="235">
        <v>5310.7309530000002</v>
      </c>
      <c r="L248" s="235">
        <v>6451.2109530000016</v>
      </c>
      <c r="M248" s="241"/>
    </row>
    <row r="249" spans="1:13" s="101" customFormat="1" ht="15.75" customHeight="1" outlineLevel="1">
      <c r="A249" s="100" t="s">
        <v>181</v>
      </c>
      <c r="B249" s="66" t="s">
        <v>155</v>
      </c>
      <c r="C249" s="28" t="s">
        <v>95</v>
      </c>
      <c r="D249" s="34">
        <v>100.98</v>
      </c>
      <c r="E249" s="67"/>
      <c r="F249" s="67">
        <v>15.36</v>
      </c>
      <c r="G249" s="67"/>
      <c r="H249" s="67"/>
      <c r="I249" s="30">
        <v>1551.0527999999999</v>
      </c>
      <c r="J249" s="67"/>
      <c r="K249" s="236"/>
      <c r="L249" s="236"/>
      <c r="M249" s="241"/>
    </row>
    <row r="250" spans="1:13" ht="30">
      <c r="A250" s="162">
        <v>57</v>
      </c>
      <c r="B250" s="70" t="s">
        <v>156</v>
      </c>
      <c r="C250" s="8" t="s">
        <v>0</v>
      </c>
      <c r="D250" s="69">
        <v>5.94</v>
      </c>
      <c r="E250" s="32">
        <v>86.4</v>
      </c>
      <c r="F250" s="33">
        <v>632.94245000000012</v>
      </c>
      <c r="G250" s="33">
        <v>719.3424500000001</v>
      </c>
      <c r="H250" s="33">
        <v>513.21600000000012</v>
      </c>
      <c r="I250" s="33">
        <v>3759.6781530000007</v>
      </c>
      <c r="J250" s="31">
        <v>4272.8941530000011</v>
      </c>
      <c r="K250" s="236"/>
      <c r="L250" s="236"/>
      <c r="M250" s="241"/>
    </row>
    <row r="251" spans="1:13" s="101" customFormat="1" ht="15.75" customHeight="1" outlineLevel="1">
      <c r="A251" s="100" t="s">
        <v>181</v>
      </c>
      <c r="B251" s="66" t="s">
        <v>157</v>
      </c>
      <c r="C251" s="28" t="s">
        <v>0</v>
      </c>
      <c r="D251" s="37">
        <v>6.3558000000000012</v>
      </c>
      <c r="E251" s="67"/>
      <c r="F251" s="67">
        <v>532</v>
      </c>
      <c r="G251" s="67"/>
      <c r="H251" s="67"/>
      <c r="I251" s="30">
        <v>3381.2856000000006</v>
      </c>
      <c r="J251" s="67"/>
      <c r="M251" s="241"/>
    </row>
    <row r="252" spans="1:13" s="101" customFormat="1" ht="15.75" customHeight="1" outlineLevel="1">
      <c r="A252" s="100" t="s">
        <v>181</v>
      </c>
      <c r="B252" s="66" t="s">
        <v>158</v>
      </c>
      <c r="C252" s="28" t="s">
        <v>95</v>
      </c>
      <c r="D252" s="37">
        <v>3.1779000000000006</v>
      </c>
      <c r="E252" s="67"/>
      <c r="F252" s="67">
        <v>119.07</v>
      </c>
      <c r="G252" s="67"/>
      <c r="H252" s="67"/>
      <c r="I252" s="30">
        <v>378.39255300000008</v>
      </c>
      <c r="J252" s="67"/>
      <c r="M252" s="241"/>
    </row>
    <row r="253" spans="1:13">
      <c r="A253" s="162">
        <v>58</v>
      </c>
      <c r="B253" s="70" t="s">
        <v>38</v>
      </c>
      <c r="C253" s="8" t="s">
        <v>29</v>
      </c>
      <c r="D253" s="69">
        <v>0.88</v>
      </c>
      <c r="E253" s="32">
        <v>89</v>
      </c>
      <c r="F253" s="33">
        <v>129.80000000000001</v>
      </c>
      <c r="G253" s="33">
        <v>218.8</v>
      </c>
      <c r="H253" s="33">
        <v>78.320000000000007</v>
      </c>
      <c r="I253" s="33">
        <v>114.22400000000002</v>
      </c>
      <c r="J253" s="31">
        <v>192.54400000000004</v>
      </c>
      <c r="K253" s="149">
        <v>114.22400000000002</v>
      </c>
      <c r="L253" s="149">
        <v>192.54400000000004</v>
      </c>
      <c r="M253" s="241"/>
    </row>
    <row r="254" spans="1:13" s="101" customFormat="1" ht="15.75" customHeight="1" outlineLevel="1">
      <c r="A254" s="100" t="s">
        <v>181</v>
      </c>
      <c r="B254" s="66" t="s">
        <v>159</v>
      </c>
      <c r="C254" s="28" t="s">
        <v>0</v>
      </c>
      <c r="D254" s="37">
        <v>0.9416000000000001</v>
      </c>
      <c r="E254" s="67"/>
      <c r="F254" s="67">
        <v>120</v>
      </c>
      <c r="G254" s="67"/>
      <c r="H254" s="67"/>
      <c r="I254" s="30">
        <v>112.99200000000002</v>
      </c>
      <c r="J254" s="67"/>
      <c r="M254" s="241"/>
    </row>
    <row r="255" spans="1:13" s="101" customFormat="1" ht="15.75" customHeight="1" outlineLevel="1">
      <c r="A255" s="100" t="s">
        <v>181</v>
      </c>
      <c r="B255" s="66" t="s">
        <v>161</v>
      </c>
      <c r="C255" s="28" t="s">
        <v>22</v>
      </c>
      <c r="D255" s="38">
        <v>3.52</v>
      </c>
      <c r="E255" s="67"/>
      <c r="F255" s="67">
        <v>0.35</v>
      </c>
      <c r="G255" s="67"/>
      <c r="H255" s="67"/>
      <c r="I255" s="30">
        <v>1.232</v>
      </c>
      <c r="J255" s="67"/>
      <c r="M255" s="241"/>
    </row>
    <row r="256" spans="1:13">
      <c r="A256" s="162">
        <v>59</v>
      </c>
      <c r="B256" s="70" t="s">
        <v>56</v>
      </c>
      <c r="C256" s="8" t="s">
        <v>29</v>
      </c>
      <c r="D256" s="69">
        <v>8.8000000000000007</v>
      </c>
      <c r="E256" s="32">
        <v>44.16</v>
      </c>
      <c r="F256" s="33">
        <v>85.767909090909114</v>
      </c>
      <c r="G256" s="33">
        <v>129.92790909090911</v>
      </c>
      <c r="H256" s="33">
        <v>388.608</v>
      </c>
      <c r="I256" s="33">
        <v>754.75760000000025</v>
      </c>
      <c r="J256" s="31">
        <v>1143.3656000000003</v>
      </c>
      <c r="K256" s="149">
        <v>754.75760000000025</v>
      </c>
      <c r="L256" s="149">
        <v>1143.3656000000003</v>
      </c>
      <c r="M256" s="241"/>
    </row>
    <row r="257" spans="1:13" s="101" customFormat="1" ht="15.75" customHeight="1" outlineLevel="1">
      <c r="A257" s="100" t="s">
        <v>181</v>
      </c>
      <c r="B257" s="66" t="s">
        <v>160</v>
      </c>
      <c r="C257" s="28" t="s">
        <v>29</v>
      </c>
      <c r="D257" s="37">
        <v>9.4160000000000021</v>
      </c>
      <c r="E257" s="67"/>
      <c r="F257" s="67">
        <v>66.099999999999994</v>
      </c>
      <c r="G257" s="67"/>
      <c r="H257" s="67"/>
      <c r="I257" s="30">
        <v>622.39760000000012</v>
      </c>
      <c r="J257" s="67"/>
      <c r="M257" s="241"/>
    </row>
    <row r="258" spans="1:13" s="101" customFormat="1" ht="15.75" customHeight="1" outlineLevel="1">
      <c r="A258" s="100" t="s">
        <v>181</v>
      </c>
      <c r="B258" s="66" t="s">
        <v>162</v>
      </c>
      <c r="C258" s="28" t="s">
        <v>22</v>
      </c>
      <c r="D258" s="37">
        <v>1</v>
      </c>
      <c r="E258" s="67"/>
      <c r="F258" s="67">
        <v>7.2</v>
      </c>
      <c r="G258" s="67"/>
      <c r="H258" s="67"/>
      <c r="I258" s="30">
        <v>7.2</v>
      </c>
      <c r="J258" s="67"/>
      <c r="M258" s="241"/>
    </row>
    <row r="259" spans="1:13" s="101" customFormat="1" ht="15.75" customHeight="1" outlineLevel="1">
      <c r="A259" s="100" t="s">
        <v>181</v>
      </c>
      <c r="B259" s="66" t="s">
        <v>163</v>
      </c>
      <c r="C259" s="28" t="s">
        <v>22</v>
      </c>
      <c r="D259" s="37">
        <v>1</v>
      </c>
      <c r="E259" s="67"/>
      <c r="F259" s="67">
        <v>7.2</v>
      </c>
      <c r="G259" s="67"/>
      <c r="H259" s="67"/>
      <c r="I259" s="30">
        <v>7.2</v>
      </c>
      <c r="J259" s="67"/>
      <c r="M259" s="241"/>
    </row>
    <row r="260" spans="1:13" s="101" customFormat="1" ht="15.75" customHeight="1" outlineLevel="1">
      <c r="A260" s="100" t="s">
        <v>181</v>
      </c>
      <c r="B260" s="66" t="s">
        <v>197</v>
      </c>
      <c r="C260" s="28" t="s">
        <v>22</v>
      </c>
      <c r="D260" s="38">
        <v>4.4000000000000004</v>
      </c>
      <c r="E260" s="67"/>
      <c r="F260" s="67">
        <v>11.1</v>
      </c>
      <c r="G260" s="67"/>
      <c r="H260" s="67"/>
      <c r="I260" s="30">
        <v>48.84</v>
      </c>
      <c r="J260" s="67"/>
      <c r="M260" s="241"/>
    </row>
    <row r="261" spans="1:13" s="101" customFormat="1" ht="15.75" customHeight="1" outlineLevel="1">
      <c r="A261" s="100" t="s">
        <v>181</v>
      </c>
      <c r="B261" s="66" t="s">
        <v>164</v>
      </c>
      <c r="C261" s="28" t="s">
        <v>22</v>
      </c>
      <c r="D261" s="37">
        <v>4</v>
      </c>
      <c r="E261" s="67"/>
      <c r="F261" s="67">
        <v>12</v>
      </c>
      <c r="G261" s="67"/>
      <c r="H261" s="67"/>
      <c r="I261" s="30">
        <v>48</v>
      </c>
      <c r="J261" s="67"/>
      <c r="M261" s="241"/>
    </row>
    <row r="262" spans="1:13" s="101" customFormat="1" ht="15.75" customHeight="1" outlineLevel="1">
      <c r="A262" s="100" t="s">
        <v>181</v>
      </c>
      <c r="B262" s="66" t="s">
        <v>87</v>
      </c>
      <c r="C262" s="28" t="s">
        <v>22</v>
      </c>
      <c r="D262" s="38">
        <v>35.200000000000003</v>
      </c>
      <c r="E262" s="67"/>
      <c r="F262" s="67">
        <v>0.6</v>
      </c>
      <c r="G262" s="67"/>
      <c r="H262" s="67"/>
      <c r="I262" s="30">
        <v>21.12</v>
      </c>
      <c r="J262" s="67"/>
      <c r="M262" s="241"/>
    </row>
    <row r="263" spans="1:13" ht="30">
      <c r="A263" s="162">
        <v>60</v>
      </c>
      <c r="B263" s="70" t="s">
        <v>165</v>
      </c>
      <c r="C263" s="8" t="s">
        <v>29</v>
      </c>
      <c r="D263" s="69">
        <v>11.620000000000001</v>
      </c>
      <c r="E263" s="32">
        <v>86.4</v>
      </c>
      <c r="F263" s="33">
        <v>68.574400000000011</v>
      </c>
      <c r="G263" s="33">
        <v>154.9744</v>
      </c>
      <c r="H263" s="33">
        <v>1003.9680000000002</v>
      </c>
      <c r="I263" s="33">
        <v>796.8345280000002</v>
      </c>
      <c r="J263" s="31">
        <v>1800.8025280000004</v>
      </c>
      <c r="K263" s="235">
        <v>18641.251012000001</v>
      </c>
      <c r="L263" s="235">
        <v>27370.723012000002</v>
      </c>
      <c r="M263" s="241"/>
    </row>
    <row r="264" spans="1:13" s="101" customFormat="1" ht="15.75" customHeight="1" outlineLevel="1">
      <c r="A264" s="100" t="s">
        <v>181</v>
      </c>
      <c r="B264" s="66" t="s">
        <v>130</v>
      </c>
      <c r="C264" s="28" t="s">
        <v>72</v>
      </c>
      <c r="D264" s="37">
        <v>2.3240000000000004E-2</v>
      </c>
      <c r="E264" s="67"/>
      <c r="F264" s="67">
        <v>10680</v>
      </c>
      <c r="G264" s="67"/>
      <c r="H264" s="67"/>
      <c r="I264" s="30">
        <v>248.20320000000004</v>
      </c>
      <c r="J264" s="67"/>
      <c r="K264" s="236"/>
      <c r="L264" s="236"/>
      <c r="M264" s="241"/>
    </row>
    <row r="265" spans="1:13" s="101" customFormat="1" ht="15.75" customHeight="1" outlineLevel="1">
      <c r="A265" s="100" t="s">
        <v>181</v>
      </c>
      <c r="B265" s="66" t="s">
        <v>148</v>
      </c>
      <c r="C265" s="28" t="s">
        <v>95</v>
      </c>
      <c r="D265" s="39">
        <v>1.1620000000000001E-3</v>
      </c>
      <c r="E265" s="67"/>
      <c r="F265" s="67">
        <v>44</v>
      </c>
      <c r="G265" s="67"/>
      <c r="H265" s="67"/>
      <c r="I265" s="30">
        <v>5.1128E-2</v>
      </c>
      <c r="J265" s="67"/>
      <c r="K265" s="236"/>
      <c r="L265" s="236"/>
      <c r="M265" s="241"/>
    </row>
    <row r="266" spans="1:13" s="101" customFormat="1" ht="15.75" customHeight="1" outlineLevel="1">
      <c r="A266" s="100" t="s">
        <v>181</v>
      </c>
      <c r="B266" s="66" t="s">
        <v>154</v>
      </c>
      <c r="C266" s="28" t="s">
        <v>0</v>
      </c>
      <c r="D266" s="37">
        <v>1.3944000000000001</v>
      </c>
      <c r="E266" s="67"/>
      <c r="F266" s="67">
        <v>367</v>
      </c>
      <c r="G266" s="67"/>
      <c r="H266" s="67"/>
      <c r="I266" s="30">
        <v>511.74480000000005</v>
      </c>
      <c r="J266" s="67"/>
      <c r="K266" s="236"/>
      <c r="L266" s="236"/>
      <c r="M266" s="241"/>
    </row>
    <row r="267" spans="1:13" ht="15.75" customHeight="1" outlineLevel="1">
      <c r="A267" s="100" t="s">
        <v>181</v>
      </c>
      <c r="B267" s="66" t="s">
        <v>153</v>
      </c>
      <c r="C267" s="28" t="s">
        <v>95</v>
      </c>
      <c r="D267" s="38">
        <v>0.58100000000000007</v>
      </c>
      <c r="E267" s="67"/>
      <c r="F267" s="67">
        <v>63.4</v>
      </c>
      <c r="G267" s="67"/>
      <c r="H267" s="67"/>
      <c r="I267" s="30">
        <v>36.835400000000007</v>
      </c>
      <c r="J267" s="67"/>
      <c r="K267" s="236"/>
      <c r="L267" s="236"/>
      <c r="M267" s="241"/>
    </row>
    <row r="268" spans="1:13" ht="30">
      <c r="A268" s="162">
        <v>61</v>
      </c>
      <c r="B268" s="70" t="s">
        <v>375</v>
      </c>
      <c r="C268" s="8" t="s">
        <v>29</v>
      </c>
      <c r="D268" s="69">
        <v>77.61</v>
      </c>
      <c r="E268" s="32">
        <v>86.4</v>
      </c>
      <c r="F268" s="33">
        <v>207.5044</v>
      </c>
      <c r="G268" s="33">
        <v>293.90440000000001</v>
      </c>
      <c r="H268" s="33">
        <v>6705.5040000000008</v>
      </c>
      <c r="I268" s="33">
        <v>16104.416484000001</v>
      </c>
      <c r="J268" s="31">
        <v>22809.920484000002</v>
      </c>
      <c r="K268" s="236"/>
      <c r="L268" s="236"/>
      <c r="M268" s="241"/>
    </row>
    <row r="269" spans="1:13" s="101" customFormat="1" ht="15.75" customHeight="1" outlineLevel="1">
      <c r="A269" s="100" t="s">
        <v>181</v>
      </c>
      <c r="B269" s="66" t="s">
        <v>130</v>
      </c>
      <c r="C269" s="28" t="s">
        <v>72</v>
      </c>
      <c r="D269" s="37">
        <v>0.15522</v>
      </c>
      <c r="E269" s="67"/>
      <c r="F269" s="67">
        <v>10680</v>
      </c>
      <c r="G269" s="67"/>
      <c r="H269" s="67"/>
      <c r="I269" s="30">
        <v>1657.7495999999999</v>
      </c>
      <c r="J269" s="67"/>
      <c r="K269" s="236"/>
      <c r="L269" s="236"/>
      <c r="M269" s="241"/>
    </row>
    <row r="270" spans="1:13" s="101" customFormat="1" ht="15.75" customHeight="1" outlineLevel="1">
      <c r="A270" s="100" t="s">
        <v>181</v>
      </c>
      <c r="B270" s="66" t="s">
        <v>148</v>
      </c>
      <c r="C270" s="28" t="s">
        <v>95</v>
      </c>
      <c r="D270" s="39">
        <v>7.7610000000000005E-3</v>
      </c>
      <c r="E270" s="67"/>
      <c r="F270" s="67">
        <v>44</v>
      </c>
      <c r="G270" s="67"/>
      <c r="H270" s="67"/>
      <c r="I270" s="30">
        <v>0.34148400000000001</v>
      </c>
      <c r="J270" s="67"/>
      <c r="K270" s="236"/>
      <c r="L270" s="236"/>
      <c r="M270" s="241"/>
    </row>
    <row r="271" spans="1:13" s="101" customFormat="1" ht="19.5" customHeight="1" outlineLevel="1">
      <c r="A271" s="100" t="s">
        <v>181</v>
      </c>
      <c r="B271" s="66" t="s">
        <v>372</v>
      </c>
      <c r="C271" s="28" t="s">
        <v>0</v>
      </c>
      <c r="D271" s="37">
        <v>8.3042700000000007</v>
      </c>
      <c r="E271" s="67"/>
      <c r="F271" s="67">
        <v>1710</v>
      </c>
      <c r="G271" s="67"/>
      <c r="H271" s="67"/>
      <c r="I271" s="30">
        <v>14200.301700000002</v>
      </c>
      <c r="J271" s="67"/>
      <c r="K271" s="236"/>
      <c r="L271" s="236"/>
      <c r="M271" s="241"/>
    </row>
    <row r="272" spans="1:13" ht="15.75" customHeight="1" outlineLevel="1">
      <c r="A272" s="100" t="s">
        <v>181</v>
      </c>
      <c r="B272" s="66" t="s">
        <v>153</v>
      </c>
      <c r="C272" s="28" t="s">
        <v>95</v>
      </c>
      <c r="D272" s="38">
        <v>3.8805000000000001</v>
      </c>
      <c r="E272" s="67"/>
      <c r="F272" s="67">
        <v>63.4</v>
      </c>
      <c r="G272" s="67"/>
      <c r="H272" s="67"/>
      <c r="I272" s="30">
        <v>246.02369999999999</v>
      </c>
      <c r="J272" s="67"/>
      <c r="K272" s="236"/>
      <c r="L272" s="236"/>
      <c r="M272" s="241"/>
    </row>
    <row r="273" spans="1:13">
      <c r="A273" s="162">
        <v>62</v>
      </c>
      <c r="B273" s="70" t="s">
        <v>167</v>
      </c>
      <c r="C273" s="8" t="s">
        <v>22</v>
      </c>
      <c r="D273" s="69">
        <v>12</v>
      </c>
      <c r="E273" s="32">
        <v>85</v>
      </c>
      <c r="F273" s="33">
        <v>145</v>
      </c>
      <c r="G273" s="33">
        <v>230</v>
      </c>
      <c r="H273" s="33">
        <v>1020</v>
      </c>
      <c r="I273" s="33">
        <v>1740</v>
      </c>
      <c r="J273" s="31">
        <v>2760</v>
      </c>
      <c r="K273" s="236"/>
      <c r="L273" s="236"/>
      <c r="M273" s="241"/>
    </row>
    <row r="274" spans="1:13" s="101" customFormat="1" ht="30" outlineLevel="1">
      <c r="A274" s="100" t="s">
        <v>181</v>
      </c>
      <c r="B274" s="66" t="s">
        <v>168</v>
      </c>
      <c r="C274" s="28" t="s">
        <v>22</v>
      </c>
      <c r="D274" s="37">
        <v>12</v>
      </c>
      <c r="E274" s="67"/>
      <c r="F274" s="67">
        <v>145</v>
      </c>
      <c r="G274" s="67"/>
      <c r="H274" s="67"/>
      <c r="I274" s="30">
        <v>1740</v>
      </c>
      <c r="J274" s="67"/>
      <c r="M274" s="242"/>
    </row>
    <row r="275" spans="1:13" ht="15.75" customHeight="1">
      <c r="A275" s="222" t="s">
        <v>116</v>
      </c>
      <c r="B275" s="223"/>
      <c r="C275" s="223"/>
      <c r="D275" s="223"/>
      <c r="E275" s="223"/>
      <c r="F275" s="223"/>
      <c r="G275" s="224"/>
      <c r="H275" s="67">
        <v>75940.85000000002</v>
      </c>
      <c r="I275" s="67">
        <v>225836.57441299997</v>
      </c>
      <c r="J275" s="67">
        <v>301777.42441299994</v>
      </c>
      <c r="M275" s="156"/>
    </row>
    <row r="276" spans="1:13" ht="21" customHeight="1">
      <c r="A276" s="225" t="s">
        <v>31</v>
      </c>
      <c r="B276" s="226" t="s">
        <v>31</v>
      </c>
      <c r="C276" s="226"/>
      <c r="D276" s="226"/>
      <c r="E276" s="226"/>
      <c r="F276" s="226"/>
      <c r="G276" s="226"/>
      <c r="H276" s="226"/>
      <c r="I276" s="226"/>
      <c r="J276" s="227"/>
      <c r="M276" s="156"/>
    </row>
    <row r="277" spans="1:13">
      <c r="A277" s="162">
        <v>63</v>
      </c>
      <c r="B277" s="70" t="s">
        <v>217</v>
      </c>
      <c r="C277" s="8" t="s">
        <v>0</v>
      </c>
      <c r="D277" s="69">
        <v>29.678000000000004</v>
      </c>
      <c r="E277" s="32">
        <v>92.3</v>
      </c>
      <c r="F277" s="33">
        <v>0</v>
      </c>
      <c r="G277" s="33">
        <v>92.3</v>
      </c>
      <c r="H277" s="33">
        <v>2739.2794000000004</v>
      </c>
      <c r="I277" s="33">
        <v>0</v>
      </c>
      <c r="J277" s="31">
        <v>2739.2794000000004</v>
      </c>
      <c r="K277" s="149">
        <v>0</v>
      </c>
      <c r="L277" s="149">
        <v>2739.2794000000004</v>
      </c>
      <c r="M277" s="162">
        <v>1</v>
      </c>
    </row>
    <row r="278" spans="1:13" ht="30">
      <c r="A278" s="162">
        <v>64</v>
      </c>
      <c r="B278" s="70" t="s">
        <v>59</v>
      </c>
      <c r="C278" s="8" t="s">
        <v>0</v>
      </c>
      <c r="D278" s="69">
        <v>23.919000000000004</v>
      </c>
      <c r="E278" s="32">
        <v>423.3</v>
      </c>
      <c r="F278" s="33">
        <v>275.34585000000004</v>
      </c>
      <c r="G278" s="33">
        <v>698.64585000000011</v>
      </c>
      <c r="H278" s="33">
        <v>10124.912700000003</v>
      </c>
      <c r="I278" s="33">
        <v>6585.9973861500021</v>
      </c>
      <c r="J278" s="31">
        <v>16710.910086150005</v>
      </c>
      <c r="K278" s="235">
        <v>16187.435040950002</v>
      </c>
      <c r="L278" s="235">
        <v>39520.417340950007</v>
      </c>
      <c r="M278" s="240">
        <v>2</v>
      </c>
    </row>
    <row r="279" spans="1:13" ht="15.75" customHeight="1" outlineLevel="1">
      <c r="A279" s="100" t="s">
        <v>181</v>
      </c>
      <c r="B279" s="66" t="s">
        <v>169</v>
      </c>
      <c r="C279" s="28" t="s">
        <v>0</v>
      </c>
      <c r="D279" s="34">
        <v>25.593330000000005</v>
      </c>
      <c r="E279" s="67"/>
      <c r="F279" s="67">
        <v>101</v>
      </c>
      <c r="G279" s="67"/>
      <c r="H279" s="67"/>
      <c r="I279" s="30">
        <v>2584.9263300000007</v>
      </c>
      <c r="J279" s="67"/>
      <c r="K279" s="236"/>
      <c r="L279" s="236"/>
      <c r="M279" s="241"/>
    </row>
    <row r="280" spans="1:13" ht="15.75" customHeight="1" outlineLevel="1">
      <c r="A280" s="100" t="s">
        <v>181</v>
      </c>
      <c r="B280" s="66" t="s">
        <v>111</v>
      </c>
      <c r="C280" s="28" t="s">
        <v>29</v>
      </c>
      <c r="D280" s="34">
        <v>63.624540000000017</v>
      </c>
      <c r="E280" s="67"/>
      <c r="F280" s="67">
        <v>14.7</v>
      </c>
      <c r="G280" s="67"/>
      <c r="H280" s="67"/>
      <c r="I280" s="30">
        <v>935.28073800000016</v>
      </c>
      <c r="J280" s="67"/>
      <c r="K280" s="236"/>
      <c r="L280" s="236"/>
      <c r="M280" s="241"/>
    </row>
    <row r="281" spans="1:13" ht="15.75" customHeight="1" outlineLevel="1">
      <c r="A281" s="100" t="s">
        <v>181</v>
      </c>
      <c r="B281" s="66" t="s">
        <v>112</v>
      </c>
      <c r="C281" s="28" t="s">
        <v>29</v>
      </c>
      <c r="D281" s="34">
        <v>80.128650000000022</v>
      </c>
      <c r="E281" s="67"/>
      <c r="F281" s="67">
        <v>26.33</v>
      </c>
      <c r="G281" s="67"/>
      <c r="H281" s="67"/>
      <c r="I281" s="30">
        <v>2109.7873545000002</v>
      </c>
      <c r="J281" s="67"/>
      <c r="K281" s="236"/>
      <c r="L281" s="236"/>
      <c r="M281" s="241"/>
    </row>
    <row r="282" spans="1:13" ht="15.75" customHeight="1" outlineLevel="1">
      <c r="A282" s="100" t="s">
        <v>181</v>
      </c>
      <c r="B282" s="66" t="s">
        <v>104</v>
      </c>
      <c r="C282" s="28" t="s">
        <v>22</v>
      </c>
      <c r="D282" s="34">
        <v>550.13700000000006</v>
      </c>
      <c r="E282" s="67"/>
      <c r="F282" s="67">
        <v>0.24</v>
      </c>
      <c r="G282" s="67"/>
      <c r="H282" s="67"/>
      <c r="I282" s="30">
        <v>132.03288000000001</v>
      </c>
      <c r="J282" s="67"/>
      <c r="K282" s="236"/>
      <c r="L282" s="236"/>
      <c r="M282" s="241"/>
    </row>
    <row r="283" spans="1:13" ht="15.75" customHeight="1" outlineLevel="1">
      <c r="A283" s="100" t="s">
        <v>181</v>
      </c>
      <c r="B283" s="66" t="s">
        <v>87</v>
      </c>
      <c r="C283" s="28" t="s">
        <v>22</v>
      </c>
      <c r="D283" s="34">
        <v>77.01918000000002</v>
      </c>
      <c r="E283" s="67"/>
      <c r="F283" s="67">
        <v>0.6</v>
      </c>
      <c r="G283" s="67"/>
      <c r="H283" s="67"/>
      <c r="I283" s="30">
        <v>46.211508000000009</v>
      </c>
      <c r="J283" s="67"/>
      <c r="K283" s="236"/>
      <c r="L283" s="236"/>
      <c r="M283" s="241"/>
    </row>
    <row r="284" spans="1:13" ht="15.75" customHeight="1" outlineLevel="1">
      <c r="A284" s="100" t="s">
        <v>181</v>
      </c>
      <c r="B284" s="66" t="s">
        <v>109</v>
      </c>
      <c r="C284" s="28" t="s">
        <v>22</v>
      </c>
      <c r="D284" s="34">
        <v>112.41930000000002</v>
      </c>
      <c r="E284" s="67"/>
      <c r="F284" s="67">
        <v>0.23</v>
      </c>
      <c r="G284" s="67"/>
      <c r="H284" s="67"/>
      <c r="I284" s="30">
        <v>25.856439000000005</v>
      </c>
      <c r="J284" s="67"/>
      <c r="K284" s="236"/>
      <c r="L284" s="236"/>
      <c r="M284" s="241"/>
    </row>
    <row r="285" spans="1:13" ht="15.75" customHeight="1" outlineLevel="1">
      <c r="A285" s="100" t="s">
        <v>181</v>
      </c>
      <c r="B285" s="66" t="s">
        <v>170</v>
      </c>
      <c r="C285" s="28" t="s">
        <v>95</v>
      </c>
      <c r="D285" s="34">
        <v>0.95676000000000017</v>
      </c>
      <c r="E285" s="67"/>
      <c r="F285" s="67">
        <v>48.8</v>
      </c>
      <c r="G285" s="67"/>
      <c r="H285" s="67"/>
      <c r="I285" s="30">
        <v>46.689888000000003</v>
      </c>
      <c r="J285" s="67"/>
      <c r="K285" s="236"/>
      <c r="L285" s="236"/>
      <c r="M285" s="241"/>
    </row>
    <row r="286" spans="1:13" ht="15.75" customHeight="1" outlineLevel="1">
      <c r="A286" s="100" t="s">
        <v>181</v>
      </c>
      <c r="B286" s="66" t="s">
        <v>94</v>
      </c>
      <c r="C286" s="28" t="s">
        <v>95</v>
      </c>
      <c r="D286" s="34">
        <v>16.743300000000001</v>
      </c>
      <c r="E286" s="67"/>
      <c r="F286" s="67">
        <v>15</v>
      </c>
      <c r="G286" s="67"/>
      <c r="H286" s="67"/>
      <c r="I286" s="30">
        <v>251.14950000000002</v>
      </c>
      <c r="J286" s="67"/>
      <c r="K286" s="236"/>
      <c r="L286" s="236"/>
      <c r="M286" s="241"/>
    </row>
    <row r="287" spans="1:13" ht="15.75" customHeight="1" outlineLevel="1">
      <c r="A287" s="100" t="s">
        <v>181</v>
      </c>
      <c r="B287" s="66" t="s">
        <v>96</v>
      </c>
      <c r="C287" s="28" t="s">
        <v>29</v>
      </c>
      <c r="D287" s="34">
        <v>21.168315000000003</v>
      </c>
      <c r="E287" s="67"/>
      <c r="F287" s="67">
        <v>0.71</v>
      </c>
      <c r="G287" s="67"/>
      <c r="H287" s="67"/>
      <c r="I287" s="30">
        <v>15.029503650000002</v>
      </c>
      <c r="J287" s="67"/>
      <c r="K287" s="236"/>
      <c r="L287" s="236"/>
      <c r="M287" s="241"/>
    </row>
    <row r="288" spans="1:13" ht="15.75" customHeight="1" outlineLevel="1">
      <c r="A288" s="100" t="s">
        <v>181</v>
      </c>
      <c r="B288" s="66" t="s">
        <v>97</v>
      </c>
      <c r="C288" s="28" t="s">
        <v>29</v>
      </c>
      <c r="D288" s="34">
        <v>28.702800000000003</v>
      </c>
      <c r="E288" s="67"/>
      <c r="F288" s="67">
        <v>8.3000000000000007</v>
      </c>
      <c r="G288" s="67"/>
      <c r="H288" s="67"/>
      <c r="I288" s="30">
        <v>238.23324000000005</v>
      </c>
      <c r="J288" s="67"/>
      <c r="K288" s="236"/>
      <c r="L288" s="236"/>
      <c r="M288" s="241"/>
    </row>
    <row r="289" spans="1:13" ht="15.75" customHeight="1" outlineLevel="1">
      <c r="A289" s="100" t="s">
        <v>181</v>
      </c>
      <c r="B289" s="66" t="s">
        <v>108</v>
      </c>
      <c r="C289" s="28" t="s">
        <v>22</v>
      </c>
      <c r="D289" s="40">
        <v>19.374390000000005</v>
      </c>
      <c r="E289" s="67"/>
      <c r="F289" s="67">
        <v>3.5</v>
      </c>
      <c r="G289" s="67"/>
      <c r="H289" s="67"/>
      <c r="I289" s="30">
        <v>67.810365000000019</v>
      </c>
      <c r="J289" s="67"/>
      <c r="K289" s="236"/>
      <c r="L289" s="236"/>
      <c r="M289" s="241"/>
    </row>
    <row r="290" spans="1:13" ht="15.75" customHeight="1" outlineLevel="1">
      <c r="A290" s="100" t="s">
        <v>181</v>
      </c>
      <c r="B290" s="66" t="s">
        <v>98</v>
      </c>
      <c r="C290" s="28" t="s">
        <v>99</v>
      </c>
      <c r="D290" s="34">
        <v>2.3919000000000006</v>
      </c>
      <c r="E290" s="67"/>
      <c r="F290" s="67">
        <v>55.6</v>
      </c>
      <c r="G290" s="67"/>
      <c r="H290" s="67"/>
      <c r="I290" s="30">
        <v>132.98964000000004</v>
      </c>
      <c r="J290" s="67"/>
      <c r="K290" s="236"/>
      <c r="L290" s="236"/>
      <c r="M290" s="241"/>
    </row>
    <row r="291" spans="1:13" ht="30">
      <c r="A291" s="162">
        <v>65</v>
      </c>
      <c r="B291" s="70" t="s">
        <v>75</v>
      </c>
      <c r="C291" s="8" t="s">
        <v>0</v>
      </c>
      <c r="D291" s="69">
        <v>11.003</v>
      </c>
      <c r="E291" s="32">
        <v>91.2</v>
      </c>
      <c r="F291" s="33">
        <v>178.42860000000002</v>
      </c>
      <c r="G291" s="33">
        <v>269.62860000000001</v>
      </c>
      <c r="H291" s="33">
        <v>1003.4736</v>
      </c>
      <c r="I291" s="33">
        <v>1963.2498858000001</v>
      </c>
      <c r="J291" s="31">
        <v>2966.7234858000002</v>
      </c>
      <c r="K291" s="236"/>
      <c r="L291" s="236"/>
      <c r="M291" s="241"/>
    </row>
    <row r="292" spans="1:13" ht="30" customHeight="1" outlineLevel="1">
      <c r="A292" s="100" t="s">
        <v>181</v>
      </c>
      <c r="B292" s="66" t="s">
        <v>105</v>
      </c>
      <c r="C292" s="28" t="s">
        <v>0</v>
      </c>
      <c r="D292" s="37">
        <v>11.22306</v>
      </c>
      <c r="E292" s="67"/>
      <c r="F292" s="67">
        <v>174.93</v>
      </c>
      <c r="G292" s="67"/>
      <c r="H292" s="67"/>
      <c r="I292" s="30">
        <v>1963.2498858000001</v>
      </c>
      <c r="J292" s="67"/>
      <c r="K292" s="236"/>
      <c r="L292" s="236"/>
      <c r="M292" s="241"/>
    </row>
    <row r="293" spans="1:13" ht="30">
      <c r="A293" s="162">
        <v>66</v>
      </c>
      <c r="B293" s="70" t="s">
        <v>61</v>
      </c>
      <c r="C293" s="8" t="s">
        <v>0</v>
      </c>
      <c r="D293" s="69">
        <v>23.74</v>
      </c>
      <c r="E293" s="32">
        <v>378.6</v>
      </c>
      <c r="F293" s="33">
        <v>274.19584999999995</v>
      </c>
      <c r="G293" s="33">
        <v>652.79584999999997</v>
      </c>
      <c r="H293" s="33">
        <v>8987.9639999999999</v>
      </c>
      <c r="I293" s="33">
        <v>6509.409478999999</v>
      </c>
      <c r="J293" s="31">
        <v>15497.373478999998</v>
      </c>
      <c r="K293" s="236"/>
      <c r="L293" s="236"/>
      <c r="M293" s="241"/>
    </row>
    <row r="294" spans="1:13" ht="15.75" customHeight="1" outlineLevel="1">
      <c r="A294" s="100" t="s">
        <v>181</v>
      </c>
      <c r="B294" s="66" t="s">
        <v>169</v>
      </c>
      <c r="C294" s="28" t="s">
        <v>0</v>
      </c>
      <c r="D294" s="34">
        <v>25.401800000000001</v>
      </c>
      <c r="E294" s="67"/>
      <c r="F294" s="67">
        <v>101</v>
      </c>
      <c r="G294" s="67"/>
      <c r="H294" s="67"/>
      <c r="I294" s="30">
        <v>2565.5817999999999</v>
      </c>
      <c r="J294" s="67"/>
      <c r="K294" s="236"/>
      <c r="L294" s="236"/>
      <c r="M294" s="241"/>
    </row>
    <row r="295" spans="1:13" ht="15.75" customHeight="1" outlineLevel="1">
      <c r="A295" s="100" t="s">
        <v>181</v>
      </c>
      <c r="B295" s="66" t="s">
        <v>111</v>
      </c>
      <c r="C295" s="28" t="s">
        <v>29</v>
      </c>
      <c r="D295" s="34">
        <v>63.148400000000002</v>
      </c>
      <c r="E295" s="67"/>
      <c r="F295" s="67">
        <v>14.7</v>
      </c>
      <c r="G295" s="67"/>
      <c r="H295" s="67"/>
      <c r="I295" s="30">
        <v>928.28147999999999</v>
      </c>
      <c r="J295" s="67"/>
      <c r="K295" s="236"/>
      <c r="L295" s="236"/>
      <c r="M295" s="241"/>
    </row>
    <row r="296" spans="1:13" ht="15.75" customHeight="1" outlineLevel="1">
      <c r="A296" s="100" t="s">
        <v>181</v>
      </c>
      <c r="B296" s="66" t="s">
        <v>112</v>
      </c>
      <c r="C296" s="28" t="s">
        <v>29</v>
      </c>
      <c r="D296" s="34">
        <v>79.528999999999996</v>
      </c>
      <c r="E296" s="67"/>
      <c r="F296" s="67">
        <v>26.33</v>
      </c>
      <c r="G296" s="67"/>
      <c r="H296" s="67"/>
      <c r="I296" s="30">
        <v>2093.9985699999997</v>
      </c>
      <c r="J296" s="67"/>
      <c r="K296" s="236"/>
      <c r="L296" s="236"/>
      <c r="M296" s="241"/>
    </row>
    <row r="297" spans="1:13" ht="15.75" customHeight="1" outlineLevel="1">
      <c r="A297" s="100" t="s">
        <v>181</v>
      </c>
      <c r="B297" s="66" t="s">
        <v>104</v>
      </c>
      <c r="C297" s="28" t="s">
        <v>22</v>
      </c>
      <c r="D297" s="34">
        <v>546.02</v>
      </c>
      <c r="E297" s="67"/>
      <c r="F297" s="67">
        <v>0.19</v>
      </c>
      <c r="G297" s="67"/>
      <c r="H297" s="67"/>
      <c r="I297" s="30">
        <v>103.74379999999999</v>
      </c>
      <c r="J297" s="67"/>
      <c r="K297" s="236"/>
      <c r="L297" s="236"/>
      <c r="M297" s="241"/>
    </row>
    <row r="298" spans="1:13" ht="15.75" customHeight="1" outlineLevel="1">
      <c r="A298" s="100" t="s">
        <v>181</v>
      </c>
      <c r="B298" s="66" t="s">
        <v>87</v>
      </c>
      <c r="C298" s="28" t="s">
        <v>22</v>
      </c>
      <c r="D298" s="34">
        <v>76.442800000000005</v>
      </c>
      <c r="E298" s="67"/>
      <c r="F298" s="67">
        <v>0.6</v>
      </c>
      <c r="G298" s="67"/>
      <c r="H298" s="67"/>
      <c r="I298" s="30">
        <v>45.865680000000005</v>
      </c>
      <c r="J298" s="67"/>
      <c r="K298" s="236"/>
      <c r="L298" s="236"/>
      <c r="M298" s="241"/>
    </row>
    <row r="299" spans="1:13" ht="15.75" customHeight="1" outlineLevel="1">
      <c r="A299" s="100" t="s">
        <v>181</v>
      </c>
      <c r="B299" s="66" t="s">
        <v>109</v>
      </c>
      <c r="C299" s="28" t="s">
        <v>22</v>
      </c>
      <c r="D299" s="34">
        <v>111.578</v>
      </c>
      <c r="E299" s="67"/>
      <c r="F299" s="67">
        <v>0.23</v>
      </c>
      <c r="G299" s="67"/>
      <c r="H299" s="67"/>
      <c r="I299" s="30">
        <v>25.662940000000003</v>
      </c>
      <c r="J299" s="67"/>
      <c r="K299" s="236"/>
      <c r="L299" s="236"/>
      <c r="M299" s="241"/>
    </row>
    <row r="300" spans="1:13" ht="15.75" customHeight="1" outlineLevel="1">
      <c r="A300" s="100" t="s">
        <v>181</v>
      </c>
      <c r="B300" s="66" t="s">
        <v>170</v>
      </c>
      <c r="C300" s="28" t="s">
        <v>95</v>
      </c>
      <c r="D300" s="34">
        <v>0.9496</v>
      </c>
      <c r="E300" s="67"/>
      <c r="F300" s="67">
        <v>48.8</v>
      </c>
      <c r="G300" s="67"/>
      <c r="H300" s="67"/>
      <c r="I300" s="30">
        <v>46.340479999999999</v>
      </c>
      <c r="J300" s="67"/>
      <c r="K300" s="236"/>
      <c r="L300" s="236"/>
      <c r="M300" s="241"/>
    </row>
    <row r="301" spans="1:13" ht="15.75" customHeight="1" outlineLevel="1">
      <c r="A301" s="100" t="s">
        <v>181</v>
      </c>
      <c r="B301" s="66" t="s">
        <v>94</v>
      </c>
      <c r="C301" s="28" t="s">
        <v>95</v>
      </c>
      <c r="D301" s="34">
        <v>16.617999999999999</v>
      </c>
      <c r="E301" s="67"/>
      <c r="F301" s="67">
        <v>15</v>
      </c>
      <c r="G301" s="67"/>
      <c r="H301" s="67"/>
      <c r="I301" s="30">
        <v>249.26999999999998</v>
      </c>
      <c r="J301" s="67"/>
      <c r="K301" s="236"/>
      <c r="L301" s="236"/>
      <c r="M301" s="241"/>
    </row>
    <row r="302" spans="1:13" ht="15.75" customHeight="1" outlineLevel="1">
      <c r="A302" s="100" t="s">
        <v>181</v>
      </c>
      <c r="B302" s="66" t="s">
        <v>96</v>
      </c>
      <c r="C302" s="28" t="s">
        <v>29</v>
      </c>
      <c r="D302" s="34">
        <v>21.009899999999998</v>
      </c>
      <c r="E302" s="67"/>
      <c r="F302" s="67">
        <v>0.71</v>
      </c>
      <c r="G302" s="67"/>
      <c r="H302" s="67"/>
      <c r="I302" s="30">
        <v>14.917028999999998</v>
      </c>
      <c r="J302" s="67"/>
      <c r="K302" s="236"/>
      <c r="L302" s="236"/>
      <c r="M302" s="241"/>
    </row>
    <row r="303" spans="1:13" ht="15.75" customHeight="1" outlineLevel="1">
      <c r="A303" s="100" t="s">
        <v>181</v>
      </c>
      <c r="B303" s="66" t="s">
        <v>97</v>
      </c>
      <c r="C303" s="28" t="s">
        <v>29</v>
      </c>
      <c r="D303" s="34">
        <v>28.487999999999996</v>
      </c>
      <c r="E303" s="67"/>
      <c r="F303" s="67">
        <v>8.3000000000000007</v>
      </c>
      <c r="G303" s="67"/>
      <c r="H303" s="67"/>
      <c r="I303" s="30">
        <v>236.45039999999997</v>
      </c>
      <c r="J303" s="67"/>
      <c r="K303" s="236"/>
      <c r="L303" s="236"/>
      <c r="M303" s="241"/>
    </row>
    <row r="304" spans="1:13" ht="15.75" customHeight="1" outlineLevel="1">
      <c r="A304" s="100" t="s">
        <v>181</v>
      </c>
      <c r="B304" s="66" t="s">
        <v>108</v>
      </c>
      <c r="C304" s="28" t="s">
        <v>22</v>
      </c>
      <c r="D304" s="40">
        <v>19.229399999999998</v>
      </c>
      <c r="E304" s="67"/>
      <c r="F304" s="67">
        <v>3.5</v>
      </c>
      <c r="G304" s="67"/>
      <c r="H304" s="67"/>
      <c r="I304" s="30">
        <v>67.302899999999994</v>
      </c>
      <c r="J304" s="67"/>
      <c r="K304" s="236"/>
      <c r="L304" s="236"/>
      <c r="M304" s="241"/>
    </row>
    <row r="305" spans="1:13" ht="15.75" customHeight="1" outlineLevel="1">
      <c r="A305" s="100" t="s">
        <v>181</v>
      </c>
      <c r="B305" s="66" t="s">
        <v>98</v>
      </c>
      <c r="C305" s="28" t="s">
        <v>99</v>
      </c>
      <c r="D305" s="34">
        <v>2.3740000000000001</v>
      </c>
      <c r="E305" s="67"/>
      <c r="F305" s="67">
        <v>55.6</v>
      </c>
      <c r="G305" s="67"/>
      <c r="H305" s="67"/>
      <c r="I305" s="30">
        <v>131.99440000000001</v>
      </c>
      <c r="J305" s="67"/>
      <c r="K305" s="236"/>
      <c r="L305" s="236"/>
      <c r="M305" s="241"/>
    </row>
    <row r="306" spans="1:13" s="152" customFormat="1" ht="45" customHeight="1">
      <c r="A306" s="8">
        <v>67</v>
      </c>
      <c r="B306" s="70" t="s">
        <v>40</v>
      </c>
      <c r="C306" s="8" t="s">
        <v>0</v>
      </c>
      <c r="D306" s="69">
        <v>20.428000000000001</v>
      </c>
      <c r="E306" s="151">
        <v>24</v>
      </c>
      <c r="F306" s="33">
        <v>11.120000000000001</v>
      </c>
      <c r="G306" s="33">
        <v>35.120000000000005</v>
      </c>
      <c r="H306" s="33">
        <v>490.27200000000005</v>
      </c>
      <c r="I306" s="33">
        <v>227.15936000000002</v>
      </c>
      <c r="J306" s="31">
        <v>717.43136000000004</v>
      </c>
      <c r="K306" s="236"/>
      <c r="L306" s="236"/>
      <c r="M306" s="241"/>
    </row>
    <row r="307" spans="1:13" s="101" customFormat="1" ht="15.75" customHeight="1" outlineLevel="1">
      <c r="A307" s="100" t="s">
        <v>181</v>
      </c>
      <c r="B307" s="66" t="s">
        <v>98</v>
      </c>
      <c r="C307" s="28" t="s">
        <v>95</v>
      </c>
      <c r="D307" s="34">
        <v>4.0856000000000003</v>
      </c>
      <c r="E307" s="67"/>
      <c r="F307" s="67">
        <v>55.6</v>
      </c>
      <c r="G307" s="67"/>
      <c r="H307" s="67"/>
      <c r="I307" s="30">
        <v>227.15936000000002</v>
      </c>
      <c r="J307" s="67"/>
      <c r="K307" s="236"/>
      <c r="L307" s="236"/>
      <c r="M307" s="241"/>
    </row>
    <row r="308" spans="1:13" ht="30" customHeight="1">
      <c r="A308" s="162">
        <v>68</v>
      </c>
      <c r="B308" s="70" t="s">
        <v>51</v>
      </c>
      <c r="C308" s="8" t="s">
        <v>29</v>
      </c>
      <c r="D308" s="69">
        <v>38.67</v>
      </c>
      <c r="E308" s="32">
        <v>48</v>
      </c>
      <c r="F308" s="33">
        <v>10.879</v>
      </c>
      <c r="G308" s="33">
        <v>58.878999999999998</v>
      </c>
      <c r="H308" s="33">
        <v>1856.16</v>
      </c>
      <c r="I308" s="33">
        <v>420.69092999999998</v>
      </c>
      <c r="J308" s="31">
        <v>2276.8509300000001</v>
      </c>
      <c r="K308" s="236"/>
      <c r="L308" s="236"/>
      <c r="M308" s="241"/>
    </row>
    <row r="309" spans="1:13" s="101" customFormat="1" ht="15.75" customHeight="1" outlineLevel="1">
      <c r="A309" s="100" t="s">
        <v>181</v>
      </c>
      <c r="B309" s="66" t="s">
        <v>138</v>
      </c>
      <c r="C309" s="28" t="s">
        <v>95</v>
      </c>
      <c r="D309" s="37">
        <v>39.830100000000002</v>
      </c>
      <c r="E309" s="67"/>
      <c r="F309" s="67">
        <v>7.3</v>
      </c>
      <c r="G309" s="67"/>
      <c r="H309" s="67"/>
      <c r="I309" s="30">
        <v>290.75972999999999</v>
      </c>
      <c r="J309" s="67"/>
      <c r="K309" s="236"/>
      <c r="L309" s="236"/>
      <c r="M309" s="241"/>
    </row>
    <row r="310" spans="1:13" s="101" customFormat="1" ht="15.75" customHeight="1" outlineLevel="1">
      <c r="A310" s="100" t="s">
        <v>181</v>
      </c>
      <c r="B310" s="66" t="s">
        <v>139</v>
      </c>
      <c r="C310" s="28" t="s">
        <v>95</v>
      </c>
      <c r="D310" s="37">
        <v>11.601000000000001</v>
      </c>
      <c r="E310" s="67"/>
      <c r="F310" s="67">
        <v>11.2</v>
      </c>
      <c r="G310" s="67"/>
      <c r="H310" s="67"/>
      <c r="I310" s="30">
        <v>129.93119999999999</v>
      </c>
      <c r="J310" s="67"/>
      <c r="K310" s="236"/>
      <c r="L310" s="236"/>
      <c r="M310" s="241"/>
    </row>
    <row r="311" spans="1:13" ht="30">
      <c r="A311" s="162">
        <v>69</v>
      </c>
      <c r="B311" s="70" t="s">
        <v>174</v>
      </c>
      <c r="C311" s="8" t="s">
        <v>0</v>
      </c>
      <c r="D311" s="69">
        <v>3.8</v>
      </c>
      <c r="E311" s="32">
        <v>229</v>
      </c>
      <c r="F311" s="33">
        <v>126.55999999999999</v>
      </c>
      <c r="G311" s="33">
        <v>355.56</v>
      </c>
      <c r="H311" s="33">
        <v>870.19999999999993</v>
      </c>
      <c r="I311" s="33">
        <v>480.92799999999994</v>
      </c>
      <c r="J311" s="31">
        <v>1351.1279999999999</v>
      </c>
      <c r="K311" s="236"/>
      <c r="L311" s="236"/>
      <c r="M311" s="241"/>
    </row>
    <row r="312" spans="1:13" s="101" customFormat="1" ht="15.75" outlineLevel="1">
      <c r="A312" s="100" t="s">
        <v>181</v>
      </c>
      <c r="B312" s="66" t="s">
        <v>139</v>
      </c>
      <c r="C312" s="28" t="s">
        <v>95</v>
      </c>
      <c r="D312" s="34">
        <v>42.94</v>
      </c>
      <c r="E312" s="67"/>
      <c r="F312" s="67">
        <v>11.2</v>
      </c>
      <c r="G312" s="67"/>
      <c r="H312" s="67"/>
      <c r="I312" s="30">
        <v>480.92799999999994</v>
      </c>
      <c r="J312" s="67"/>
      <c r="L312" s="99"/>
      <c r="M312" s="242"/>
    </row>
    <row r="313" spans="1:13">
      <c r="A313" s="162">
        <v>70</v>
      </c>
      <c r="B313" s="70" t="s">
        <v>41</v>
      </c>
      <c r="C313" s="8" t="s">
        <v>0</v>
      </c>
      <c r="D313" s="69">
        <v>30.552000000000003</v>
      </c>
      <c r="E313" s="32">
        <v>268</v>
      </c>
      <c r="F313" s="33">
        <v>47.296400000000006</v>
      </c>
      <c r="G313" s="33">
        <v>315.29640000000001</v>
      </c>
      <c r="H313" s="33">
        <v>8187.9360000000006</v>
      </c>
      <c r="I313" s="33">
        <v>1444.9996128000002</v>
      </c>
      <c r="J313" s="31">
        <v>9632.9356127999999</v>
      </c>
      <c r="K313" s="235">
        <v>37843.681228600006</v>
      </c>
      <c r="L313" s="235">
        <v>70786.60922860002</v>
      </c>
      <c r="M313" s="204">
        <v>3</v>
      </c>
    </row>
    <row r="314" spans="1:13" s="101" customFormat="1" ht="15.75" customHeight="1" outlineLevel="1">
      <c r="A314" s="100" t="s">
        <v>181</v>
      </c>
      <c r="B314" s="66" t="s">
        <v>141</v>
      </c>
      <c r="C314" s="28" t="s">
        <v>142</v>
      </c>
      <c r="D314" s="37">
        <v>61.104000000000006</v>
      </c>
      <c r="E314" s="67"/>
      <c r="F314" s="67">
        <v>22.56</v>
      </c>
      <c r="G314" s="67"/>
      <c r="H314" s="67"/>
      <c r="I314" s="30">
        <v>1378.5062400000002</v>
      </c>
      <c r="J314" s="67"/>
      <c r="K314" s="235"/>
      <c r="L314" s="235"/>
      <c r="M314" s="204"/>
    </row>
    <row r="315" spans="1:13" s="101" customFormat="1" ht="15.75" customHeight="1" outlineLevel="1">
      <c r="A315" s="100" t="s">
        <v>181</v>
      </c>
      <c r="B315" s="66" t="s">
        <v>148</v>
      </c>
      <c r="C315" s="28" t="s">
        <v>95</v>
      </c>
      <c r="D315" s="39">
        <v>3.0552000000000005E-3</v>
      </c>
      <c r="E315" s="67"/>
      <c r="F315" s="67">
        <v>44</v>
      </c>
      <c r="G315" s="67"/>
      <c r="H315" s="67"/>
      <c r="I315" s="30">
        <v>0.13442880000000001</v>
      </c>
      <c r="J315" s="67"/>
      <c r="K315" s="235"/>
      <c r="L315" s="235"/>
      <c r="M315" s="204"/>
    </row>
    <row r="316" spans="1:13" s="101" customFormat="1" ht="15.75" customHeight="1" outlineLevel="1">
      <c r="A316" s="100" t="s">
        <v>181</v>
      </c>
      <c r="B316" s="66" t="s">
        <v>143</v>
      </c>
      <c r="C316" s="28" t="s">
        <v>0</v>
      </c>
      <c r="D316" s="37">
        <v>0.91656000000000004</v>
      </c>
      <c r="E316" s="67"/>
      <c r="F316" s="67">
        <v>72.400000000000006</v>
      </c>
      <c r="G316" s="67"/>
      <c r="H316" s="67"/>
      <c r="I316" s="30">
        <v>66.358944000000008</v>
      </c>
      <c r="J316" s="67"/>
      <c r="K316" s="235"/>
      <c r="L316" s="235"/>
      <c r="M316" s="204"/>
    </row>
    <row r="317" spans="1:13">
      <c r="A317" s="162">
        <v>71</v>
      </c>
      <c r="B317" s="70" t="s">
        <v>32</v>
      </c>
      <c r="C317" s="8" t="s">
        <v>0</v>
      </c>
      <c r="D317" s="69">
        <v>30.552000000000003</v>
      </c>
      <c r="E317" s="32">
        <v>125</v>
      </c>
      <c r="F317" s="33">
        <v>218.1104</v>
      </c>
      <c r="G317" s="33">
        <v>343.11040000000003</v>
      </c>
      <c r="H317" s="33">
        <v>3819.0000000000005</v>
      </c>
      <c r="I317" s="33">
        <v>6663.7089408000011</v>
      </c>
      <c r="J317" s="31">
        <v>10482.708940800001</v>
      </c>
      <c r="K317" s="235"/>
      <c r="L317" s="235"/>
      <c r="M317" s="204"/>
    </row>
    <row r="318" spans="1:13" s="101" customFormat="1" ht="30" customHeight="1" outlineLevel="1">
      <c r="A318" s="100" t="s">
        <v>181</v>
      </c>
      <c r="B318" s="66" t="s">
        <v>152</v>
      </c>
      <c r="C318" s="28" t="s">
        <v>149</v>
      </c>
      <c r="D318" s="37">
        <v>19.247760000000003</v>
      </c>
      <c r="E318" s="67"/>
      <c r="F318" s="67">
        <v>339.62</v>
      </c>
      <c r="G318" s="67"/>
      <c r="H318" s="67"/>
      <c r="I318" s="30">
        <v>6536.924251200001</v>
      </c>
      <c r="J318" s="67"/>
      <c r="K318" s="235"/>
      <c r="L318" s="235"/>
      <c r="M318" s="204"/>
    </row>
    <row r="319" spans="1:13" s="101" customFormat="1" ht="15.75" customHeight="1" outlineLevel="1">
      <c r="A319" s="100" t="s">
        <v>181</v>
      </c>
      <c r="B319" s="66" t="s">
        <v>172</v>
      </c>
      <c r="C319" s="28" t="s">
        <v>173</v>
      </c>
      <c r="D319" s="38">
        <v>1.9247760000000005</v>
      </c>
      <c r="E319" s="67"/>
      <c r="F319" s="67">
        <v>65.8</v>
      </c>
      <c r="G319" s="67"/>
      <c r="H319" s="67"/>
      <c r="I319" s="30">
        <v>126.65026080000003</v>
      </c>
      <c r="J319" s="67"/>
      <c r="K319" s="235"/>
      <c r="L319" s="235"/>
      <c r="M319" s="204"/>
    </row>
    <row r="320" spans="1:13" s="101" customFormat="1" ht="15.75" customHeight="1" outlineLevel="1">
      <c r="A320" s="100" t="s">
        <v>181</v>
      </c>
      <c r="B320" s="66" t="s">
        <v>148</v>
      </c>
      <c r="C320" s="28" t="s">
        <v>95</v>
      </c>
      <c r="D320" s="39">
        <v>3.0552000000000005E-3</v>
      </c>
      <c r="E320" s="67"/>
      <c r="F320" s="67">
        <v>44</v>
      </c>
      <c r="G320" s="67"/>
      <c r="H320" s="67"/>
      <c r="I320" s="30">
        <v>0.13442880000000001</v>
      </c>
      <c r="J320" s="67"/>
      <c r="K320" s="235"/>
      <c r="L320" s="235"/>
      <c r="M320" s="204"/>
    </row>
    <row r="321" spans="1:13" ht="30">
      <c r="A321" s="162">
        <v>72</v>
      </c>
      <c r="B321" s="70" t="s">
        <v>55</v>
      </c>
      <c r="C321" s="8" t="s">
        <v>0</v>
      </c>
      <c r="D321" s="69">
        <v>40.11</v>
      </c>
      <c r="E321" s="32">
        <v>211.2</v>
      </c>
      <c r="F321" s="33">
        <v>238.19328534031411</v>
      </c>
      <c r="G321" s="33">
        <v>449.39328534031409</v>
      </c>
      <c r="H321" s="33">
        <v>8471.232</v>
      </c>
      <c r="I321" s="33">
        <v>9553.9326749999982</v>
      </c>
      <c r="J321" s="31">
        <v>18025.164675</v>
      </c>
      <c r="K321" s="235"/>
      <c r="L321" s="235"/>
      <c r="M321" s="204"/>
    </row>
    <row r="322" spans="1:13" s="101" customFormat="1" ht="30" customHeight="1" outlineLevel="1">
      <c r="A322" s="100" t="s">
        <v>181</v>
      </c>
      <c r="B322" s="66" t="s">
        <v>175</v>
      </c>
      <c r="C322" s="28" t="s">
        <v>0</v>
      </c>
      <c r="D322" s="37">
        <v>31.686900000000001</v>
      </c>
      <c r="E322" s="67"/>
      <c r="F322" s="67">
        <v>270</v>
      </c>
      <c r="G322" s="67"/>
      <c r="H322" s="67"/>
      <c r="I322" s="30">
        <v>8555.4629999999997</v>
      </c>
      <c r="J322" s="67"/>
      <c r="K322" s="235"/>
      <c r="L322" s="235"/>
      <c r="M322" s="204"/>
    </row>
    <row r="323" spans="1:13" s="101" customFormat="1" ht="15.75" customHeight="1" outlineLevel="1">
      <c r="A323" s="100" t="s">
        <v>181</v>
      </c>
      <c r="B323" s="66" t="s">
        <v>176</v>
      </c>
      <c r="C323" s="28" t="s">
        <v>29</v>
      </c>
      <c r="D323" s="37">
        <v>48.615000000000002</v>
      </c>
      <c r="E323" s="67"/>
      <c r="F323" s="67">
        <v>14.7</v>
      </c>
      <c r="G323" s="67"/>
      <c r="H323" s="67"/>
      <c r="I323" s="30">
        <v>714.64049999999997</v>
      </c>
      <c r="J323" s="67"/>
      <c r="K323" s="235"/>
      <c r="L323" s="235"/>
      <c r="M323" s="204"/>
    </row>
    <row r="324" spans="1:13" s="101" customFormat="1" ht="15.75" customHeight="1" outlineLevel="1">
      <c r="A324" s="100" t="s">
        <v>181</v>
      </c>
      <c r="B324" s="66" t="s">
        <v>177</v>
      </c>
      <c r="C324" s="28" t="s">
        <v>22</v>
      </c>
      <c r="D324" s="38">
        <v>24.065999999999999</v>
      </c>
      <c r="E324" s="67"/>
      <c r="F324" s="67">
        <v>8.5</v>
      </c>
      <c r="G324" s="67"/>
      <c r="H324" s="67"/>
      <c r="I324" s="30">
        <v>204.56099999999998</v>
      </c>
      <c r="J324" s="67"/>
      <c r="K324" s="235"/>
      <c r="L324" s="235"/>
      <c r="M324" s="204"/>
    </row>
    <row r="325" spans="1:13" s="101" customFormat="1" ht="15.75" customHeight="1" outlineLevel="1">
      <c r="A325" s="100" t="s">
        <v>181</v>
      </c>
      <c r="B325" s="66" t="s">
        <v>151</v>
      </c>
      <c r="C325" s="28" t="s">
        <v>22</v>
      </c>
      <c r="D325" s="38">
        <v>72.922499999999999</v>
      </c>
      <c r="E325" s="67"/>
      <c r="F325" s="67">
        <v>0.19</v>
      </c>
      <c r="G325" s="67"/>
      <c r="H325" s="67"/>
      <c r="I325" s="30">
        <v>13.855275000000001</v>
      </c>
      <c r="J325" s="67"/>
      <c r="K325" s="235"/>
      <c r="L325" s="235"/>
      <c r="M325" s="204"/>
    </row>
    <row r="326" spans="1:13" s="101" customFormat="1" ht="15.75" customHeight="1" outlineLevel="1">
      <c r="A326" s="100" t="s">
        <v>181</v>
      </c>
      <c r="B326" s="66" t="s">
        <v>87</v>
      </c>
      <c r="C326" s="28" t="s">
        <v>22</v>
      </c>
      <c r="D326" s="38">
        <v>109.0215</v>
      </c>
      <c r="E326" s="67"/>
      <c r="F326" s="67">
        <v>0.6</v>
      </c>
      <c r="G326" s="67"/>
      <c r="H326" s="67"/>
      <c r="I326" s="30">
        <v>65.412899999999993</v>
      </c>
      <c r="J326" s="67"/>
      <c r="K326" s="235"/>
      <c r="L326" s="235"/>
      <c r="M326" s="204"/>
    </row>
    <row r="327" spans="1:13" ht="30">
      <c r="A327" s="162">
        <v>73</v>
      </c>
      <c r="B327" s="70" t="s">
        <v>60</v>
      </c>
      <c r="C327" s="8" t="s">
        <v>0</v>
      </c>
      <c r="D327" s="69">
        <v>29.678000000000004</v>
      </c>
      <c r="E327" s="32">
        <v>420</v>
      </c>
      <c r="F327" s="33">
        <v>680</v>
      </c>
      <c r="G327" s="33">
        <v>1100</v>
      </c>
      <c r="H327" s="33">
        <v>12464.760000000002</v>
      </c>
      <c r="I327" s="33">
        <v>20181.040000000005</v>
      </c>
      <c r="J327" s="31">
        <v>32645.800000000007</v>
      </c>
      <c r="K327" s="235"/>
      <c r="L327" s="235"/>
      <c r="M327" s="204"/>
    </row>
    <row r="328" spans="1:13" ht="15.75" customHeight="1">
      <c r="A328" s="222" t="s">
        <v>116</v>
      </c>
      <c r="B328" s="223"/>
      <c r="C328" s="223"/>
      <c r="D328" s="223"/>
      <c r="E328" s="223"/>
      <c r="F328" s="223"/>
      <c r="G328" s="224"/>
      <c r="H328" s="67">
        <v>59015.189699999995</v>
      </c>
      <c r="I328" s="67">
        <v>54031.11626955001</v>
      </c>
      <c r="J328" s="67">
        <v>113046.30596955003</v>
      </c>
      <c r="M328" s="156"/>
    </row>
    <row r="329" spans="1:13" ht="15.75" customHeight="1">
      <c r="A329" s="222" t="s">
        <v>341</v>
      </c>
      <c r="B329" s="223"/>
      <c r="C329" s="223"/>
      <c r="D329" s="223"/>
      <c r="E329" s="223"/>
      <c r="F329" s="223"/>
      <c r="G329" s="224"/>
      <c r="H329" s="67">
        <v>542574.34720800002</v>
      </c>
      <c r="I329" s="67">
        <v>894137.54211106966</v>
      </c>
      <c r="J329" s="67">
        <v>1436711.8893190699</v>
      </c>
      <c r="M329" s="156"/>
    </row>
    <row r="330" spans="1:13" ht="21" customHeight="1">
      <c r="A330" s="225" t="s">
        <v>76</v>
      </c>
      <c r="B330" s="226" t="s">
        <v>31</v>
      </c>
      <c r="C330" s="226"/>
      <c r="D330" s="226"/>
      <c r="E330" s="226"/>
      <c r="F330" s="226"/>
      <c r="G330" s="226"/>
      <c r="H330" s="226"/>
      <c r="I330" s="226"/>
      <c r="J330" s="227"/>
      <c r="M330" s="156"/>
    </row>
    <row r="331" spans="1:13">
      <c r="A331" s="162">
        <v>74</v>
      </c>
      <c r="B331" s="70" t="s">
        <v>225</v>
      </c>
      <c r="C331" s="8" t="s">
        <v>22</v>
      </c>
      <c r="D331" s="69">
        <v>1</v>
      </c>
      <c r="E331" s="32">
        <v>624</v>
      </c>
      <c r="F331" s="33">
        <v>1287.8030000000001</v>
      </c>
      <c r="G331" s="33">
        <v>1911.8030000000001</v>
      </c>
      <c r="H331" s="33">
        <v>624</v>
      </c>
      <c r="I331" s="33">
        <v>1287.8030000000001</v>
      </c>
      <c r="J331" s="31">
        <v>1911.8030000000001</v>
      </c>
      <c r="K331" s="235">
        <v>57258.993000000002</v>
      </c>
      <c r="L331" s="235">
        <v>153206.39299999998</v>
      </c>
      <c r="M331" s="240">
        <v>1</v>
      </c>
    </row>
    <row r="332" spans="1:13" s="101" customFormat="1" ht="15.75" customHeight="1" outlineLevel="1">
      <c r="A332" s="100" t="s">
        <v>181</v>
      </c>
      <c r="B332" s="66" t="s">
        <v>226</v>
      </c>
      <c r="C332" s="28" t="s">
        <v>22</v>
      </c>
      <c r="D332" s="38">
        <v>1</v>
      </c>
      <c r="E332" s="67"/>
      <c r="F332" s="67">
        <v>1287.8030000000001</v>
      </c>
      <c r="G332" s="67"/>
      <c r="H332" s="67"/>
      <c r="I332" s="30">
        <v>1287.8030000000001</v>
      </c>
      <c r="J332" s="67"/>
      <c r="K332" s="236"/>
      <c r="L332" s="236"/>
      <c r="M332" s="241"/>
    </row>
    <row r="333" spans="1:13" ht="30">
      <c r="A333" s="162">
        <v>75</v>
      </c>
      <c r="B333" s="70" t="s">
        <v>222</v>
      </c>
      <c r="C333" s="8" t="s">
        <v>22</v>
      </c>
      <c r="D333" s="69">
        <v>1</v>
      </c>
      <c r="E333" s="32">
        <v>960</v>
      </c>
      <c r="F333" s="33">
        <v>2886.4</v>
      </c>
      <c r="G333" s="33">
        <v>3846.4</v>
      </c>
      <c r="H333" s="33">
        <v>960</v>
      </c>
      <c r="I333" s="33">
        <v>2886.4</v>
      </c>
      <c r="J333" s="31">
        <v>3846.4</v>
      </c>
      <c r="K333" s="236"/>
      <c r="L333" s="236"/>
      <c r="M333" s="241"/>
    </row>
    <row r="334" spans="1:13" s="101" customFormat="1" ht="30" customHeight="1" outlineLevel="1">
      <c r="A334" s="100" t="s">
        <v>181</v>
      </c>
      <c r="B334" s="66" t="s">
        <v>224</v>
      </c>
      <c r="C334" s="28" t="s">
        <v>22</v>
      </c>
      <c r="D334" s="37">
        <v>1</v>
      </c>
      <c r="E334" s="67"/>
      <c r="F334" s="67">
        <v>2884</v>
      </c>
      <c r="G334" s="67"/>
      <c r="H334" s="67"/>
      <c r="I334" s="30">
        <v>2884</v>
      </c>
      <c r="J334" s="67"/>
      <c r="K334" s="236"/>
      <c r="L334" s="236"/>
      <c r="M334" s="241"/>
    </row>
    <row r="335" spans="1:13" s="101" customFormat="1" ht="15.75" customHeight="1" outlineLevel="1">
      <c r="A335" s="100" t="s">
        <v>181</v>
      </c>
      <c r="B335" s="66" t="s">
        <v>87</v>
      </c>
      <c r="C335" s="28" t="s">
        <v>22</v>
      </c>
      <c r="D335" s="38">
        <v>4</v>
      </c>
      <c r="E335" s="67"/>
      <c r="F335" s="67">
        <v>0.6</v>
      </c>
      <c r="G335" s="67"/>
      <c r="H335" s="67"/>
      <c r="I335" s="30">
        <v>2.4</v>
      </c>
      <c r="J335" s="67"/>
      <c r="K335" s="236"/>
      <c r="L335" s="236"/>
      <c r="M335" s="241"/>
    </row>
    <row r="336" spans="1:13">
      <c r="A336" s="162">
        <v>76</v>
      </c>
      <c r="B336" s="70" t="s">
        <v>223</v>
      </c>
      <c r="C336" s="8" t="s">
        <v>22</v>
      </c>
      <c r="D336" s="69">
        <v>5</v>
      </c>
      <c r="E336" s="32">
        <v>182.4</v>
      </c>
      <c r="F336" s="33">
        <v>287.947</v>
      </c>
      <c r="G336" s="33">
        <v>470.34699999999998</v>
      </c>
      <c r="H336" s="33">
        <v>912</v>
      </c>
      <c r="I336" s="33">
        <v>1439.7350000000001</v>
      </c>
      <c r="J336" s="31">
        <v>2351.7350000000001</v>
      </c>
      <c r="K336" s="236"/>
      <c r="L336" s="236"/>
      <c r="M336" s="241"/>
    </row>
    <row r="337" spans="1:13" s="101" customFormat="1" ht="15.75" customHeight="1" outlineLevel="1">
      <c r="A337" s="100" t="s">
        <v>181</v>
      </c>
      <c r="B337" s="66" t="s">
        <v>227</v>
      </c>
      <c r="C337" s="28" t="s">
        <v>22</v>
      </c>
      <c r="D337" s="38">
        <v>4</v>
      </c>
      <c r="E337" s="67"/>
      <c r="F337" s="67">
        <v>192.852</v>
      </c>
      <c r="G337" s="67"/>
      <c r="H337" s="67"/>
      <c r="I337" s="30">
        <v>771.40800000000002</v>
      </c>
      <c r="J337" s="67"/>
      <c r="K337" s="236"/>
      <c r="L337" s="236"/>
      <c r="M337" s="241"/>
    </row>
    <row r="338" spans="1:13" s="101" customFormat="1" ht="15.75" customHeight="1" outlineLevel="1">
      <c r="A338" s="100" t="s">
        <v>181</v>
      </c>
      <c r="B338" s="66" t="s">
        <v>229</v>
      </c>
      <c r="C338" s="28" t="s">
        <v>22</v>
      </c>
      <c r="D338" s="38">
        <v>1</v>
      </c>
      <c r="E338" s="67"/>
      <c r="F338" s="67">
        <v>668.32700000000011</v>
      </c>
      <c r="G338" s="67"/>
      <c r="H338" s="67"/>
      <c r="I338" s="30">
        <v>668.32700000000011</v>
      </c>
      <c r="J338" s="67"/>
      <c r="K338" s="236"/>
      <c r="L338" s="236"/>
      <c r="M338" s="241"/>
    </row>
    <row r="339" spans="1:13">
      <c r="A339" s="162">
        <v>77</v>
      </c>
      <c r="B339" s="70" t="s">
        <v>266</v>
      </c>
      <c r="C339" s="8" t="s">
        <v>22</v>
      </c>
      <c r="D339" s="69">
        <v>10</v>
      </c>
      <c r="E339" s="32">
        <v>259.2</v>
      </c>
      <c r="F339" s="33">
        <v>1973.4</v>
      </c>
      <c r="G339" s="33">
        <v>2232.6</v>
      </c>
      <c r="H339" s="33">
        <v>2592</v>
      </c>
      <c r="I339" s="33">
        <v>19734</v>
      </c>
      <c r="J339" s="31">
        <v>22326</v>
      </c>
      <c r="K339" s="236"/>
      <c r="L339" s="236"/>
      <c r="M339" s="241"/>
    </row>
    <row r="340" spans="1:13" s="101" customFormat="1" ht="15.75" customHeight="1" outlineLevel="1">
      <c r="A340" s="100" t="s">
        <v>181</v>
      </c>
      <c r="B340" s="66" t="s">
        <v>228</v>
      </c>
      <c r="C340" s="28" t="s">
        <v>22</v>
      </c>
      <c r="D340" s="38">
        <v>10</v>
      </c>
      <c r="E340" s="67"/>
      <c r="F340" s="67">
        <v>1973.4</v>
      </c>
      <c r="G340" s="67"/>
      <c r="H340" s="67"/>
      <c r="I340" s="30">
        <v>19734</v>
      </c>
      <c r="J340" s="67"/>
      <c r="K340" s="236"/>
      <c r="L340" s="236"/>
      <c r="M340" s="241"/>
    </row>
    <row r="341" spans="1:13">
      <c r="A341" s="162">
        <v>78</v>
      </c>
      <c r="B341" s="70" t="s">
        <v>230</v>
      </c>
      <c r="C341" s="8" t="s">
        <v>29</v>
      </c>
      <c r="D341" s="69">
        <v>465</v>
      </c>
      <c r="E341" s="32">
        <v>105</v>
      </c>
      <c r="F341" s="33">
        <v>8.1688172043010745</v>
      </c>
      <c r="G341" s="33">
        <v>113.16881720430108</v>
      </c>
      <c r="H341" s="33">
        <v>48825</v>
      </c>
      <c r="I341" s="33">
        <v>3798.5</v>
      </c>
      <c r="J341" s="31">
        <v>52623.5</v>
      </c>
      <c r="K341" s="236"/>
      <c r="L341" s="236"/>
      <c r="M341" s="241"/>
    </row>
    <row r="342" spans="1:13" s="101" customFormat="1" ht="15.75" customHeight="1" outlineLevel="1">
      <c r="A342" s="100" t="s">
        <v>181</v>
      </c>
      <c r="B342" s="66" t="s">
        <v>232</v>
      </c>
      <c r="C342" s="28" t="s">
        <v>0</v>
      </c>
      <c r="D342" s="38">
        <v>415</v>
      </c>
      <c r="E342" s="67"/>
      <c r="F342" s="67">
        <v>5.4119999999999999</v>
      </c>
      <c r="G342" s="67"/>
      <c r="H342" s="67"/>
      <c r="I342" s="30">
        <v>2245.98</v>
      </c>
      <c r="J342" s="67"/>
      <c r="K342" s="236"/>
      <c r="L342" s="236"/>
      <c r="M342" s="241"/>
    </row>
    <row r="343" spans="1:13" s="101" customFormat="1" ht="15.75" customHeight="1" outlineLevel="1">
      <c r="A343" s="100" t="s">
        <v>181</v>
      </c>
      <c r="B343" s="66" t="s">
        <v>233</v>
      </c>
      <c r="C343" s="28" t="s">
        <v>29</v>
      </c>
      <c r="D343" s="38">
        <v>50</v>
      </c>
      <c r="E343" s="67"/>
      <c r="F343" s="67">
        <v>9.1080000000000005</v>
      </c>
      <c r="G343" s="67"/>
      <c r="H343" s="67"/>
      <c r="I343" s="30">
        <v>455.40000000000003</v>
      </c>
      <c r="J343" s="67"/>
      <c r="K343" s="236"/>
      <c r="L343" s="236"/>
      <c r="M343" s="241"/>
    </row>
    <row r="344" spans="1:13" s="101" customFormat="1" ht="15.75" customHeight="1" outlineLevel="1">
      <c r="A344" s="100" t="s">
        <v>181</v>
      </c>
      <c r="B344" s="66" t="s">
        <v>234</v>
      </c>
      <c r="C344" s="28" t="s">
        <v>22</v>
      </c>
      <c r="D344" s="38">
        <v>400</v>
      </c>
      <c r="E344" s="67"/>
      <c r="F344" s="67">
        <v>1.7160000000000002</v>
      </c>
      <c r="G344" s="67"/>
      <c r="H344" s="67"/>
      <c r="I344" s="30">
        <v>686.40000000000009</v>
      </c>
      <c r="J344" s="67"/>
      <c r="K344" s="236"/>
      <c r="L344" s="236"/>
      <c r="M344" s="241"/>
    </row>
    <row r="345" spans="1:13" s="101" customFormat="1" ht="15.75" customHeight="1" outlineLevel="1">
      <c r="A345" s="100" t="s">
        <v>181</v>
      </c>
      <c r="B345" s="66" t="s">
        <v>235</v>
      </c>
      <c r="C345" s="28" t="s">
        <v>22</v>
      </c>
      <c r="D345" s="38">
        <v>80</v>
      </c>
      <c r="E345" s="67"/>
      <c r="F345" s="67">
        <v>2.1339999999999999</v>
      </c>
      <c r="G345" s="67"/>
      <c r="H345" s="67"/>
      <c r="I345" s="30">
        <v>170.72</v>
      </c>
      <c r="J345" s="67"/>
      <c r="K345" s="236"/>
      <c r="L345" s="236"/>
      <c r="M345" s="241"/>
    </row>
    <row r="346" spans="1:13" s="101" customFormat="1" ht="15.75" customHeight="1" outlineLevel="1">
      <c r="A346" s="100" t="s">
        <v>181</v>
      </c>
      <c r="B346" s="66" t="s">
        <v>87</v>
      </c>
      <c r="C346" s="28" t="s">
        <v>22</v>
      </c>
      <c r="D346" s="38">
        <v>400</v>
      </c>
      <c r="E346" s="67"/>
      <c r="F346" s="67">
        <v>0.6</v>
      </c>
      <c r="G346" s="67"/>
      <c r="H346" s="67"/>
      <c r="I346" s="30">
        <v>240</v>
      </c>
      <c r="J346" s="67"/>
      <c r="K346" s="236"/>
      <c r="L346" s="236"/>
      <c r="M346" s="241"/>
    </row>
    <row r="347" spans="1:13">
      <c r="A347" s="162">
        <v>79</v>
      </c>
      <c r="B347" s="70" t="s">
        <v>239</v>
      </c>
      <c r="C347" s="8" t="s">
        <v>29</v>
      </c>
      <c r="D347" s="69">
        <v>9</v>
      </c>
      <c r="E347" s="32">
        <v>167.2</v>
      </c>
      <c r="F347" s="33">
        <v>289.03722222222223</v>
      </c>
      <c r="G347" s="33">
        <v>456.23722222222221</v>
      </c>
      <c r="H347" s="33">
        <v>1504.8</v>
      </c>
      <c r="I347" s="33">
        <v>2601.335</v>
      </c>
      <c r="J347" s="31">
        <v>4106.1350000000002</v>
      </c>
      <c r="K347" s="236"/>
      <c r="L347" s="236"/>
      <c r="M347" s="241"/>
    </row>
    <row r="348" spans="1:13" s="101" customFormat="1" ht="15.75" customHeight="1" outlineLevel="1">
      <c r="A348" s="100" t="s">
        <v>181</v>
      </c>
      <c r="B348" s="66" t="s">
        <v>240</v>
      </c>
      <c r="C348" s="28" t="s">
        <v>29</v>
      </c>
      <c r="D348" s="38">
        <v>10.35</v>
      </c>
      <c r="E348" s="67"/>
      <c r="F348" s="67">
        <v>242.88000000000002</v>
      </c>
      <c r="G348" s="67"/>
      <c r="H348" s="67"/>
      <c r="I348" s="30">
        <v>2513.808</v>
      </c>
      <c r="J348" s="67"/>
      <c r="K348" s="236"/>
      <c r="L348" s="236"/>
      <c r="M348" s="241"/>
    </row>
    <row r="349" spans="1:13" s="101" customFormat="1" ht="15.75" customHeight="1" outlineLevel="1">
      <c r="A349" s="100" t="s">
        <v>181</v>
      </c>
      <c r="B349" s="66" t="s">
        <v>241</v>
      </c>
      <c r="C349" s="28" t="s">
        <v>22</v>
      </c>
      <c r="D349" s="38">
        <v>100</v>
      </c>
      <c r="E349" s="67"/>
      <c r="F349" s="67">
        <v>0.87526999999999999</v>
      </c>
      <c r="G349" s="67"/>
      <c r="H349" s="67"/>
      <c r="I349" s="30">
        <v>87.527000000000001</v>
      </c>
      <c r="J349" s="67"/>
      <c r="K349" s="236"/>
      <c r="L349" s="236"/>
      <c r="M349" s="241"/>
    </row>
    <row r="350" spans="1:13" ht="30">
      <c r="A350" s="162">
        <v>80</v>
      </c>
      <c r="B350" s="70" t="s">
        <v>231</v>
      </c>
      <c r="C350" s="8" t="s">
        <v>29</v>
      </c>
      <c r="D350" s="69">
        <v>415</v>
      </c>
      <c r="E350" s="32">
        <v>56.48</v>
      </c>
      <c r="F350" s="33">
        <v>35.842572289156628</v>
      </c>
      <c r="G350" s="33">
        <v>92.322572289156625</v>
      </c>
      <c r="H350" s="33">
        <v>23439.199999999997</v>
      </c>
      <c r="I350" s="33">
        <v>14874.6675</v>
      </c>
      <c r="J350" s="31">
        <v>38313.867499999993</v>
      </c>
      <c r="K350" s="236"/>
      <c r="L350" s="236"/>
      <c r="M350" s="241"/>
    </row>
    <row r="351" spans="1:13" s="101" customFormat="1" ht="15.75" customHeight="1" outlineLevel="1">
      <c r="A351" s="100" t="s">
        <v>181</v>
      </c>
      <c r="B351" s="66" t="s">
        <v>237</v>
      </c>
      <c r="C351" s="28" t="s">
        <v>29</v>
      </c>
      <c r="D351" s="38">
        <v>178.5</v>
      </c>
      <c r="E351" s="67"/>
      <c r="F351" s="67">
        <v>23.638999999999999</v>
      </c>
      <c r="G351" s="67"/>
      <c r="H351" s="67"/>
      <c r="I351" s="30">
        <v>4219.5614999999998</v>
      </c>
      <c r="J351" s="67"/>
      <c r="K351" s="236"/>
      <c r="L351" s="236"/>
      <c r="M351" s="241"/>
    </row>
    <row r="352" spans="1:13" s="101" customFormat="1" ht="15.75" customHeight="1" outlineLevel="1">
      <c r="A352" s="100" t="s">
        <v>181</v>
      </c>
      <c r="B352" s="66" t="s">
        <v>236</v>
      </c>
      <c r="C352" s="28" t="s">
        <v>29</v>
      </c>
      <c r="D352" s="38">
        <v>218</v>
      </c>
      <c r="E352" s="67"/>
      <c r="F352" s="67">
        <v>37.884</v>
      </c>
      <c r="G352" s="67"/>
      <c r="H352" s="67"/>
      <c r="I352" s="30">
        <v>8258.7119999999995</v>
      </c>
      <c r="J352" s="67"/>
      <c r="K352" s="236"/>
      <c r="L352" s="236"/>
      <c r="M352" s="241"/>
    </row>
    <row r="353" spans="1:13" s="101" customFormat="1" ht="15.75" customHeight="1" outlineLevel="1">
      <c r="A353" s="100" t="s">
        <v>181</v>
      </c>
      <c r="B353" s="66" t="s">
        <v>238</v>
      </c>
      <c r="C353" s="28" t="s">
        <v>29</v>
      </c>
      <c r="D353" s="38">
        <v>36.75</v>
      </c>
      <c r="E353" s="67"/>
      <c r="F353" s="67">
        <v>65.208000000000013</v>
      </c>
      <c r="G353" s="67"/>
      <c r="H353" s="67"/>
      <c r="I353" s="30">
        <v>2396.3940000000007</v>
      </c>
      <c r="J353" s="67"/>
      <c r="K353" s="236"/>
      <c r="L353" s="236"/>
      <c r="M353" s="241"/>
    </row>
    <row r="354" spans="1:13">
      <c r="A354" s="162">
        <v>81</v>
      </c>
      <c r="B354" s="70" t="s">
        <v>242</v>
      </c>
      <c r="C354" s="8" t="s">
        <v>29</v>
      </c>
      <c r="D354" s="69">
        <v>50</v>
      </c>
      <c r="E354" s="32">
        <v>144</v>
      </c>
      <c r="F354" s="33">
        <v>165.63855000000001</v>
      </c>
      <c r="G354" s="33">
        <v>309.63855000000001</v>
      </c>
      <c r="H354" s="33">
        <v>7200</v>
      </c>
      <c r="I354" s="33">
        <v>8281.9274999999998</v>
      </c>
      <c r="J354" s="31">
        <v>15481.9275</v>
      </c>
      <c r="K354" s="236"/>
      <c r="L354" s="236"/>
      <c r="M354" s="241"/>
    </row>
    <row r="355" spans="1:13" s="101" customFormat="1" ht="15.75" customHeight="1" outlineLevel="1">
      <c r="A355" s="100" t="s">
        <v>181</v>
      </c>
      <c r="B355" s="66" t="s">
        <v>243</v>
      </c>
      <c r="C355" s="28" t="s">
        <v>29</v>
      </c>
      <c r="D355" s="38">
        <v>52.5</v>
      </c>
      <c r="E355" s="67"/>
      <c r="F355" s="67">
        <v>157.751</v>
      </c>
      <c r="G355" s="67"/>
      <c r="H355" s="67"/>
      <c r="I355" s="30">
        <v>8281.9274999999998</v>
      </c>
      <c r="J355" s="67"/>
      <c r="K355" s="236"/>
      <c r="L355" s="236"/>
      <c r="M355" s="241"/>
    </row>
    <row r="356" spans="1:13">
      <c r="A356" s="162">
        <v>82</v>
      </c>
      <c r="B356" s="70" t="s">
        <v>339</v>
      </c>
      <c r="C356" s="8" t="s">
        <v>29</v>
      </c>
      <c r="D356" s="69">
        <v>195</v>
      </c>
      <c r="E356" s="32">
        <v>50.72</v>
      </c>
      <c r="F356" s="33">
        <v>12.074999999999999</v>
      </c>
      <c r="G356" s="33">
        <v>62.795000000000002</v>
      </c>
      <c r="H356" s="33">
        <v>9890.4</v>
      </c>
      <c r="I356" s="33">
        <v>2354.625</v>
      </c>
      <c r="J356" s="31">
        <v>12245.025</v>
      </c>
      <c r="K356" s="236"/>
      <c r="L356" s="236"/>
      <c r="M356" s="241"/>
    </row>
    <row r="357" spans="1:13" s="101" customFormat="1" ht="15.75" outlineLevel="1">
      <c r="A357" s="100" t="s">
        <v>181</v>
      </c>
      <c r="B357" s="66" t="s">
        <v>340</v>
      </c>
      <c r="C357" s="28" t="s">
        <v>29</v>
      </c>
      <c r="D357" s="38">
        <v>204.75</v>
      </c>
      <c r="E357" s="67"/>
      <c r="F357" s="67">
        <v>11.5</v>
      </c>
      <c r="G357" s="67"/>
      <c r="H357" s="67"/>
      <c r="I357" s="30">
        <v>2354.625</v>
      </c>
      <c r="J357" s="67"/>
      <c r="M357" s="242"/>
    </row>
    <row r="358" spans="1:13" ht="30">
      <c r="A358" s="162">
        <v>83</v>
      </c>
      <c r="B358" s="70" t="s">
        <v>244</v>
      </c>
      <c r="C358" s="8" t="s">
        <v>22</v>
      </c>
      <c r="D358" s="69">
        <v>7</v>
      </c>
      <c r="E358" s="69">
        <v>40.32</v>
      </c>
      <c r="F358" s="33">
        <v>0</v>
      </c>
      <c r="G358" s="33">
        <v>40.32</v>
      </c>
      <c r="H358" s="33">
        <v>282.24</v>
      </c>
      <c r="I358" s="33">
        <v>0</v>
      </c>
      <c r="J358" s="31">
        <v>282.24</v>
      </c>
      <c r="K358" s="235">
        <v>7306.8380000000016</v>
      </c>
      <c r="L358" s="235">
        <v>14006.678000000002</v>
      </c>
      <c r="M358" s="240">
        <v>2</v>
      </c>
    </row>
    <row r="359" spans="1:13" ht="30">
      <c r="A359" s="162">
        <v>84</v>
      </c>
      <c r="B359" s="70" t="s">
        <v>245</v>
      </c>
      <c r="C359" s="8" t="s">
        <v>22</v>
      </c>
      <c r="D359" s="69">
        <v>28</v>
      </c>
      <c r="E359" s="69">
        <v>115.2</v>
      </c>
      <c r="F359" s="33">
        <v>0</v>
      </c>
      <c r="G359" s="33">
        <v>115.2</v>
      </c>
      <c r="H359" s="33">
        <v>3225.6</v>
      </c>
      <c r="I359" s="33">
        <v>0</v>
      </c>
      <c r="J359" s="31">
        <v>3225.6</v>
      </c>
      <c r="K359" s="236"/>
      <c r="L359" s="236"/>
      <c r="M359" s="241"/>
    </row>
    <row r="360" spans="1:13">
      <c r="A360" s="162">
        <v>85</v>
      </c>
      <c r="B360" s="70" t="s">
        <v>246</v>
      </c>
      <c r="C360" s="8" t="s">
        <v>22</v>
      </c>
      <c r="D360" s="69">
        <v>22</v>
      </c>
      <c r="E360" s="32">
        <v>91.2</v>
      </c>
      <c r="F360" s="33">
        <v>207.39400000000006</v>
      </c>
      <c r="G360" s="33">
        <v>298.59400000000005</v>
      </c>
      <c r="H360" s="33">
        <v>2006.4</v>
      </c>
      <c r="I360" s="33">
        <v>4562.6680000000015</v>
      </c>
      <c r="J360" s="31">
        <v>6569.0680000000011</v>
      </c>
      <c r="K360" s="236"/>
      <c r="L360" s="236"/>
      <c r="M360" s="241"/>
    </row>
    <row r="361" spans="1:13" s="101" customFormat="1" ht="15.75" customHeight="1" outlineLevel="1">
      <c r="A361" s="100" t="s">
        <v>181</v>
      </c>
      <c r="B361" s="66" t="s">
        <v>248</v>
      </c>
      <c r="C361" s="28" t="s">
        <v>22</v>
      </c>
      <c r="D361" s="38">
        <v>22</v>
      </c>
      <c r="E361" s="67"/>
      <c r="F361" s="67">
        <v>6.8750000000000009</v>
      </c>
      <c r="G361" s="67"/>
      <c r="H361" s="67"/>
      <c r="I361" s="30">
        <v>151.25000000000003</v>
      </c>
      <c r="J361" s="67"/>
      <c r="K361" s="236"/>
      <c r="L361" s="236"/>
      <c r="M361" s="241"/>
    </row>
    <row r="362" spans="1:13" s="101" customFormat="1" ht="15.75" customHeight="1" outlineLevel="1">
      <c r="A362" s="100" t="s">
        <v>181</v>
      </c>
      <c r="B362" s="66" t="s">
        <v>251</v>
      </c>
      <c r="C362" s="28" t="s">
        <v>22</v>
      </c>
      <c r="D362" s="38">
        <v>22</v>
      </c>
      <c r="E362" s="67"/>
      <c r="F362" s="67">
        <v>154.84700000000004</v>
      </c>
      <c r="G362" s="67"/>
      <c r="H362" s="67"/>
      <c r="I362" s="30">
        <v>3406.6340000000009</v>
      </c>
      <c r="J362" s="67"/>
      <c r="K362" s="236"/>
      <c r="L362" s="236"/>
      <c r="M362" s="241"/>
    </row>
    <row r="363" spans="1:13" s="101" customFormat="1" ht="15.75" customHeight="1" outlineLevel="1">
      <c r="A363" s="100" t="s">
        <v>181</v>
      </c>
      <c r="B363" s="66" t="s">
        <v>249</v>
      </c>
      <c r="C363" s="28" t="s">
        <v>22</v>
      </c>
      <c r="D363" s="38">
        <v>22</v>
      </c>
      <c r="E363" s="67"/>
      <c r="F363" s="67">
        <v>45.672000000000004</v>
      </c>
      <c r="G363" s="67"/>
      <c r="H363" s="67"/>
      <c r="I363" s="30">
        <v>1004.7840000000001</v>
      </c>
      <c r="J363" s="67"/>
      <c r="K363" s="236"/>
      <c r="L363" s="236"/>
      <c r="M363" s="241"/>
    </row>
    <row r="364" spans="1:13">
      <c r="A364" s="162">
        <v>86</v>
      </c>
      <c r="B364" s="70" t="s">
        <v>247</v>
      </c>
      <c r="C364" s="8" t="s">
        <v>22</v>
      </c>
      <c r="D364" s="69">
        <v>13</v>
      </c>
      <c r="E364" s="32">
        <v>91.2</v>
      </c>
      <c r="F364" s="33">
        <v>211.09</v>
      </c>
      <c r="G364" s="33">
        <v>302.29000000000002</v>
      </c>
      <c r="H364" s="33">
        <v>1185.6000000000001</v>
      </c>
      <c r="I364" s="33">
        <v>2744.17</v>
      </c>
      <c r="J364" s="31">
        <v>3929.7700000000004</v>
      </c>
      <c r="K364" s="236"/>
      <c r="L364" s="236"/>
      <c r="M364" s="241"/>
    </row>
    <row r="365" spans="1:13" s="101" customFormat="1" ht="15.75" outlineLevel="1">
      <c r="A365" s="100" t="s">
        <v>181</v>
      </c>
      <c r="B365" s="66" t="s">
        <v>248</v>
      </c>
      <c r="C365" s="28" t="s">
        <v>22</v>
      </c>
      <c r="D365" s="38">
        <v>13</v>
      </c>
      <c r="E365" s="67"/>
      <c r="F365" s="67">
        <v>6.8750000000000009</v>
      </c>
      <c r="G365" s="67"/>
      <c r="H365" s="67"/>
      <c r="I365" s="30">
        <v>89.375000000000014</v>
      </c>
      <c r="J365" s="67"/>
      <c r="M365" s="241"/>
    </row>
    <row r="366" spans="1:13" s="101" customFormat="1" ht="15.75" outlineLevel="1">
      <c r="A366" s="100" t="s">
        <v>181</v>
      </c>
      <c r="B366" s="66" t="s">
        <v>250</v>
      </c>
      <c r="C366" s="28" t="s">
        <v>22</v>
      </c>
      <c r="D366" s="38">
        <v>13</v>
      </c>
      <c r="E366" s="67"/>
      <c r="F366" s="67">
        <v>158.54300000000001</v>
      </c>
      <c r="G366" s="67"/>
      <c r="H366" s="67"/>
      <c r="I366" s="30">
        <v>2061.0590000000002</v>
      </c>
      <c r="J366" s="67"/>
      <c r="M366" s="241"/>
    </row>
    <row r="367" spans="1:13" s="101" customFormat="1" ht="15.75" outlineLevel="1">
      <c r="A367" s="100" t="s">
        <v>181</v>
      </c>
      <c r="B367" s="66" t="s">
        <v>249</v>
      </c>
      <c r="C367" s="28" t="s">
        <v>22</v>
      </c>
      <c r="D367" s="38">
        <v>13</v>
      </c>
      <c r="E367" s="67"/>
      <c r="F367" s="67">
        <v>45.672000000000004</v>
      </c>
      <c r="G367" s="67"/>
      <c r="H367" s="67"/>
      <c r="I367" s="30">
        <v>593.7360000000001</v>
      </c>
      <c r="J367" s="67"/>
      <c r="M367" s="242"/>
    </row>
    <row r="368" spans="1:13" ht="30">
      <c r="A368" s="162">
        <v>87</v>
      </c>
      <c r="B368" s="70" t="s">
        <v>252</v>
      </c>
      <c r="C368" s="8" t="s">
        <v>22</v>
      </c>
      <c r="D368" s="69">
        <v>42</v>
      </c>
      <c r="E368" s="32">
        <v>364.8</v>
      </c>
      <c r="F368" s="33">
        <v>3700</v>
      </c>
      <c r="G368" s="33">
        <v>4064.8</v>
      </c>
      <c r="H368" s="33">
        <v>15321.6</v>
      </c>
      <c r="I368" s="33">
        <v>155400</v>
      </c>
      <c r="J368" s="31">
        <v>170721.6</v>
      </c>
      <c r="K368" s="149">
        <v>155400</v>
      </c>
      <c r="L368" s="149">
        <v>170721.6</v>
      </c>
      <c r="M368" s="240">
        <v>3</v>
      </c>
    </row>
    <row r="369" spans="1:13" s="101" customFormat="1" ht="45" customHeight="1" outlineLevel="1">
      <c r="A369" s="100" t="s">
        <v>181</v>
      </c>
      <c r="B369" s="66" t="s">
        <v>257</v>
      </c>
      <c r="C369" s="28" t="s">
        <v>22</v>
      </c>
      <c r="D369" s="38">
        <v>42</v>
      </c>
      <c r="E369" s="67"/>
      <c r="F369" s="67">
        <v>3700</v>
      </c>
      <c r="G369" s="67"/>
      <c r="H369" s="67"/>
      <c r="I369" s="30">
        <v>155400</v>
      </c>
      <c r="J369" s="67"/>
      <c r="M369" s="241"/>
    </row>
    <row r="370" spans="1:13" ht="30">
      <c r="A370" s="162">
        <v>88</v>
      </c>
      <c r="B370" s="70" t="s">
        <v>253</v>
      </c>
      <c r="C370" s="8" t="s">
        <v>22</v>
      </c>
      <c r="D370" s="69">
        <v>18</v>
      </c>
      <c r="E370" s="32">
        <v>241.2</v>
      </c>
      <c r="F370" s="33">
        <v>834.23767777777778</v>
      </c>
      <c r="G370" s="33">
        <v>1075.4376777777777</v>
      </c>
      <c r="H370" s="33">
        <v>4341.5999999999995</v>
      </c>
      <c r="I370" s="33">
        <v>15016.278200000001</v>
      </c>
      <c r="J370" s="31">
        <v>19357.878199999999</v>
      </c>
      <c r="K370" s="149">
        <v>15016.278200000001</v>
      </c>
      <c r="L370" s="149">
        <v>19357.878199999999</v>
      </c>
      <c r="M370" s="241"/>
    </row>
    <row r="371" spans="1:13" s="101" customFormat="1" ht="30" customHeight="1" outlineLevel="1">
      <c r="A371" s="100" t="s">
        <v>181</v>
      </c>
      <c r="B371" s="66" t="s">
        <v>254</v>
      </c>
      <c r="C371" s="28" t="s">
        <v>22</v>
      </c>
      <c r="D371" s="38">
        <v>16</v>
      </c>
      <c r="E371" s="67"/>
      <c r="F371" s="67">
        <v>682.04399999999998</v>
      </c>
      <c r="G371" s="67"/>
      <c r="H371" s="67"/>
      <c r="I371" s="30">
        <v>10912.704</v>
      </c>
      <c r="J371" s="67"/>
      <c r="M371" s="241"/>
    </row>
    <row r="372" spans="1:13" s="101" customFormat="1" ht="30" customHeight="1" outlineLevel="1">
      <c r="A372" s="100" t="s">
        <v>181</v>
      </c>
      <c r="B372" s="66" t="s">
        <v>256</v>
      </c>
      <c r="C372" s="28" t="s">
        <v>22</v>
      </c>
      <c r="D372" s="38">
        <v>2</v>
      </c>
      <c r="E372" s="67"/>
      <c r="F372" s="67">
        <v>511.50550000000004</v>
      </c>
      <c r="G372" s="67"/>
      <c r="H372" s="67"/>
      <c r="I372" s="30">
        <v>1023.0110000000001</v>
      </c>
      <c r="J372" s="67"/>
      <c r="M372" s="241"/>
    </row>
    <row r="373" spans="1:13" s="101" customFormat="1" ht="15.75" customHeight="1" outlineLevel="1">
      <c r="A373" s="100" t="s">
        <v>181</v>
      </c>
      <c r="B373" s="66" t="s">
        <v>255</v>
      </c>
      <c r="C373" s="28" t="s">
        <v>22</v>
      </c>
      <c r="D373" s="38">
        <v>74.800000000000011</v>
      </c>
      <c r="E373" s="67"/>
      <c r="F373" s="67">
        <v>41.183999999999997</v>
      </c>
      <c r="G373" s="67"/>
      <c r="H373" s="67"/>
      <c r="I373" s="30">
        <v>3080.5632000000005</v>
      </c>
      <c r="J373" s="67"/>
      <c r="K373" s="153"/>
      <c r="M373" s="241"/>
    </row>
    <row r="374" spans="1:13">
      <c r="A374" s="162">
        <v>89</v>
      </c>
      <c r="B374" s="70" t="s">
        <v>258</v>
      </c>
      <c r="C374" s="8" t="s">
        <v>22</v>
      </c>
      <c r="D374" s="69">
        <v>22</v>
      </c>
      <c r="E374" s="32">
        <v>254.4</v>
      </c>
      <c r="F374" s="33">
        <v>1498</v>
      </c>
      <c r="G374" s="33">
        <v>1752.4</v>
      </c>
      <c r="H374" s="33">
        <v>5596.8</v>
      </c>
      <c r="I374" s="33">
        <v>32956</v>
      </c>
      <c r="J374" s="31">
        <v>38552.800000000003</v>
      </c>
      <c r="K374" s="149">
        <v>32956</v>
      </c>
      <c r="L374" s="149">
        <v>38552.800000000003</v>
      </c>
      <c r="M374" s="241"/>
    </row>
    <row r="375" spans="1:13" s="101" customFormat="1" ht="15.75" outlineLevel="1">
      <c r="A375" s="100" t="s">
        <v>181</v>
      </c>
      <c r="B375" s="66" t="s">
        <v>259</v>
      </c>
      <c r="C375" s="28" t="s">
        <v>22</v>
      </c>
      <c r="D375" s="38">
        <v>22</v>
      </c>
      <c r="E375" s="67"/>
      <c r="F375" s="67">
        <v>1498</v>
      </c>
      <c r="G375" s="67"/>
      <c r="H375" s="67"/>
      <c r="I375" s="30">
        <v>32956</v>
      </c>
      <c r="J375" s="67"/>
      <c r="M375" s="242"/>
    </row>
    <row r="376" spans="1:13" ht="30">
      <c r="A376" s="162">
        <v>90</v>
      </c>
      <c r="B376" s="70" t="s">
        <v>265</v>
      </c>
      <c r="C376" s="8" t="s">
        <v>22</v>
      </c>
      <c r="D376" s="69">
        <v>23</v>
      </c>
      <c r="E376" s="32">
        <v>55</v>
      </c>
      <c r="F376" s="33">
        <v>0</v>
      </c>
      <c r="G376" s="33">
        <v>55</v>
      </c>
      <c r="H376" s="33">
        <v>1265</v>
      </c>
      <c r="I376" s="33">
        <v>0</v>
      </c>
      <c r="J376" s="31">
        <v>1265</v>
      </c>
      <c r="K376" s="149">
        <v>0</v>
      </c>
      <c r="L376" s="149">
        <v>1265</v>
      </c>
      <c r="M376" s="162">
        <v>1</v>
      </c>
    </row>
    <row r="377" spans="1:13">
      <c r="A377" s="162">
        <v>91</v>
      </c>
      <c r="B377" s="70" t="s">
        <v>277</v>
      </c>
      <c r="C377" s="8" t="s">
        <v>22</v>
      </c>
      <c r="D377" s="69">
        <v>2</v>
      </c>
      <c r="E377" s="32">
        <v>680</v>
      </c>
      <c r="F377" s="33">
        <v>4800</v>
      </c>
      <c r="G377" s="33">
        <v>5480</v>
      </c>
      <c r="H377" s="33">
        <v>1360</v>
      </c>
      <c r="I377" s="33">
        <v>9600</v>
      </c>
      <c r="J377" s="31">
        <v>10960</v>
      </c>
      <c r="K377" s="235">
        <v>21100</v>
      </c>
      <c r="L377" s="235">
        <v>23820</v>
      </c>
      <c r="M377" s="240">
        <v>3</v>
      </c>
    </row>
    <row r="378" spans="1:13" s="101" customFormat="1" ht="15.75" customHeight="1" outlineLevel="1">
      <c r="A378" s="100" t="s">
        <v>181</v>
      </c>
      <c r="B378" s="66" t="s">
        <v>278</v>
      </c>
      <c r="C378" s="28" t="s">
        <v>22</v>
      </c>
      <c r="D378" s="38">
        <v>2</v>
      </c>
      <c r="E378" s="67"/>
      <c r="F378" s="67">
        <v>4800</v>
      </c>
      <c r="G378" s="67"/>
      <c r="H378" s="67"/>
      <c r="I378" s="30">
        <v>9600</v>
      </c>
      <c r="J378" s="67"/>
      <c r="K378" s="236"/>
      <c r="L378" s="236"/>
      <c r="M378" s="241"/>
    </row>
    <row r="379" spans="1:13" ht="30">
      <c r="A379" s="162">
        <v>92</v>
      </c>
      <c r="B379" s="70" t="s">
        <v>279</v>
      </c>
      <c r="C379" s="8" t="s">
        <v>22</v>
      </c>
      <c r="D379" s="69">
        <v>2</v>
      </c>
      <c r="E379" s="32">
        <v>680</v>
      </c>
      <c r="F379" s="33">
        <v>5750</v>
      </c>
      <c r="G379" s="33">
        <v>6430</v>
      </c>
      <c r="H379" s="33">
        <v>1360</v>
      </c>
      <c r="I379" s="33">
        <v>11500</v>
      </c>
      <c r="J379" s="31">
        <v>12860</v>
      </c>
      <c r="K379" s="236"/>
      <c r="L379" s="236"/>
      <c r="M379" s="241"/>
    </row>
    <row r="380" spans="1:13" s="101" customFormat="1" ht="15.75" outlineLevel="1">
      <c r="A380" s="100" t="s">
        <v>181</v>
      </c>
      <c r="B380" s="66" t="s">
        <v>280</v>
      </c>
      <c r="C380" s="28" t="s">
        <v>22</v>
      </c>
      <c r="D380" s="38">
        <v>2</v>
      </c>
      <c r="E380" s="67"/>
      <c r="F380" s="67">
        <v>5750</v>
      </c>
      <c r="G380" s="67"/>
      <c r="H380" s="67"/>
      <c r="I380" s="30">
        <v>11500</v>
      </c>
      <c r="J380" s="67"/>
      <c r="M380" s="242"/>
    </row>
    <row r="381" spans="1:13" ht="15.75" customHeight="1">
      <c r="A381" s="222" t="s">
        <v>116</v>
      </c>
      <c r="B381" s="223"/>
      <c r="C381" s="223"/>
      <c r="D381" s="223"/>
      <c r="E381" s="223"/>
      <c r="F381" s="223"/>
      <c r="G381" s="224"/>
      <c r="H381" s="67">
        <v>131892.24</v>
      </c>
      <c r="I381" s="67">
        <v>289038.10920000001</v>
      </c>
      <c r="J381" s="67">
        <v>420930.3492</v>
      </c>
      <c r="M381" s="156"/>
    </row>
    <row r="382" spans="1:13" ht="21" customHeight="1">
      <c r="A382" s="225" t="s">
        <v>272</v>
      </c>
      <c r="B382" s="226" t="s">
        <v>31</v>
      </c>
      <c r="C382" s="226"/>
      <c r="D382" s="226"/>
      <c r="E382" s="226"/>
      <c r="F382" s="226"/>
      <c r="G382" s="226"/>
      <c r="H382" s="226"/>
      <c r="I382" s="226"/>
      <c r="J382" s="227"/>
      <c r="M382" s="156"/>
    </row>
    <row r="383" spans="1:13">
      <c r="A383" s="162">
        <v>93</v>
      </c>
      <c r="B383" s="70" t="s">
        <v>270</v>
      </c>
      <c r="C383" s="8" t="s">
        <v>22</v>
      </c>
      <c r="D383" s="69">
        <v>1</v>
      </c>
      <c r="E383" s="32">
        <v>1600</v>
      </c>
      <c r="F383" s="33">
        <v>4250</v>
      </c>
      <c r="G383" s="33">
        <v>5850</v>
      </c>
      <c r="H383" s="33">
        <v>1600</v>
      </c>
      <c r="I383" s="33">
        <v>4250</v>
      </c>
      <c r="J383" s="31">
        <v>5850</v>
      </c>
      <c r="K383" s="235">
        <v>39187</v>
      </c>
      <c r="L383" s="235">
        <v>47907</v>
      </c>
      <c r="M383" s="240">
        <v>3</v>
      </c>
    </row>
    <row r="384" spans="1:13" s="101" customFormat="1" ht="15.75" customHeight="1" outlineLevel="1">
      <c r="A384" s="100" t="s">
        <v>181</v>
      </c>
      <c r="B384" s="66" t="s">
        <v>271</v>
      </c>
      <c r="C384" s="28" t="s">
        <v>22</v>
      </c>
      <c r="D384" s="38">
        <v>1</v>
      </c>
      <c r="E384" s="67"/>
      <c r="F384" s="67">
        <v>3900</v>
      </c>
      <c r="G384" s="67"/>
      <c r="H384" s="67"/>
      <c r="I384" s="30">
        <v>3900</v>
      </c>
      <c r="J384" s="67"/>
      <c r="K384" s="236"/>
      <c r="L384" s="236"/>
      <c r="M384" s="241"/>
    </row>
    <row r="385" spans="1:13" s="101" customFormat="1" ht="15.75" customHeight="1" outlineLevel="1">
      <c r="A385" s="100" t="s">
        <v>181</v>
      </c>
      <c r="B385" s="66" t="s">
        <v>274</v>
      </c>
      <c r="C385" s="28" t="s">
        <v>22</v>
      </c>
      <c r="D385" s="38">
        <v>1</v>
      </c>
      <c r="E385" s="67"/>
      <c r="F385" s="67">
        <v>350</v>
      </c>
      <c r="G385" s="67"/>
      <c r="H385" s="67"/>
      <c r="I385" s="30">
        <v>350</v>
      </c>
      <c r="J385" s="67"/>
      <c r="K385" s="236"/>
      <c r="L385" s="236"/>
      <c r="M385" s="241"/>
    </row>
    <row r="386" spans="1:13" ht="30">
      <c r="A386" s="162">
        <v>94</v>
      </c>
      <c r="B386" s="70" t="s">
        <v>275</v>
      </c>
      <c r="C386" s="8" t="s">
        <v>22</v>
      </c>
      <c r="D386" s="69">
        <v>3</v>
      </c>
      <c r="E386" s="32">
        <v>1300</v>
      </c>
      <c r="F386" s="33">
        <v>5200</v>
      </c>
      <c r="G386" s="33">
        <v>6500</v>
      </c>
      <c r="H386" s="33">
        <v>3900</v>
      </c>
      <c r="I386" s="33">
        <v>15600</v>
      </c>
      <c r="J386" s="31">
        <v>19500</v>
      </c>
      <c r="K386" s="236"/>
      <c r="L386" s="236"/>
      <c r="M386" s="241"/>
    </row>
    <row r="387" spans="1:13" s="101" customFormat="1" ht="15.75" customHeight="1" outlineLevel="1">
      <c r="A387" s="100" t="s">
        <v>181</v>
      </c>
      <c r="B387" s="66" t="s">
        <v>273</v>
      </c>
      <c r="C387" s="28" t="s">
        <v>22</v>
      </c>
      <c r="D387" s="38">
        <v>3</v>
      </c>
      <c r="E387" s="67"/>
      <c r="F387" s="67">
        <v>2300</v>
      </c>
      <c r="G387" s="67"/>
      <c r="H387" s="67"/>
      <c r="I387" s="30">
        <v>6900</v>
      </c>
      <c r="J387" s="67"/>
      <c r="K387" s="236"/>
      <c r="L387" s="236"/>
      <c r="M387" s="241"/>
    </row>
    <row r="388" spans="1:13" s="101" customFormat="1" ht="15.75" customHeight="1" outlineLevel="1">
      <c r="A388" s="100" t="s">
        <v>181</v>
      </c>
      <c r="B388" s="66" t="s">
        <v>276</v>
      </c>
      <c r="C388" s="28" t="s">
        <v>22</v>
      </c>
      <c r="D388" s="38">
        <v>3</v>
      </c>
      <c r="E388" s="67"/>
      <c r="F388" s="67">
        <v>2600</v>
      </c>
      <c r="G388" s="67"/>
      <c r="H388" s="67"/>
      <c r="I388" s="30">
        <v>7800</v>
      </c>
      <c r="J388" s="67"/>
      <c r="K388" s="236"/>
      <c r="L388" s="236"/>
      <c r="M388" s="241"/>
    </row>
    <row r="389" spans="1:13" s="101" customFormat="1" ht="15.75" customHeight="1" outlineLevel="1">
      <c r="A389" s="100" t="s">
        <v>181</v>
      </c>
      <c r="B389" s="66" t="s">
        <v>486</v>
      </c>
      <c r="C389" s="28" t="s">
        <v>22</v>
      </c>
      <c r="D389" s="38">
        <v>3</v>
      </c>
      <c r="E389" s="67"/>
      <c r="F389" s="67">
        <v>300</v>
      </c>
      <c r="G389" s="67"/>
      <c r="H389" s="67"/>
      <c r="I389" s="30">
        <v>900</v>
      </c>
      <c r="J389" s="67"/>
      <c r="K389" s="236"/>
      <c r="L389" s="236"/>
      <c r="M389" s="241"/>
    </row>
    <row r="390" spans="1:13">
      <c r="A390" s="162">
        <v>95</v>
      </c>
      <c r="B390" s="70" t="s">
        <v>281</v>
      </c>
      <c r="C390" s="8" t="s">
        <v>22</v>
      </c>
      <c r="D390" s="69">
        <v>3</v>
      </c>
      <c r="E390" s="32">
        <v>230</v>
      </c>
      <c r="F390" s="33">
        <v>759.00000000000011</v>
      </c>
      <c r="G390" s="33">
        <v>989.00000000000011</v>
      </c>
      <c r="H390" s="33">
        <v>690</v>
      </c>
      <c r="I390" s="33">
        <v>2277.0000000000005</v>
      </c>
      <c r="J390" s="31">
        <v>2967.0000000000005</v>
      </c>
      <c r="K390" s="236"/>
      <c r="L390" s="236"/>
      <c r="M390" s="241"/>
    </row>
    <row r="391" spans="1:13" s="101" customFormat="1" ht="15.75" customHeight="1" outlineLevel="1">
      <c r="A391" s="100" t="s">
        <v>181</v>
      </c>
      <c r="B391" s="66" t="s">
        <v>282</v>
      </c>
      <c r="C391" s="28" t="s">
        <v>22</v>
      </c>
      <c r="D391" s="38">
        <v>3</v>
      </c>
      <c r="E391" s="67"/>
      <c r="F391" s="67">
        <v>759.00000000000011</v>
      </c>
      <c r="G391" s="67"/>
      <c r="H391" s="67"/>
      <c r="I391" s="30">
        <v>2277.0000000000005</v>
      </c>
      <c r="J391" s="67"/>
      <c r="K391" s="236"/>
      <c r="L391" s="236"/>
      <c r="M391" s="241"/>
    </row>
    <row r="392" spans="1:13">
      <c r="A392" s="162">
        <v>96</v>
      </c>
      <c r="B392" s="70" t="s">
        <v>283</v>
      </c>
      <c r="C392" s="8" t="s">
        <v>22</v>
      </c>
      <c r="D392" s="69">
        <v>1</v>
      </c>
      <c r="E392" s="32">
        <v>230</v>
      </c>
      <c r="F392" s="33">
        <v>3200</v>
      </c>
      <c r="G392" s="33">
        <v>3430</v>
      </c>
      <c r="H392" s="33">
        <v>230</v>
      </c>
      <c r="I392" s="33">
        <v>3200</v>
      </c>
      <c r="J392" s="31">
        <v>3430</v>
      </c>
      <c r="K392" s="236"/>
      <c r="L392" s="236"/>
      <c r="M392" s="241"/>
    </row>
    <row r="393" spans="1:13" s="101" customFormat="1" ht="30" customHeight="1" outlineLevel="1">
      <c r="A393" s="100" t="s">
        <v>181</v>
      </c>
      <c r="B393" s="66" t="s">
        <v>284</v>
      </c>
      <c r="C393" s="28" t="s">
        <v>22</v>
      </c>
      <c r="D393" s="38">
        <v>1</v>
      </c>
      <c r="E393" s="67"/>
      <c r="F393" s="67">
        <v>3200</v>
      </c>
      <c r="G393" s="67"/>
      <c r="H393" s="67"/>
      <c r="I393" s="30">
        <v>3200</v>
      </c>
      <c r="J393" s="67"/>
      <c r="K393" s="236"/>
      <c r="L393" s="236"/>
      <c r="M393" s="241"/>
    </row>
    <row r="394" spans="1:13" ht="30">
      <c r="A394" s="162">
        <v>97</v>
      </c>
      <c r="B394" s="70" t="s">
        <v>285</v>
      </c>
      <c r="C394" s="8" t="s">
        <v>22</v>
      </c>
      <c r="D394" s="69">
        <v>1</v>
      </c>
      <c r="E394" s="32">
        <v>230</v>
      </c>
      <c r="F394" s="33">
        <v>3150</v>
      </c>
      <c r="G394" s="33">
        <v>3380</v>
      </c>
      <c r="H394" s="33">
        <v>230</v>
      </c>
      <c r="I394" s="33">
        <v>3150</v>
      </c>
      <c r="J394" s="31">
        <v>3380</v>
      </c>
      <c r="K394" s="236"/>
      <c r="L394" s="236"/>
      <c r="M394" s="241"/>
    </row>
    <row r="395" spans="1:13" s="101" customFormat="1" ht="15.75" customHeight="1" outlineLevel="1">
      <c r="A395" s="100" t="s">
        <v>181</v>
      </c>
      <c r="B395" s="66" t="s">
        <v>286</v>
      </c>
      <c r="C395" s="28" t="s">
        <v>22</v>
      </c>
      <c r="D395" s="38">
        <v>1</v>
      </c>
      <c r="E395" s="67"/>
      <c r="F395" s="67">
        <v>3150</v>
      </c>
      <c r="G395" s="67"/>
      <c r="H395" s="67"/>
      <c r="I395" s="30">
        <v>3150</v>
      </c>
      <c r="J395" s="67"/>
      <c r="K395" s="236"/>
      <c r="L395" s="236"/>
      <c r="M395" s="241"/>
    </row>
    <row r="396" spans="1:13">
      <c r="A396" s="162">
        <v>98</v>
      </c>
      <c r="B396" s="70" t="s">
        <v>287</v>
      </c>
      <c r="C396" s="8" t="s">
        <v>22</v>
      </c>
      <c r="D396" s="69">
        <v>3</v>
      </c>
      <c r="E396" s="32">
        <v>690</v>
      </c>
      <c r="F396" s="33">
        <v>3570</v>
      </c>
      <c r="G396" s="33">
        <v>4260</v>
      </c>
      <c r="H396" s="33">
        <v>2070</v>
      </c>
      <c r="I396" s="33">
        <v>10710</v>
      </c>
      <c r="J396" s="31">
        <v>12780</v>
      </c>
      <c r="K396" s="236"/>
      <c r="L396" s="236"/>
      <c r="M396" s="241"/>
    </row>
    <row r="397" spans="1:13" s="101" customFormat="1" ht="15.75" outlineLevel="1">
      <c r="A397" s="100" t="s">
        <v>181</v>
      </c>
      <c r="B397" s="66" t="s">
        <v>288</v>
      </c>
      <c r="C397" s="28" t="s">
        <v>22</v>
      </c>
      <c r="D397" s="38">
        <v>3</v>
      </c>
      <c r="E397" s="67"/>
      <c r="F397" s="67">
        <v>3570</v>
      </c>
      <c r="G397" s="67"/>
      <c r="H397" s="67"/>
      <c r="I397" s="30">
        <v>10710</v>
      </c>
      <c r="J397" s="67"/>
      <c r="M397" s="242"/>
    </row>
    <row r="398" spans="1:13" ht="15.75" customHeight="1">
      <c r="A398" s="222" t="s">
        <v>116</v>
      </c>
      <c r="B398" s="223"/>
      <c r="C398" s="223"/>
      <c r="D398" s="223"/>
      <c r="E398" s="223"/>
      <c r="F398" s="223"/>
      <c r="G398" s="224"/>
      <c r="H398" s="67">
        <v>8720</v>
      </c>
      <c r="I398" s="67">
        <v>39187</v>
      </c>
      <c r="J398" s="67">
        <v>47907</v>
      </c>
      <c r="M398" s="156"/>
    </row>
    <row r="399" spans="1:13" ht="21" customHeight="1">
      <c r="A399" s="225" t="s">
        <v>260</v>
      </c>
      <c r="B399" s="226" t="s">
        <v>31</v>
      </c>
      <c r="C399" s="226"/>
      <c r="D399" s="226"/>
      <c r="E399" s="226"/>
      <c r="F399" s="226"/>
      <c r="G399" s="226"/>
      <c r="H399" s="226"/>
      <c r="I399" s="226"/>
      <c r="J399" s="227"/>
      <c r="M399" s="156"/>
    </row>
    <row r="400" spans="1:13" ht="30">
      <c r="A400" s="162">
        <v>99</v>
      </c>
      <c r="B400" s="70" t="s">
        <v>261</v>
      </c>
      <c r="C400" s="8" t="s">
        <v>22</v>
      </c>
      <c r="D400" s="69">
        <v>1</v>
      </c>
      <c r="E400" s="32">
        <v>108664</v>
      </c>
      <c r="F400" s="33">
        <v>581677.22399999993</v>
      </c>
      <c r="G400" s="33">
        <v>690341.22399999993</v>
      </c>
      <c r="H400" s="33">
        <v>108664</v>
      </c>
      <c r="I400" s="33">
        <v>581677.22399999993</v>
      </c>
      <c r="J400" s="31">
        <v>690341.22399999993</v>
      </c>
      <c r="K400" s="149">
        <v>581677.22399999993</v>
      </c>
      <c r="L400" s="149">
        <v>690341.22399999993</v>
      </c>
      <c r="M400" s="240">
        <v>2</v>
      </c>
    </row>
    <row r="401" spans="1:13" s="101" customFormat="1" ht="15.75" outlineLevel="1">
      <c r="A401" s="100" t="s">
        <v>181</v>
      </c>
      <c r="B401" s="66" t="s">
        <v>289</v>
      </c>
      <c r="C401" s="28" t="s">
        <v>22</v>
      </c>
      <c r="D401" s="38">
        <v>1</v>
      </c>
      <c r="E401" s="67"/>
      <c r="F401" s="67">
        <v>156799.57999999999</v>
      </c>
      <c r="G401" s="67"/>
      <c r="H401" s="67"/>
      <c r="I401" s="30">
        <v>156799.57999999999</v>
      </c>
      <c r="J401" s="67"/>
      <c r="M401" s="241"/>
    </row>
    <row r="402" spans="1:13" s="101" customFormat="1" ht="15.75" outlineLevel="1">
      <c r="A402" s="100" t="s">
        <v>181</v>
      </c>
      <c r="B402" s="66" t="s">
        <v>290</v>
      </c>
      <c r="C402" s="28" t="s">
        <v>22</v>
      </c>
      <c r="D402" s="38">
        <v>1</v>
      </c>
      <c r="E402" s="67"/>
      <c r="F402" s="67">
        <v>54330.74</v>
      </c>
      <c r="G402" s="67"/>
      <c r="H402" s="67"/>
      <c r="I402" s="30">
        <v>54330.74</v>
      </c>
      <c r="J402" s="67"/>
      <c r="M402" s="241"/>
    </row>
    <row r="403" spans="1:13" s="101" customFormat="1" ht="15.75" outlineLevel="1">
      <c r="A403" s="100" t="s">
        <v>181</v>
      </c>
      <c r="B403" s="66" t="s">
        <v>291</v>
      </c>
      <c r="C403" s="28" t="s">
        <v>22</v>
      </c>
      <c r="D403" s="38">
        <v>2</v>
      </c>
      <c r="E403" s="67"/>
      <c r="F403" s="67">
        <v>2950</v>
      </c>
      <c r="G403" s="67"/>
      <c r="H403" s="67"/>
      <c r="I403" s="30">
        <v>5900</v>
      </c>
      <c r="J403" s="67"/>
      <c r="M403" s="241"/>
    </row>
    <row r="404" spans="1:13" s="101" customFormat="1" ht="15.75" outlineLevel="1">
      <c r="A404" s="100" t="s">
        <v>181</v>
      </c>
      <c r="B404" s="66" t="s">
        <v>292</v>
      </c>
      <c r="C404" s="28" t="s">
        <v>22</v>
      </c>
      <c r="D404" s="38">
        <v>1</v>
      </c>
      <c r="E404" s="67"/>
      <c r="F404" s="67">
        <v>2336.4</v>
      </c>
      <c r="G404" s="67"/>
      <c r="H404" s="67"/>
      <c r="I404" s="30">
        <v>2336.4</v>
      </c>
      <c r="J404" s="67"/>
      <c r="M404" s="241"/>
    </row>
    <row r="405" spans="1:13" s="101" customFormat="1" ht="15.75" outlineLevel="1">
      <c r="A405" s="100" t="s">
        <v>181</v>
      </c>
      <c r="B405" s="66" t="s">
        <v>293</v>
      </c>
      <c r="C405" s="28" t="s">
        <v>22</v>
      </c>
      <c r="D405" s="38">
        <v>5</v>
      </c>
      <c r="E405" s="67"/>
      <c r="F405" s="67">
        <v>313.28999999999996</v>
      </c>
      <c r="G405" s="67"/>
      <c r="H405" s="67"/>
      <c r="I405" s="30">
        <v>1566.4499999999998</v>
      </c>
      <c r="J405" s="67"/>
      <c r="M405" s="241"/>
    </row>
    <row r="406" spans="1:13" s="101" customFormat="1" ht="15.75" outlineLevel="1">
      <c r="A406" s="100" t="s">
        <v>181</v>
      </c>
      <c r="B406" s="66" t="s">
        <v>294</v>
      </c>
      <c r="C406" s="28" t="s">
        <v>22</v>
      </c>
      <c r="D406" s="38">
        <v>1</v>
      </c>
      <c r="E406" s="67"/>
      <c r="F406" s="67">
        <v>449.93399999999997</v>
      </c>
      <c r="G406" s="67"/>
      <c r="H406" s="67"/>
      <c r="I406" s="30">
        <v>449.93399999999997</v>
      </c>
      <c r="J406" s="67"/>
      <c r="M406" s="241"/>
    </row>
    <row r="407" spans="1:13" s="101" customFormat="1" ht="15.75" outlineLevel="1">
      <c r="A407" s="100" t="s">
        <v>181</v>
      </c>
      <c r="B407" s="66" t="s">
        <v>295</v>
      </c>
      <c r="C407" s="28" t="s">
        <v>22</v>
      </c>
      <c r="D407" s="38">
        <v>6</v>
      </c>
      <c r="E407" s="67"/>
      <c r="F407" s="67">
        <v>313.28999999999996</v>
      </c>
      <c r="G407" s="67"/>
      <c r="H407" s="67"/>
      <c r="I407" s="30">
        <v>1879.7399999999998</v>
      </c>
      <c r="J407" s="67"/>
      <c r="M407" s="241"/>
    </row>
    <row r="408" spans="1:13" s="101" customFormat="1" ht="15.75" outlineLevel="1">
      <c r="A408" s="100" t="s">
        <v>181</v>
      </c>
      <c r="B408" s="66" t="s">
        <v>296</v>
      </c>
      <c r="C408" s="28" t="s">
        <v>22</v>
      </c>
      <c r="D408" s="38">
        <v>1</v>
      </c>
      <c r="E408" s="67"/>
      <c r="F408" s="67">
        <v>556.37</v>
      </c>
      <c r="G408" s="67"/>
      <c r="H408" s="67"/>
      <c r="I408" s="30">
        <v>556.37</v>
      </c>
      <c r="J408" s="67"/>
      <c r="M408" s="241"/>
    </row>
    <row r="409" spans="1:13" s="101" customFormat="1" ht="15.75" outlineLevel="1">
      <c r="A409" s="100" t="s">
        <v>181</v>
      </c>
      <c r="B409" s="66" t="s">
        <v>297</v>
      </c>
      <c r="C409" s="28" t="s">
        <v>22</v>
      </c>
      <c r="D409" s="38">
        <v>1</v>
      </c>
      <c r="E409" s="67"/>
      <c r="F409" s="67">
        <v>1416</v>
      </c>
      <c r="G409" s="67"/>
      <c r="H409" s="67"/>
      <c r="I409" s="30">
        <v>1416</v>
      </c>
      <c r="J409" s="67"/>
      <c r="M409" s="241"/>
    </row>
    <row r="410" spans="1:13" s="101" customFormat="1" ht="15.75" outlineLevel="1">
      <c r="A410" s="100" t="s">
        <v>181</v>
      </c>
      <c r="B410" s="66" t="s">
        <v>298</v>
      </c>
      <c r="C410" s="28" t="s">
        <v>22</v>
      </c>
      <c r="D410" s="38">
        <v>1</v>
      </c>
      <c r="E410" s="67"/>
      <c r="F410" s="67">
        <v>5805.5999999999995</v>
      </c>
      <c r="G410" s="67"/>
      <c r="H410" s="67"/>
      <c r="I410" s="30">
        <v>5805.5999999999995</v>
      </c>
      <c r="J410" s="67"/>
      <c r="M410" s="241"/>
    </row>
    <row r="411" spans="1:13" s="101" customFormat="1" ht="15.75" outlineLevel="1">
      <c r="A411" s="100" t="s">
        <v>181</v>
      </c>
      <c r="B411" s="66" t="s">
        <v>299</v>
      </c>
      <c r="C411" s="28" t="s">
        <v>22</v>
      </c>
      <c r="D411" s="38">
        <v>1</v>
      </c>
      <c r="E411" s="67"/>
      <c r="F411" s="67">
        <v>6773.2</v>
      </c>
      <c r="G411" s="67"/>
      <c r="H411" s="67"/>
      <c r="I411" s="30">
        <v>6773.2</v>
      </c>
      <c r="J411" s="67"/>
      <c r="M411" s="241"/>
    </row>
    <row r="412" spans="1:13" s="101" customFormat="1" ht="30" outlineLevel="1">
      <c r="A412" s="100" t="s">
        <v>181</v>
      </c>
      <c r="B412" s="66" t="s">
        <v>300</v>
      </c>
      <c r="C412" s="28" t="s">
        <v>22</v>
      </c>
      <c r="D412" s="38">
        <v>3</v>
      </c>
      <c r="E412" s="67"/>
      <c r="F412" s="67">
        <v>53100</v>
      </c>
      <c r="G412" s="67"/>
      <c r="H412" s="67"/>
      <c r="I412" s="30">
        <v>159300</v>
      </c>
      <c r="J412" s="67"/>
      <c r="M412" s="241"/>
    </row>
    <row r="413" spans="1:13" s="101" customFormat="1" ht="30" outlineLevel="1">
      <c r="A413" s="100" t="s">
        <v>181</v>
      </c>
      <c r="B413" s="66" t="s">
        <v>301</v>
      </c>
      <c r="C413" s="28" t="s">
        <v>22</v>
      </c>
      <c r="D413" s="38">
        <v>3</v>
      </c>
      <c r="E413" s="67"/>
      <c r="F413" s="67">
        <v>49560</v>
      </c>
      <c r="G413" s="67"/>
      <c r="H413" s="67"/>
      <c r="I413" s="30">
        <v>148680</v>
      </c>
      <c r="J413" s="67"/>
      <c r="M413" s="241"/>
    </row>
    <row r="414" spans="1:13" s="101" customFormat="1" ht="15.75" outlineLevel="1">
      <c r="A414" s="100" t="s">
        <v>181</v>
      </c>
      <c r="B414" s="66" t="s">
        <v>302</v>
      </c>
      <c r="C414" s="28" t="s">
        <v>29</v>
      </c>
      <c r="D414" s="38">
        <v>18</v>
      </c>
      <c r="E414" s="67"/>
      <c r="F414" s="67">
        <v>83.697400000000002</v>
      </c>
      <c r="G414" s="67"/>
      <c r="H414" s="67"/>
      <c r="I414" s="30">
        <v>1506.5532000000001</v>
      </c>
      <c r="J414" s="67"/>
      <c r="M414" s="241"/>
    </row>
    <row r="415" spans="1:13" s="101" customFormat="1" ht="15.75" outlineLevel="1">
      <c r="A415" s="100" t="s">
        <v>181</v>
      </c>
      <c r="B415" s="66" t="s">
        <v>303</v>
      </c>
      <c r="C415" s="28" t="s">
        <v>29</v>
      </c>
      <c r="D415" s="38">
        <v>2</v>
      </c>
      <c r="E415" s="67"/>
      <c r="F415" s="67">
        <v>161.1054</v>
      </c>
      <c r="G415" s="67"/>
      <c r="H415" s="67"/>
      <c r="I415" s="30">
        <v>322.21080000000001</v>
      </c>
      <c r="J415" s="67"/>
      <c r="M415" s="241"/>
    </row>
    <row r="416" spans="1:13" s="101" customFormat="1" ht="15.75" outlineLevel="1">
      <c r="A416" s="100" t="s">
        <v>181</v>
      </c>
      <c r="B416" s="66" t="s">
        <v>304</v>
      </c>
      <c r="C416" s="28" t="s">
        <v>0</v>
      </c>
      <c r="D416" s="38">
        <v>8</v>
      </c>
      <c r="E416" s="67"/>
      <c r="F416" s="67">
        <v>389.4</v>
      </c>
      <c r="G416" s="67"/>
      <c r="H416" s="67"/>
      <c r="I416" s="30">
        <v>3115.2</v>
      </c>
      <c r="J416" s="67"/>
      <c r="M416" s="241"/>
    </row>
    <row r="417" spans="1:13" s="101" customFormat="1" ht="15.75" outlineLevel="1">
      <c r="A417" s="100" t="s">
        <v>181</v>
      </c>
      <c r="B417" s="66" t="s">
        <v>305</v>
      </c>
      <c r="C417" s="28" t="s">
        <v>0</v>
      </c>
      <c r="D417" s="38">
        <v>24.9</v>
      </c>
      <c r="E417" s="67"/>
      <c r="F417" s="67">
        <v>1242.54</v>
      </c>
      <c r="G417" s="67"/>
      <c r="H417" s="67"/>
      <c r="I417" s="30">
        <v>30939.245999999996</v>
      </c>
      <c r="J417" s="67"/>
      <c r="M417" s="242"/>
    </row>
    <row r="418" spans="1:13" ht="15.75" customHeight="1">
      <c r="A418" s="222" t="s">
        <v>116</v>
      </c>
      <c r="B418" s="223"/>
      <c r="C418" s="223"/>
      <c r="D418" s="223"/>
      <c r="E418" s="223"/>
      <c r="F418" s="223"/>
      <c r="G418" s="224"/>
      <c r="H418" s="67">
        <v>108664</v>
      </c>
      <c r="I418" s="67">
        <v>581677.22399999993</v>
      </c>
      <c r="J418" s="67">
        <v>690341.22399999993</v>
      </c>
      <c r="M418" s="156"/>
    </row>
    <row r="419" spans="1:13" ht="21" customHeight="1">
      <c r="A419" s="225" t="s">
        <v>345</v>
      </c>
      <c r="B419" s="226" t="s">
        <v>31</v>
      </c>
      <c r="C419" s="226"/>
      <c r="D419" s="226"/>
      <c r="E419" s="226"/>
      <c r="F419" s="226"/>
      <c r="G419" s="226"/>
      <c r="H419" s="226"/>
      <c r="I419" s="226"/>
      <c r="J419" s="227"/>
      <c r="M419" s="156"/>
    </row>
    <row r="420" spans="1:13">
      <c r="A420" s="162">
        <v>100</v>
      </c>
      <c r="B420" s="70" t="s">
        <v>346</v>
      </c>
      <c r="C420" s="8" t="s">
        <v>29</v>
      </c>
      <c r="D420" s="69">
        <v>18.5</v>
      </c>
      <c r="E420" s="32">
        <v>45</v>
      </c>
      <c r="F420" s="33">
        <v>0</v>
      </c>
      <c r="G420" s="33">
        <v>45</v>
      </c>
      <c r="H420" s="33">
        <v>832.5</v>
      </c>
      <c r="I420" s="33">
        <v>0</v>
      </c>
      <c r="J420" s="31">
        <v>832.5</v>
      </c>
      <c r="K420" s="235">
        <v>0</v>
      </c>
      <c r="L420" s="235">
        <v>2032.5</v>
      </c>
      <c r="M420" s="204">
        <v>1</v>
      </c>
    </row>
    <row r="421" spans="1:13">
      <c r="A421" s="162">
        <v>101</v>
      </c>
      <c r="B421" s="70" t="s">
        <v>347</v>
      </c>
      <c r="C421" s="8" t="s">
        <v>22</v>
      </c>
      <c r="D421" s="69">
        <v>5</v>
      </c>
      <c r="E421" s="32">
        <v>240</v>
      </c>
      <c r="F421" s="33">
        <v>0</v>
      </c>
      <c r="G421" s="33">
        <v>240</v>
      </c>
      <c r="H421" s="33">
        <v>1200</v>
      </c>
      <c r="I421" s="33">
        <v>0</v>
      </c>
      <c r="J421" s="31">
        <v>1200</v>
      </c>
      <c r="K421" s="236"/>
      <c r="L421" s="236"/>
      <c r="M421" s="204"/>
    </row>
    <row r="422" spans="1:13">
      <c r="A422" s="162">
        <v>102</v>
      </c>
      <c r="B422" s="70" t="s">
        <v>348</v>
      </c>
      <c r="C422" s="8" t="s">
        <v>29</v>
      </c>
      <c r="D422" s="69">
        <v>27.2</v>
      </c>
      <c r="E422" s="32">
        <v>240</v>
      </c>
      <c r="F422" s="33">
        <v>275.67258823529414</v>
      </c>
      <c r="G422" s="33">
        <v>515.67258823529414</v>
      </c>
      <c r="H422" s="33">
        <v>6528</v>
      </c>
      <c r="I422" s="33">
        <v>7498.2944000000007</v>
      </c>
      <c r="J422" s="31">
        <v>14026.294400000001</v>
      </c>
      <c r="K422" s="235">
        <v>35005.1944</v>
      </c>
      <c r="L422" s="235">
        <v>46133.1944</v>
      </c>
      <c r="M422" s="240">
        <v>2</v>
      </c>
    </row>
    <row r="423" spans="1:13" s="101" customFormat="1" ht="30" customHeight="1" outlineLevel="1">
      <c r="A423" s="100" t="s">
        <v>181</v>
      </c>
      <c r="B423" s="66" t="s">
        <v>364</v>
      </c>
      <c r="C423" s="28" t="s">
        <v>29</v>
      </c>
      <c r="D423" s="38">
        <v>29.103999999999999</v>
      </c>
      <c r="E423" s="67"/>
      <c r="F423" s="67">
        <v>108.6</v>
      </c>
      <c r="G423" s="67"/>
      <c r="H423" s="67"/>
      <c r="I423" s="30">
        <v>3160.6943999999999</v>
      </c>
      <c r="J423" s="67"/>
      <c r="K423" s="236"/>
      <c r="L423" s="236"/>
      <c r="M423" s="241"/>
    </row>
    <row r="424" spans="1:13" s="101" customFormat="1" ht="15.75" customHeight="1" outlineLevel="1">
      <c r="A424" s="100" t="s">
        <v>181</v>
      </c>
      <c r="B424" s="66" t="s">
        <v>365</v>
      </c>
      <c r="C424" s="28" t="s">
        <v>22</v>
      </c>
      <c r="D424" s="38">
        <v>10</v>
      </c>
      <c r="E424" s="67"/>
      <c r="F424" s="67">
        <v>246.3</v>
      </c>
      <c r="G424" s="67"/>
      <c r="H424" s="67"/>
      <c r="I424" s="30">
        <v>2463</v>
      </c>
      <c r="J424" s="67"/>
      <c r="K424" s="236"/>
      <c r="L424" s="236"/>
      <c r="M424" s="241"/>
    </row>
    <row r="425" spans="1:13" s="101" customFormat="1" ht="15.75" customHeight="1" outlineLevel="1">
      <c r="A425" s="100" t="s">
        <v>181</v>
      </c>
      <c r="B425" s="66" t="s">
        <v>366</v>
      </c>
      <c r="C425" s="28" t="s">
        <v>22</v>
      </c>
      <c r="D425" s="38">
        <v>46</v>
      </c>
      <c r="E425" s="67"/>
      <c r="F425" s="67">
        <v>4.0999999999999996</v>
      </c>
      <c r="G425" s="67"/>
      <c r="H425" s="67"/>
      <c r="I425" s="30">
        <v>188.6</v>
      </c>
      <c r="J425" s="67"/>
      <c r="K425" s="236"/>
      <c r="L425" s="236"/>
      <c r="M425" s="241"/>
    </row>
    <row r="426" spans="1:13" s="101" customFormat="1" ht="15.75" customHeight="1" outlineLevel="1">
      <c r="A426" s="100" t="s">
        <v>181</v>
      </c>
      <c r="B426" s="66" t="s">
        <v>367</v>
      </c>
      <c r="C426" s="28" t="s">
        <v>22</v>
      </c>
      <c r="D426" s="38">
        <v>20</v>
      </c>
      <c r="E426" s="67"/>
      <c r="F426" s="67">
        <v>84.3</v>
      </c>
      <c r="G426" s="67"/>
      <c r="H426" s="67"/>
      <c r="I426" s="30">
        <v>1686</v>
      </c>
      <c r="J426" s="67"/>
      <c r="K426" s="236"/>
      <c r="L426" s="236"/>
      <c r="M426" s="241"/>
    </row>
    <row r="427" spans="1:13">
      <c r="A427" s="162">
        <v>103</v>
      </c>
      <c r="B427" s="70" t="s">
        <v>349</v>
      </c>
      <c r="C427" s="8" t="s">
        <v>22</v>
      </c>
      <c r="D427" s="69">
        <v>5</v>
      </c>
      <c r="E427" s="32">
        <v>920</v>
      </c>
      <c r="F427" s="33">
        <v>5501.38</v>
      </c>
      <c r="G427" s="33">
        <v>6421.38</v>
      </c>
      <c r="H427" s="33">
        <v>4600</v>
      </c>
      <c r="I427" s="33">
        <v>27506.9</v>
      </c>
      <c r="J427" s="31">
        <v>32106.9</v>
      </c>
      <c r="K427" s="236"/>
      <c r="L427" s="236"/>
      <c r="M427" s="241"/>
    </row>
    <row r="428" spans="1:13" s="101" customFormat="1" ht="15.75" outlineLevel="1">
      <c r="A428" s="100" t="s">
        <v>181</v>
      </c>
      <c r="B428" s="66" t="s">
        <v>350</v>
      </c>
      <c r="C428" s="28" t="s">
        <v>22</v>
      </c>
      <c r="D428" s="38">
        <v>10</v>
      </c>
      <c r="E428" s="67"/>
      <c r="F428" s="67">
        <v>43.6</v>
      </c>
      <c r="G428" s="67"/>
      <c r="H428" s="67"/>
      <c r="I428" s="30">
        <v>436</v>
      </c>
      <c r="J428" s="67"/>
      <c r="M428" s="241"/>
    </row>
    <row r="429" spans="1:13" s="101" customFormat="1" ht="15.75" outlineLevel="1">
      <c r="A429" s="100" t="s">
        <v>181</v>
      </c>
      <c r="B429" s="66" t="s">
        <v>351</v>
      </c>
      <c r="C429" s="28" t="s">
        <v>22</v>
      </c>
      <c r="D429" s="38">
        <v>5</v>
      </c>
      <c r="E429" s="67"/>
      <c r="F429" s="67">
        <v>92.3</v>
      </c>
      <c r="G429" s="67"/>
      <c r="H429" s="67"/>
      <c r="I429" s="30">
        <v>461.5</v>
      </c>
      <c r="J429" s="67"/>
      <c r="M429" s="241"/>
    </row>
    <row r="430" spans="1:13" s="101" customFormat="1" ht="15.75" outlineLevel="1">
      <c r="A430" s="100" t="s">
        <v>181</v>
      </c>
      <c r="B430" s="66" t="s">
        <v>353</v>
      </c>
      <c r="C430" s="28" t="s">
        <v>22</v>
      </c>
      <c r="D430" s="38">
        <v>5</v>
      </c>
      <c r="E430" s="67"/>
      <c r="F430" s="67">
        <v>4420</v>
      </c>
      <c r="G430" s="67"/>
      <c r="H430" s="67"/>
      <c r="I430" s="30">
        <v>22100</v>
      </c>
      <c r="J430" s="67"/>
      <c r="M430" s="241"/>
    </row>
    <row r="431" spans="1:13" s="101" customFormat="1" ht="15.75" outlineLevel="1">
      <c r="A431" s="143" t="s">
        <v>181</v>
      </c>
      <c r="B431" s="66" t="s">
        <v>354</v>
      </c>
      <c r="C431" s="28" t="s">
        <v>22</v>
      </c>
      <c r="D431" s="38">
        <v>10</v>
      </c>
      <c r="E431" s="67"/>
      <c r="F431" s="67">
        <v>446.3</v>
      </c>
      <c r="G431" s="67"/>
      <c r="H431" s="67"/>
      <c r="I431" s="30">
        <v>4463</v>
      </c>
      <c r="J431" s="67"/>
      <c r="M431" s="241"/>
    </row>
    <row r="432" spans="1:13" s="101" customFormat="1" ht="15.75" outlineLevel="1">
      <c r="A432" s="100" t="s">
        <v>181</v>
      </c>
      <c r="B432" s="66" t="s">
        <v>352</v>
      </c>
      <c r="C432" s="28" t="s">
        <v>22</v>
      </c>
      <c r="D432" s="38">
        <v>5</v>
      </c>
      <c r="E432" s="67"/>
      <c r="F432" s="67">
        <v>9.2799999999999994</v>
      </c>
      <c r="G432" s="67"/>
      <c r="H432" s="67"/>
      <c r="I432" s="30">
        <v>46.4</v>
      </c>
      <c r="J432" s="67"/>
      <c r="M432" s="242"/>
    </row>
    <row r="433" spans="1:13" ht="15.75" customHeight="1">
      <c r="A433" s="222" t="s">
        <v>116</v>
      </c>
      <c r="B433" s="223"/>
      <c r="C433" s="223"/>
      <c r="D433" s="223"/>
      <c r="E433" s="223"/>
      <c r="F433" s="223"/>
      <c r="G433" s="224"/>
      <c r="H433" s="67">
        <v>13160.5</v>
      </c>
      <c r="I433" s="67">
        <v>35005.1944</v>
      </c>
      <c r="J433" s="67">
        <v>48165.6944</v>
      </c>
      <c r="M433" s="156"/>
    </row>
    <row r="434" spans="1:13" ht="21" customHeight="1">
      <c r="A434" s="225" t="s">
        <v>26</v>
      </c>
      <c r="B434" s="226" t="s">
        <v>31</v>
      </c>
      <c r="C434" s="226"/>
      <c r="D434" s="226"/>
      <c r="E434" s="226"/>
      <c r="F434" s="226"/>
      <c r="G434" s="226"/>
      <c r="H434" s="226"/>
      <c r="I434" s="226"/>
      <c r="J434" s="227"/>
      <c r="M434" s="156"/>
    </row>
    <row r="435" spans="1:13" ht="30">
      <c r="A435" s="162">
        <v>104</v>
      </c>
      <c r="B435" s="70" t="s">
        <v>322</v>
      </c>
      <c r="C435" s="8" t="s">
        <v>22</v>
      </c>
      <c r="D435" s="69">
        <v>1</v>
      </c>
      <c r="E435" s="32">
        <v>4200</v>
      </c>
      <c r="F435" s="33">
        <v>27284.080000000002</v>
      </c>
      <c r="G435" s="33">
        <v>31484.080000000002</v>
      </c>
      <c r="H435" s="33">
        <v>4200</v>
      </c>
      <c r="I435" s="33">
        <v>27284.080000000002</v>
      </c>
      <c r="J435" s="31">
        <v>31484.080000000002</v>
      </c>
      <c r="K435" s="235">
        <v>58088.92</v>
      </c>
      <c r="L435" s="235">
        <v>71448.92</v>
      </c>
      <c r="M435" s="240">
        <v>3</v>
      </c>
    </row>
    <row r="436" spans="1:13" s="101" customFormat="1" ht="30" customHeight="1" outlineLevel="1">
      <c r="A436" s="100" t="s">
        <v>181</v>
      </c>
      <c r="B436" s="66" t="s">
        <v>323</v>
      </c>
      <c r="C436" s="28" t="s">
        <v>22</v>
      </c>
      <c r="D436" s="38">
        <v>1</v>
      </c>
      <c r="E436" s="67"/>
      <c r="F436" s="67">
        <v>25534.080000000002</v>
      </c>
      <c r="G436" s="67"/>
      <c r="H436" s="67"/>
      <c r="I436" s="30">
        <v>25534.080000000002</v>
      </c>
      <c r="J436" s="67"/>
      <c r="K436" s="236"/>
      <c r="L436" s="236"/>
      <c r="M436" s="241"/>
    </row>
    <row r="437" spans="1:13" s="101" customFormat="1" ht="30" customHeight="1" outlineLevel="1">
      <c r="A437" s="100" t="s">
        <v>181</v>
      </c>
      <c r="B437" s="66" t="s">
        <v>490</v>
      </c>
      <c r="C437" s="28" t="s">
        <v>319</v>
      </c>
      <c r="D437" s="38">
        <v>1</v>
      </c>
      <c r="E437" s="67"/>
      <c r="F437" s="67">
        <v>1750</v>
      </c>
      <c r="G437" s="67"/>
      <c r="H437" s="67"/>
      <c r="I437" s="30">
        <v>1750</v>
      </c>
      <c r="J437" s="67"/>
      <c r="K437" s="236"/>
      <c r="L437" s="236"/>
      <c r="M437" s="241"/>
    </row>
    <row r="438" spans="1:13" ht="45">
      <c r="A438" s="162">
        <v>105</v>
      </c>
      <c r="B438" s="70" t="s">
        <v>324</v>
      </c>
      <c r="C438" s="8" t="s">
        <v>22</v>
      </c>
      <c r="D438" s="69">
        <v>1</v>
      </c>
      <c r="E438" s="32">
        <v>5960</v>
      </c>
      <c r="F438" s="33">
        <v>20347.32</v>
      </c>
      <c r="G438" s="33">
        <v>26307.32</v>
      </c>
      <c r="H438" s="33">
        <v>5960</v>
      </c>
      <c r="I438" s="33">
        <v>20347.32</v>
      </c>
      <c r="J438" s="31">
        <v>26307.32</v>
      </c>
      <c r="K438" s="236"/>
      <c r="L438" s="236"/>
      <c r="M438" s="241"/>
    </row>
    <row r="439" spans="1:13" s="101" customFormat="1" ht="15.75" customHeight="1" outlineLevel="1">
      <c r="A439" s="100" t="s">
        <v>181</v>
      </c>
      <c r="B439" s="66" t="s">
        <v>326</v>
      </c>
      <c r="C439" s="28" t="s">
        <v>22</v>
      </c>
      <c r="D439" s="38">
        <v>1</v>
      </c>
      <c r="E439" s="67"/>
      <c r="F439" s="67">
        <v>14147.320000000002</v>
      </c>
      <c r="G439" s="67"/>
      <c r="H439" s="67"/>
      <c r="I439" s="30">
        <v>14147.320000000002</v>
      </c>
      <c r="J439" s="67"/>
      <c r="K439" s="236"/>
      <c r="L439" s="236"/>
      <c r="M439" s="241"/>
    </row>
    <row r="440" spans="1:13" s="101" customFormat="1" ht="30" customHeight="1" outlineLevel="1">
      <c r="A440" s="100" t="s">
        <v>181</v>
      </c>
      <c r="B440" s="66" t="s">
        <v>318</v>
      </c>
      <c r="C440" s="28" t="s">
        <v>22</v>
      </c>
      <c r="D440" s="38">
        <v>1</v>
      </c>
      <c r="E440" s="67"/>
      <c r="F440" s="67">
        <v>5700</v>
      </c>
      <c r="G440" s="67"/>
      <c r="H440" s="67"/>
      <c r="I440" s="30">
        <v>5700</v>
      </c>
      <c r="J440" s="67"/>
      <c r="K440" s="236"/>
      <c r="L440" s="236"/>
      <c r="M440" s="241"/>
    </row>
    <row r="441" spans="1:13" s="101" customFormat="1" ht="30" customHeight="1" outlineLevel="1">
      <c r="A441" s="100" t="s">
        <v>181</v>
      </c>
      <c r="B441" s="66" t="s">
        <v>489</v>
      </c>
      <c r="C441" s="28" t="s">
        <v>319</v>
      </c>
      <c r="D441" s="38">
        <v>1</v>
      </c>
      <c r="E441" s="67"/>
      <c r="F441" s="67">
        <v>500</v>
      </c>
      <c r="G441" s="67"/>
      <c r="H441" s="67"/>
      <c r="I441" s="30">
        <v>500</v>
      </c>
      <c r="J441" s="67"/>
      <c r="K441" s="236"/>
      <c r="L441" s="236"/>
      <c r="M441" s="241"/>
    </row>
    <row r="442" spans="1:13" ht="30">
      <c r="A442" s="162">
        <v>106</v>
      </c>
      <c r="B442" s="70" t="s">
        <v>325</v>
      </c>
      <c r="C442" s="8" t="s">
        <v>22</v>
      </c>
      <c r="D442" s="69">
        <v>1</v>
      </c>
      <c r="E442" s="32">
        <v>3200</v>
      </c>
      <c r="F442" s="33">
        <v>10457.52</v>
      </c>
      <c r="G442" s="33">
        <v>13657.52</v>
      </c>
      <c r="H442" s="33">
        <v>3200</v>
      </c>
      <c r="I442" s="33">
        <v>10457.52</v>
      </c>
      <c r="J442" s="31">
        <v>13657.52</v>
      </c>
      <c r="K442" s="236"/>
      <c r="L442" s="236"/>
      <c r="M442" s="241"/>
    </row>
    <row r="443" spans="1:13" s="101" customFormat="1" ht="30" outlineLevel="1">
      <c r="A443" s="100" t="s">
        <v>181</v>
      </c>
      <c r="B443" s="66" t="s">
        <v>327</v>
      </c>
      <c r="C443" s="28" t="s">
        <v>22</v>
      </c>
      <c r="D443" s="38">
        <v>1</v>
      </c>
      <c r="E443" s="67"/>
      <c r="F443" s="67">
        <v>8957.52</v>
      </c>
      <c r="G443" s="67"/>
      <c r="H443" s="67"/>
      <c r="I443" s="30">
        <v>8957.52</v>
      </c>
      <c r="J443" s="67"/>
      <c r="M443" s="241"/>
    </row>
    <row r="444" spans="1:13" s="101" customFormat="1" ht="45" outlineLevel="1">
      <c r="A444" s="100" t="s">
        <v>181</v>
      </c>
      <c r="B444" s="66" t="s">
        <v>488</v>
      </c>
      <c r="C444" s="28" t="s">
        <v>319</v>
      </c>
      <c r="D444" s="38">
        <v>1</v>
      </c>
      <c r="E444" s="67"/>
      <c r="F444" s="67">
        <v>1500</v>
      </c>
      <c r="G444" s="67"/>
      <c r="H444" s="67"/>
      <c r="I444" s="30">
        <v>1500</v>
      </c>
      <c r="J444" s="67"/>
      <c r="M444" s="242"/>
    </row>
    <row r="445" spans="1:13">
      <c r="A445" s="162">
        <v>107</v>
      </c>
      <c r="B445" s="70" t="s">
        <v>200</v>
      </c>
      <c r="C445" s="8" t="s">
        <v>72</v>
      </c>
      <c r="D445" s="8">
        <v>25.3</v>
      </c>
      <c r="E445" s="32">
        <v>960</v>
      </c>
      <c r="F445" s="33">
        <v>0</v>
      </c>
      <c r="G445" s="33">
        <v>960</v>
      </c>
      <c r="H445" s="33">
        <v>24288</v>
      </c>
      <c r="I445" s="33">
        <v>0</v>
      </c>
      <c r="J445" s="31">
        <v>24288</v>
      </c>
      <c r="K445" s="149">
        <v>0</v>
      </c>
      <c r="L445" s="149">
        <v>24288</v>
      </c>
      <c r="M445" s="162">
        <v>1</v>
      </c>
    </row>
    <row r="446" spans="1:13">
      <c r="A446" s="162">
        <v>108</v>
      </c>
      <c r="B446" s="70" t="s">
        <v>333</v>
      </c>
      <c r="C446" s="8" t="s">
        <v>1</v>
      </c>
      <c r="D446" s="8">
        <v>9.5</v>
      </c>
      <c r="E446" s="32">
        <v>1264</v>
      </c>
      <c r="F446" s="33">
        <v>0</v>
      </c>
      <c r="G446" s="33">
        <v>1264</v>
      </c>
      <c r="H446" s="33">
        <v>12008</v>
      </c>
      <c r="I446" s="33">
        <v>0</v>
      </c>
      <c r="J446" s="31">
        <v>12008</v>
      </c>
      <c r="K446" s="149">
        <v>0</v>
      </c>
      <c r="L446" s="149">
        <v>12008</v>
      </c>
      <c r="M446" s="159">
        <v>3</v>
      </c>
    </row>
    <row r="447" spans="1:13" ht="15.75" customHeight="1">
      <c r="A447" s="222" t="s">
        <v>116</v>
      </c>
      <c r="B447" s="223"/>
      <c r="C447" s="223"/>
      <c r="D447" s="223"/>
      <c r="E447" s="223"/>
      <c r="F447" s="223"/>
      <c r="G447" s="224"/>
      <c r="H447" s="67">
        <v>49656</v>
      </c>
      <c r="I447" s="67">
        <v>58088.92</v>
      </c>
      <c r="J447" s="67">
        <v>107744.92</v>
      </c>
      <c r="M447" s="156"/>
    </row>
    <row r="448" spans="1:13" ht="15.75" customHeight="1">
      <c r="A448" s="222" t="s">
        <v>306</v>
      </c>
      <c r="B448" s="223"/>
      <c r="C448" s="223"/>
      <c r="D448" s="223"/>
      <c r="E448" s="223"/>
      <c r="F448" s="223"/>
      <c r="G448" s="224"/>
      <c r="H448" s="67"/>
      <c r="I448" s="67"/>
      <c r="J448" s="67">
        <v>189713.39897110697</v>
      </c>
      <c r="M448" s="156"/>
    </row>
    <row r="449" spans="1:13" ht="15.75" customHeight="1">
      <c r="A449" s="222" t="s">
        <v>178</v>
      </c>
      <c r="B449" s="223"/>
      <c r="C449" s="223"/>
      <c r="D449" s="223"/>
      <c r="E449" s="223"/>
      <c r="F449" s="223"/>
      <c r="G449" s="224"/>
      <c r="H449" s="67">
        <v>854667.08720800001</v>
      </c>
      <c r="I449" s="67">
        <v>1897133.9897110695</v>
      </c>
      <c r="J449" s="67">
        <v>2941514.4758901764</v>
      </c>
      <c r="M449" s="156"/>
    </row>
  </sheetData>
  <mergeCells count="115">
    <mergeCell ref="I1:J1"/>
    <mergeCell ref="I2:J2"/>
    <mergeCell ref="I3:J3"/>
    <mergeCell ref="I4:J4"/>
    <mergeCell ref="A5:I5"/>
    <mergeCell ref="A6:I6"/>
    <mergeCell ref="C17:D17"/>
    <mergeCell ref="H17:I17"/>
    <mergeCell ref="C18:D18"/>
    <mergeCell ref="H18:I18"/>
    <mergeCell ref="C19:D19"/>
    <mergeCell ref="H19:I19"/>
    <mergeCell ref="A9:I9"/>
    <mergeCell ref="C11:D11"/>
    <mergeCell ref="C12:D12"/>
    <mergeCell ref="C13:D13"/>
    <mergeCell ref="C14:D14"/>
    <mergeCell ref="C16:D16"/>
    <mergeCell ref="H16:I16"/>
    <mergeCell ref="M26:M27"/>
    <mergeCell ref="A28:J28"/>
    <mergeCell ref="K29:K41"/>
    <mergeCell ref="L29:L41"/>
    <mergeCell ref="M29:M124"/>
    <mergeCell ref="K43:K112"/>
    <mergeCell ref="L43:L112"/>
    <mergeCell ref="C20:D20"/>
    <mergeCell ref="C21:D21"/>
    <mergeCell ref="H21:I21"/>
    <mergeCell ref="A26:A27"/>
    <mergeCell ref="B26:B27"/>
    <mergeCell ref="C26:C27"/>
    <mergeCell ref="D26:D27"/>
    <mergeCell ref="E26:G26"/>
    <mergeCell ref="H26:J26"/>
    <mergeCell ref="A159:G159"/>
    <mergeCell ref="A160:J160"/>
    <mergeCell ref="K161:K162"/>
    <mergeCell ref="L161:L162"/>
    <mergeCell ref="M161:M176"/>
    <mergeCell ref="K163:K175"/>
    <mergeCell ref="L163:L175"/>
    <mergeCell ref="A125:G125"/>
    <mergeCell ref="A126:J126"/>
    <mergeCell ref="K127:K129"/>
    <mergeCell ref="L127:L129"/>
    <mergeCell ref="M127:M158"/>
    <mergeCell ref="K130:K154"/>
    <mergeCell ref="L130:L154"/>
    <mergeCell ref="K213:K220"/>
    <mergeCell ref="L213:L220"/>
    <mergeCell ref="M213:M222"/>
    <mergeCell ref="A223:G223"/>
    <mergeCell ref="A224:J224"/>
    <mergeCell ref="K225:K229"/>
    <mergeCell ref="L225:L229"/>
    <mergeCell ref="M225:M230"/>
    <mergeCell ref="K177:K191"/>
    <mergeCell ref="L177:L191"/>
    <mergeCell ref="M177:M212"/>
    <mergeCell ref="K198:K205"/>
    <mergeCell ref="L198:L205"/>
    <mergeCell ref="L210:L211"/>
    <mergeCell ref="A275:G275"/>
    <mergeCell ref="A276:J276"/>
    <mergeCell ref="K278:K311"/>
    <mergeCell ref="L278:L311"/>
    <mergeCell ref="M278:M312"/>
    <mergeCell ref="K313:K327"/>
    <mergeCell ref="L313:L327"/>
    <mergeCell ref="M313:M327"/>
    <mergeCell ref="K231:K242"/>
    <mergeCell ref="L231:L242"/>
    <mergeCell ref="M231:M274"/>
    <mergeCell ref="K248:K250"/>
    <mergeCell ref="L248:L250"/>
    <mergeCell ref="K263:K273"/>
    <mergeCell ref="L263:L273"/>
    <mergeCell ref="K358:K364"/>
    <mergeCell ref="L358:L364"/>
    <mergeCell ref="M358:M367"/>
    <mergeCell ref="M368:M375"/>
    <mergeCell ref="K377:K379"/>
    <mergeCell ref="L377:L379"/>
    <mergeCell ref="M377:M380"/>
    <mergeCell ref="A328:G328"/>
    <mergeCell ref="A329:G329"/>
    <mergeCell ref="A330:J330"/>
    <mergeCell ref="K331:K356"/>
    <mergeCell ref="L331:L356"/>
    <mergeCell ref="M331:M357"/>
    <mergeCell ref="A399:J399"/>
    <mergeCell ref="M400:M417"/>
    <mergeCell ref="A418:G418"/>
    <mergeCell ref="A419:J419"/>
    <mergeCell ref="K420:K421"/>
    <mergeCell ref="L420:L421"/>
    <mergeCell ref="M420:M421"/>
    <mergeCell ref="A381:G381"/>
    <mergeCell ref="A382:J382"/>
    <mergeCell ref="K383:K396"/>
    <mergeCell ref="L383:L396"/>
    <mergeCell ref="M383:M397"/>
    <mergeCell ref="A398:G398"/>
    <mergeCell ref="A447:G447"/>
    <mergeCell ref="A448:G448"/>
    <mergeCell ref="A449:G449"/>
    <mergeCell ref="K422:K427"/>
    <mergeCell ref="L422:L427"/>
    <mergeCell ref="M422:M432"/>
    <mergeCell ref="A433:G433"/>
    <mergeCell ref="A434:J434"/>
    <mergeCell ref="K435:K442"/>
    <mergeCell ref="L435:L442"/>
    <mergeCell ref="M435:M444"/>
  </mergeCells>
  <conditionalFormatting sqref="F1:F1048576">
    <cfRule type="cellIs" dxfId="1" priority="2" operator="greaterThan">
      <formula>0</formula>
    </cfRule>
  </conditionalFormatting>
  <conditionalFormatting sqref="B12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Дефектовка</vt:lpstr>
      <vt:lpstr>Смета</vt:lpstr>
      <vt:lpstr>Материал</vt:lpstr>
      <vt:lpstr>Материал по разделам</vt:lpstr>
      <vt:lpstr>График</vt:lpstr>
      <vt:lpstr>1 этап</vt:lpstr>
      <vt:lpstr>2 этап</vt:lpstr>
      <vt:lpstr>3 этап</vt:lpstr>
      <vt:lpstr>'2 этап'!Заголовки_для_печати</vt:lpstr>
      <vt:lpstr>'3 этап'!Заголовки_для_печати</vt:lpstr>
      <vt:lpstr>Дефектовка!Заголовки_для_печати</vt:lpstr>
      <vt:lpstr>Смета!Заголовки_для_печати</vt:lpstr>
      <vt:lpstr>'2 этап'!Область_печати</vt:lpstr>
      <vt:lpstr>'3 этап'!Область_печати</vt:lpstr>
      <vt:lpstr>График!Область_печати</vt:lpstr>
      <vt:lpstr>Смета!Область_печати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</cp:lastModifiedBy>
  <cp:lastPrinted>2012-04-25T14:22:42Z</cp:lastPrinted>
  <dcterms:created xsi:type="dcterms:W3CDTF">2012-03-01T07:48:06Z</dcterms:created>
  <dcterms:modified xsi:type="dcterms:W3CDTF">2012-06-14T16:57:35Z</dcterms:modified>
</cp:coreProperties>
</file>