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 defaultThemeVersion="124226"/>
  <bookViews>
    <workbookView xWindow="-105" yWindow="-105" windowWidth="23250" windowHeight="13170" tabRatio="911" activeTab="3"/>
  </bookViews>
  <sheets>
    <sheet name="Кадастровые работы" sheetId="9" r:id="rId1"/>
    <sheet name="Сводный расчет" sheetId="8" r:id="rId2"/>
    <sheet name="Материалы обоснования" sheetId="10" r:id="rId3"/>
    <sheet name="Кадастровые работы (2)" sheetId="11" r:id="rId4"/>
  </sheets>
  <definedNames>
    <definedName name="Print_Area" localSheetId="0">'Кадастровые работы'!$A$1:$H$120</definedName>
    <definedName name="Print_Area" localSheetId="3">'Кадастровые работы (2)'!$A$1:$H$120</definedName>
    <definedName name="Print_Area" localSheetId="1">'Сводный расчет'!$A$1:$D$9</definedName>
    <definedName name="_xlnm.Print_Area" localSheetId="0">'Кадастровые работы'!$A$1:$K$119</definedName>
    <definedName name="_xlnm.Print_Area" localSheetId="3">'Кадастровые работы (2)'!$A$1:$K$119</definedName>
    <definedName name="_xlnm.Print_Area" localSheetId="1">'Сводный расчет'!$A$1:$D$18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1"/>
  <c r="H16"/>
  <c r="D30"/>
  <c r="G30"/>
  <c r="D31"/>
  <c r="G31"/>
  <c r="G32"/>
  <c r="H29"/>
  <c r="H33"/>
  <c r="D36"/>
  <c r="G36"/>
  <c r="G37"/>
  <c r="G38"/>
  <c r="G39"/>
  <c r="D40"/>
  <c r="G40"/>
  <c r="D41"/>
  <c r="G41"/>
  <c r="G42"/>
  <c r="H35"/>
  <c r="H43"/>
  <c r="G44"/>
  <c r="D45"/>
  <c r="G45"/>
  <c r="H44"/>
  <c r="H46"/>
  <c r="D49"/>
  <c r="G49"/>
  <c r="D50"/>
  <c r="G50"/>
  <c r="H48"/>
  <c r="H51"/>
  <c r="E54"/>
  <c r="H52"/>
  <c r="H55"/>
  <c r="D58"/>
  <c r="G58"/>
  <c r="D59"/>
  <c r="G59"/>
  <c r="G60"/>
  <c r="D61"/>
  <c r="G61"/>
  <c r="G62"/>
  <c r="H57"/>
  <c r="H63"/>
  <c r="G64"/>
  <c r="D65"/>
  <c r="G65"/>
  <c r="H64"/>
  <c r="H66"/>
  <c r="D69"/>
  <c r="G69"/>
  <c r="D70"/>
  <c r="G70"/>
  <c r="G71"/>
  <c r="D72"/>
  <c r="G72"/>
  <c r="G73"/>
  <c r="H68"/>
  <c r="H74"/>
  <c r="G75"/>
  <c r="D76"/>
  <c r="G76"/>
  <c r="H75"/>
  <c r="H77"/>
  <c r="D80"/>
  <c r="G80"/>
  <c r="D81"/>
  <c r="G81"/>
  <c r="H79"/>
  <c r="H82"/>
  <c r="E85"/>
  <c r="G85"/>
  <c r="H83"/>
  <c r="H86"/>
  <c r="H87"/>
  <c r="F85"/>
  <c r="G83"/>
  <c r="D84"/>
  <c r="G84"/>
  <c r="E84"/>
  <c r="F84"/>
  <c r="F83"/>
  <c r="F82"/>
  <c r="F81"/>
  <c r="F80"/>
  <c r="F79"/>
  <c r="E76"/>
  <c r="F76"/>
  <c r="F75"/>
  <c r="F74"/>
  <c r="F73"/>
  <c r="F72"/>
  <c r="F71"/>
  <c r="E71"/>
  <c r="F70"/>
  <c r="E70"/>
  <c r="F69"/>
  <c r="F68"/>
  <c r="E65"/>
  <c r="F65"/>
  <c r="F64"/>
  <c r="F63"/>
  <c r="F62"/>
  <c r="F61"/>
  <c r="F60"/>
  <c r="E60"/>
  <c r="F59"/>
  <c r="E59"/>
  <c r="F58"/>
  <c r="F57"/>
  <c r="G54"/>
  <c r="F54"/>
  <c r="G52"/>
  <c r="D53"/>
  <c r="G53"/>
  <c r="E53"/>
  <c r="F53"/>
  <c r="F52"/>
  <c r="F51"/>
  <c r="F50"/>
  <c r="F49"/>
  <c r="F48"/>
  <c r="E45"/>
  <c r="F45"/>
  <c r="F44"/>
  <c r="F43"/>
  <c r="F42"/>
  <c r="F41"/>
  <c r="F40"/>
  <c r="E40"/>
  <c r="F39"/>
  <c r="E39"/>
  <c r="F38"/>
  <c r="E38"/>
  <c r="F37"/>
  <c r="E37"/>
  <c r="F36"/>
  <c r="F33"/>
  <c r="F32"/>
  <c r="F31"/>
  <c r="F30"/>
  <c r="F29"/>
  <c r="H11"/>
  <c r="F33" i="9"/>
  <c r="H16"/>
  <c r="D30"/>
  <c r="G30"/>
  <c r="D31"/>
  <c r="G31"/>
  <c r="G32"/>
  <c r="H29"/>
  <c r="H33"/>
  <c r="D80"/>
  <c r="G80"/>
  <c r="D81"/>
  <c r="G81"/>
  <c r="H79"/>
  <c r="H82"/>
  <c r="E85"/>
  <c r="G85"/>
  <c r="H83"/>
  <c r="H86"/>
  <c r="F82"/>
  <c r="F85"/>
  <c r="D49"/>
  <c r="G49"/>
  <c r="D50"/>
  <c r="G50"/>
  <c r="H48"/>
  <c r="H51"/>
  <c r="E54"/>
  <c r="F54"/>
  <c r="G54"/>
  <c r="H52"/>
  <c r="H55"/>
  <c r="D36"/>
  <c r="G36"/>
  <c r="D37"/>
  <c r="G37"/>
  <c r="G38"/>
  <c r="D39"/>
  <c r="F39"/>
  <c r="F38"/>
  <c r="G39"/>
  <c r="D40"/>
  <c r="G40"/>
  <c r="D41"/>
  <c r="G41"/>
  <c r="G42"/>
  <c r="H35"/>
  <c r="H43"/>
  <c r="G44"/>
  <c r="D45"/>
  <c r="G45"/>
  <c r="H44"/>
  <c r="H46"/>
  <c r="D58"/>
  <c r="G58"/>
  <c r="D59"/>
  <c r="G59"/>
  <c r="G60"/>
  <c r="D61"/>
  <c r="G61"/>
  <c r="G62"/>
  <c r="H57"/>
  <c r="H63"/>
  <c r="G64"/>
  <c r="D65"/>
  <c r="G65"/>
  <c r="H64"/>
  <c r="H66"/>
  <c r="D69"/>
  <c r="G69"/>
  <c r="D70"/>
  <c r="G70"/>
  <c r="G71"/>
  <c r="D72"/>
  <c r="G72"/>
  <c r="G73"/>
  <c r="H68"/>
  <c r="H74"/>
  <c r="G75"/>
  <c r="D76"/>
  <c r="G76"/>
  <c r="H75"/>
  <c r="H77"/>
  <c r="G83"/>
  <c r="D84"/>
  <c r="G84"/>
  <c r="H87"/>
  <c r="F63"/>
  <c r="D53"/>
  <c r="G52"/>
  <c r="G53"/>
  <c r="E53"/>
  <c r="F53"/>
  <c r="F52"/>
  <c r="E65"/>
  <c r="F65"/>
  <c r="F64"/>
  <c r="F43"/>
  <c r="E45"/>
  <c r="F45"/>
  <c r="F44"/>
  <c r="E76"/>
  <c r="F76"/>
  <c r="F75"/>
  <c r="E84"/>
  <c r="F83"/>
  <c r="F81"/>
  <c r="H11"/>
  <c r="E70"/>
  <c r="E71"/>
  <c r="F79"/>
  <c r="F80"/>
  <c r="F69"/>
  <c r="F70"/>
  <c r="F72"/>
  <c r="F37"/>
  <c r="F61"/>
  <c r="E59"/>
  <c r="F58"/>
  <c r="E40"/>
  <c r="E39"/>
  <c r="E37"/>
  <c r="F50"/>
  <c r="E60"/>
  <c r="F49"/>
  <c r="E38"/>
  <c r="F73"/>
  <c r="F84"/>
  <c r="F30"/>
  <c r="F41"/>
  <c r="F36"/>
  <c r="F29"/>
  <c r="F32"/>
  <c r="F48"/>
  <c r="F31"/>
  <c r="F71"/>
  <c r="F68"/>
  <c r="F42"/>
  <c r="F74"/>
  <c r="F62"/>
  <c r="F59"/>
  <c r="F60"/>
  <c r="F57"/>
  <c r="F40"/>
  <c r="F51"/>
  <c r="D9" i="8"/>
  <c r="D10"/>
</calcChain>
</file>

<file path=xl/sharedStrings.xml><?xml version="1.0" encoding="utf-8"?>
<sst xmlns="http://schemas.openxmlformats.org/spreadsheetml/2006/main" count="264" uniqueCount="97">
  <si>
    <t/>
  </si>
  <si>
    <t>№№ п/п</t>
  </si>
  <si>
    <t>Виды или наименовние работ, описание объема работ, указание примечаний</t>
  </si>
  <si>
    <t>Обоснование стоимости</t>
  </si>
  <si>
    <t>Объемы работ</t>
  </si>
  <si>
    <t>№№ таблиц, справочник, стоимость, коэфф.</t>
  </si>
  <si>
    <t>Расчет стоимости работ</t>
  </si>
  <si>
    <t>Сумма расчета</t>
  </si>
  <si>
    <t>Стоимость работ, руб.</t>
  </si>
  <si>
    <t>Роскомзем 1996 г., ОУ, п.7, пр.14, 14а</t>
  </si>
  <si>
    <t>2.1.</t>
  </si>
  <si>
    <t>Т.73
Роскомзем
1996г.</t>
  </si>
  <si>
    <t>"а" - объект (дел)</t>
  </si>
  <si>
    <t>3.1.</t>
  </si>
  <si>
    <r>
      <rPr>
        <b/>
        <sz val="14"/>
        <rFont val="Arial"/>
        <family val="2"/>
        <charset val="204"/>
      </rPr>
      <t>Исходные данные:</t>
    </r>
  </si>
  <si>
    <t>Количество землепользований (землевладений), на землях которых производится отвод</t>
  </si>
  <si>
    <t>Итого</t>
  </si>
  <si>
    <r>
      <rPr>
        <b/>
        <sz val="10"/>
        <rFont val="Arial"/>
        <family val="2"/>
        <charset val="204"/>
      </rPr>
      <t>Организация-исполнитель:</t>
    </r>
  </si>
  <si>
    <r>
      <rPr>
        <b/>
        <sz val="10"/>
        <rFont val="Arial"/>
        <family val="2"/>
        <charset val="204"/>
      </rPr>
      <t>Организация-заказчик:</t>
    </r>
  </si>
  <si>
    <r>
      <rPr>
        <b/>
        <sz val="10"/>
        <rFont val="Arial"/>
        <family val="2"/>
        <charset val="204"/>
      </rPr>
      <t>Наименование работ:</t>
    </r>
  </si>
  <si>
    <t>При расчёте использованы:</t>
  </si>
  <si>
    <t>- СПРАВОЧНИК БАЗОВЫХ ЦЕН  НА ИНЖЕНЕРНЫЕ ИЗЫСКАНИЯ ДЛЯ СТРОИТЕЛЬСТВА ИНЖЕНЕРНО-ГЕОДЕЗИЧЕСКИЕ ИЗЫСКАНИЯ. УТВЕРЖДЕН И ВВЕДЕН В ДЕЙСТВИЕ с 01 января 2004 г. постановлением Госстроя России от 23.12.2003 г. № 213.</t>
  </si>
  <si>
    <t xml:space="preserve">- СБОРНИК ЦЕН И ОБЩЕСТВЕННО НЕОБХОДИМЫХ ЗАТРАТ ТРУДА (ОНЗТ) НА ИЗГОТОВЛЕНИЕ ПРОЕКТНОЙ И ИЗЫСКАТЕЛЬСКОЙ ПРОДУКЦИИ ЗЕМЛЕУСТРОЙСТВА, ЗЕМЕЛЬНОГО КАДАСТРА И МОНИТОРИНГА ЗЕМЕЛЬ, РОСКОМЗЕМ 1996
</t>
  </si>
  <si>
    <t>Т.77
Роскомзем
1996г.</t>
  </si>
  <si>
    <t>примечание 5 (количество субъектов правообладателей земель)</t>
  </si>
  <si>
    <t>примечание 6 (объект пересекает границы более чем 1-го земельного участка)</t>
  </si>
  <si>
    <t>примечание 8 (согласование материалов землеустроительного дела более чем с одним учреждением (инстанцией))</t>
  </si>
  <si>
    <t>примечание 2 (площадь отвода менее 1000 га)</t>
  </si>
  <si>
    <t>примечание 10 (отвод земель под строительство линейных сооружений применяется повышающий коэффициент)</t>
  </si>
  <si>
    <t>Сводная таблица стоимости/сводный сметный расчет</t>
  </si>
  <si>
    <r>
      <rPr>
        <b/>
        <sz val="14"/>
        <rFont val="Arial"/>
        <family val="2"/>
        <charset val="204"/>
      </rPr>
      <t>Организация-исполнитель:</t>
    </r>
  </si>
  <si>
    <r>
      <rPr>
        <b/>
        <sz val="14"/>
        <rFont val="Arial"/>
        <family val="2"/>
        <charset val="204"/>
      </rPr>
      <t>Организация-заказчик:</t>
    </r>
  </si>
  <si>
    <t>Итого с учетом снижения, руб. НДС не облагается</t>
  </si>
  <si>
    <t>3.2.</t>
  </si>
  <si>
    <t>Количество инстанций по согласованию и утверждению межевых планов</t>
  </si>
  <si>
    <t>СМЕТНЫЙ РАСЧЁТ №1</t>
  </si>
  <si>
    <t>ИТОГО с учетом стоимости работ всех этапов:</t>
  </si>
  <si>
    <t>5.1.</t>
  </si>
  <si>
    <t>5.2.</t>
  </si>
  <si>
    <t>Кадастровые работы (включая услуги по оформлению прав Застройщика на земельные участки)</t>
  </si>
  <si>
    <t>«n» - количество отдельных объектов*</t>
  </si>
  <si>
    <t>Протяженность непосредственно самого объекта, м**</t>
  </si>
  <si>
    <t>1.1.</t>
  </si>
  <si>
    <t>Сбор изучение и систематизация  геодезических, картографических и других описаний и  материалов на объект работ
- Подготовка программы (предписания) выполнения работ в соответствии с тематикой работ
- Установление смежных землепользователей
- Сбор материалов из ЕГРН</t>
  </si>
  <si>
    <t>Т.74
Роскомзем
1996г.</t>
  </si>
  <si>
    <t>"в" - 100  км.трассы (прим.10)*3,5</t>
  </si>
  <si>
    <t xml:space="preserve">п.10 прим. Таб.73 </t>
  </si>
  <si>
    <t>- Подготовка межевых планов земельных участков
- Техническое сопровождение постановки на государственный кадастровый учет</t>
  </si>
  <si>
    <t>примечание 2 (протяженность отвода менее 100 км)</t>
  </si>
  <si>
    <t>"в" - 1/100 км</t>
  </si>
  <si>
    <t>примечание 10 (отвод земель  линейных сооружений применяется повышающий коэффициент)</t>
  </si>
  <si>
    <t>2.2.</t>
  </si>
  <si>
    <t>1.Подготовительные работы</t>
  </si>
  <si>
    <t>Количество переустраиваемых объектов (пересечений):</t>
  </si>
  <si>
    <t>Итого с учетом К=20,294</t>
  </si>
  <si>
    <t>Согласование границ земельных участков со смежными землепользователями</t>
  </si>
  <si>
    <t>АО "Ямалтрансстрой"</t>
  </si>
  <si>
    <t>АО "РЖД"</t>
  </si>
  <si>
    <t>Количество исходных земельных/лесных участков (количество дел), из них:</t>
  </si>
  <si>
    <t>- лесные участки</t>
  </si>
  <si>
    <t>- земельные участки (для целей образование частей земельных участков)</t>
  </si>
  <si>
    <t>Количество землепользователей, в отношении которых требуется установить их контактные данные:</t>
  </si>
  <si>
    <t>2. Подготовка межевых планов для целей внесения изменений в ЕГРН в отношении лесных участков</t>
  </si>
  <si>
    <t>- площадь лесных участков (га)</t>
  </si>
  <si>
    <t>3.  -  Согласование границ земельных участков со смежными землепользователями</t>
  </si>
  <si>
    <t>Для целей настоящего расчета применен расчет для объектов Крайнего Севера</t>
  </si>
  <si>
    <t xml:space="preserve">Генеральный директор </t>
  </si>
  <si>
    <t>** - указанная протяженность соответствует протяженности длины трассы полосы отвода объекта, включая примыкания и переустраиваемые участки автомобильных дорог</t>
  </si>
  <si>
    <t>* - для целей настоящего расчета принято, что расчет осуществлен для целей строиельства одного единого объекта;</t>
  </si>
  <si>
    <t>N (общая площадь оформляемых участков), га</t>
  </si>
  <si>
    <t>- примерная площадь частей участков (га)</t>
  </si>
  <si>
    <t>Выполнение работ по: внесению изменений в сведения ЕГРН для целей оформления прав на земельные/лесные участки</t>
  </si>
  <si>
    <r>
      <t xml:space="preserve">4. Подготовка межевых планов на части </t>
    </r>
    <r>
      <rPr>
        <b/>
        <u/>
        <sz val="11"/>
        <color theme="1"/>
        <rFont val="Arial"/>
        <family val="2"/>
        <charset val="204"/>
      </rPr>
      <t>земельных участков</t>
    </r>
  </si>
  <si>
    <t>- земельные участки (для целей образование путем раздела с сохранением исходных в измененных границах, уточнение сведений ЕГРН о границах участков)</t>
  </si>
  <si>
    <t>4.1.</t>
  </si>
  <si>
    <t>4.2.</t>
  </si>
  <si>
    <t>- примерная площадь участков, образуемых путем раздела, сведения о которых уточняются в ЕГРН (га)</t>
  </si>
  <si>
    <t>6.1.</t>
  </si>
  <si>
    <t>6.2.</t>
  </si>
  <si>
    <t>Формирование пакета документов и подача заявлений на образование земельных участков, частей участков, уточнение свдеений ЕГРН о границах участков;
Сопровождение процедуры внесения в Единый государственный реестр недвижимости соответствующих сведений.</t>
  </si>
  <si>
    <r>
      <t>Ц</t>
    </r>
    <r>
      <rPr>
        <vertAlign val="subscript"/>
        <sz val="12"/>
        <color theme="1"/>
        <rFont val="Arial"/>
        <family val="2"/>
        <charset val="204"/>
      </rPr>
      <t>1</t>
    </r>
    <r>
      <rPr>
        <sz val="12"/>
        <color theme="1"/>
        <rFont val="Arial"/>
        <family val="2"/>
        <charset val="204"/>
      </rPr>
      <t xml:space="preserve"> - стоимость билетов по маршруту Мурманск-Мурмаши по 106 маршруту автобусов составляет 260 рублей;</t>
    </r>
  </si>
  <si>
    <t>Транспортные расходы*</t>
  </si>
  <si>
    <t>n  - нормативное количество переездов на объект и обратно в соответствии с приложением 14а составляет 4,</t>
  </si>
  <si>
    <r>
      <t>* в качестве обоснования используется приложение 14: С = 1,05 · Ц</t>
    </r>
    <r>
      <rPr>
        <vertAlign val="subscript"/>
        <sz val="12"/>
        <color theme="1"/>
        <rFont val="Arial"/>
        <family val="2"/>
        <charset val="204"/>
      </rPr>
      <t>1</t>
    </r>
    <r>
      <rPr>
        <sz val="12"/>
        <color theme="1"/>
        <rFont val="Arial"/>
        <family val="2"/>
        <charset val="204"/>
      </rPr>
      <t> · n + Ц</t>
    </r>
    <r>
      <rPr>
        <vertAlign val="subscript"/>
        <sz val="12"/>
        <color theme="1"/>
        <rFont val="Arial"/>
        <family val="2"/>
        <charset val="204"/>
      </rPr>
      <t>2</t>
    </r>
    <r>
      <rPr>
        <sz val="12"/>
        <color theme="1"/>
        <rFont val="Arial"/>
        <family val="2"/>
        <charset val="204"/>
      </rPr>
      <t> · n(0,2 + в) · к,</t>
    </r>
  </si>
  <si>
    <t>к - коэффициент к ценам с учетом природно-экономических условий (пункт 50 приложения 1 - Мурманская область - 1,8)</t>
  </si>
  <si>
    <t xml:space="preserve"> количество объектов</t>
  </si>
  <si>
    <t>в - время в пути в транспорте составляет 55 минут, т.е. 0,916 часа, в пересчете на дни 0,076</t>
  </si>
  <si>
    <t>Всего по этапу 6 с учетом транспортных расходов:</t>
  </si>
  <si>
    <t>6. Формирование пакета документов и подача заявлений в Росреестр, для целей государственного кадастрового учета.</t>
  </si>
  <si>
    <t>Подготовка межевых планов для целей внесения изменений в ЕГРН в отношении лесных участков</t>
  </si>
  <si>
    <t>Всего по этапу 5 с учетом транспортных расходов:</t>
  </si>
  <si>
    <r>
      <t>Ц</t>
    </r>
    <r>
      <rPr>
        <vertAlign val="subscript"/>
        <sz val="12"/>
        <color theme="1"/>
        <rFont val="Arial"/>
        <family val="2"/>
        <charset val="204"/>
      </rPr>
      <t xml:space="preserve">2 </t>
    </r>
    <r>
      <rPr>
        <sz val="12"/>
        <color theme="1"/>
        <rFont val="Arial"/>
        <family val="2"/>
        <charset val="204"/>
      </rPr>
      <t>- в неденоминированных рублях составляет 130 тыс. рублей согласно приложению 14, с учетом коэффициента дефлятора (20,294) 2637,7 р.</t>
    </r>
  </si>
  <si>
    <t>5. Подготовка межевых планов на земельные участки (для целей образования путем раздела с сохранением исходных в измененных границах, уточнение сведений ЕГРН о границах участков)</t>
  </si>
  <si>
    <t>Примечание 7 ОУ</t>
  </si>
  <si>
    <t>Всего по этапу 4 с учетом транспортных расходов:</t>
  </si>
  <si>
    <t>Всего по этапу 3 с учетом транспортных расходов:</t>
  </si>
  <si>
    <t>Всего по этапу 2 с учетом транспортных расходов: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</si>
</sst>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#,##0.00\ &quot;₽&quot;"/>
    <numFmt numFmtId="165" formatCode="_-* #,##0&quot;р.&quot;_-;\-* #,##0&quot;р.&quot;_-;_-* &quot;-&quot;&quot;р.&quot;_-;_-@_-"/>
    <numFmt numFmtId="166" formatCode="_-* #,##0.00_р_._-;\-* #,##0.00_р_._-;_-* &quot;-&quot;??_р_._-;_-@_-"/>
    <numFmt numFmtId="167" formatCode="0.0"/>
    <numFmt numFmtId="168" formatCode="0.0000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sz val="10"/>
      <name val="Helv"/>
    </font>
    <font>
      <sz val="12"/>
      <name val="Arial Cyr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Helv"/>
      <charset val="204"/>
    </font>
    <font>
      <sz val="8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6"/>
      <name val="Arial Narrow"/>
      <family val="2"/>
    </font>
    <font>
      <u/>
      <sz val="10"/>
      <color theme="10"/>
      <name val="Arial Cyr"/>
      <charset val="204"/>
    </font>
    <font>
      <sz val="12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Arial"/>
      <family val="2"/>
      <charset val="204"/>
    </font>
    <font>
      <vertAlign val="subscript"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n">
        <color auto="1"/>
      </bottom>
      <diagonal/>
    </border>
    <border>
      <left/>
      <right/>
      <top style="medium">
        <color rgb="FFFFFFFF"/>
      </top>
      <bottom style="thin">
        <color auto="1"/>
      </bottom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6"/>
    <xf numFmtId="0" fontId="13" fillId="4" borderId="6" applyNumberFormat="0" applyBorder="0" applyAlignment="0" applyProtection="0"/>
    <xf numFmtId="0" fontId="13" fillId="5" borderId="6" applyNumberFormat="0" applyBorder="0" applyAlignment="0" applyProtection="0"/>
    <xf numFmtId="0" fontId="13" fillId="6" borderId="6" applyNumberFormat="0" applyBorder="0" applyAlignment="0" applyProtection="0"/>
    <xf numFmtId="0" fontId="13" fillId="7" borderId="6" applyNumberFormat="0" applyBorder="0" applyAlignment="0" applyProtection="0"/>
    <xf numFmtId="0" fontId="13" fillId="8" borderId="6" applyNumberFormat="0" applyBorder="0" applyAlignment="0" applyProtection="0"/>
    <xf numFmtId="0" fontId="13" fillId="9" borderId="6" applyNumberFormat="0" applyBorder="0" applyAlignment="0" applyProtection="0"/>
    <xf numFmtId="0" fontId="13" fillId="10" borderId="6" applyNumberFormat="0" applyBorder="0" applyAlignment="0" applyProtection="0"/>
    <xf numFmtId="0" fontId="13" fillId="11" borderId="6" applyNumberFormat="0" applyBorder="0" applyAlignment="0" applyProtection="0"/>
    <xf numFmtId="0" fontId="13" fillId="12" borderId="6" applyNumberFormat="0" applyBorder="0" applyAlignment="0" applyProtection="0"/>
    <xf numFmtId="0" fontId="13" fillId="7" borderId="6" applyNumberFormat="0" applyBorder="0" applyAlignment="0" applyProtection="0"/>
    <xf numFmtId="0" fontId="13" fillId="10" borderId="6" applyNumberFormat="0" applyBorder="0" applyAlignment="0" applyProtection="0"/>
    <xf numFmtId="0" fontId="13" fillId="13" borderId="6" applyNumberFormat="0" applyBorder="0" applyAlignment="0" applyProtection="0"/>
    <xf numFmtId="0" fontId="25" fillId="14" borderId="6" applyNumberFormat="0" applyBorder="0" applyAlignment="0" applyProtection="0"/>
    <xf numFmtId="0" fontId="25" fillId="11" borderId="6" applyNumberFormat="0" applyBorder="0" applyAlignment="0" applyProtection="0"/>
    <xf numFmtId="0" fontId="25" fillId="12" borderId="6" applyNumberFormat="0" applyBorder="0" applyAlignment="0" applyProtection="0"/>
    <xf numFmtId="0" fontId="25" fillId="15" borderId="6" applyNumberFormat="0" applyBorder="0" applyAlignment="0" applyProtection="0"/>
    <xf numFmtId="0" fontId="25" fillId="16" borderId="6" applyNumberFormat="0" applyBorder="0" applyAlignment="0" applyProtection="0"/>
    <xf numFmtId="0" fontId="25" fillId="17" borderId="6" applyNumberFormat="0" applyBorder="0" applyAlignment="0" applyProtection="0"/>
    <xf numFmtId="0" fontId="25" fillId="18" borderId="6" applyNumberFormat="0" applyBorder="0" applyAlignment="0" applyProtection="0"/>
    <xf numFmtId="0" fontId="25" fillId="19" borderId="6" applyNumberFormat="0" applyBorder="0" applyAlignment="0" applyProtection="0"/>
    <xf numFmtId="0" fontId="25" fillId="20" borderId="6" applyNumberFormat="0" applyBorder="0" applyAlignment="0" applyProtection="0"/>
    <xf numFmtId="0" fontId="25" fillId="15" borderId="6" applyNumberFormat="0" applyBorder="0" applyAlignment="0" applyProtection="0"/>
    <xf numFmtId="0" fontId="25" fillId="16" borderId="6" applyNumberFormat="0" applyBorder="0" applyAlignment="0" applyProtection="0"/>
    <xf numFmtId="0" fontId="25" fillId="21" borderId="6" applyNumberFormat="0" applyBorder="0" applyAlignment="0" applyProtection="0"/>
    <xf numFmtId="0" fontId="35" fillId="5" borderId="6" applyNumberFormat="0" applyBorder="0" applyAlignment="0" applyProtection="0"/>
    <xf numFmtId="0" fontId="28" fillId="22" borderId="9" applyNumberFormat="0" applyAlignment="0" applyProtection="0"/>
    <xf numFmtId="0" fontId="32" fillId="23" borderId="10" applyNumberFormat="0" applyAlignment="0" applyProtection="0"/>
    <xf numFmtId="0" fontId="36" fillId="0" borderId="6" applyNumberFormat="0" applyFill="0" applyBorder="0" applyAlignment="0" applyProtection="0"/>
    <xf numFmtId="0" fontId="38" fillId="6" borderId="6" applyNumberFormat="0" applyBorder="0" applyAlignment="0" applyProtection="0"/>
    <xf numFmtId="0" fontId="39" fillId="0" borderId="6" applyNumberFormat="0" applyFill="0" applyBorder="0" applyAlignment="0" applyProtection="0">
      <alignment horizontal="left" vertical="top"/>
    </xf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6" applyNumberFormat="0" applyFill="0" applyBorder="0" applyAlignment="0" applyProtection="0"/>
    <xf numFmtId="0" fontId="26" fillId="9" borderId="9" applyNumberFormat="0" applyAlignment="0" applyProtection="0"/>
    <xf numFmtId="0" fontId="37" fillId="0" borderId="13" applyNumberFormat="0" applyFill="0" applyAlignment="0" applyProtection="0"/>
    <xf numFmtId="0" fontId="34" fillId="24" borderId="6" applyNumberFormat="0" applyBorder="0" applyAlignment="0" applyProtection="0"/>
    <xf numFmtId="0" fontId="11" fillId="0" borderId="6" applyProtection="0">
      <alignment vertical="top" wrapText="1"/>
      <protection locked="0"/>
    </xf>
    <xf numFmtId="0" fontId="13" fillId="25" borderId="14" applyNumberFormat="0" applyFont="0" applyAlignment="0" applyProtection="0"/>
    <xf numFmtId="0" fontId="27" fillId="22" borderId="15" applyNumberFormat="0" applyAlignment="0" applyProtection="0"/>
    <xf numFmtId="0" fontId="24" fillId="26" borderId="6">
      <alignment horizontal="right" vertical="center"/>
    </xf>
    <xf numFmtId="0" fontId="33" fillId="0" borderId="6" applyNumberFormat="0" applyFill="0" applyBorder="0" applyAlignment="0" applyProtection="0"/>
    <xf numFmtId="0" fontId="31" fillId="0" borderId="16" applyNumberFormat="0" applyFill="0" applyAlignment="0" applyProtection="0"/>
    <xf numFmtId="0" fontId="14" fillId="0" borderId="6" applyNumberFormat="0" applyFill="0" applyBorder="0" applyAlignment="0" applyProtection="0"/>
    <xf numFmtId="0" fontId="21" fillId="0" borderId="17">
      <alignment horizontal="center"/>
    </xf>
    <xf numFmtId="0" fontId="16" fillId="0" borderId="6">
      <alignment vertical="top"/>
    </xf>
    <xf numFmtId="0" fontId="21" fillId="0" borderId="17">
      <alignment horizontal="center"/>
    </xf>
    <xf numFmtId="0" fontId="21" fillId="0" borderId="6">
      <alignment vertical="top"/>
    </xf>
    <xf numFmtId="0" fontId="40" fillId="0" borderId="6" applyNumberFormat="0" applyFill="0" applyBorder="0" applyAlignment="0" applyProtection="0">
      <alignment vertical="top"/>
      <protection locked="0"/>
    </xf>
    <xf numFmtId="165" fontId="13" fillId="0" borderId="6" applyFont="0" applyFill="0" applyBorder="0" applyAlignment="0" applyProtection="0"/>
    <xf numFmtId="0" fontId="21" fillId="0" borderId="6">
      <alignment horizontal="right" vertical="top" wrapText="1"/>
    </xf>
    <xf numFmtId="0" fontId="21" fillId="0" borderId="6"/>
    <xf numFmtId="0" fontId="16" fillId="0" borderId="6"/>
    <xf numFmtId="0" fontId="16" fillId="0" borderId="6"/>
    <xf numFmtId="0" fontId="21" fillId="0" borderId="6"/>
    <xf numFmtId="0" fontId="16" fillId="0" borderId="6"/>
    <xf numFmtId="0" fontId="16" fillId="0" borderId="6"/>
    <xf numFmtId="0" fontId="21" fillId="0" borderId="17">
      <alignment horizontal="center" wrapText="1"/>
    </xf>
    <xf numFmtId="0" fontId="16" fillId="0" borderId="6">
      <alignment vertical="top"/>
    </xf>
    <xf numFmtId="0" fontId="16" fillId="0" borderId="6"/>
    <xf numFmtId="0" fontId="16" fillId="0" borderId="6"/>
    <xf numFmtId="0" fontId="22" fillId="0" borderId="6"/>
    <xf numFmtId="0" fontId="16" fillId="0" borderId="6"/>
    <xf numFmtId="0" fontId="1" fillId="0" borderId="6"/>
    <xf numFmtId="0" fontId="16" fillId="0" borderId="6"/>
    <xf numFmtId="0" fontId="1" fillId="0" borderId="6"/>
    <xf numFmtId="0" fontId="1" fillId="0" borderId="6"/>
    <xf numFmtId="0" fontId="1" fillId="0" borderId="6"/>
    <xf numFmtId="0" fontId="4" fillId="0" borderId="6"/>
    <xf numFmtId="0" fontId="12" fillId="0" borderId="6"/>
    <xf numFmtId="0" fontId="16" fillId="0" borderId="6"/>
    <xf numFmtId="0" fontId="15" fillId="0" borderId="6"/>
    <xf numFmtId="0" fontId="18" fillId="0" borderId="6"/>
    <xf numFmtId="0" fontId="17" fillId="0" borderId="6"/>
    <xf numFmtId="0" fontId="13" fillId="0" borderId="6"/>
    <xf numFmtId="0" fontId="22" fillId="0" borderId="6"/>
    <xf numFmtId="0" fontId="17" fillId="0" borderId="6"/>
    <xf numFmtId="0" fontId="20" fillId="0" borderId="6"/>
    <xf numFmtId="0" fontId="17" fillId="0" borderId="6"/>
    <xf numFmtId="0" fontId="21" fillId="0" borderId="6"/>
    <xf numFmtId="0" fontId="21" fillId="0" borderId="17">
      <alignment horizontal="center" wrapText="1"/>
    </xf>
    <xf numFmtId="9" fontId="16" fillId="0" borderId="6" applyFont="0" applyFill="0" applyBorder="0" applyAlignment="0" applyProtection="0"/>
    <xf numFmtId="9" fontId="13" fillId="0" borderId="6" applyFont="0" applyFill="0" applyBorder="0" applyAlignment="0" applyProtection="0"/>
    <xf numFmtId="9" fontId="17" fillId="0" borderId="6" applyFill="0" applyBorder="0" applyAlignment="0" applyProtection="0"/>
    <xf numFmtId="0" fontId="21" fillId="0" borderId="17">
      <alignment horizontal="center"/>
    </xf>
    <xf numFmtId="0" fontId="21" fillId="0" borderId="17">
      <alignment horizontal="center" wrapText="1"/>
    </xf>
    <xf numFmtId="0" fontId="16" fillId="0" borderId="6"/>
    <xf numFmtId="0" fontId="19" fillId="0" borderId="6"/>
    <xf numFmtId="0" fontId="23" fillId="0" borderId="6"/>
    <xf numFmtId="0" fontId="21" fillId="0" borderId="6">
      <alignment horizontal="center"/>
    </xf>
    <xf numFmtId="166" fontId="16" fillId="0" borderId="6" applyFont="0" applyFill="0" applyBorder="0" applyAlignment="0" applyProtection="0"/>
    <xf numFmtId="166" fontId="12" fillId="0" borderId="6" applyFont="0" applyFill="0" applyBorder="0" applyAlignment="0" applyProtection="0"/>
    <xf numFmtId="166" fontId="16" fillId="0" borderId="6" applyFont="0" applyFill="0" applyBorder="0" applyAlignment="0" applyProtection="0"/>
    <xf numFmtId="0" fontId="21" fillId="0" borderId="6">
      <alignment horizontal="left" vertical="top"/>
    </xf>
    <xf numFmtId="0" fontId="21" fillId="0" borderId="6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291">
    <xf numFmtId="0" fontId="0" fillId="2" borderId="0" xfId="0" applyFont="1" applyFill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0" fillId="2" borderId="0" xfId="0" applyFont="1" applyFill="1" applyAlignment="1">
      <alignment wrapText="1"/>
    </xf>
    <xf numFmtId="0" fontId="0" fillId="2" borderId="6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45" fillId="3" borderId="26" xfId="0" applyFont="1" applyFill="1" applyBorder="1" applyAlignment="1">
      <alignment horizontal="center" vertical="center" wrapText="1"/>
    </xf>
    <xf numFmtId="0" fontId="45" fillId="3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vertical="center" wrapText="1"/>
    </xf>
    <xf numFmtId="4" fontId="44" fillId="2" borderId="28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4" fontId="2" fillId="2" borderId="28" xfId="0" applyNumberFormat="1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wrapText="1"/>
    </xf>
    <xf numFmtId="0" fontId="47" fillId="3" borderId="1" xfId="0" applyFont="1" applyFill="1" applyBorder="1" applyAlignment="1">
      <alignment horizontal="center" vertical="center" wrapText="1"/>
    </xf>
    <xf numFmtId="0" fontId="47" fillId="3" borderId="31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center" wrapText="1"/>
    </xf>
    <xf numFmtId="0" fontId="47" fillId="2" borderId="0" xfId="0" applyFont="1" applyFill="1" applyAlignment="1">
      <alignment horizontal="center" wrapText="1"/>
    </xf>
    <xf numFmtId="0" fontId="54" fillId="0" borderId="31" xfId="0" applyFont="1" applyFill="1" applyBorder="1" applyAlignment="1">
      <alignment wrapText="1"/>
    </xf>
    <xf numFmtId="0" fontId="52" fillId="0" borderId="31" xfId="0" applyFont="1" applyFill="1" applyBorder="1" applyAlignment="1">
      <alignment horizontal="center" vertical="center" wrapText="1"/>
    </xf>
    <xf numFmtId="0" fontId="52" fillId="0" borderId="31" xfId="0" quotePrefix="1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center" vertical="center" wrapText="1"/>
    </xf>
    <xf numFmtId="0" fontId="54" fillId="0" borderId="31" xfId="0" quotePrefix="1" applyFont="1" applyFill="1" applyBorder="1" applyAlignment="1">
      <alignment horizontal="center" vertical="center" wrapText="1"/>
    </xf>
    <xf numFmtId="0" fontId="52" fillId="0" borderId="31" xfId="0" applyFont="1" applyFill="1" applyBorder="1" applyAlignment="1">
      <alignment horizontal="center" vertical="center" wrapText="1"/>
    </xf>
    <xf numFmtId="0" fontId="47" fillId="3" borderId="32" xfId="0" applyFont="1" applyFill="1" applyBorder="1" applyAlignment="1">
      <alignment horizontal="center" vertical="center" wrapText="1"/>
    </xf>
    <xf numFmtId="0" fontId="51" fillId="2" borderId="0" xfId="0" applyFont="1" applyFill="1" applyAlignment="1">
      <alignment horizontal="center" wrapText="1"/>
    </xf>
    <xf numFmtId="0" fontId="47" fillId="3" borderId="36" xfId="0" applyFont="1" applyFill="1" applyBorder="1" applyAlignment="1">
      <alignment horizontal="center" vertical="center" wrapText="1"/>
    </xf>
    <xf numFmtId="0" fontId="59" fillId="0" borderId="40" xfId="0" applyFont="1" applyBorder="1" applyAlignment="1">
      <alignment horizontal="center" vertical="center" wrapText="1"/>
    </xf>
    <xf numFmtId="0" fontId="60" fillId="0" borderId="40" xfId="0" applyFont="1" applyBorder="1" applyAlignment="1">
      <alignment horizontal="center" vertical="center" wrapText="1"/>
    </xf>
    <xf numFmtId="0" fontId="59" fillId="0" borderId="38" xfId="0" applyFont="1" applyBorder="1" applyAlignment="1">
      <alignment horizontal="right" vertical="center" wrapText="1"/>
    </xf>
    <xf numFmtId="0" fontId="59" fillId="0" borderId="36" xfId="0" applyFont="1" applyBorder="1" applyAlignment="1">
      <alignment horizontal="center" vertical="center" wrapText="1"/>
    </xf>
    <xf numFmtId="0" fontId="59" fillId="0" borderId="36" xfId="0" quotePrefix="1" applyFont="1" applyBorder="1" applyAlignment="1">
      <alignment horizontal="center" vertical="center" wrapText="1"/>
    </xf>
    <xf numFmtId="0" fontId="59" fillId="0" borderId="33" xfId="0" applyFont="1" applyBorder="1" applyAlignment="1">
      <alignment horizontal="right" vertical="center" wrapText="1"/>
    </xf>
    <xf numFmtId="0" fontId="0" fillId="27" borderId="44" xfId="0" quotePrefix="1" applyFill="1" applyBorder="1" applyAlignment="1">
      <alignment horizontal="center" vertical="center" wrapText="1"/>
    </xf>
    <xf numFmtId="0" fontId="51" fillId="0" borderId="45" xfId="0" applyFont="1" applyFill="1" applyBorder="1" applyAlignment="1">
      <alignment horizontal="center" vertical="center" wrapText="1"/>
    </xf>
    <xf numFmtId="0" fontId="47" fillId="0" borderId="45" xfId="0" quotePrefix="1" applyFont="1" applyFill="1" applyBorder="1" applyAlignment="1">
      <alignment horizontal="center" vertical="center" wrapText="1"/>
    </xf>
    <xf numFmtId="0" fontId="52" fillId="0" borderId="40" xfId="0" quotePrefix="1" applyFont="1" applyFill="1" applyBorder="1" applyAlignment="1">
      <alignment horizontal="center" vertical="center" wrapText="1"/>
    </xf>
    <xf numFmtId="168" fontId="54" fillId="0" borderId="31" xfId="132" applyNumberFormat="1" applyFont="1" applyFill="1" applyBorder="1" applyAlignment="1">
      <alignment horizontal="center" vertical="center" wrapText="1"/>
    </xf>
    <xf numFmtId="168" fontId="54" fillId="0" borderId="31" xfId="0" applyNumberFormat="1" applyFont="1" applyFill="1" applyBorder="1" applyAlignment="1">
      <alignment horizontal="center" vertical="center" wrapText="1"/>
    </xf>
    <xf numFmtId="168" fontId="47" fillId="2" borderId="0" xfId="0" applyNumberFormat="1" applyFont="1" applyFill="1" applyAlignment="1">
      <alignment wrapText="1"/>
    </xf>
    <xf numFmtId="0" fontId="59" fillId="0" borderId="45" xfId="0" applyFont="1" applyBorder="1" applyAlignment="1">
      <alignment horizontal="center" vertical="center" wrapText="1"/>
    </xf>
    <xf numFmtId="0" fontId="59" fillId="0" borderId="45" xfId="0" quotePrefix="1" applyFont="1" applyBorder="1" applyAlignment="1">
      <alignment horizontal="center" vertical="center" wrapText="1"/>
    </xf>
    <xf numFmtId="0" fontId="59" fillId="0" borderId="49" xfId="0" applyFont="1" applyBorder="1" applyAlignment="1">
      <alignment horizontal="right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40" xfId="0" quotePrefix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1" fontId="0" fillId="0" borderId="40" xfId="0" applyNumberFormat="1" applyBorder="1" applyAlignment="1">
      <alignment horizontal="center" vertical="center" wrapText="1"/>
    </xf>
    <xf numFmtId="2" fontId="0" fillId="0" borderId="52" xfId="0" applyNumberFormat="1" applyBorder="1" applyAlignment="1">
      <alignment horizontal="right" vertical="center" wrapText="1"/>
    </xf>
    <xf numFmtId="2" fontId="2" fillId="0" borderId="46" xfId="0" applyNumberFormat="1" applyFont="1" applyBorder="1" applyAlignment="1">
      <alignment horizontal="center" vertical="center" wrapText="1"/>
    </xf>
    <xf numFmtId="2" fontId="0" fillId="0" borderId="54" xfId="0" applyNumberFormat="1" applyBorder="1" applyAlignment="1">
      <alignment wrapText="1"/>
    </xf>
    <xf numFmtId="0" fontId="59" fillId="0" borderId="46" xfId="0" quotePrefix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2" fillId="0" borderId="3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4" fillId="0" borderId="45" xfId="0" applyFont="1" applyFill="1" applyBorder="1" applyAlignment="1">
      <alignment wrapText="1"/>
    </xf>
    <xf numFmtId="0" fontId="54" fillId="0" borderId="45" xfId="0" applyFont="1" applyFill="1" applyBorder="1" applyAlignment="1">
      <alignment horizontal="center" vertical="center" wrapText="1"/>
    </xf>
    <xf numFmtId="0" fontId="54" fillId="0" borderId="45" xfId="0" quotePrefix="1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wrapText="1"/>
    </xf>
    <xf numFmtId="0" fontId="51" fillId="0" borderId="57" xfId="0" applyFont="1" applyFill="1" applyBorder="1" applyAlignment="1">
      <alignment horizontal="center" vertical="center" wrapText="1"/>
    </xf>
    <xf numFmtId="0" fontId="54" fillId="0" borderId="33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horizontal="center" vertical="center" wrapText="1"/>
    </xf>
    <xf numFmtId="0" fontId="52" fillId="0" borderId="49" xfId="0" applyFont="1" applyFill="1" applyBorder="1" applyAlignment="1">
      <alignment horizontal="center" vertical="center" wrapText="1"/>
    </xf>
    <xf numFmtId="0" fontId="47" fillId="0" borderId="59" xfId="0" applyFont="1" applyFill="1" applyBorder="1" applyAlignment="1">
      <alignment horizontal="center" vertical="center" wrapText="1"/>
    </xf>
    <xf numFmtId="0" fontId="47" fillId="2" borderId="6" xfId="0" applyFont="1" applyFill="1" applyBorder="1" applyAlignment="1">
      <alignment wrapText="1"/>
    </xf>
    <xf numFmtId="0" fontId="54" fillId="0" borderId="69" xfId="0" applyFont="1" applyBorder="1" applyAlignment="1">
      <alignment horizontal="center" vertical="center" wrapText="1"/>
    </xf>
    <xf numFmtId="0" fontId="55" fillId="0" borderId="69" xfId="0" applyFont="1" applyBorder="1" applyAlignment="1">
      <alignment horizontal="center" vertical="center" wrapText="1"/>
    </xf>
    <xf numFmtId="0" fontId="52" fillId="0" borderId="69" xfId="0" quotePrefix="1" applyFont="1" applyBorder="1" applyAlignment="1">
      <alignment horizontal="center" vertical="center" wrapText="1"/>
    </xf>
    <xf numFmtId="0" fontId="54" fillId="0" borderId="69" xfId="0" quotePrefix="1" applyFont="1" applyBorder="1" applyAlignment="1">
      <alignment horizontal="center" vertical="center" wrapText="1"/>
    </xf>
    <xf numFmtId="0" fontId="47" fillId="27" borderId="46" xfId="0" applyFont="1" applyFill="1" applyBorder="1" applyAlignment="1">
      <alignment wrapText="1"/>
    </xf>
    <xf numFmtId="0" fontId="51" fillId="27" borderId="46" xfId="0" applyFont="1" applyFill="1" applyBorder="1" applyAlignment="1">
      <alignment horizontal="center" vertical="center" wrapText="1"/>
    </xf>
    <xf numFmtId="0" fontId="47" fillId="27" borderId="46" xfId="0" quotePrefix="1" applyFont="1" applyFill="1" applyBorder="1" applyAlignment="1">
      <alignment horizontal="center" vertical="center" wrapText="1"/>
    </xf>
    <xf numFmtId="164" fontId="65" fillId="0" borderId="44" xfId="0" applyNumberFormat="1" applyFont="1" applyFill="1" applyBorder="1" applyAlignment="1">
      <alignment horizontal="right" wrapText="1"/>
    </xf>
    <xf numFmtId="164" fontId="65" fillId="27" borderId="44" xfId="0" applyNumberFormat="1" applyFont="1" applyFill="1" applyBorder="1" applyAlignment="1">
      <alignment horizontal="right" wrapText="1"/>
    </xf>
    <xf numFmtId="1" fontId="0" fillId="0" borderId="72" xfId="0" applyNumberFormat="1" applyBorder="1" applyAlignment="1">
      <alignment horizontal="center" vertical="center" wrapText="1"/>
    </xf>
    <xf numFmtId="2" fontId="2" fillId="0" borderId="72" xfId="0" applyNumberFormat="1" applyFont="1" applyBorder="1" applyAlignment="1">
      <alignment horizontal="center" vertical="center" wrapText="1"/>
    </xf>
    <xf numFmtId="0" fontId="59" fillId="0" borderId="72" xfId="0" quotePrefix="1" applyFont="1" applyBorder="1" applyAlignment="1">
      <alignment horizontal="center" vertical="center" wrapText="1"/>
    </xf>
    <xf numFmtId="164" fontId="65" fillId="2" borderId="31" xfId="0" applyNumberFormat="1" applyFont="1" applyFill="1" applyBorder="1" applyAlignment="1">
      <alignment horizontal="right" wrapText="1"/>
    </xf>
    <xf numFmtId="2" fontId="54" fillId="0" borderId="33" xfId="0" applyNumberFormat="1" applyFont="1" applyFill="1" applyBorder="1" applyAlignment="1">
      <alignment horizontal="center" vertical="center" wrapText="1"/>
    </xf>
    <xf numFmtId="0" fontId="47" fillId="27" borderId="75" xfId="0" applyFont="1" applyFill="1" applyBorder="1" applyAlignment="1">
      <alignment horizontal="center" vertical="center" wrapText="1"/>
    </xf>
    <xf numFmtId="0" fontId="54" fillId="0" borderId="67" xfId="0" applyFont="1" applyBorder="1" applyAlignment="1">
      <alignment horizontal="center" vertical="center" wrapText="1"/>
    </xf>
    <xf numFmtId="0" fontId="52" fillId="0" borderId="67" xfId="0" applyFont="1" applyBorder="1" applyAlignment="1">
      <alignment horizontal="center" vertical="center" wrapText="1"/>
    </xf>
    <xf numFmtId="0" fontId="54" fillId="0" borderId="40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0" fontId="52" fillId="0" borderId="40" xfId="0" quotePrefix="1" applyFont="1" applyBorder="1" applyAlignment="1">
      <alignment horizontal="center" vertical="center" wrapText="1"/>
    </xf>
    <xf numFmtId="0" fontId="54" fillId="0" borderId="38" xfId="0" applyFont="1" applyBorder="1" applyAlignment="1">
      <alignment horizontal="center" vertical="center" wrapText="1"/>
    </xf>
    <xf numFmtId="0" fontId="47" fillId="0" borderId="55" xfId="0" applyFont="1" applyFill="1" applyBorder="1" applyAlignment="1">
      <alignment wrapText="1"/>
    </xf>
    <xf numFmtId="0" fontId="51" fillId="0" borderId="55" xfId="0" applyFont="1" applyFill="1" applyBorder="1" applyAlignment="1">
      <alignment horizontal="center" vertical="center" wrapText="1"/>
    </xf>
    <xf numFmtId="0" fontId="47" fillId="0" borderId="55" xfId="0" quotePrefix="1" applyFont="1" applyFill="1" applyBorder="1" applyAlignment="1">
      <alignment horizontal="center" vertical="center" wrapText="1"/>
    </xf>
    <xf numFmtId="0" fontId="47" fillId="0" borderId="55" xfId="0" applyFont="1" applyFill="1" applyBorder="1" applyAlignment="1">
      <alignment horizontal="center" vertical="center" wrapText="1"/>
    </xf>
    <xf numFmtId="164" fontId="65" fillId="0" borderId="55" xfId="0" applyNumberFormat="1" applyFont="1" applyFill="1" applyBorder="1" applyAlignment="1">
      <alignment horizontal="right" wrapText="1"/>
    </xf>
    <xf numFmtId="0" fontId="54" fillId="0" borderId="69" xfId="0" applyFont="1" applyFill="1" applyBorder="1" applyAlignment="1">
      <alignment wrapText="1"/>
    </xf>
    <xf numFmtId="0" fontId="52" fillId="0" borderId="69" xfId="0" applyFont="1" applyFill="1" applyBorder="1" applyAlignment="1">
      <alignment horizontal="center" vertical="center" wrapText="1"/>
    </xf>
    <xf numFmtId="0" fontId="52" fillId="0" borderId="69" xfId="0" quotePrefix="1" applyFont="1" applyFill="1" applyBorder="1" applyAlignment="1">
      <alignment horizontal="center" vertical="center" wrapText="1"/>
    </xf>
    <xf numFmtId="0" fontId="54" fillId="0" borderId="69" xfId="0" applyFont="1" applyFill="1" applyBorder="1" applyAlignment="1">
      <alignment horizontal="center" vertical="center" wrapText="1"/>
    </xf>
    <xf numFmtId="0" fontId="54" fillId="0" borderId="69" xfId="0" quotePrefix="1" applyFont="1" applyFill="1" applyBorder="1" applyAlignment="1">
      <alignment horizontal="center" vertical="center" wrapText="1"/>
    </xf>
    <xf numFmtId="0" fontId="52" fillId="0" borderId="69" xfId="0" applyFont="1" applyFill="1" applyBorder="1" applyAlignment="1">
      <alignment horizontal="center" vertical="center" wrapText="1"/>
    </xf>
    <xf numFmtId="0" fontId="54" fillId="0" borderId="46" xfId="0" applyFont="1" applyFill="1" applyBorder="1" applyAlignment="1">
      <alignment wrapText="1"/>
    </xf>
    <xf numFmtId="0" fontId="54" fillId="0" borderId="46" xfId="0" applyFont="1" applyFill="1" applyBorder="1" applyAlignment="1">
      <alignment horizontal="center" vertical="center" wrapText="1"/>
    </xf>
    <xf numFmtId="0" fontId="54" fillId="0" borderId="46" xfId="0" quotePrefix="1" applyFont="1" applyFill="1" applyBorder="1" applyAlignment="1">
      <alignment horizontal="center" vertical="center" wrapText="1"/>
    </xf>
    <xf numFmtId="0" fontId="52" fillId="0" borderId="46" xfId="0" applyFont="1" applyFill="1" applyBorder="1" applyAlignment="1">
      <alignment horizontal="center" vertical="center" wrapText="1"/>
    </xf>
    <xf numFmtId="2" fontId="0" fillId="0" borderId="76" xfId="0" applyNumberFormat="1" applyBorder="1" applyAlignment="1">
      <alignment wrapText="1"/>
    </xf>
    <xf numFmtId="1" fontId="0" fillId="0" borderId="69" xfId="0" applyNumberFormat="1" applyBorder="1" applyAlignment="1">
      <alignment horizontal="center" vertical="center" wrapText="1"/>
    </xf>
    <xf numFmtId="2" fontId="2" fillId="0" borderId="69" xfId="0" applyNumberFormat="1" applyFont="1" applyBorder="1" applyAlignment="1">
      <alignment horizontal="center" vertical="center" wrapText="1"/>
    </xf>
    <xf numFmtId="0" fontId="59" fillId="0" borderId="69" xfId="0" quotePrefix="1" applyFont="1" applyBorder="1" applyAlignment="1">
      <alignment horizontal="center" vertical="center" wrapText="1"/>
    </xf>
    <xf numFmtId="164" fontId="65" fillId="27" borderId="43" xfId="0" applyNumberFormat="1" applyFont="1" applyFill="1" applyBorder="1" applyAlignment="1">
      <alignment horizontal="right" wrapText="1"/>
    </xf>
    <xf numFmtId="9" fontId="2" fillId="0" borderId="46" xfId="0" applyNumberFormat="1" applyFont="1" applyBorder="1" applyAlignment="1">
      <alignment horizontal="center" vertical="center" wrapText="1"/>
    </xf>
    <xf numFmtId="2" fontId="0" fillId="0" borderId="46" xfId="0" applyNumberFormat="1" applyBorder="1" applyAlignment="1">
      <alignment horizontal="center" vertical="center" wrapText="1"/>
    </xf>
    <xf numFmtId="2" fontId="0" fillId="0" borderId="52" xfId="0" applyNumberFormat="1" applyBorder="1" applyAlignment="1">
      <alignment vertical="center" wrapText="1"/>
    </xf>
    <xf numFmtId="2" fontId="58" fillId="0" borderId="75" xfId="0" quotePrefix="1" applyNumberFormat="1" applyFont="1" applyBorder="1" applyAlignment="1">
      <alignment vertical="center" wrapText="1"/>
    </xf>
    <xf numFmtId="2" fontId="0" fillId="0" borderId="71" xfId="0" applyNumberFormat="1" applyBorder="1" applyAlignment="1">
      <alignment wrapText="1"/>
    </xf>
    <xf numFmtId="2" fontId="58" fillId="0" borderId="54" xfId="0" quotePrefix="1" applyNumberFormat="1" applyFont="1" applyBorder="1" applyAlignment="1">
      <alignment vertical="center" wrapText="1"/>
    </xf>
    <xf numFmtId="1" fontId="0" fillId="0" borderId="55" xfId="0" applyNumberForma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0" fillId="0" borderId="55" xfId="0" quotePrefix="1" applyBorder="1" applyAlignment="1">
      <alignment horizontal="center" vertical="center" wrapText="1"/>
    </xf>
    <xf numFmtId="2" fontId="0" fillId="0" borderId="84" xfId="0" applyNumberFormat="1" applyBorder="1" applyAlignment="1">
      <alignment horizontal="right" vertical="center" wrapText="1"/>
    </xf>
    <xf numFmtId="164" fontId="65" fillId="0" borderId="66" xfId="0" applyNumberFormat="1" applyFont="1" applyBorder="1" applyAlignment="1">
      <alignment horizontal="right" vertical="center" wrapText="1"/>
    </xf>
    <xf numFmtId="164" fontId="65" fillId="0" borderId="44" xfId="0" applyNumberFormat="1" applyFont="1" applyBorder="1" applyAlignment="1">
      <alignment horizontal="right" vertical="center" wrapText="1"/>
    </xf>
    <xf numFmtId="0" fontId="47" fillId="0" borderId="73" xfId="0" applyFont="1" applyFill="1" applyBorder="1" applyAlignment="1">
      <alignment horizontal="center" vertical="center" wrapText="1"/>
    </xf>
    <xf numFmtId="0" fontId="54" fillId="0" borderId="67" xfId="0" applyFont="1" applyFill="1" applyBorder="1" applyAlignment="1">
      <alignment horizontal="center" vertical="center" wrapText="1"/>
    </xf>
    <xf numFmtId="0" fontId="52" fillId="0" borderId="67" xfId="0" applyFont="1" applyFill="1" applyBorder="1" applyAlignment="1">
      <alignment horizontal="center" vertical="center" wrapText="1"/>
    </xf>
    <xf numFmtId="0" fontId="65" fillId="27" borderId="57" xfId="0" applyFont="1" applyFill="1" applyBorder="1" applyAlignment="1">
      <alignment horizontal="center" vertical="center" wrapText="1"/>
    </xf>
    <xf numFmtId="0" fontId="61" fillId="27" borderId="57" xfId="0" quotePrefix="1" applyFont="1" applyFill="1" applyBorder="1" applyAlignment="1">
      <alignment horizontal="center" vertical="center" wrapText="1"/>
    </xf>
    <xf numFmtId="0" fontId="61" fillId="27" borderId="58" xfId="0" applyFont="1" applyFill="1" applyBorder="1" applyAlignment="1">
      <alignment wrapText="1"/>
    </xf>
    <xf numFmtId="164" fontId="65" fillId="27" borderId="44" xfId="0" applyNumberFormat="1" applyFont="1" applyFill="1" applyBorder="1" applyAlignment="1">
      <alignment wrapText="1"/>
    </xf>
    <xf numFmtId="164" fontId="57" fillId="0" borderId="44" xfId="0" applyNumberFormat="1" applyFont="1" applyFill="1" applyBorder="1" applyAlignment="1">
      <alignment horizontal="right" vertical="center" wrapText="1"/>
    </xf>
    <xf numFmtId="2" fontId="2" fillId="0" borderId="54" xfId="0" applyNumberFormat="1" applyFont="1" applyBorder="1" applyAlignment="1">
      <alignment wrapText="1"/>
    </xf>
    <xf numFmtId="164" fontId="65" fillId="2" borderId="44" xfId="0" applyNumberFormat="1" applyFont="1" applyFill="1" applyBorder="1" applyAlignment="1">
      <alignment horizontal="right" wrapText="1"/>
    </xf>
    <xf numFmtId="164" fontId="65" fillId="27" borderId="44" xfId="0" applyNumberFormat="1" applyFont="1" applyFill="1" applyBorder="1" applyAlignment="1">
      <alignment horizontal="center" wrapText="1"/>
    </xf>
    <xf numFmtId="0" fontId="61" fillId="27" borderId="58" xfId="0" applyFont="1" applyFill="1" applyBorder="1" applyAlignment="1">
      <alignment horizontal="center" vertical="center" wrapText="1"/>
    </xf>
    <xf numFmtId="0" fontId="50" fillId="2" borderId="69" xfId="0" applyFont="1" applyFill="1" applyBorder="1" applyAlignment="1">
      <alignment horizontal="center" vertical="center" wrapText="1"/>
    </xf>
    <xf numFmtId="0" fontId="47" fillId="2" borderId="70" xfId="0" applyFont="1" applyFill="1" applyBorder="1" applyAlignment="1">
      <alignment horizontal="center" vertical="center" wrapText="1"/>
    </xf>
    <xf numFmtId="0" fontId="47" fillId="2" borderId="69" xfId="0" applyFont="1" applyFill="1" applyBorder="1" applyAlignment="1">
      <alignment horizontal="center" vertical="center" wrapText="1"/>
    </xf>
    <xf numFmtId="0" fontId="47" fillId="2" borderId="71" xfId="0" applyFont="1" applyFill="1" applyBorder="1" applyAlignment="1">
      <alignment horizontal="center" vertical="center" wrapText="1"/>
    </xf>
    <xf numFmtId="1" fontId="54" fillId="0" borderId="69" xfId="0" applyNumberFormat="1" applyFont="1" applyBorder="1" applyAlignment="1">
      <alignment horizontal="center" vertical="center" wrapText="1"/>
    </xf>
    <xf numFmtId="167" fontId="54" fillId="0" borderId="69" xfId="0" applyNumberFormat="1" applyFont="1" applyBorder="1" applyAlignment="1">
      <alignment horizontal="center" vertical="center" wrapText="1"/>
    </xf>
    <xf numFmtId="0" fontId="54" fillId="0" borderId="46" xfId="0" applyFont="1" applyBorder="1" applyAlignment="1">
      <alignment horizontal="center" vertical="center" wrapText="1"/>
    </xf>
    <xf numFmtId="0" fontId="54" fillId="0" borderId="46" xfId="0" quotePrefix="1" applyFont="1" applyBorder="1" applyAlignment="1">
      <alignment horizontal="center" wrapText="1"/>
    </xf>
    <xf numFmtId="0" fontId="52" fillId="0" borderId="75" xfId="0" applyFont="1" applyBorder="1" applyAlignment="1">
      <alignment horizontal="center" vertical="center" wrapText="1"/>
    </xf>
    <xf numFmtId="0" fontId="9" fillId="3" borderId="33" xfId="0" quotePrefix="1" applyFont="1" applyFill="1" applyBorder="1" applyAlignment="1">
      <alignment horizontal="center" vertical="center" wrapText="1"/>
    </xf>
    <xf numFmtId="0" fontId="9" fillId="3" borderId="34" xfId="0" quotePrefix="1" applyFont="1" applyFill="1" applyBorder="1" applyAlignment="1">
      <alignment horizontal="center" vertical="center" wrapText="1"/>
    </xf>
    <xf numFmtId="0" fontId="9" fillId="3" borderId="35" xfId="0" quotePrefix="1" applyFont="1" applyFill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center" wrapText="1"/>
    </xf>
    <xf numFmtId="0" fontId="54" fillId="0" borderId="46" xfId="0" applyFont="1" applyBorder="1" applyAlignment="1">
      <alignment horizontal="left" wrapText="1"/>
    </xf>
    <xf numFmtId="0" fontId="63" fillId="2" borderId="0" xfId="0" applyFont="1" applyFill="1" applyAlignment="1">
      <alignment horizontal="center" wrapText="1"/>
    </xf>
    <xf numFmtId="0" fontId="61" fillId="0" borderId="6" xfId="0" applyFont="1" applyFill="1" applyBorder="1" applyAlignment="1">
      <alignment horizontal="left" vertical="center" wrapText="1"/>
    </xf>
    <xf numFmtId="0" fontId="62" fillId="2" borderId="0" xfId="0" applyFont="1" applyFill="1" applyAlignment="1">
      <alignment horizontal="left" wrapText="1"/>
    </xf>
    <xf numFmtId="0" fontId="51" fillId="27" borderId="53" xfId="0" applyFont="1" applyFill="1" applyBorder="1" applyAlignment="1">
      <alignment horizontal="center" vertical="center" wrapText="1"/>
    </xf>
    <xf numFmtId="0" fontId="51" fillId="27" borderId="46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164" fontId="58" fillId="0" borderId="41" xfId="0" applyNumberFormat="1" applyFont="1" applyBorder="1" applyAlignment="1">
      <alignment horizontal="right" vertical="center" wrapText="1"/>
    </xf>
    <xf numFmtId="164" fontId="58" fillId="0" borderId="43" xfId="0" applyNumberFormat="1" applyFont="1" applyBorder="1" applyAlignment="1">
      <alignment horizontal="right" vertical="center" wrapText="1"/>
    </xf>
    <xf numFmtId="0" fontId="58" fillId="0" borderId="33" xfId="0" applyFont="1" applyBorder="1" applyAlignment="1">
      <alignment horizontal="center" wrapText="1"/>
    </xf>
    <xf numFmtId="0" fontId="58" fillId="0" borderId="35" xfId="0" applyFont="1" applyBorder="1" applyAlignment="1">
      <alignment horizont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50" xfId="0" applyFont="1" applyBorder="1" applyAlignment="1">
      <alignment horizontal="center" vertical="center" wrapText="1"/>
    </xf>
    <xf numFmtId="0" fontId="51" fillId="2" borderId="31" xfId="0" applyFont="1" applyFill="1" applyBorder="1" applyAlignment="1">
      <alignment horizontal="center" vertical="center" wrapText="1"/>
    </xf>
    <xf numFmtId="0" fontId="51" fillId="2" borderId="72" xfId="0" applyFont="1" applyFill="1" applyBorder="1" applyAlignment="1">
      <alignment horizontal="center" vertical="center" wrapText="1"/>
    </xf>
    <xf numFmtId="0" fontId="52" fillId="0" borderId="31" xfId="0" applyFont="1" applyFill="1" applyBorder="1" applyAlignment="1">
      <alignment horizontal="center" vertical="center" wrapText="1"/>
    </xf>
    <xf numFmtId="0" fontId="52" fillId="0" borderId="31" xfId="0" quotePrefix="1" applyFont="1" applyFill="1" applyBorder="1" applyAlignment="1">
      <alignment horizontal="center" wrapText="1"/>
    </xf>
    <xf numFmtId="0" fontId="52" fillId="0" borderId="31" xfId="0" applyFont="1" applyFill="1" applyBorder="1" applyAlignment="1">
      <alignment horizontal="center" wrapText="1"/>
    </xf>
    <xf numFmtId="164" fontId="66" fillId="0" borderId="41" xfId="0" applyNumberFormat="1" applyFont="1" applyFill="1" applyBorder="1" applyAlignment="1">
      <alignment horizontal="center" vertical="center" wrapText="1"/>
    </xf>
    <xf numFmtId="164" fontId="66" fillId="0" borderId="43" xfId="0" applyNumberFormat="1" applyFont="1" applyFill="1" applyBorder="1" applyAlignment="1">
      <alignment horizontal="center" vertical="center" wrapText="1"/>
    </xf>
    <xf numFmtId="164" fontId="66" fillId="0" borderId="47" xfId="0" applyNumberFormat="1" applyFont="1" applyFill="1" applyBorder="1" applyAlignment="1">
      <alignment horizontal="center" vertical="center" wrapText="1"/>
    </xf>
    <xf numFmtId="0" fontId="54" fillId="0" borderId="31" xfId="0" applyFont="1" applyFill="1" applyBorder="1" applyAlignment="1">
      <alignment horizontal="left" vertical="center" wrapText="1"/>
    </xf>
    <xf numFmtId="0" fontId="54" fillId="0" borderId="31" xfId="0" applyFont="1" applyFill="1" applyBorder="1" applyAlignment="1">
      <alignment horizontal="left" wrapText="1"/>
    </xf>
    <xf numFmtId="0" fontId="52" fillId="0" borderId="70" xfId="0" applyFont="1" applyBorder="1" applyAlignment="1">
      <alignment horizontal="center" vertical="center" wrapText="1"/>
    </xf>
    <xf numFmtId="0" fontId="52" fillId="0" borderId="53" xfId="0" applyFont="1" applyBorder="1" applyAlignment="1">
      <alignment horizontal="center" vertical="center" wrapText="1"/>
    </xf>
    <xf numFmtId="0" fontId="51" fillId="27" borderId="37" xfId="0" applyFont="1" applyFill="1" applyBorder="1" applyAlignment="1">
      <alignment horizontal="center" vertical="center" wrapText="1"/>
    </xf>
    <xf numFmtId="0" fontId="51" fillId="27" borderId="79" xfId="0" applyFont="1" applyFill="1" applyBorder="1" applyAlignment="1">
      <alignment horizontal="center" vertical="center" wrapText="1"/>
    </xf>
    <xf numFmtId="0" fontId="51" fillId="27" borderId="77" xfId="0" applyFont="1" applyFill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1" xfId="0" quotePrefix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8" fillId="3" borderId="6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42" fillId="3" borderId="6" xfId="0" applyFont="1" applyFill="1" applyBorder="1" applyAlignment="1">
      <alignment horizontal="right" vertical="center" wrapText="1"/>
    </xf>
    <xf numFmtId="0" fontId="9" fillId="3" borderId="6" xfId="0" quotePrefix="1" applyFont="1" applyFill="1" applyBorder="1" applyAlignment="1">
      <alignment horizontal="left" vertical="top" wrapText="1"/>
    </xf>
    <xf numFmtId="0" fontId="46" fillId="3" borderId="8" xfId="0" applyFont="1" applyFill="1" applyBorder="1" applyAlignment="1">
      <alignment horizontal="center" vertical="center" wrapText="1"/>
    </xf>
    <xf numFmtId="0" fontId="51" fillId="0" borderId="33" xfId="0" applyFont="1" applyFill="1" applyBorder="1" applyAlignment="1">
      <alignment horizontal="center" vertical="center" wrapText="1"/>
    </xf>
    <xf numFmtId="0" fontId="51" fillId="0" borderId="34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3" fillId="0" borderId="69" xfId="0" applyFont="1" applyBorder="1" applyAlignment="1">
      <alignment horizontal="center" vertical="center" wrapText="1"/>
    </xf>
    <xf numFmtId="0" fontId="52" fillId="0" borderId="69" xfId="0" applyFont="1" applyBorder="1" applyAlignment="1">
      <alignment horizont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69" xfId="0" applyFont="1" applyFill="1" applyBorder="1" applyAlignment="1">
      <alignment horizontal="center" vertical="center" wrapText="1"/>
    </xf>
    <xf numFmtId="0" fontId="51" fillId="0" borderId="76" xfId="0" applyFont="1" applyFill="1" applyBorder="1" applyAlignment="1">
      <alignment horizontal="center" vertical="center" wrapText="1"/>
    </xf>
    <xf numFmtId="164" fontId="52" fillId="0" borderId="60" xfId="0" applyNumberFormat="1" applyFont="1" applyBorder="1" applyAlignment="1">
      <alignment horizontal="center" vertical="center" wrapText="1"/>
    </xf>
    <xf numFmtId="164" fontId="52" fillId="0" borderId="61" xfId="0" applyNumberFormat="1" applyFont="1" applyBorder="1" applyAlignment="1">
      <alignment horizontal="center" vertical="center" wrapText="1"/>
    </xf>
    <xf numFmtId="164" fontId="52" fillId="0" borderId="78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58" fillId="0" borderId="37" xfId="0" applyFont="1" applyBorder="1" applyAlignment="1">
      <alignment horizontal="center" vertical="center" wrapText="1"/>
    </xf>
    <xf numFmtId="0" fontId="58" fillId="0" borderId="42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center" vertical="top" wrapText="1"/>
    </xf>
    <xf numFmtId="0" fontId="63" fillId="2" borderId="0" xfId="0" applyFont="1" applyFill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51" fillId="2" borderId="51" xfId="0" applyFont="1" applyFill="1" applyBorder="1" applyAlignment="1">
      <alignment horizontal="center" vertical="center" wrapText="1"/>
    </xf>
    <xf numFmtId="0" fontId="51" fillId="2" borderId="40" xfId="0" applyFont="1" applyFill="1" applyBorder="1" applyAlignment="1">
      <alignment horizontal="center" vertical="center" wrapText="1"/>
    </xf>
    <xf numFmtId="0" fontId="51" fillId="2" borderId="52" xfId="0" applyFont="1" applyFill="1" applyBorder="1" applyAlignment="1">
      <alignment horizontal="center" vertical="center" wrapText="1"/>
    </xf>
    <xf numFmtId="0" fontId="52" fillId="0" borderId="70" xfId="0" applyFont="1" applyFill="1" applyBorder="1" applyAlignment="1">
      <alignment horizontal="center" vertical="center" wrapText="1"/>
    </xf>
    <xf numFmtId="0" fontId="52" fillId="0" borderId="53" xfId="0" applyFont="1" applyFill="1" applyBorder="1" applyAlignment="1">
      <alignment horizontal="center" vertical="center" wrapText="1"/>
    </xf>
    <xf numFmtId="0" fontId="47" fillId="2" borderId="69" xfId="0" applyFont="1" applyFill="1" applyBorder="1" applyAlignment="1">
      <alignment horizontal="center" vertical="center" wrapText="1"/>
    </xf>
    <xf numFmtId="0" fontId="49" fillId="2" borderId="52" xfId="0" applyFont="1" applyFill="1" applyBorder="1" applyAlignment="1">
      <alignment horizontal="center" vertical="center" wrapText="1"/>
    </xf>
    <xf numFmtId="0" fontId="49" fillId="2" borderId="71" xfId="0" applyFont="1" applyFill="1" applyBorder="1" applyAlignment="1">
      <alignment horizontal="center" vertical="center" wrapText="1"/>
    </xf>
    <xf numFmtId="0" fontId="47" fillId="2" borderId="51" xfId="0" applyFont="1" applyFill="1" applyBorder="1" applyAlignment="1">
      <alignment horizontal="center" vertical="center" wrapText="1"/>
    </xf>
    <xf numFmtId="0" fontId="47" fillId="2" borderId="70" xfId="0" applyFont="1" applyFill="1" applyBorder="1" applyAlignment="1">
      <alignment horizontal="center" vertical="center" wrapText="1"/>
    </xf>
    <xf numFmtId="0" fontId="47" fillId="2" borderId="40" xfId="0" applyFont="1" applyFill="1" applyBorder="1" applyAlignment="1">
      <alignment horizontal="center" vertical="center" wrapText="1"/>
    </xf>
    <xf numFmtId="0" fontId="47" fillId="2" borderId="40" xfId="0" applyFont="1" applyFill="1" applyBorder="1" applyAlignment="1">
      <alignment horizontal="center" wrapText="1"/>
    </xf>
    <xf numFmtId="164" fontId="52" fillId="0" borderId="71" xfId="0" applyNumberFormat="1" applyFont="1" applyFill="1" applyBorder="1" applyAlignment="1">
      <alignment horizontal="center" vertical="center" wrapText="1"/>
    </xf>
    <xf numFmtId="164" fontId="52" fillId="0" borderId="54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164" fontId="65" fillId="0" borderId="80" xfId="0" applyNumberFormat="1" applyFont="1" applyBorder="1" applyAlignment="1">
      <alignment horizontal="right" vertical="center" wrapText="1"/>
    </xf>
    <xf numFmtId="164" fontId="65" fillId="0" borderId="81" xfId="0" applyNumberFormat="1" applyFont="1" applyBorder="1" applyAlignment="1">
      <alignment horizontal="right" vertical="center" wrapText="1"/>
    </xf>
    <xf numFmtId="164" fontId="65" fillId="0" borderId="83" xfId="0" applyNumberFormat="1" applyFont="1" applyBorder="1" applyAlignment="1">
      <alignment horizontal="right" vertical="center" wrapText="1"/>
    </xf>
    <xf numFmtId="0" fontId="65" fillId="27" borderId="56" xfId="0" applyFont="1" applyFill="1" applyBorder="1" applyAlignment="1">
      <alignment horizontal="center" vertical="center" wrapText="1"/>
    </xf>
    <xf numFmtId="0" fontId="65" fillId="27" borderId="57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65" fillId="0" borderId="63" xfId="0" applyFont="1" applyBorder="1" applyAlignment="1">
      <alignment horizontal="right" vertical="center" wrapText="1"/>
    </xf>
    <xf numFmtId="0" fontId="65" fillId="0" borderId="64" xfId="0" applyFont="1" applyBorder="1" applyAlignment="1">
      <alignment horizontal="right" vertical="center" wrapText="1"/>
    </xf>
    <xf numFmtId="0" fontId="51" fillId="2" borderId="0" xfId="0" applyFont="1" applyFill="1" applyAlignment="1">
      <alignment horizontal="left" wrapText="1"/>
    </xf>
    <xf numFmtId="0" fontId="65" fillId="0" borderId="66" xfId="0" applyFont="1" applyBorder="1" applyAlignment="1">
      <alignment horizontal="right" vertical="center" wrapText="1"/>
    </xf>
    <xf numFmtId="0" fontId="57" fillId="0" borderId="63" xfId="0" applyFont="1" applyFill="1" applyBorder="1" applyAlignment="1">
      <alignment horizontal="right" vertical="center" wrapText="1"/>
    </xf>
    <xf numFmtId="0" fontId="57" fillId="0" borderId="64" xfId="0" applyFont="1" applyFill="1" applyBorder="1" applyAlignment="1">
      <alignment horizontal="right" vertical="center" wrapText="1"/>
    </xf>
    <xf numFmtId="0" fontId="57" fillId="0" borderId="66" xfId="0" applyFont="1" applyFill="1" applyBorder="1" applyAlignment="1">
      <alignment horizontal="right" vertical="center" wrapText="1"/>
    </xf>
    <xf numFmtId="0" fontId="52" fillId="0" borderId="69" xfId="0" applyFont="1" applyFill="1" applyBorder="1" applyAlignment="1">
      <alignment horizontal="center" vertical="center" wrapText="1"/>
    </xf>
    <xf numFmtId="0" fontId="52" fillId="0" borderId="69" xfId="0" quotePrefix="1" applyFont="1" applyFill="1" applyBorder="1" applyAlignment="1">
      <alignment horizontal="center" wrapText="1"/>
    </xf>
    <xf numFmtId="0" fontId="52" fillId="0" borderId="69" xfId="0" applyFont="1" applyFill="1" applyBorder="1" applyAlignment="1">
      <alignment horizontal="center" wrapText="1"/>
    </xf>
    <xf numFmtId="0" fontId="51" fillId="0" borderId="55" xfId="0" applyFont="1" applyFill="1" applyBorder="1" applyAlignment="1">
      <alignment horizontal="center" vertical="center" wrapText="1"/>
    </xf>
    <xf numFmtId="0" fontId="54" fillId="0" borderId="69" xfId="0" applyFont="1" applyFill="1" applyBorder="1" applyAlignment="1">
      <alignment horizontal="left" wrapText="1"/>
    </xf>
    <xf numFmtId="0" fontId="54" fillId="0" borderId="69" xfId="0" applyFont="1" applyFill="1" applyBorder="1" applyAlignment="1">
      <alignment horizontal="left" vertical="center" wrapText="1"/>
    </xf>
    <xf numFmtId="0" fontId="54" fillId="0" borderId="46" xfId="0" applyFont="1" applyFill="1" applyBorder="1" applyAlignment="1">
      <alignment horizontal="left" wrapText="1"/>
    </xf>
    <xf numFmtId="0" fontId="2" fillId="0" borderId="40" xfId="0" applyFont="1" applyBorder="1" applyAlignment="1">
      <alignment horizontal="center" vertical="center" wrapText="1"/>
    </xf>
    <xf numFmtId="164" fontId="65" fillId="0" borderId="41" xfId="0" applyNumberFormat="1" applyFont="1" applyBorder="1" applyAlignment="1">
      <alignment horizontal="right" vertical="center" wrapText="1"/>
    </xf>
    <xf numFmtId="164" fontId="65" fillId="0" borderId="47" xfId="0" applyNumberFormat="1" applyFont="1" applyBorder="1" applyAlignment="1">
      <alignment horizontal="right" vertical="center" wrapText="1"/>
    </xf>
    <xf numFmtId="164" fontId="65" fillId="0" borderId="41" xfId="0" applyNumberFormat="1" applyFont="1" applyFill="1" applyBorder="1" applyAlignment="1">
      <alignment horizontal="right" vertical="center" wrapText="1"/>
    </xf>
    <xf numFmtId="164" fontId="65" fillId="0" borderId="47" xfId="0" applyNumberFormat="1" applyFont="1" applyFill="1" applyBorder="1" applyAlignment="1">
      <alignment horizontal="right" vertical="center" wrapText="1"/>
    </xf>
    <xf numFmtId="0" fontId="65" fillId="27" borderId="63" xfId="0" applyFont="1" applyFill="1" applyBorder="1" applyAlignment="1">
      <alignment horizontal="center" vertical="center" wrapText="1"/>
    </xf>
    <xf numFmtId="0" fontId="65" fillId="27" borderId="64" xfId="0" applyFont="1" applyFill="1" applyBorder="1" applyAlignment="1">
      <alignment horizontal="center" vertical="center" wrapText="1"/>
    </xf>
    <xf numFmtId="0" fontId="65" fillId="27" borderId="65" xfId="0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164" fontId="65" fillId="0" borderId="43" xfId="0" applyNumberFormat="1" applyFont="1" applyBorder="1" applyAlignment="1">
      <alignment horizontal="right" vertical="center" wrapText="1"/>
    </xf>
    <xf numFmtId="0" fontId="52" fillId="0" borderId="45" xfId="0" applyFont="1" applyFill="1" applyBorder="1" applyAlignment="1">
      <alignment horizontal="center" vertical="center" wrapText="1"/>
    </xf>
    <xf numFmtId="0" fontId="53" fillId="0" borderId="31" xfId="0" applyFont="1" applyFill="1" applyBorder="1" applyAlignment="1">
      <alignment horizontal="center" wrapText="1"/>
    </xf>
    <xf numFmtId="164" fontId="52" fillId="0" borderId="60" xfId="0" applyNumberFormat="1" applyFont="1" applyFill="1" applyBorder="1" applyAlignment="1">
      <alignment horizontal="center" vertical="center" wrapText="1"/>
    </xf>
    <xf numFmtId="164" fontId="52" fillId="0" borderId="61" xfId="0" applyNumberFormat="1" applyFont="1" applyFill="1" applyBorder="1" applyAlignment="1">
      <alignment horizontal="center" vertical="center" wrapText="1"/>
    </xf>
    <xf numFmtId="164" fontId="52" fillId="0" borderId="62" xfId="0" applyNumberFormat="1" applyFont="1" applyFill="1" applyBorder="1" applyAlignment="1">
      <alignment horizontal="center" vertical="center" wrapText="1"/>
    </xf>
    <xf numFmtId="0" fontId="54" fillId="0" borderId="45" xfId="0" applyFont="1" applyFill="1" applyBorder="1" applyAlignment="1">
      <alignment horizontal="left" wrapText="1"/>
    </xf>
    <xf numFmtId="0" fontId="52" fillId="0" borderId="67" xfId="0" applyFont="1" applyFill="1" applyBorder="1" applyAlignment="1">
      <alignment horizontal="center" vertical="center" wrapText="1"/>
    </xf>
    <xf numFmtId="0" fontId="52" fillId="0" borderId="68" xfId="0" applyFont="1" applyFill="1" applyBorder="1" applyAlignment="1">
      <alignment horizontal="center" vertical="center" wrapText="1"/>
    </xf>
    <xf numFmtId="0" fontId="51" fillId="2" borderId="55" xfId="0" applyFont="1" applyFill="1" applyBorder="1" applyAlignment="1">
      <alignment horizontal="center" vertical="center" wrapText="1"/>
    </xf>
    <xf numFmtId="0" fontId="51" fillId="2" borderId="7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wrapText="1"/>
    </xf>
    <xf numFmtId="0" fontId="43" fillId="2" borderId="6" xfId="0" applyFont="1" applyFill="1" applyBorder="1" applyAlignment="1">
      <alignment horizontal="center" wrapText="1"/>
    </xf>
    <xf numFmtId="0" fontId="44" fillId="3" borderId="20" xfId="0" applyFont="1" applyFill="1" applyBorder="1" applyAlignment="1">
      <alignment horizontal="right" vertical="center" wrapText="1"/>
    </xf>
    <xf numFmtId="0" fontId="44" fillId="3" borderId="4" xfId="0" applyFont="1" applyFill="1" applyBorder="1" applyAlignment="1">
      <alignment horizontal="right" vertical="center" wrapText="1"/>
    </xf>
    <xf numFmtId="0" fontId="44" fillId="3" borderId="21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4" fillId="3" borderId="22" xfId="0" applyFont="1" applyFill="1" applyBorder="1" applyAlignment="1">
      <alignment horizontal="right" vertical="center" wrapText="1"/>
    </xf>
    <xf numFmtId="0" fontId="44" fillId="3" borderId="5" xfId="0" applyFont="1" applyFill="1" applyBorder="1" applyAlignment="1">
      <alignment horizontal="right" vertical="center" wrapText="1"/>
    </xf>
    <xf numFmtId="0" fontId="44" fillId="3" borderId="23" xfId="0" applyFont="1" applyFill="1" applyBorder="1" applyAlignment="1">
      <alignment horizontal="right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2" fillId="2" borderId="28" xfId="0" quotePrefix="1" applyFont="1" applyFill="1" applyBorder="1" applyAlignment="1">
      <alignment horizontal="left" wrapText="1"/>
    </xf>
    <xf numFmtId="0" fontId="44" fillId="2" borderId="29" xfId="0" quotePrefix="1" applyFont="1" applyFill="1" applyBorder="1" applyAlignment="1">
      <alignment horizontal="center" wrapText="1"/>
    </xf>
    <xf numFmtId="0" fontId="44" fillId="2" borderId="19" xfId="0" quotePrefix="1" applyFont="1" applyFill="1" applyBorder="1" applyAlignment="1">
      <alignment horizontal="center" wrapText="1"/>
    </xf>
    <xf numFmtId="0" fontId="44" fillId="2" borderId="30" xfId="0" quotePrefix="1" applyFont="1" applyFill="1" applyBorder="1" applyAlignment="1">
      <alignment horizontal="center" wrapText="1"/>
    </xf>
  </cellXfs>
  <cellStyles count="133">
    <cellStyle name="20% - Accent1" xfId="34"/>
    <cellStyle name="20% - Accent2" xfId="35"/>
    <cellStyle name="20% - Accent3" xfId="36"/>
    <cellStyle name="20% - Accent4" xfId="37"/>
    <cellStyle name="20% - Accent5" xfId="38"/>
    <cellStyle name="20% - Accent6" xfId="39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% - Accent1" xfId="46"/>
    <cellStyle name="60% - Accent2" xfId="47"/>
    <cellStyle name="60% - Accent3" xfId="48"/>
    <cellStyle name="60% - Accent4" xfId="49"/>
    <cellStyle name="60% - Accent5" xfId="50"/>
    <cellStyle name="60% - Accent6" xfId="51"/>
    <cellStyle name="Accent1" xfId="52"/>
    <cellStyle name="Accent2" xfId="53"/>
    <cellStyle name="Accent3" xfId="54"/>
    <cellStyle name="Accent4" xfId="55"/>
    <cellStyle name="Accent5" xfId="56"/>
    <cellStyle name="Accent6" xfId="57"/>
    <cellStyle name="Bad" xfId="58"/>
    <cellStyle name="Calculation" xfId="59"/>
    <cellStyle name="Check Cell" xfId="60"/>
    <cellStyle name="Explanatory Text" xfId="61"/>
    <cellStyle name="Good" xfId="62"/>
    <cellStyle name="Heading 1" xfId="63"/>
    <cellStyle name="Heading 2" xfId="64"/>
    <cellStyle name="Heading 3" xfId="65"/>
    <cellStyle name="Heading 4" xfId="66"/>
    <cellStyle name="Input" xfId="67"/>
    <cellStyle name="Linked Cell" xfId="68"/>
    <cellStyle name="Neutral" xfId="69"/>
    <cellStyle name="Normal_SYSTEM" xfId="70"/>
    <cellStyle name="Note" xfId="71"/>
    <cellStyle name="Output" xfId="72"/>
    <cellStyle name="S1" xfId="73"/>
    <cellStyle name="Title" xfId="74"/>
    <cellStyle name="Total" xfId="75"/>
    <cellStyle name="Warning Text" xfId="76"/>
    <cellStyle name="Акт" xfId="77"/>
    <cellStyle name="АктМТСН" xfId="78"/>
    <cellStyle name="ВедРесурсов" xfId="79"/>
    <cellStyle name="ВедРесурсовАкт" xfId="80"/>
    <cellStyle name="Гиперссылка" xfId="21" builtinId="8" hidden="1"/>
    <cellStyle name="Гиперссылка" xfId="23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128" builtinId="8" hidden="1"/>
    <cellStyle name="Гиперссылка" xfId="130" builtinId="8" hidden="1"/>
    <cellStyle name="Гиперссылка" xfId="25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9" builtinId="8" hidden="1"/>
    <cellStyle name="Гиперссылка" xfId="5" builtinId="8" hidden="1"/>
    <cellStyle name="Гиперссылка" xfId="7" builtinId="8" hidden="1"/>
    <cellStyle name="Гиперссылка" xfId="3" builtinId="8" hidden="1"/>
    <cellStyle name="Гиперссылка" xfId="1" builtinId="8" hidden="1"/>
    <cellStyle name="Гиперссылка 2" xfId="81"/>
    <cellStyle name="Денежный [0] 2" xfId="82"/>
    <cellStyle name="Итоги" xfId="83"/>
    <cellStyle name="ИтогоАктБазЦ" xfId="84"/>
    <cellStyle name="ИтогоАктБИМ" xfId="85"/>
    <cellStyle name="ИтогоАктРесМет" xfId="86"/>
    <cellStyle name="ИтогоБазЦ" xfId="87"/>
    <cellStyle name="ИтогоБИМ" xfId="88"/>
    <cellStyle name="ИтогоРесМет" xfId="89"/>
    <cellStyle name="ЛокСмета" xfId="90"/>
    <cellStyle name="ЛокСмМТСН" xfId="91"/>
    <cellStyle name="М29" xfId="92"/>
    <cellStyle name="ОбСмета" xfId="93"/>
    <cellStyle name="Обычный" xfId="0" builtinId="0"/>
    <cellStyle name="Обычный 17" xfId="94"/>
    <cellStyle name="Обычный 2" xfId="95"/>
    <cellStyle name="Обычный 2 2" xfId="96"/>
    <cellStyle name="Обычный 2 2 2" xfId="97"/>
    <cellStyle name="Обычный 2 3" xfId="98"/>
    <cellStyle name="Обычный 2 3 2" xfId="99"/>
    <cellStyle name="Обычный 2 4 4" xfId="100"/>
    <cellStyle name="Обычный 2_1972  Рад" xfId="101"/>
    <cellStyle name="Обычный 3" xfId="102"/>
    <cellStyle name="Обычный 3 2" xfId="103"/>
    <cellStyle name="Обычный 4" xfId="104"/>
    <cellStyle name="Обычный 4 2" xfId="105"/>
    <cellStyle name="Обычный 4 3" xfId="106"/>
    <cellStyle name="Обычный 4_1972р_d0(e01ПД)Сбор скв 804,807,808,809 Пьяновского  м-я_ПД" xfId="107"/>
    <cellStyle name="Обычный 5" xfId="108"/>
    <cellStyle name="Обычный 6" xfId="109"/>
    <cellStyle name="Обычный 7" xfId="110"/>
    <cellStyle name="Обычный 8" xfId="111"/>
    <cellStyle name="Обычный 9" xfId="33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4" builtinId="9" hidden="1"/>
    <cellStyle name="Открывавшаяся гиперссылка" xfId="2" builtinId="9" hidden="1"/>
    <cellStyle name="Параметр" xfId="112"/>
    <cellStyle name="ПеременныеСметы" xfId="113"/>
    <cellStyle name="Процентный 2" xfId="114"/>
    <cellStyle name="Процентный 3" xfId="115"/>
    <cellStyle name="Процентный 4" xfId="116"/>
    <cellStyle name="РесСмета" xfId="117"/>
    <cellStyle name="СводкаСтоимРаб" xfId="118"/>
    <cellStyle name="СводРасч" xfId="119"/>
    <cellStyle name="Стиль 1" xfId="120"/>
    <cellStyle name="Стиль 1 2" xfId="121"/>
    <cellStyle name="Титул" xfId="122"/>
    <cellStyle name="Финансовый" xfId="132" builtinId="3"/>
    <cellStyle name="Финансовый 2" xfId="123"/>
    <cellStyle name="Финансовый 3" xfId="124"/>
    <cellStyle name="Финансовый 4" xfId="125"/>
    <cellStyle name="Хвост" xfId="126"/>
    <cellStyle name="Экспертиза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94</xdr:row>
      <xdr:rowOff>0</xdr:rowOff>
    </xdr:from>
    <xdr:to>
      <xdr:col>7</xdr:col>
      <xdr:colOff>592184</xdr:colOff>
      <xdr:row>117</xdr:row>
      <xdr:rowOff>109869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24201121"/>
          <a:ext cx="8023860" cy="4249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60960</xdr:rowOff>
    </xdr:from>
    <xdr:to>
      <xdr:col>18</xdr:col>
      <xdr:colOff>244812</xdr:colOff>
      <xdr:row>34</xdr:row>
      <xdr:rowOff>76407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901440"/>
          <a:ext cx="11217612" cy="2392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15</xdr:col>
      <xdr:colOff>76200</xdr:colOff>
      <xdr:row>20</xdr:row>
      <xdr:rowOff>72143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220200" cy="3729742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94</xdr:row>
      <xdr:rowOff>0</xdr:rowOff>
    </xdr:from>
    <xdr:to>
      <xdr:col>7</xdr:col>
      <xdr:colOff>592184</xdr:colOff>
      <xdr:row>117</xdr:row>
      <xdr:rowOff>109869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35766375"/>
          <a:ext cx="7810228" cy="4396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3"/>
  <sheetViews>
    <sheetView view="pageBreakPreview" topLeftCell="A16" zoomScale="70" zoomScaleNormal="100" zoomScaleSheetLayoutView="70" workbookViewId="0">
      <selection activeCell="D4" sqref="D4:H4"/>
    </sheetView>
  </sheetViews>
  <sheetFormatPr defaultColWidth="8.5703125" defaultRowHeight="14.25"/>
  <cols>
    <col min="1" max="1" width="6" style="19" customWidth="1"/>
    <col min="2" max="2" width="18.42578125" style="19" bestFit="1" customWidth="1"/>
    <col min="3" max="3" width="7.85546875" style="19" customWidth="1"/>
    <col min="4" max="4" width="11.140625" style="19" customWidth="1"/>
    <col min="5" max="5" width="14.42578125" style="19" customWidth="1"/>
    <col min="6" max="6" width="36.7109375" style="19" customWidth="1"/>
    <col min="7" max="7" width="14.140625" style="22" customWidth="1"/>
    <col min="8" max="8" width="22.85546875" style="23" customWidth="1"/>
    <col min="9" max="9" width="15.85546875" style="19" customWidth="1"/>
    <col min="10" max="10" width="16.28515625" style="19" customWidth="1"/>
    <col min="11" max="11" width="32" style="19" customWidth="1"/>
    <col min="12" max="16384" width="8.5703125" style="19"/>
  </cols>
  <sheetData>
    <row r="1" spans="1:8" ht="34.15" customHeight="1">
      <c r="A1" s="181" t="s">
        <v>35</v>
      </c>
      <c r="B1" s="182"/>
      <c r="C1" s="182"/>
      <c r="D1" s="182"/>
      <c r="E1" s="182"/>
      <c r="F1" s="182"/>
      <c r="G1" s="182"/>
      <c r="H1" s="182"/>
    </row>
    <row r="2" spans="1:8" ht="29.45" customHeight="1">
      <c r="A2" s="183" t="s">
        <v>19</v>
      </c>
      <c r="B2" s="183"/>
      <c r="C2" s="183"/>
      <c r="D2" s="184" t="s">
        <v>71</v>
      </c>
      <c r="E2" s="184"/>
      <c r="F2" s="184"/>
      <c r="G2" s="184"/>
      <c r="H2" s="184"/>
    </row>
    <row r="3" spans="1:8" ht="15" customHeight="1">
      <c r="A3" s="183" t="s">
        <v>17</v>
      </c>
      <c r="B3" s="183"/>
      <c r="C3" s="183"/>
      <c r="D3" s="185"/>
      <c r="E3" s="185"/>
      <c r="F3" s="185"/>
      <c r="G3" s="185"/>
      <c r="H3" s="185"/>
    </row>
    <row r="4" spans="1:8" ht="15.75" customHeight="1" thickBot="1">
      <c r="A4" s="183" t="s">
        <v>18</v>
      </c>
      <c r="B4" s="183"/>
      <c r="C4" s="183"/>
      <c r="D4" s="185"/>
      <c r="E4" s="185"/>
      <c r="F4" s="185"/>
      <c r="G4" s="185"/>
      <c r="H4" s="185"/>
    </row>
    <row r="5" spans="1:8" ht="19.5" customHeight="1">
      <c r="A5" s="186" t="s">
        <v>20</v>
      </c>
      <c r="B5" s="183"/>
      <c r="C5" s="183"/>
      <c r="D5" s="183"/>
      <c r="E5" s="183"/>
      <c r="F5" s="183"/>
      <c r="G5" s="20" t="s">
        <v>0</v>
      </c>
      <c r="H5" s="20" t="s">
        <v>0</v>
      </c>
    </row>
    <row r="6" spans="1:8" ht="30.75" customHeight="1">
      <c r="A6" s="187" t="s">
        <v>21</v>
      </c>
      <c r="B6" s="187"/>
      <c r="C6" s="187"/>
      <c r="D6" s="187"/>
      <c r="E6" s="187"/>
      <c r="F6" s="187"/>
      <c r="G6" s="187"/>
      <c r="H6" s="187"/>
    </row>
    <row r="7" spans="1:8" ht="33" customHeight="1">
      <c r="A7" s="187" t="s">
        <v>22</v>
      </c>
      <c r="B7" s="187"/>
      <c r="C7" s="187"/>
      <c r="D7" s="187"/>
      <c r="E7" s="187"/>
      <c r="F7" s="187"/>
      <c r="G7" s="187"/>
      <c r="H7" s="187"/>
    </row>
    <row r="8" spans="1:8" ht="18">
      <c r="A8" s="188" t="s">
        <v>14</v>
      </c>
      <c r="B8" s="188"/>
      <c r="C8" s="188"/>
      <c r="D8" s="188"/>
      <c r="E8" s="188"/>
      <c r="F8" s="188"/>
      <c r="G8" s="188"/>
      <c r="H8" s="188"/>
    </row>
    <row r="9" spans="1:8" ht="15" customHeight="1">
      <c r="A9" s="179" t="s">
        <v>40</v>
      </c>
      <c r="B9" s="179"/>
      <c r="C9" s="179"/>
      <c r="D9" s="179"/>
      <c r="E9" s="179"/>
      <c r="F9" s="179"/>
      <c r="G9" s="179"/>
      <c r="H9" s="21">
        <v>1</v>
      </c>
    </row>
    <row r="10" spans="1:8" ht="15" customHeight="1">
      <c r="A10" s="179" t="s">
        <v>53</v>
      </c>
      <c r="B10" s="179"/>
      <c r="C10" s="179"/>
      <c r="D10" s="179"/>
      <c r="E10" s="179"/>
      <c r="F10" s="179"/>
      <c r="G10" s="179"/>
      <c r="H10" s="21">
        <v>19</v>
      </c>
    </row>
    <row r="11" spans="1:8" ht="15" customHeight="1">
      <c r="A11" s="179" t="s">
        <v>69</v>
      </c>
      <c r="B11" s="179"/>
      <c r="C11" s="179"/>
      <c r="D11" s="179"/>
      <c r="E11" s="179"/>
      <c r="F11" s="179"/>
      <c r="G11" s="179"/>
      <c r="H11" s="21">
        <f>H12+H13+H14</f>
        <v>338.3</v>
      </c>
    </row>
    <row r="12" spans="1:8" ht="15" customHeight="1">
      <c r="A12" s="180" t="s">
        <v>63</v>
      </c>
      <c r="B12" s="180"/>
      <c r="C12" s="180"/>
      <c r="D12" s="180"/>
      <c r="E12" s="180"/>
      <c r="F12" s="180"/>
      <c r="G12" s="180"/>
      <c r="H12" s="21">
        <v>25.5</v>
      </c>
    </row>
    <row r="13" spans="1:8" ht="15" customHeight="1">
      <c r="A13" s="180" t="s">
        <v>70</v>
      </c>
      <c r="B13" s="180"/>
      <c r="C13" s="180"/>
      <c r="D13" s="180"/>
      <c r="E13" s="180"/>
      <c r="F13" s="180"/>
      <c r="G13" s="180"/>
      <c r="H13" s="21">
        <v>30</v>
      </c>
    </row>
    <row r="14" spans="1:8" ht="15" customHeight="1">
      <c r="A14" s="180" t="s">
        <v>76</v>
      </c>
      <c r="B14" s="180"/>
      <c r="C14" s="180"/>
      <c r="D14" s="180"/>
      <c r="E14" s="180"/>
      <c r="F14" s="180"/>
      <c r="G14" s="180"/>
      <c r="H14" s="32">
        <v>282.8</v>
      </c>
    </row>
    <row r="15" spans="1:8" ht="15" customHeight="1">
      <c r="A15" s="179" t="s">
        <v>41</v>
      </c>
      <c r="B15" s="179"/>
      <c r="C15" s="179"/>
      <c r="D15" s="179"/>
      <c r="E15" s="179"/>
      <c r="F15" s="179"/>
      <c r="G15" s="179"/>
      <c r="H15" s="21">
        <v>50000</v>
      </c>
    </row>
    <row r="16" spans="1:8" ht="15" customHeight="1">
      <c r="A16" s="179" t="s">
        <v>58</v>
      </c>
      <c r="B16" s="179"/>
      <c r="C16" s="179"/>
      <c r="D16" s="179"/>
      <c r="E16" s="179"/>
      <c r="F16" s="179"/>
      <c r="G16" s="179"/>
      <c r="H16" s="21">
        <f>H17+H18+H19</f>
        <v>86</v>
      </c>
    </row>
    <row r="17" spans="1:11" ht="15" customHeight="1">
      <c r="A17" s="180" t="s">
        <v>59</v>
      </c>
      <c r="B17" s="180"/>
      <c r="C17" s="180"/>
      <c r="D17" s="180"/>
      <c r="E17" s="180"/>
      <c r="F17" s="180"/>
      <c r="G17" s="180"/>
      <c r="H17" s="21">
        <v>12</v>
      </c>
    </row>
    <row r="18" spans="1:11" ht="15" customHeight="1">
      <c r="A18" s="180" t="s">
        <v>60</v>
      </c>
      <c r="B18" s="180"/>
      <c r="C18" s="180"/>
      <c r="D18" s="180"/>
      <c r="E18" s="180"/>
      <c r="F18" s="180"/>
      <c r="G18" s="180"/>
      <c r="H18" s="21">
        <v>23</v>
      </c>
    </row>
    <row r="19" spans="1:11" ht="23.45" customHeight="1">
      <c r="A19" s="145" t="s">
        <v>73</v>
      </c>
      <c r="B19" s="146"/>
      <c r="C19" s="146"/>
      <c r="D19" s="146"/>
      <c r="E19" s="146"/>
      <c r="F19" s="146"/>
      <c r="G19" s="147"/>
      <c r="H19" s="30">
        <v>51</v>
      </c>
    </row>
    <row r="20" spans="1:11" ht="15" customHeight="1">
      <c r="A20" s="179" t="s">
        <v>15</v>
      </c>
      <c r="B20" s="179"/>
      <c r="C20" s="179"/>
      <c r="D20" s="179"/>
      <c r="E20" s="179"/>
      <c r="F20" s="179"/>
      <c r="G20" s="179"/>
      <c r="H20" s="21">
        <v>15</v>
      </c>
    </row>
    <row r="21" spans="1:11" ht="15" customHeight="1">
      <c r="A21" s="179" t="s">
        <v>61</v>
      </c>
      <c r="B21" s="179"/>
      <c r="C21" s="179"/>
      <c r="D21" s="179"/>
      <c r="E21" s="179"/>
      <c r="F21" s="179"/>
      <c r="G21" s="179"/>
      <c r="H21" s="21">
        <v>4</v>
      </c>
    </row>
    <row r="22" spans="1:11" ht="14.45" customHeight="1">
      <c r="A22" s="179" t="s">
        <v>34</v>
      </c>
      <c r="B22" s="179"/>
      <c r="C22" s="179"/>
      <c r="D22" s="179"/>
      <c r="E22" s="179"/>
      <c r="F22" s="179"/>
      <c r="G22" s="179"/>
      <c r="H22" s="21">
        <v>3</v>
      </c>
    </row>
    <row r="23" spans="1:11" ht="18.600000000000001" customHeight="1">
      <c r="A23" s="201" t="s">
        <v>68</v>
      </c>
      <c r="B23" s="201"/>
      <c r="C23" s="201"/>
      <c r="D23" s="201"/>
      <c r="E23" s="201"/>
      <c r="F23" s="201"/>
      <c r="G23" s="201"/>
      <c r="H23" s="201"/>
    </row>
    <row r="24" spans="1:11" ht="36.6" customHeight="1" thickBot="1">
      <c r="A24" s="200" t="s">
        <v>67</v>
      </c>
      <c r="B24" s="200"/>
      <c r="C24" s="200"/>
      <c r="D24" s="200"/>
      <c r="E24" s="200"/>
      <c r="F24" s="200"/>
      <c r="G24" s="200"/>
      <c r="H24" s="200"/>
    </row>
    <row r="25" spans="1:11" ht="15" customHeight="1">
      <c r="A25" s="221" t="s">
        <v>1</v>
      </c>
      <c r="B25" s="223" t="s">
        <v>2</v>
      </c>
      <c r="C25" s="223"/>
      <c r="D25" s="224" t="s">
        <v>3</v>
      </c>
      <c r="E25" s="224"/>
      <c r="F25" s="224"/>
      <c r="G25" s="224"/>
      <c r="H25" s="219" t="s">
        <v>8</v>
      </c>
    </row>
    <row r="26" spans="1:11" ht="48">
      <c r="A26" s="222"/>
      <c r="B26" s="218"/>
      <c r="C26" s="218"/>
      <c r="D26" s="136" t="s">
        <v>4</v>
      </c>
      <c r="E26" s="136" t="s">
        <v>5</v>
      </c>
      <c r="F26" s="136" t="s">
        <v>6</v>
      </c>
      <c r="G26" s="136" t="s">
        <v>7</v>
      </c>
      <c r="H26" s="220"/>
    </row>
    <row r="27" spans="1:11" ht="15.75" customHeight="1">
      <c r="A27" s="137">
        <v>1</v>
      </c>
      <c r="B27" s="218">
        <v>2</v>
      </c>
      <c r="C27" s="218"/>
      <c r="D27" s="138">
        <v>3</v>
      </c>
      <c r="E27" s="138">
        <v>4</v>
      </c>
      <c r="F27" s="138">
        <v>5</v>
      </c>
      <c r="G27" s="138">
        <v>6</v>
      </c>
      <c r="H27" s="139">
        <v>7</v>
      </c>
    </row>
    <row r="28" spans="1:11" ht="15.75" customHeight="1" thickBot="1">
      <c r="A28" s="194" t="s">
        <v>52</v>
      </c>
      <c r="B28" s="195"/>
      <c r="C28" s="195"/>
      <c r="D28" s="195"/>
      <c r="E28" s="195"/>
      <c r="F28" s="195"/>
      <c r="G28" s="195"/>
      <c r="H28" s="196"/>
    </row>
    <row r="29" spans="1:11" ht="160.9" customHeight="1">
      <c r="A29" s="173" t="s">
        <v>42</v>
      </c>
      <c r="B29" s="192" t="s">
        <v>43</v>
      </c>
      <c r="C29" s="192"/>
      <c r="D29" s="71"/>
      <c r="E29" s="72" t="s">
        <v>44</v>
      </c>
      <c r="F29" s="73" t="str">
        <f>CONCATENATE(TEXT(G30,"# ##0,0"),"+",G32)</f>
        <v>60 120,0+85,75</v>
      </c>
      <c r="G29" s="86"/>
      <c r="H29" s="197">
        <f>G30+G32</f>
        <v>60205.75</v>
      </c>
      <c r="J29" s="210"/>
      <c r="K29" s="150"/>
    </row>
    <row r="30" spans="1:11" ht="15">
      <c r="A30" s="173"/>
      <c r="B30" s="193" t="s">
        <v>12</v>
      </c>
      <c r="C30" s="193"/>
      <c r="D30" s="140">
        <f>H16+H21</f>
        <v>90</v>
      </c>
      <c r="E30" s="71">
        <v>668</v>
      </c>
      <c r="F30" s="74" t="str">
        <f>CONCATENATE(TEXT(E30,"# ##0,0"),"*",D30)</f>
        <v>668,0*90</v>
      </c>
      <c r="G30" s="87">
        <f>D30*E30</f>
        <v>60120</v>
      </c>
      <c r="H30" s="198"/>
      <c r="J30" s="210"/>
      <c r="K30" s="150"/>
    </row>
    <row r="31" spans="1:11" ht="15">
      <c r="A31" s="173"/>
      <c r="B31" s="148" t="s">
        <v>45</v>
      </c>
      <c r="C31" s="148"/>
      <c r="D31" s="141">
        <f>H15/100000</f>
        <v>0.5</v>
      </c>
      <c r="E31" s="71">
        <v>49</v>
      </c>
      <c r="F31" s="74" t="str">
        <f>CONCATENATE(TEXT(E31,"# ##0,0"),"*",D31)</f>
        <v>49,0*0,5</v>
      </c>
      <c r="G31" s="86">
        <f>D31*E31</f>
        <v>24.5</v>
      </c>
      <c r="H31" s="198"/>
      <c r="J31" s="210"/>
      <c r="K31" s="150"/>
    </row>
    <row r="32" spans="1:11" ht="15.75" customHeight="1" thickBot="1">
      <c r="A32" s="174"/>
      <c r="B32" s="149" t="s">
        <v>46</v>
      </c>
      <c r="C32" s="149"/>
      <c r="D32" s="142"/>
      <c r="E32" s="142">
        <v>3.5</v>
      </c>
      <c r="F32" s="143" t="str">
        <f>CONCATENATE(TEXT(G31,"# ##0,0"),"*",E32)</f>
        <v>24,5*3,5</v>
      </c>
      <c r="G32" s="144">
        <f>ROUND(G31*E32,2)</f>
        <v>85.75</v>
      </c>
      <c r="H32" s="199"/>
      <c r="J32" s="210"/>
      <c r="K32" s="150"/>
    </row>
    <row r="33" spans="1:11" ht="15.75" customHeight="1" thickBot="1">
      <c r="A33" s="255" t="s">
        <v>54</v>
      </c>
      <c r="B33" s="256"/>
      <c r="C33" s="256"/>
      <c r="D33" s="257"/>
      <c r="E33" s="127">
        <v>20.294</v>
      </c>
      <c r="F33" s="128" t="str">
        <f>CONCATENATE(TEXT(H29,"# ##0,0"),"*",E33)</f>
        <v>60 205,8*20,294</v>
      </c>
      <c r="G33" s="135"/>
      <c r="H33" s="134">
        <f>H29*E33</f>
        <v>1221815.4905000001</v>
      </c>
      <c r="J33" s="210"/>
      <c r="K33" s="150"/>
    </row>
    <row r="34" spans="1:11" ht="15.75" thickBot="1">
      <c r="A34" s="270" t="s">
        <v>62</v>
      </c>
      <c r="B34" s="270"/>
      <c r="C34" s="270"/>
      <c r="D34" s="270"/>
      <c r="E34" s="270"/>
      <c r="F34" s="270"/>
      <c r="G34" s="270"/>
      <c r="H34" s="271"/>
    </row>
    <row r="35" spans="1:11" ht="53.45" customHeight="1">
      <c r="A35" s="165" t="s">
        <v>10</v>
      </c>
      <c r="B35" s="263" t="s">
        <v>89</v>
      </c>
      <c r="C35" s="263"/>
      <c r="D35" s="24"/>
      <c r="E35" s="25" t="s">
        <v>11</v>
      </c>
      <c r="F35" s="26"/>
      <c r="G35" s="66"/>
      <c r="H35" s="264">
        <f>G40+G42</f>
        <v>53640.112097600002</v>
      </c>
      <c r="I35" s="70"/>
    </row>
    <row r="36" spans="1:11" ht="15">
      <c r="A36" s="165"/>
      <c r="B36" s="167" t="s">
        <v>12</v>
      </c>
      <c r="C36" s="167"/>
      <c r="D36" s="27">
        <f>H17</f>
        <v>12</v>
      </c>
      <c r="E36" s="27">
        <v>1363</v>
      </c>
      <c r="F36" s="28" t="str">
        <f>CONCATENATE("(",TEXT(E36,"# ##0,0"),")*",D36)</f>
        <v>(1 363,0)*12</v>
      </c>
      <c r="G36" s="66">
        <f>E36*D36</f>
        <v>16356</v>
      </c>
      <c r="H36" s="265"/>
      <c r="I36" s="70"/>
    </row>
    <row r="37" spans="1:11" ht="28.15" customHeight="1">
      <c r="A37" s="165"/>
      <c r="B37" s="171" t="s">
        <v>27</v>
      </c>
      <c r="C37" s="171"/>
      <c r="D37" s="44">
        <f>H12/1000</f>
        <v>2.5499999999999998E-2</v>
      </c>
      <c r="E37" s="27">
        <f>(1-0.9*(1-D37))</f>
        <v>0.12295</v>
      </c>
      <c r="F37" s="28" t="str">
        <f>CONCATENATE(TEXT(G36,"# ##0,0"),"*","(1,0 - 0,90(1 - n))")</f>
        <v>16 356,0*(1,0 - 0,90(1 - n))</v>
      </c>
      <c r="G37" s="84">
        <f>G36*(1-0.9*(1-D37))</f>
        <v>2010.9702</v>
      </c>
      <c r="H37" s="265"/>
      <c r="I37" s="70"/>
    </row>
    <row r="38" spans="1:11" ht="56.45" customHeight="1">
      <c r="A38" s="165"/>
      <c r="B38" s="172" t="s">
        <v>24</v>
      </c>
      <c r="C38" s="172"/>
      <c r="D38" s="27">
        <v>15</v>
      </c>
      <c r="E38" s="27">
        <f>(1+0.6*(D38-1))</f>
        <v>9.4</v>
      </c>
      <c r="F38" s="28" t="str">
        <f>CONCATENATE(TEXT(G37,"# ##0,00"),"*","(1,0 + 0,60(n - 1))")</f>
        <v>2 010,97*(1,0 + 0,60(n - 1))</v>
      </c>
      <c r="G38" s="84">
        <f>G37*(1+0.6*(D38-1))</f>
        <v>18903.119880000002</v>
      </c>
      <c r="H38" s="265"/>
      <c r="I38" s="70"/>
      <c r="J38" s="45"/>
    </row>
    <row r="39" spans="1:11" ht="57.75" customHeight="1">
      <c r="A39" s="165"/>
      <c r="B39" s="172" t="s">
        <v>25</v>
      </c>
      <c r="C39" s="172"/>
      <c r="D39" s="27">
        <f>H17</f>
        <v>12</v>
      </c>
      <c r="E39" s="27">
        <f>(1+0.1*(D39-1))</f>
        <v>2.1</v>
      </c>
      <c r="F39" s="28" t="str">
        <f>CONCATENATE(TEXT(G38,"# ##0,00"),"*","(1+0,1(",D39,"-1))")</f>
        <v>18 903,12*(1+0,1(12-1))</v>
      </c>
      <c r="G39" s="66">
        <f>G38*(1+0.1*(D39-1))</f>
        <v>39696.551748000005</v>
      </c>
      <c r="H39" s="265"/>
      <c r="I39" s="70"/>
    </row>
    <row r="40" spans="1:11" ht="87.6" customHeight="1">
      <c r="A40" s="165"/>
      <c r="B40" s="172" t="s">
        <v>26</v>
      </c>
      <c r="C40" s="172"/>
      <c r="D40" s="27">
        <f>H22</f>
        <v>3</v>
      </c>
      <c r="E40" s="27">
        <f>(1+0.1*(D40-1))</f>
        <v>1.2</v>
      </c>
      <c r="F40" s="28" t="str">
        <f>CONCATENATE(TEXT(G39,"# ##0,0"),"*","(1+0,1(",D40,"-1))")</f>
        <v>39 696,6*(1+0,1(3-1))</v>
      </c>
      <c r="G40" s="67">
        <f>G39*(1+0.1*(D40-1))</f>
        <v>47635.862097600002</v>
      </c>
      <c r="H40" s="265"/>
      <c r="I40" s="70"/>
    </row>
    <row r="41" spans="1:11" ht="30" customHeight="1">
      <c r="A41" s="165"/>
      <c r="B41" s="268" t="s">
        <v>45</v>
      </c>
      <c r="C41" s="269"/>
      <c r="D41" s="43">
        <f>H15/100000</f>
        <v>0.5</v>
      </c>
      <c r="E41" s="27">
        <v>3431</v>
      </c>
      <c r="F41" s="28" t="str">
        <f>CONCATENATE("(",TEXT(E41,"# ##0,0"),")*",D41)</f>
        <v>(3 431,0)*0,5</v>
      </c>
      <c r="G41" s="66">
        <f>D41*E41</f>
        <v>1715.5</v>
      </c>
      <c r="H41" s="265"/>
      <c r="I41" s="212"/>
      <c r="J41" s="211"/>
    </row>
    <row r="42" spans="1:11" ht="85.9" customHeight="1" thickBot="1">
      <c r="A42" s="262"/>
      <c r="B42" s="267" t="s">
        <v>28</v>
      </c>
      <c r="C42" s="267"/>
      <c r="D42" s="61"/>
      <c r="E42" s="62">
        <v>3.5</v>
      </c>
      <c r="F42" s="63" t="str">
        <f>CONCATENATE(TEXT(G41,"# ##0,0"),"*",E42)</f>
        <v>1 715,5*3,5</v>
      </c>
      <c r="G42" s="68">
        <f>ROUND(G41*E42,2)</f>
        <v>6004.25</v>
      </c>
      <c r="H42" s="266"/>
      <c r="I42" s="212"/>
      <c r="J42" s="211"/>
    </row>
    <row r="43" spans="1:11" ht="16.5" thickBot="1">
      <c r="A43" s="155" t="s">
        <v>54</v>
      </c>
      <c r="B43" s="156"/>
      <c r="C43" s="156"/>
      <c r="D43" s="64"/>
      <c r="E43" s="65">
        <v>20.294</v>
      </c>
      <c r="F43" s="39" t="str">
        <f>CONCATENATE(TEXT(H35,"# ##0,0"),"*",E43)</f>
        <v>53 640,1*20,294</v>
      </c>
      <c r="G43" s="69"/>
      <c r="H43" s="78">
        <f>H35*E43</f>
        <v>1088572.4349086944</v>
      </c>
      <c r="I43" s="70"/>
    </row>
    <row r="44" spans="1:11" ht="45">
      <c r="A44" s="233" t="s">
        <v>51</v>
      </c>
      <c r="B44" s="250" t="s">
        <v>81</v>
      </c>
      <c r="C44" s="250"/>
      <c r="D44" s="53">
        <v>4</v>
      </c>
      <c r="E44" s="58" t="s">
        <v>9</v>
      </c>
      <c r="F44" s="50" t="str">
        <f>CONCATENATE("1,05*0,260*",TEXT(D44,"# ##0"),"+2637,7*",TEXT(D44,"# ##0"),"*(0,2+0,076)*1,8")</f>
        <v>1,05*0,260*4+2637,7*4*(0,2+0,076)*1,8</v>
      </c>
      <c r="G44" s="54">
        <f>1.05*0.26*4+2637.7*4*(0.2+0.076)*1.8</f>
        <v>5242.7294400000001</v>
      </c>
      <c r="H44" s="253">
        <f>G45</f>
        <v>62912.753280000004</v>
      </c>
    </row>
    <row r="45" spans="1:11" ht="15.75" thickBot="1">
      <c r="A45" s="235"/>
      <c r="B45" s="227" t="s">
        <v>85</v>
      </c>
      <c r="C45" s="227"/>
      <c r="D45" s="52">
        <f>D36</f>
        <v>12</v>
      </c>
      <c r="E45" s="55">
        <f>G44</f>
        <v>5242.7294400000001</v>
      </c>
      <c r="F45" s="57" t="str">
        <f>CONCATENATE(TEXT(D45,"# ##0"),"*",E45)</f>
        <v>12*5242,72944</v>
      </c>
      <c r="G45" s="56">
        <f>G44*D45</f>
        <v>62912.753280000004</v>
      </c>
      <c r="H45" s="254"/>
    </row>
    <row r="46" spans="1:11" ht="16.149999999999999" customHeight="1" thickBot="1">
      <c r="A46" s="236" t="s">
        <v>96</v>
      </c>
      <c r="B46" s="237"/>
      <c r="C46" s="237"/>
      <c r="D46" s="237"/>
      <c r="E46" s="237"/>
      <c r="F46" s="237"/>
      <c r="G46" s="237"/>
      <c r="H46" s="133">
        <f>(H43+H44)</f>
        <v>1151485.1881886944</v>
      </c>
    </row>
    <row r="47" spans="1:11" ht="26.45" customHeight="1" thickBot="1">
      <c r="A47" s="175" t="s">
        <v>64</v>
      </c>
      <c r="B47" s="176"/>
      <c r="C47" s="176"/>
      <c r="D47" s="176"/>
      <c r="E47" s="176"/>
      <c r="F47" s="176"/>
      <c r="G47" s="176"/>
      <c r="H47" s="177"/>
    </row>
    <row r="48" spans="1:11" ht="67.900000000000006" customHeight="1">
      <c r="A48" s="178" t="s">
        <v>13</v>
      </c>
      <c r="B48" s="202" t="s">
        <v>55</v>
      </c>
      <c r="C48" s="202"/>
      <c r="D48" s="88"/>
      <c r="E48" s="89" t="s">
        <v>23</v>
      </c>
      <c r="F48" s="90" t="str">
        <f>CONCATENATE(TEXT(G49,"# ##0,0"),"+",G50)</f>
        <v>55 566,0+19,25</v>
      </c>
      <c r="G48" s="91"/>
      <c r="H48" s="197">
        <f>G49+G50</f>
        <v>55585.25</v>
      </c>
    </row>
    <row r="49" spans="1:8" ht="15">
      <c r="A49" s="173"/>
      <c r="B49" s="193" t="s">
        <v>12</v>
      </c>
      <c r="C49" s="193"/>
      <c r="D49" s="71">
        <f>H17+H19</f>
        <v>63</v>
      </c>
      <c r="E49" s="71">
        <v>882</v>
      </c>
      <c r="F49" s="74" t="str">
        <f>CONCATENATE(TEXT(E49,"# ##0,0"),"*",D49)</f>
        <v>882,0*63</v>
      </c>
      <c r="G49" s="87">
        <f>D49*E49</f>
        <v>55566</v>
      </c>
      <c r="H49" s="198"/>
    </row>
    <row r="50" spans="1:8" ht="38.450000000000003" customHeight="1" thickBot="1">
      <c r="A50" s="173"/>
      <c r="B50" s="148" t="s">
        <v>45</v>
      </c>
      <c r="C50" s="148"/>
      <c r="D50" s="71">
        <f>H15/100000</f>
        <v>0.5</v>
      </c>
      <c r="E50" s="71">
        <v>11</v>
      </c>
      <c r="F50" s="74" t="str">
        <f>CONCATENATE(TEXT(G49,"# ##0,0"),"*",E50,"*","3,5",)</f>
        <v>55 566,0*11*3,5</v>
      </c>
      <c r="G50" s="87">
        <f>D50*E50*3.5</f>
        <v>19.25</v>
      </c>
      <c r="H50" s="199"/>
    </row>
    <row r="51" spans="1:8" ht="15" customHeight="1" thickBot="1">
      <c r="A51" s="153" t="s">
        <v>54</v>
      </c>
      <c r="B51" s="154"/>
      <c r="C51" s="154"/>
      <c r="D51" s="75"/>
      <c r="E51" s="76">
        <v>20.294</v>
      </c>
      <c r="F51" s="77" t="str">
        <f>CONCATENATE(TEXT(H55,"# ##0,0"),"*",E51)</f>
        <v>1 410 058,8*20,294</v>
      </c>
      <c r="G51" s="85"/>
      <c r="H51" s="79">
        <f>H48*E51</f>
        <v>1128047.0634999999</v>
      </c>
    </row>
    <row r="52" spans="1:8" ht="45">
      <c r="A52" s="233" t="s">
        <v>33</v>
      </c>
      <c r="B52" s="250" t="s">
        <v>81</v>
      </c>
      <c r="C52" s="250"/>
      <c r="D52" s="53">
        <v>4</v>
      </c>
      <c r="E52" s="58" t="s">
        <v>9</v>
      </c>
      <c r="F52" s="50" t="str">
        <f>CONCATENATE("1,05*0,260*",TEXT(D52,"# ##0"),"+2637,7*",TEXT(D52,"# ##0"),"*(0,2+0,076)*1,8")</f>
        <v>1,05*0,260*4+2637,7*4*(0,2+0,076)*1,8</v>
      </c>
      <c r="G52" s="114">
        <f>1.05*0.26*4+2637.7*4*(0.2+0.076)*1.8</f>
        <v>5242.7294400000001</v>
      </c>
      <c r="H52" s="251">
        <f>E54*D54</f>
        <v>282011.76587499998</v>
      </c>
    </row>
    <row r="53" spans="1:8" ht="15" customHeight="1">
      <c r="A53" s="234"/>
      <c r="B53" s="258" t="s">
        <v>85</v>
      </c>
      <c r="C53" s="258"/>
      <c r="D53" s="80">
        <f>D49</f>
        <v>63</v>
      </c>
      <c r="E53" s="81">
        <f>G52</f>
        <v>5242.7294400000001</v>
      </c>
      <c r="F53" s="82" t="str">
        <f>CONCATENATE(TEXT(D53,"# ##0"),"*",E53)</f>
        <v>63*5242,72944</v>
      </c>
      <c r="G53" s="107">
        <f>G52*D53</f>
        <v>330291.95471999998</v>
      </c>
      <c r="H53" s="261"/>
    </row>
    <row r="54" spans="1:8" ht="15" customHeight="1" thickBot="1">
      <c r="A54" s="235"/>
      <c r="B54" s="259" t="s">
        <v>93</v>
      </c>
      <c r="C54" s="260"/>
      <c r="D54" s="112">
        <v>0.25</v>
      </c>
      <c r="E54" s="113">
        <f>H51</f>
        <v>1128047.0634999999</v>
      </c>
      <c r="F54" s="57" t="str">
        <f>CONCATENATE(TEXT(D54,"# ##0%"),"*",TEXT(E54,"# ##0,00"))</f>
        <v>25%*1 128 047,06</v>
      </c>
      <c r="G54" s="115">
        <f>E54*D54</f>
        <v>282011.76587499998</v>
      </c>
      <c r="H54" s="252"/>
    </row>
    <row r="55" spans="1:8" ht="15" customHeight="1" thickBot="1">
      <c r="A55" s="236" t="s">
        <v>95</v>
      </c>
      <c r="B55" s="237"/>
      <c r="C55" s="237"/>
      <c r="D55" s="237"/>
      <c r="E55" s="237"/>
      <c r="F55" s="237"/>
      <c r="G55" s="237"/>
      <c r="H55" s="111">
        <f>(H51+H52)</f>
        <v>1410058.829375</v>
      </c>
    </row>
    <row r="56" spans="1:8" ht="15">
      <c r="A56" s="213" t="s">
        <v>72</v>
      </c>
      <c r="B56" s="214"/>
      <c r="C56" s="214"/>
      <c r="D56" s="214"/>
      <c r="E56" s="214"/>
      <c r="F56" s="214"/>
      <c r="G56" s="214"/>
      <c r="H56" s="215"/>
    </row>
    <row r="57" spans="1:8" ht="45">
      <c r="A57" s="216" t="s">
        <v>74</v>
      </c>
      <c r="B57" s="244" t="s">
        <v>47</v>
      </c>
      <c r="C57" s="245"/>
      <c r="D57" s="97"/>
      <c r="E57" s="98" t="s">
        <v>11</v>
      </c>
      <c r="F57" s="99" t="str">
        <f>CONCATENATE(TEXT(G60,"# ##0,0"),"+",G62)</f>
        <v>37 618,8+6004,25</v>
      </c>
      <c r="G57" s="100"/>
      <c r="H57" s="225">
        <f>G60+G62</f>
        <v>43623.049999999996</v>
      </c>
    </row>
    <row r="58" spans="1:8" ht="15">
      <c r="A58" s="216"/>
      <c r="B58" s="245" t="s">
        <v>12</v>
      </c>
      <c r="C58" s="245"/>
      <c r="D58" s="100">
        <f>H18</f>
        <v>23</v>
      </c>
      <c r="E58" s="100">
        <v>1363</v>
      </c>
      <c r="F58" s="101" t="str">
        <f>CONCATENATE("(",TEXT(E58,"# ##0,0"),")*",D58)</f>
        <v>(1 363,0)*23</v>
      </c>
      <c r="G58" s="100">
        <f>E58*D58</f>
        <v>31349</v>
      </c>
      <c r="H58" s="225"/>
    </row>
    <row r="59" spans="1:8" ht="47.45" customHeight="1">
      <c r="A59" s="216"/>
      <c r="B59" s="248" t="s">
        <v>48</v>
      </c>
      <c r="C59" s="248"/>
      <c r="D59" s="100">
        <f>H15*2/100000</f>
        <v>1</v>
      </c>
      <c r="E59" s="100">
        <f>(1-0.9*(1-D59))</f>
        <v>1</v>
      </c>
      <c r="F59" s="101" t="str">
        <f>CONCATENATE(TEXT(G58,"# ##0,0"),"*","(1,0 - 0,90(1 - n))")</f>
        <v>31 349,0*(1,0 - 0,90(1 - n))</v>
      </c>
      <c r="G59" s="100">
        <f>G58*(1-0.9*(1-D59))</f>
        <v>31349</v>
      </c>
      <c r="H59" s="225"/>
    </row>
    <row r="60" spans="1:8" ht="84" customHeight="1">
      <c r="A60" s="216"/>
      <c r="B60" s="247" t="s">
        <v>26</v>
      </c>
      <c r="C60" s="247"/>
      <c r="D60" s="100">
        <v>3</v>
      </c>
      <c r="E60" s="100">
        <f>(1+0.1*(D60-1))</f>
        <v>1.2</v>
      </c>
      <c r="F60" s="101" t="str">
        <f>CONCATENATE(TEXT(G59,"# ##0,0"),"*","(1+0,1(",D60,"-1))")</f>
        <v>31 349,0*(1+0,1(3-1))</v>
      </c>
      <c r="G60" s="98">
        <f>G59*(1+0.1*(D60-1))</f>
        <v>37618.799999999996</v>
      </c>
      <c r="H60" s="225"/>
    </row>
    <row r="61" spans="1:8" ht="15">
      <c r="A61" s="216"/>
      <c r="B61" s="243" t="s">
        <v>49</v>
      </c>
      <c r="C61" s="243"/>
      <c r="D61" s="100">
        <f>H15/100000</f>
        <v>0.5</v>
      </c>
      <c r="E61" s="100">
        <v>3431</v>
      </c>
      <c r="F61" s="101" t="str">
        <f>CONCATENATE("(",TEXT(E61,"# ##0,0"),")*",D61)</f>
        <v>(3 431,0)*0,5</v>
      </c>
      <c r="G61" s="100">
        <f>D61*E61</f>
        <v>1715.5</v>
      </c>
      <c r="H61" s="225"/>
    </row>
    <row r="62" spans="1:8" ht="75" customHeight="1" thickBot="1">
      <c r="A62" s="217"/>
      <c r="B62" s="249" t="s">
        <v>50</v>
      </c>
      <c r="C62" s="249"/>
      <c r="D62" s="103"/>
      <c r="E62" s="104">
        <v>3.5</v>
      </c>
      <c r="F62" s="105" t="str">
        <f>CONCATENATE(TEXT(G61,"# ##0,0"),"*",E62)</f>
        <v>1 715,5*3,5</v>
      </c>
      <c r="G62" s="106">
        <f>ROUND(G61*E62,2)</f>
        <v>6004.25</v>
      </c>
      <c r="H62" s="226"/>
    </row>
    <row r="63" spans="1:8" ht="16.5" thickBot="1">
      <c r="A63" s="246" t="s">
        <v>54</v>
      </c>
      <c r="B63" s="246"/>
      <c r="C63" s="246"/>
      <c r="D63" s="92"/>
      <c r="E63" s="93">
        <v>20.294</v>
      </c>
      <c r="F63" s="94" t="str">
        <f>CONCATENATE(TEXT(H57,"# ##0,0"),"*",E63)</f>
        <v>43 623,1*20,294</v>
      </c>
      <c r="G63" s="95"/>
      <c r="H63" s="96">
        <f>H57*E63</f>
        <v>885286.17669999995</v>
      </c>
    </row>
    <row r="64" spans="1:8" ht="45">
      <c r="A64" s="233" t="s">
        <v>75</v>
      </c>
      <c r="B64" s="250" t="s">
        <v>81</v>
      </c>
      <c r="C64" s="250"/>
      <c r="D64" s="53">
        <v>4</v>
      </c>
      <c r="E64" s="58" t="s">
        <v>9</v>
      </c>
      <c r="F64" s="50" t="str">
        <f>CONCATENATE("1,05*0,260*",TEXT(D64,"# ##0"),"+2637,7*",TEXT(D64,"# ##0"),"*(0,2+0,076)*1,8")</f>
        <v>1,05*0,260*4+2637,7*4*(0,2+0,076)*1,8</v>
      </c>
      <c r="G64" s="54">
        <f>1.05*0.26*4+2637.7*4*(0.2+0.076)*1.8</f>
        <v>5242.7294400000001</v>
      </c>
      <c r="H64" s="251">
        <f>G65</f>
        <v>120582.77712</v>
      </c>
    </row>
    <row r="65" spans="1:8" ht="15" customHeight="1" thickBot="1">
      <c r="A65" s="235"/>
      <c r="B65" s="227" t="s">
        <v>85</v>
      </c>
      <c r="C65" s="227"/>
      <c r="D65" s="52">
        <f>D58</f>
        <v>23</v>
      </c>
      <c r="E65" s="55">
        <f>G64</f>
        <v>5242.7294400000001</v>
      </c>
      <c r="F65" s="57" t="str">
        <f>CONCATENATE(TEXT(D65,"# ##0"),"*",E65)</f>
        <v>23*5242,72944</v>
      </c>
      <c r="G65" s="56">
        <f>G64*D65</f>
        <v>120582.77712</v>
      </c>
      <c r="H65" s="252"/>
    </row>
    <row r="66" spans="1:8" ht="15" customHeight="1" thickBot="1">
      <c r="A66" s="236" t="s">
        <v>94</v>
      </c>
      <c r="B66" s="237"/>
      <c r="C66" s="237"/>
      <c r="D66" s="237"/>
      <c r="E66" s="237"/>
      <c r="F66" s="237"/>
      <c r="G66" s="237"/>
      <c r="H66" s="83">
        <f>(H63+H64)</f>
        <v>1005868.9538199999</v>
      </c>
    </row>
    <row r="67" spans="1:8" ht="39" customHeight="1" thickBot="1">
      <c r="A67" s="163" t="s">
        <v>92</v>
      </c>
      <c r="B67" s="163"/>
      <c r="C67" s="163"/>
      <c r="D67" s="163"/>
      <c r="E67" s="163"/>
      <c r="F67" s="163"/>
      <c r="G67" s="163"/>
      <c r="H67" s="164"/>
    </row>
    <row r="68" spans="1:8" ht="41.45" customHeight="1">
      <c r="A68" s="165" t="s">
        <v>37</v>
      </c>
      <c r="B68" s="166" t="s">
        <v>47</v>
      </c>
      <c r="C68" s="167"/>
      <c r="D68" s="24"/>
      <c r="E68" s="29" t="s">
        <v>11</v>
      </c>
      <c r="F68" s="26" t="str">
        <f>CONCATENATE(TEXT(G71,"# ##0,0"),"+",G73)</f>
        <v>83 415,6+6004,25</v>
      </c>
      <c r="G68" s="125"/>
      <c r="H68" s="168">
        <f>G71+G73</f>
        <v>89419.849999999991</v>
      </c>
    </row>
    <row r="69" spans="1:8" ht="13.9" customHeight="1">
      <c r="A69" s="165"/>
      <c r="B69" s="167" t="s">
        <v>12</v>
      </c>
      <c r="C69" s="167"/>
      <c r="D69" s="27">
        <f>H19</f>
        <v>51</v>
      </c>
      <c r="E69" s="27">
        <v>1363</v>
      </c>
      <c r="F69" s="28" t="str">
        <f>CONCATENATE("(",TEXT(E69,"# ##0,0"),")*",D69)</f>
        <v>(1 363,0)*51</v>
      </c>
      <c r="G69" s="125">
        <f>E69*D69</f>
        <v>69513</v>
      </c>
      <c r="H69" s="169"/>
    </row>
    <row r="70" spans="1:8" ht="39.6" customHeight="1">
      <c r="A70" s="165"/>
      <c r="B70" s="171" t="s">
        <v>48</v>
      </c>
      <c r="C70" s="171"/>
      <c r="D70" s="27">
        <f>H15*2/100000</f>
        <v>1</v>
      </c>
      <c r="E70" s="27">
        <f>(1-0.9*(1-D70))</f>
        <v>1</v>
      </c>
      <c r="F70" s="28" t="str">
        <f>CONCATENATE(TEXT(G69,"# ##0,0"),"*","(1,0 - 0,90(1 - n))")</f>
        <v>69 513,0*(1,0 - 0,90(1 - n))</v>
      </c>
      <c r="G70" s="125">
        <f>G69*(1-0.9*(1-D70))</f>
        <v>69513</v>
      </c>
      <c r="H70" s="169"/>
    </row>
    <row r="71" spans="1:8" ht="87" customHeight="1">
      <c r="A71" s="165"/>
      <c r="B71" s="172" t="s">
        <v>26</v>
      </c>
      <c r="C71" s="172"/>
      <c r="D71" s="27">
        <v>3</v>
      </c>
      <c r="E71" s="27">
        <f>(1+0.1*(D71-1))</f>
        <v>1.2</v>
      </c>
      <c r="F71" s="28" t="str">
        <f>CONCATENATE(TEXT(G70,"# ##0,0"),"*","(1+0,1(",D71,"-1))")</f>
        <v>69 513,0*(1+0,1(3-1))</v>
      </c>
      <c r="G71" s="126">
        <f>G70*(1+0.1*(D71-1))</f>
        <v>83415.599999999991</v>
      </c>
      <c r="H71" s="169"/>
    </row>
    <row r="72" spans="1:8" ht="36" customHeight="1">
      <c r="A72" s="165"/>
      <c r="B72" s="165" t="s">
        <v>49</v>
      </c>
      <c r="C72" s="165"/>
      <c r="D72" s="27">
        <f>H15/100000</f>
        <v>0.5</v>
      </c>
      <c r="E72" s="27">
        <v>3431</v>
      </c>
      <c r="F72" s="28" t="str">
        <f>CONCATENATE("(",TEXT(E72,"# ##0,0"),")*",D72)</f>
        <v>(3 431,0)*0,5</v>
      </c>
      <c r="G72" s="125">
        <f>D72*E72</f>
        <v>1715.5</v>
      </c>
      <c r="H72" s="169"/>
    </row>
    <row r="73" spans="1:8" ht="13.9" customHeight="1" thickBot="1">
      <c r="A73" s="165"/>
      <c r="B73" s="172" t="s">
        <v>50</v>
      </c>
      <c r="C73" s="172"/>
      <c r="D73" s="24"/>
      <c r="E73" s="27">
        <v>3.5</v>
      </c>
      <c r="F73" s="28" t="str">
        <f>CONCATENATE(TEXT(G72,"# ##0,0"),"*",E73)</f>
        <v>1 715,5*3,5</v>
      </c>
      <c r="G73" s="126">
        <f>ROUND(G72*E73,2)</f>
        <v>6004.25</v>
      </c>
      <c r="H73" s="170"/>
    </row>
    <row r="74" spans="1:8" ht="16.5" thickBot="1">
      <c r="A74" s="189" t="s">
        <v>54</v>
      </c>
      <c r="B74" s="190"/>
      <c r="C74" s="190"/>
      <c r="D74" s="191"/>
      <c r="E74" s="40">
        <v>20.294</v>
      </c>
      <c r="F74" s="41" t="str">
        <f>CONCATENATE(TEXT(H68,"# ##0,0"),"*",E74)</f>
        <v>89 419,9*20,294</v>
      </c>
      <c r="G74" s="124"/>
      <c r="H74" s="78">
        <f>H68*E74</f>
        <v>1814686.4358999999</v>
      </c>
    </row>
    <row r="75" spans="1:8" ht="45">
      <c r="A75" s="49" t="s">
        <v>38</v>
      </c>
      <c r="B75" s="250" t="s">
        <v>81</v>
      </c>
      <c r="C75" s="250"/>
      <c r="D75" s="53">
        <v>4</v>
      </c>
      <c r="E75" s="58" t="s">
        <v>9</v>
      </c>
      <c r="F75" s="50" t="str">
        <f>CONCATENATE("1,05*0,260*",TEXT(D75,"# ##0"),"+2637,7*",TEXT(D75,"# ##0"),"*(0,2+0,076)*1,8")</f>
        <v>1,05*0,260*4+2637,7*4*(0,2+0,076)*1,8</v>
      </c>
      <c r="G75" s="54">
        <f>1.05*0.26*4+2637.7*4*(0.2+0.076)*1.8</f>
        <v>5242.7294400000001</v>
      </c>
      <c r="H75" s="251">
        <f>G76</f>
        <v>267379.20143999998</v>
      </c>
    </row>
    <row r="76" spans="1:8" ht="15.75" thickBot="1">
      <c r="A76" s="51"/>
      <c r="B76" s="227" t="s">
        <v>85</v>
      </c>
      <c r="C76" s="227"/>
      <c r="D76" s="52">
        <f>D69</f>
        <v>51</v>
      </c>
      <c r="E76" s="55">
        <f>G75</f>
        <v>5242.7294400000001</v>
      </c>
      <c r="F76" s="57" t="str">
        <f>CONCATENATE(TEXT(D76,"# ##0"),"*",E76)</f>
        <v>51*5242,72944</v>
      </c>
      <c r="G76" s="132">
        <f>G75*D76</f>
        <v>267379.20143999998</v>
      </c>
      <c r="H76" s="252"/>
    </row>
    <row r="77" spans="1:8" ht="16.5" thickBot="1">
      <c r="A77" s="236" t="s">
        <v>90</v>
      </c>
      <c r="B77" s="237"/>
      <c r="C77" s="237"/>
      <c r="D77" s="237"/>
      <c r="E77" s="237"/>
      <c r="F77" s="237"/>
      <c r="G77" s="237"/>
      <c r="H77" s="123">
        <f>H74+H75</f>
        <v>2082065.6373399999</v>
      </c>
    </row>
    <row r="78" spans="1:8" ht="13.9" customHeight="1" thickBot="1">
      <c r="A78" s="209" t="s">
        <v>88</v>
      </c>
      <c r="B78" s="209"/>
      <c r="C78" s="209"/>
      <c r="D78" s="209"/>
      <c r="E78" s="209"/>
      <c r="F78" s="209"/>
      <c r="G78" s="209"/>
      <c r="H78" s="209"/>
    </row>
    <row r="79" spans="1:8" ht="189" customHeight="1">
      <c r="A79" s="205" t="s">
        <v>77</v>
      </c>
      <c r="B79" s="207" t="s">
        <v>79</v>
      </c>
      <c r="C79" s="208"/>
      <c r="D79" s="33"/>
      <c r="E79" s="34" t="s">
        <v>23</v>
      </c>
      <c r="F79" s="42" t="str">
        <f>CONCATENATE(TEXT(G80,"# ##0,0"),"+",G81)</f>
        <v>75 852,0+5,5</v>
      </c>
      <c r="G79" s="35"/>
      <c r="H79" s="157">
        <f>G80+G81</f>
        <v>75857.5</v>
      </c>
    </row>
    <row r="80" spans="1:8" ht="15">
      <c r="A80" s="206"/>
      <c r="B80" s="159" t="s">
        <v>12</v>
      </c>
      <c r="C80" s="160"/>
      <c r="D80" s="36">
        <f>H16</f>
        <v>86</v>
      </c>
      <c r="E80" s="36">
        <v>882</v>
      </c>
      <c r="F80" s="37" t="str">
        <f>CONCATENATE(TEXT(D80,"# ##0"),"*",E80)</f>
        <v>86*882</v>
      </c>
      <c r="G80" s="38">
        <f>D80*E80</f>
        <v>75852</v>
      </c>
      <c r="H80" s="158"/>
    </row>
    <row r="81" spans="1:11" ht="15.75" thickBot="1">
      <c r="A81" s="206"/>
      <c r="B81" s="161" t="s">
        <v>45</v>
      </c>
      <c r="C81" s="162"/>
      <c r="D81" s="46">
        <f>$H$15/100000</f>
        <v>0.5</v>
      </c>
      <c r="E81" s="46">
        <v>11</v>
      </c>
      <c r="F81" s="47" t="str">
        <f>CONCATENATE(TEXT(D81,"# ##0,0"),"*",E81)</f>
        <v>0,5*11</v>
      </c>
      <c r="G81" s="48">
        <f>D81*E81</f>
        <v>5.5</v>
      </c>
      <c r="H81" s="158"/>
      <c r="I81" s="31"/>
      <c r="J81" s="31"/>
      <c r="K81" s="31"/>
    </row>
    <row r="82" spans="1:11" ht="15" customHeight="1" thickBot="1">
      <c r="A82" s="231" t="s">
        <v>54</v>
      </c>
      <c r="B82" s="232"/>
      <c r="C82" s="232"/>
      <c r="D82" s="232"/>
      <c r="E82" s="127">
        <v>20.294</v>
      </c>
      <c r="F82" s="128" t="str">
        <f>CONCATENATE(TEXT(H79,"# ##0,0"),"*",E82)</f>
        <v>75 857,5*20,294</v>
      </c>
      <c r="G82" s="129"/>
      <c r="H82" s="130">
        <f>H79*E82</f>
        <v>1539452.105</v>
      </c>
    </row>
    <row r="83" spans="1:11" ht="45">
      <c r="A83" s="233" t="s">
        <v>78</v>
      </c>
      <c r="B83" s="204" t="s">
        <v>81</v>
      </c>
      <c r="C83" s="204"/>
      <c r="D83" s="118">
        <v>4</v>
      </c>
      <c r="E83" s="119" t="s">
        <v>9</v>
      </c>
      <c r="F83" s="120" t="str">
        <f>CONCATENATE("1,05*0,260*",TEXT(D83,"# ##0"),"+2637,7*",TEXT(D83,"# ##0"),"*(0,2+0,076)*1,8")</f>
        <v>1,05*0,260*4+2637,7*4*(0,2+0,076)*1,8</v>
      </c>
      <c r="G83" s="121">
        <f>1.05*0.26*4+2637.7*4*(0.2+0.076)*1.8</f>
        <v>5242.7294400000001</v>
      </c>
      <c r="H83" s="228">
        <f>G85</f>
        <v>384863.02625</v>
      </c>
    </row>
    <row r="84" spans="1:11" ht="15">
      <c r="A84" s="234"/>
      <c r="B84" s="203" t="s">
        <v>85</v>
      </c>
      <c r="C84" s="203"/>
      <c r="D84" s="108">
        <f>D80</f>
        <v>86</v>
      </c>
      <c r="E84" s="109">
        <f>G83</f>
        <v>5242.7294400000001</v>
      </c>
      <c r="F84" s="110" t="str">
        <f>CONCATENATE(TEXT(D84,"# ##0"),"*",E84)</f>
        <v>86*5242,72944</v>
      </c>
      <c r="G84" s="116">
        <f>G83*D84</f>
        <v>450874.73184000002</v>
      </c>
      <c r="H84" s="229"/>
    </row>
    <row r="85" spans="1:11" ht="15.75" thickBot="1">
      <c r="A85" s="235"/>
      <c r="B85" s="227" t="s">
        <v>93</v>
      </c>
      <c r="C85" s="227"/>
      <c r="D85" s="112">
        <v>0.25</v>
      </c>
      <c r="E85" s="113">
        <f>H82</f>
        <v>1539452.105</v>
      </c>
      <c r="F85" s="57" t="str">
        <f>CONCATENATE(TEXT(D85,"# ##0%"),"*",TEXT(E85,"# ##0,00"))</f>
        <v>25%*1 539 452,11</v>
      </c>
      <c r="G85" s="117">
        <f>E85*D85</f>
        <v>384863.02625</v>
      </c>
      <c r="H85" s="230"/>
    </row>
    <row r="86" spans="1:11" ht="16.5" thickBot="1">
      <c r="A86" s="236" t="s">
        <v>87</v>
      </c>
      <c r="B86" s="237"/>
      <c r="C86" s="237"/>
      <c r="D86" s="237"/>
      <c r="E86" s="237"/>
      <c r="F86" s="237"/>
      <c r="G86" s="239"/>
      <c r="H86" s="122">
        <f>H82+H83</f>
        <v>1924315.1312500001</v>
      </c>
    </row>
    <row r="87" spans="1:11" ht="28.15" customHeight="1" thickBot="1">
      <c r="A87" s="240" t="s">
        <v>36</v>
      </c>
      <c r="B87" s="241"/>
      <c r="C87" s="241"/>
      <c r="D87" s="241"/>
      <c r="E87" s="241"/>
      <c r="F87" s="241"/>
      <c r="G87" s="242"/>
      <c r="H87" s="131">
        <f>H33+H46+H55+H66+H77+H86</f>
        <v>8795609.2304736935</v>
      </c>
    </row>
    <row r="88" spans="1:11" ht="17.45" customHeight="1">
      <c r="A88" s="151" t="s">
        <v>83</v>
      </c>
      <c r="B88" s="151"/>
      <c r="C88" s="151"/>
      <c r="D88" s="151"/>
      <c r="E88" s="151"/>
      <c r="F88" s="151"/>
      <c r="G88" s="151"/>
      <c r="H88" s="151"/>
    </row>
    <row r="89" spans="1:11" ht="17.45" customHeight="1">
      <c r="A89" s="151" t="s">
        <v>82</v>
      </c>
      <c r="B89" s="151"/>
      <c r="C89" s="151"/>
      <c r="D89" s="151"/>
      <c r="E89" s="151"/>
      <c r="F89" s="151"/>
      <c r="G89" s="151"/>
      <c r="H89" s="151"/>
    </row>
    <row r="90" spans="1:11" ht="17.45" customHeight="1">
      <c r="A90" s="151" t="s">
        <v>80</v>
      </c>
      <c r="B90" s="151"/>
      <c r="C90" s="151"/>
      <c r="D90" s="151"/>
      <c r="E90" s="151"/>
      <c r="F90" s="151"/>
      <c r="G90" s="151"/>
      <c r="H90" s="151"/>
    </row>
    <row r="91" spans="1:11" ht="40.9" customHeight="1">
      <c r="A91" s="151" t="s">
        <v>91</v>
      </c>
      <c r="B91" s="151"/>
      <c r="C91" s="151"/>
      <c r="D91" s="151"/>
      <c r="E91" s="151"/>
      <c r="F91" s="151"/>
      <c r="G91" s="151"/>
      <c r="H91" s="151"/>
    </row>
    <row r="92" spans="1:11" ht="17.45" customHeight="1">
      <c r="A92" s="151" t="s">
        <v>86</v>
      </c>
      <c r="B92" s="151"/>
      <c r="C92" s="151"/>
      <c r="D92" s="151"/>
      <c r="E92" s="151"/>
      <c r="F92" s="151"/>
      <c r="G92" s="151"/>
      <c r="H92" s="151"/>
    </row>
    <row r="93" spans="1:11" ht="17.45" customHeight="1">
      <c r="A93" s="151" t="s">
        <v>84</v>
      </c>
      <c r="B93" s="151"/>
      <c r="C93" s="151"/>
      <c r="D93" s="151"/>
      <c r="E93" s="151"/>
      <c r="F93" s="151"/>
      <c r="G93" s="151"/>
      <c r="H93" s="151"/>
    </row>
    <row r="94" spans="1:11">
      <c r="A94" s="152"/>
      <c r="B94" s="152"/>
      <c r="C94" s="152"/>
      <c r="D94" s="152"/>
      <c r="E94" s="152"/>
      <c r="F94" s="152"/>
      <c r="G94" s="152"/>
      <c r="H94" s="152"/>
    </row>
    <row r="112" ht="17.45" customHeight="1"/>
    <row r="117" spans="1:8" ht="21" customHeight="1"/>
    <row r="119" spans="1:8" ht="13.9" customHeight="1">
      <c r="A119" s="238" t="s">
        <v>65</v>
      </c>
      <c r="B119" s="238"/>
      <c r="C119" s="238"/>
      <c r="D119" s="238"/>
      <c r="E119" s="238"/>
      <c r="F119" s="238"/>
      <c r="G119" s="238"/>
      <c r="H119" s="238"/>
    </row>
    <row r="123" spans="1:8" ht="15">
      <c r="B123" s="31"/>
      <c r="C123" s="31"/>
      <c r="D123" s="31"/>
      <c r="E123" s="31"/>
      <c r="F123" s="31"/>
      <c r="G123" s="31"/>
      <c r="H123" s="31"/>
    </row>
  </sheetData>
  <mergeCells count="125">
    <mergeCell ref="A119:H119"/>
    <mergeCell ref="A86:G86"/>
    <mergeCell ref="A87:G87"/>
    <mergeCell ref="B61:C61"/>
    <mergeCell ref="B57:C57"/>
    <mergeCell ref="A63:C63"/>
    <mergeCell ref="B60:C60"/>
    <mergeCell ref="B58:C58"/>
    <mergeCell ref="B59:C59"/>
    <mergeCell ref="B62:C62"/>
    <mergeCell ref="B75:C75"/>
    <mergeCell ref="H75:H76"/>
    <mergeCell ref="B76:C76"/>
    <mergeCell ref="A77:G77"/>
    <mergeCell ref="B64:C64"/>
    <mergeCell ref="H64:H65"/>
    <mergeCell ref="B65:C65"/>
    <mergeCell ref="J29:J33"/>
    <mergeCell ref="J41:J42"/>
    <mergeCell ref="I41:I42"/>
    <mergeCell ref="A56:H56"/>
    <mergeCell ref="A57:A62"/>
    <mergeCell ref="B27:C27"/>
    <mergeCell ref="H25:H26"/>
    <mergeCell ref="A25:A26"/>
    <mergeCell ref="B25:C26"/>
    <mergeCell ref="D25:G25"/>
    <mergeCell ref="H57:H62"/>
    <mergeCell ref="A52:A54"/>
    <mergeCell ref="A44:A45"/>
    <mergeCell ref="B44:C44"/>
    <mergeCell ref="H44:H45"/>
    <mergeCell ref="A33:D33"/>
    <mergeCell ref="B52:C52"/>
    <mergeCell ref="B53:C53"/>
    <mergeCell ref="A55:G55"/>
    <mergeCell ref="B54:C54"/>
    <mergeCell ref="H52:H54"/>
    <mergeCell ref="A35:A42"/>
    <mergeCell ref="B35:C35"/>
    <mergeCell ref="H35:H42"/>
    <mergeCell ref="B84:C84"/>
    <mergeCell ref="A91:H91"/>
    <mergeCell ref="A92:H92"/>
    <mergeCell ref="A93:H93"/>
    <mergeCell ref="A89:H89"/>
    <mergeCell ref="B83:C83"/>
    <mergeCell ref="A79:A81"/>
    <mergeCell ref="B79:C79"/>
    <mergeCell ref="A78:H78"/>
    <mergeCell ref="B85:C85"/>
    <mergeCell ref="H83:H85"/>
    <mergeCell ref="A82:D82"/>
    <mergeCell ref="A83:A85"/>
    <mergeCell ref="A74:D74"/>
    <mergeCell ref="B40:C40"/>
    <mergeCell ref="B39:C39"/>
    <mergeCell ref="B29:C29"/>
    <mergeCell ref="B30:C30"/>
    <mergeCell ref="A28:H28"/>
    <mergeCell ref="H29:H32"/>
    <mergeCell ref="A24:H24"/>
    <mergeCell ref="A23:H23"/>
    <mergeCell ref="B48:C48"/>
    <mergeCell ref="H48:H50"/>
    <mergeCell ref="B49:C49"/>
    <mergeCell ref="B50:C50"/>
    <mergeCell ref="A64:A65"/>
    <mergeCell ref="A66:G66"/>
    <mergeCell ref="B36:C36"/>
    <mergeCell ref="B37:C37"/>
    <mergeCell ref="B38:C38"/>
    <mergeCell ref="B42:C42"/>
    <mergeCell ref="B41:C41"/>
    <mergeCell ref="A34:H34"/>
    <mergeCell ref="B45:C45"/>
    <mergeCell ref="A46:G46"/>
    <mergeCell ref="A21:G21"/>
    <mergeCell ref="A22:G22"/>
    <mergeCell ref="A15:G15"/>
    <mergeCell ref="A16:G16"/>
    <mergeCell ref="A17:G17"/>
    <mergeCell ref="A18:G18"/>
    <mergeCell ref="A20:G20"/>
    <mergeCell ref="A1:H1"/>
    <mergeCell ref="A2:C2"/>
    <mergeCell ref="D2:H2"/>
    <mergeCell ref="A3:C3"/>
    <mergeCell ref="D3:H3"/>
    <mergeCell ref="D4:H4"/>
    <mergeCell ref="A5:F5"/>
    <mergeCell ref="A4:C4"/>
    <mergeCell ref="A7:H7"/>
    <mergeCell ref="A8:H8"/>
    <mergeCell ref="A6:H6"/>
    <mergeCell ref="A9:G9"/>
    <mergeCell ref="A10:G10"/>
    <mergeCell ref="A11:G11"/>
    <mergeCell ref="A12:G12"/>
    <mergeCell ref="A13:G13"/>
    <mergeCell ref="A14:G14"/>
    <mergeCell ref="A19:G19"/>
    <mergeCell ref="B31:C31"/>
    <mergeCell ref="B32:C32"/>
    <mergeCell ref="K29:K33"/>
    <mergeCell ref="A88:H88"/>
    <mergeCell ref="A94:H94"/>
    <mergeCell ref="A90:H90"/>
    <mergeCell ref="A51:C51"/>
    <mergeCell ref="A43:C43"/>
    <mergeCell ref="H79:H81"/>
    <mergeCell ref="B80:C80"/>
    <mergeCell ref="B81:C81"/>
    <mergeCell ref="A67:H67"/>
    <mergeCell ref="A68:A73"/>
    <mergeCell ref="B68:C68"/>
    <mergeCell ref="H68:H73"/>
    <mergeCell ref="B69:C69"/>
    <mergeCell ref="B70:C70"/>
    <mergeCell ref="B71:C71"/>
    <mergeCell ref="B72:C72"/>
    <mergeCell ref="B73:C73"/>
    <mergeCell ref="A29:A32"/>
    <mergeCell ref="A47:H47"/>
    <mergeCell ref="A48:A50"/>
  </mergeCells>
  <pageMargins left="0.82677165354330717" right="0.23622047244094491" top="0.74803149606299213" bottom="0.74803149606299213" header="0.31496062992125984" footer="0.31496062992125984"/>
  <pageSetup paperSize="9" scale="46" fitToHeight="0" orientation="portrait" r:id="rId1"/>
  <rowBreaks count="2" manualBreakCount="2">
    <brk id="33" max="10" man="1"/>
    <brk id="5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6"/>
  <sheetViews>
    <sheetView view="pageBreakPreview" zoomScaleNormal="100" zoomScaleSheetLayoutView="100" workbookViewId="0">
      <selection activeCell="C15" sqref="C15"/>
    </sheetView>
  </sheetViews>
  <sheetFormatPr defaultColWidth="8.5703125" defaultRowHeight="15"/>
  <cols>
    <col min="1" max="1" width="13.42578125" customWidth="1"/>
    <col min="2" max="2" width="6.42578125" customWidth="1"/>
    <col min="3" max="3" width="39.7109375" customWidth="1"/>
    <col min="4" max="4" width="22.140625" customWidth="1"/>
  </cols>
  <sheetData>
    <row r="1" spans="1:5" ht="21" customHeight="1">
      <c r="A1" s="277" t="s">
        <v>29</v>
      </c>
      <c r="B1" s="278"/>
      <c r="C1" s="278"/>
      <c r="D1" s="278"/>
      <c r="E1" s="5"/>
    </row>
    <row r="2" spans="1:5" s="10" customFormat="1" ht="21" customHeight="1">
      <c r="A2" s="11"/>
      <c r="B2" s="12"/>
      <c r="C2" s="12"/>
      <c r="D2" s="12"/>
      <c r="E2" s="4"/>
    </row>
    <row r="3" spans="1:5" ht="18.75">
      <c r="A3" s="274" t="s">
        <v>30</v>
      </c>
      <c r="B3" s="275"/>
      <c r="C3" s="276"/>
      <c r="D3" s="6" t="s">
        <v>56</v>
      </c>
      <c r="E3" s="2" t="s">
        <v>0</v>
      </c>
    </row>
    <row r="4" spans="1:5" ht="19.5" thickBot="1">
      <c r="A4" s="279" t="s">
        <v>31</v>
      </c>
      <c r="B4" s="280"/>
      <c r="C4" s="281"/>
      <c r="D4" s="7" t="s">
        <v>57</v>
      </c>
      <c r="E4" s="3" t="s">
        <v>0</v>
      </c>
    </row>
    <row r="5" spans="1:5">
      <c r="A5" s="284"/>
      <c r="B5" s="285"/>
      <c r="C5" s="1" t="s">
        <v>0</v>
      </c>
      <c r="D5" s="1" t="s">
        <v>0</v>
      </c>
      <c r="E5" s="1" t="s">
        <v>0</v>
      </c>
    </row>
    <row r="6" spans="1:5" ht="18.75" customHeight="1">
      <c r="A6" s="283" t="s">
        <v>1</v>
      </c>
      <c r="B6" s="283" t="s">
        <v>2</v>
      </c>
      <c r="C6" s="283"/>
      <c r="D6" s="282" t="s">
        <v>32</v>
      </c>
    </row>
    <row r="7" spans="1:5" ht="37.5" customHeight="1">
      <c r="A7" s="283"/>
      <c r="B7" s="283"/>
      <c r="C7" s="283"/>
      <c r="D7" s="282"/>
    </row>
    <row r="8" spans="1:5">
      <c r="A8" s="14">
        <v>1</v>
      </c>
      <c r="B8" s="286">
        <v>2</v>
      </c>
      <c r="C8" s="286"/>
      <c r="D8" s="14">
        <v>5</v>
      </c>
    </row>
    <row r="9" spans="1:5" s="8" customFormat="1" ht="49.15" customHeight="1">
      <c r="A9" s="18">
        <v>1</v>
      </c>
      <c r="B9" s="287" t="s">
        <v>39</v>
      </c>
      <c r="C9" s="287"/>
      <c r="D9" s="17">
        <f>'Кадастровые работы'!H87</f>
        <v>8795609.2304736935</v>
      </c>
    </row>
    <row r="10" spans="1:5" s="16" customFormat="1" ht="18" customHeight="1">
      <c r="A10" s="288" t="s">
        <v>16</v>
      </c>
      <c r="B10" s="289"/>
      <c r="C10" s="290"/>
      <c r="D10" s="15">
        <f>SUM(D9:D9)</f>
        <v>8795609.2304736935</v>
      </c>
    </row>
    <row r="11" spans="1:5">
      <c r="A11" s="9"/>
      <c r="B11" s="9"/>
      <c r="D11" s="13"/>
    </row>
    <row r="12" spans="1:5" ht="18.75">
      <c r="A12" s="272" t="s">
        <v>66</v>
      </c>
      <c r="B12" s="273"/>
      <c r="C12" s="273"/>
      <c r="D12" s="273"/>
    </row>
    <row r="13" spans="1:5">
      <c r="A13" s="9"/>
      <c r="B13" s="9"/>
      <c r="C13" s="9"/>
      <c r="D13" s="9"/>
    </row>
    <row r="14" spans="1:5">
      <c r="A14" s="9"/>
      <c r="B14" s="9"/>
      <c r="C14" s="9"/>
      <c r="D14" s="9"/>
    </row>
    <row r="15" spans="1:5">
      <c r="A15" s="9"/>
      <c r="B15" s="9"/>
      <c r="C15" s="9"/>
      <c r="D15" s="9"/>
    </row>
    <row r="16" spans="1:5">
      <c r="A16" s="9"/>
      <c r="B16" s="9"/>
      <c r="C16" s="9"/>
      <c r="D16" s="9"/>
    </row>
  </sheetData>
  <mergeCells count="11">
    <mergeCell ref="A12:D12"/>
    <mergeCell ref="A3:C3"/>
    <mergeCell ref="A1:D1"/>
    <mergeCell ref="A4:C4"/>
    <mergeCell ref="D6:D7"/>
    <mergeCell ref="A6:A7"/>
    <mergeCell ref="B6:C7"/>
    <mergeCell ref="A5:B5"/>
    <mergeCell ref="B8:C8"/>
    <mergeCell ref="B9:C9"/>
    <mergeCell ref="A10:C10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3"/>
  <sheetViews>
    <sheetView tabSelected="1" view="pageBreakPreview" topLeftCell="A25" zoomScale="70" zoomScaleNormal="100" zoomScaleSheetLayoutView="70" workbookViewId="0">
      <selection activeCell="D40" sqref="D40"/>
    </sheetView>
  </sheetViews>
  <sheetFormatPr defaultColWidth="8.5703125" defaultRowHeight="14.25"/>
  <cols>
    <col min="1" max="1" width="6" style="19" customWidth="1"/>
    <col min="2" max="2" width="18.42578125" style="19" bestFit="1" customWidth="1"/>
    <col min="3" max="3" width="7.85546875" style="19" customWidth="1"/>
    <col min="4" max="4" width="11.140625" style="19" customWidth="1"/>
    <col min="5" max="5" width="14.42578125" style="19" customWidth="1"/>
    <col min="6" max="6" width="36.7109375" style="19" customWidth="1"/>
    <col min="7" max="7" width="14.140625" style="22" customWidth="1"/>
    <col min="8" max="8" width="22.85546875" style="23" customWidth="1"/>
    <col min="9" max="9" width="15.85546875" style="19" customWidth="1"/>
    <col min="10" max="10" width="16.28515625" style="19" customWidth="1"/>
    <col min="11" max="11" width="32" style="19" customWidth="1"/>
    <col min="12" max="16384" width="8.5703125" style="19"/>
  </cols>
  <sheetData>
    <row r="1" spans="1:8" ht="34.15" customHeight="1">
      <c r="A1" s="181" t="s">
        <v>35</v>
      </c>
      <c r="B1" s="182"/>
      <c r="C1" s="182"/>
      <c r="D1" s="182"/>
      <c r="E1" s="182"/>
      <c r="F1" s="182"/>
      <c r="G1" s="182"/>
      <c r="H1" s="182"/>
    </row>
    <row r="2" spans="1:8" ht="29.45" customHeight="1">
      <c r="A2" s="183" t="s">
        <v>19</v>
      </c>
      <c r="B2" s="183"/>
      <c r="C2" s="183"/>
      <c r="D2" s="184" t="s">
        <v>71</v>
      </c>
      <c r="E2" s="184"/>
      <c r="F2" s="184"/>
      <c r="G2" s="184"/>
      <c r="H2" s="184"/>
    </row>
    <row r="3" spans="1:8" ht="15" customHeight="1">
      <c r="A3" s="183" t="s">
        <v>17</v>
      </c>
      <c r="B3" s="183"/>
      <c r="C3" s="183"/>
      <c r="D3" s="185"/>
      <c r="E3" s="185"/>
      <c r="F3" s="185"/>
      <c r="G3" s="185"/>
      <c r="H3" s="185"/>
    </row>
    <row r="4" spans="1:8" ht="15.75" customHeight="1" thickBot="1">
      <c r="A4" s="183" t="s">
        <v>18</v>
      </c>
      <c r="B4" s="183"/>
      <c r="C4" s="183"/>
      <c r="D4" s="185"/>
      <c r="E4" s="185"/>
      <c r="F4" s="185"/>
      <c r="G4" s="185"/>
      <c r="H4" s="185"/>
    </row>
    <row r="5" spans="1:8" ht="19.5" customHeight="1">
      <c r="A5" s="186" t="s">
        <v>20</v>
      </c>
      <c r="B5" s="183"/>
      <c r="C5" s="183"/>
      <c r="D5" s="183"/>
      <c r="E5" s="183"/>
      <c r="F5" s="183"/>
      <c r="G5" s="20" t="s">
        <v>0</v>
      </c>
      <c r="H5" s="20" t="s">
        <v>0</v>
      </c>
    </row>
    <row r="6" spans="1:8" ht="30.75" customHeight="1">
      <c r="A6" s="187" t="s">
        <v>21</v>
      </c>
      <c r="B6" s="187"/>
      <c r="C6" s="187"/>
      <c r="D6" s="187"/>
      <c r="E6" s="187"/>
      <c r="F6" s="187"/>
      <c r="G6" s="187"/>
      <c r="H6" s="187"/>
    </row>
    <row r="7" spans="1:8" ht="33" customHeight="1">
      <c r="A7" s="187" t="s">
        <v>22</v>
      </c>
      <c r="B7" s="187"/>
      <c r="C7" s="187"/>
      <c r="D7" s="187"/>
      <c r="E7" s="187"/>
      <c r="F7" s="187"/>
      <c r="G7" s="187"/>
      <c r="H7" s="187"/>
    </row>
    <row r="8" spans="1:8" ht="18">
      <c r="A8" s="188" t="s">
        <v>14</v>
      </c>
      <c r="B8" s="188"/>
      <c r="C8" s="188"/>
      <c r="D8" s="188"/>
      <c r="E8" s="188"/>
      <c r="F8" s="188"/>
      <c r="G8" s="188"/>
      <c r="H8" s="188"/>
    </row>
    <row r="9" spans="1:8" ht="15" customHeight="1">
      <c r="A9" s="179" t="s">
        <v>40</v>
      </c>
      <c r="B9" s="179"/>
      <c r="C9" s="179"/>
      <c r="D9" s="179"/>
      <c r="E9" s="179"/>
      <c r="F9" s="179"/>
      <c r="G9" s="179"/>
      <c r="H9" s="21">
        <v>1</v>
      </c>
    </row>
    <row r="10" spans="1:8" ht="15" customHeight="1">
      <c r="A10" s="179" t="s">
        <v>53</v>
      </c>
      <c r="B10" s="179"/>
      <c r="C10" s="179"/>
      <c r="D10" s="179"/>
      <c r="E10" s="179"/>
      <c r="F10" s="179"/>
      <c r="G10" s="179"/>
      <c r="H10" s="21">
        <v>19</v>
      </c>
    </row>
    <row r="11" spans="1:8" ht="15" customHeight="1">
      <c r="A11" s="179" t="s">
        <v>69</v>
      </c>
      <c r="B11" s="179"/>
      <c r="C11" s="179"/>
      <c r="D11" s="179"/>
      <c r="E11" s="179"/>
      <c r="F11" s="179"/>
      <c r="G11" s="179"/>
      <c r="H11" s="21">
        <f>H12+H13+H14</f>
        <v>338.3</v>
      </c>
    </row>
    <row r="12" spans="1:8" ht="15" customHeight="1">
      <c r="A12" s="180" t="s">
        <v>63</v>
      </c>
      <c r="B12" s="180"/>
      <c r="C12" s="180"/>
      <c r="D12" s="180"/>
      <c r="E12" s="180"/>
      <c r="F12" s="180"/>
      <c r="G12" s="180"/>
      <c r="H12" s="21">
        <v>25.5</v>
      </c>
    </row>
    <row r="13" spans="1:8" ht="15" customHeight="1">
      <c r="A13" s="180" t="s">
        <v>70</v>
      </c>
      <c r="B13" s="180"/>
      <c r="C13" s="180"/>
      <c r="D13" s="180"/>
      <c r="E13" s="180"/>
      <c r="F13" s="180"/>
      <c r="G13" s="180"/>
      <c r="H13" s="21">
        <v>30</v>
      </c>
    </row>
    <row r="14" spans="1:8" ht="15" customHeight="1">
      <c r="A14" s="180" t="s">
        <v>76</v>
      </c>
      <c r="B14" s="180"/>
      <c r="C14" s="180"/>
      <c r="D14" s="180"/>
      <c r="E14" s="180"/>
      <c r="F14" s="180"/>
      <c r="G14" s="180"/>
      <c r="H14" s="32">
        <v>282.8</v>
      </c>
    </row>
    <row r="15" spans="1:8" ht="15" customHeight="1">
      <c r="A15" s="179" t="s">
        <v>41</v>
      </c>
      <c r="B15" s="179"/>
      <c r="C15" s="179"/>
      <c r="D15" s="179"/>
      <c r="E15" s="179"/>
      <c r="F15" s="179"/>
      <c r="G15" s="179"/>
      <c r="H15" s="21">
        <v>50000</v>
      </c>
    </row>
    <row r="16" spans="1:8" ht="15" customHeight="1">
      <c r="A16" s="179" t="s">
        <v>58</v>
      </c>
      <c r="B16" s="179"/>
      <c r="C16" s="179"/>
      <c r="D16" s="179"/>
      <c r="E16" s="179"/>
      <c r="F16" s="179"/>
      <c r="G16" s="179"/>
      <c r="H16" s="21">
        <f>H17+H18+H19</f>
        <v>86</v>
      </c>
    </row>
    <row r="17" spans="1:11" ht="15" customHeight="1">
      <c r="A17" s="180" t="s">
        <v>59</v>
      </c>
      <c r="B17" s="180"/>
      <c r="C17" s="180"/>
      <c r="D17" s="180"/>
      <c r="E17" s="180"/>
      <c r="F17" s="180"/>
      <c r="G17" s="180"/>
      <c r="H17" s="21">
        <v>12</v>
      </c>
    </row>
    <row r="18" spans="1:11" ht="15" customHeight="1">
      <c r="A18" s="180" t="s">
        <v>60</v>
      </c>
      <c r="B18" s="180"/>
      <c r="C18" s="180"/>
      <c r="D18" s="180"/>
      <c r="E18" s="180"/>
      <c r="F18" s="180"/>
      <c r="G18" s="180"/>
      <c r="H18" s="21">
        <v>23</v>
      </c>
    </row>
    <row r="19" spans="1:11" ht="23.45" customHeight="1">
      <c r="A19" s="145" t="s">
        <v>73</v>
      </c>
      <c r="B19" s="146"/>
      <c r="C19" s="146"/>
      <c r="D19" s="146"/>
      <c r="E19" s="146"/>
      <c r="F19" s="146"/>
      <c r="G19" s="147"/>
      <c r="H19" s="30">
        <v>51</v>
      </c>
    </row>
    <row r="20" spans="1:11" ht="15" customHeight="1">
      <c r="A20" s="179" t="s">
        <v>15</v>
      </c>
      <c r="B20" s="179"/>
      <c r="C20" s="179"/>
      <c r="D20" s="179"/>
      <c r="E20" s="179"/>
      <c r="F20" s="179"/>
      <c r="G20" s="179"/>
      <c r="H20" s="21">
        <v>15</v>
      </c>
    </row>
    <row r="21" spans="1:11" ht="15" customHeight="1">
      <c r="A21" s="179" t="s">
        <v>61</v>
      </c>
      <c r="B21" s="179"/>
      <c r="C21" s="179"/>
      <c r="D21" s="179"/>
      <c r="E21" s="179"/>
      <c r="F21" s="179"/>
      <c r="G21" s="179"/>
      <c r="H21" s="21">
        <v>4</v>
      </c>
    </row>
    <row r="22" spans="1:11" ht="14.45" customHeight="1">
      <c r="A22" s="179" t="s">
        <v>34</v>
      </c>
      <c r="B22" s="179"/>
      <c r="C22" s="179"/>
      <c r="D22" s="179"/>
      <c r="E22" s="179"/>
      <c r="F22" s="179"/>
      <c r="G22" s="179"/>
      <c r="H22" s="21">
        <v>3</v>
      </c>
    </row>
    <row r="23" spans="1:11" ht="18.600000000000001" customHeight="1">
      <c r="A23" s="201" t="s">
        <v>68</v>
      </c>
      <c r="B23" s="201"/>
      <c r="C23" s="201"/>
      <c r="D23" s="201"/>
      <c r="E23" s="201"/>
      <c r="F23" s="201"/>
      <c r="G23" s="201"/>
      <c r="H23" s="201"/>
    </row>
    <row r="24" spans="1:11" ht="36.6" customHeight="1" thickBot="1">
      <c r="A24" s="200" t="s">
        <v>67</v>
      </c>
      <c r="B24" s="200"/>
      <c r="C24" s="200"/>
      <c r="D24" s="200"/>
      <c r="E24" s="200"/>
      <c r="F24" s="200"/>
      <c r="G24" s="200"/>
      <c r="H24" s="200"/>
    </row>
    <row r="25" spans="1:11" ht="15" customHeight="1">
      <c r="A25" s="221" t="s">
        <v>1</v>
      </c>
      <c r="B25" s="223" t="s">
        <v>2</v>
      </c>
      <c r="C25" s="223"/>
      <c r="D25" s="224" t="s">
        <v>3</v>
      </c>
      <c r="E25" s="224"/>
      <c r="F25" s="224"/>
      <c r="G25" s="224"/>
      <c r="H25" s="219" t="s">
        <v>8</v>
      </c>
    </row>
    <row r="26" spans="1:11" ht="48">
      <c r="A26" s="222"/>
      <c r="B26" s="218"/>
      <c r="C26" s="218"/>
      <c r="D26" s="136" t="s">
        <v>4</v>
      </c>
      <c r="E26" s="136" t="s">
        <v>5</v>
      </c>
      <c r="F26" s="136" t="s">
        <v>6</v>
      </c>
      <c r="G26" s="136" t="s">
        <v>7</v>
      </c>
      <c r="H26" s="220"/>
    </row>
    <row r="27" spans="1:11" ht="15.75" customHeight="1">
      <c r="A27" s="137">
        <v>1</v>
      </c>
      <c r="B27" s="218">
        <v>2</v>
      </c>
      <c r="C27" s="218"/>
      <c r="D27" s="138">
        <v>3</v>
      </c>
      <c r="E27" s="138">
        <v>4</v>
      </c>
      <c r="F27" s="138">
        <v>5</v>
      </c>
      <c r="G27" s="138">
        <v>6</v>
      </c>
      <c r="H27" s="139">
        <v>7</v>
      </c>
    </row>
    <row r="28" spans="1:11" ht="15.75" customHeight="1" thickBot="1">
      <c r="A28" s="194" t="s">
        <v>52</v>
      </c>
      <c r="B28" s="195"/>
      <c r="C28" s="195"/>
      <c r="D28" s="195"/>
      <c r="E28" s="195"/>
      <c r="F28" s="195"/>
      <c r="G28" s="195"/>
      <c r="H28" s="196"/>
    </row>
    <row r="29" spans="1:11" ht="160.9" customHeight="1">
      <c r="A29" s="173" t="s">
        <v>42</v>
      </c>
      <c r="B29" s="192" t="s">
        <v>43</v>
      </c>
      <c r="C29" s="192"/>
      <c r="D29" s="71"/>
      <c r="E29" s="72" t="s">
        <v>44</v>
      </c>
      <c r="F29" s="73" t="str">
        <f>CONCATENATE(TEXT(G30,"# ##0,0"),"+",G32)</f>
        <v>60 120,0+85,75</v>
      </c>
      <c r="G29" s="86"/>
      <c r="H29" s="197">
        <f>G30+G32</f>
        <v>60205.75</v>
      </c>
      <c r="J29" s="210"/>
      <c r="K29" s="150"/>
    </row>
    <row r="30" spans="1:11" ht="15">
      <c r="A30" s="173"/>
      <c r="B30" s="193" t="s">
        <v>12</v>
      </c>
      <c r="C30" s="193"/>
      <c r="D30" s="140">
        <f>H16+H21</f>
        <v>90</v>
      </c>
      <c r="E30" s="71">
        <v>668</v>
      </c>
      <c r="F30" s="74" t="str">
        <f>CONCATENATE(TEXT(E30,"# ##0,0"),"*",D30)</f>
        <v>668,0*90</v>
      </c>
      <c r="G30" s="87">
        <f>D30*E30</f>
        <v>60120</v>
      </c>
      <c r="H30" s="198"/>
      <c r="J30" s="210"/>
      <c r="K30" s="150"/>
    </row>
    <row r="31" spans="1:11" ht="15">
      <c r="A31" s="173"/>
      <c r="B31" s="148" t="s">
        <v>45</v>
      </c>
      <c r="C31" s="148"/>
      <c r="D31" s="141">
        <f>H15/100000</f>
        <v>0.5</v>
      </c>
      <c r="E31" s="71">
        <v>49</v>
      </c>
      <c r="F31" s="74" t="str">
        <f>CONCATENATE(TEXT(E31,"# ##0,0"),"*",D31)</f>
        <v>49,0*0,5</v>
      </c>
      <c r="G31" s="86">
        <f>D31*E31</f>
        <v>24.5</v>
      </c>
      <c r="H31" s="198"/>
      <c r="J31" s="210"/>
      <c r="K31" s="150"/>
    </row>
    <row r="32" spans="1:11" ht="15.75" customHeight="1" thickBot="1">
      <c r="A32" s="174"/>
      <c r="B32" s="149" t="s">
        <v>46</v>
      </c>
      <c r="C32" s="149"/>
      <c r="D32" s="142"/>
      <c r="E32" s="142">
        <v>3.5</v>
      </c>
      <c r="F32" s="143" t="str">
        <f>CONCATENATE(TEXT(G31,"# ##0,0"),"*",E32)</f>
        <v>24,5*3,5</v>
      </c>
      <c r="G32" s="144">
        <f>ROUND(G31*E32,2)</f>
        <v>85.75</v>
      </c>
      <c r="H32" s="199"/>
      <c r="J32" s="210"/>
      <c r="K32" s="150"/>
    </row>
    <row r="33" spans="1:11" ht="15.75" customHeight="1" thickBot="1">
      <c r="A33" s="255" t="s">
        <v>54</v>
      </c>
      <c r="B33" s="256"/>
      <c r="C33" s="256"/>
      <c r="D33" s="257"/>
      <c r="E33" s="127">
        <v>20.294</v>
      </c>
      <c r="F33" s="128" t="str">
        <f>CONCATENATE(TEXT(H29,"# ##0,0"),"*",E33)</f>
        <v>60 205,8*20,294</v>
      </c>
      <c r="G33" s="135"/>
      <c r="H33" s="134">
        <f>H29*E33</f>
        <v>1221815.4905000001</v>
      </c>
      <c r="J33" s="210"/>
      <c r="K33" s="150"/>
    </row>
    <row r="34" spans="1:11" ht="15.75" thickBot="1">
      <c r="A34" s="270" t="s">
        <v>62</v>
      </c>
      <c r="B34" s="270"/>
      <c r="C34" s="270"/>
      <c r="D34" s="270"/>
      <c r="E34" s="270"/>
      <c r="F34" s="270"/>
      <c r="G34" s="270"/>
      <c r="H34" s="271"/>
    </row>
    <row r="35" spans="1:11" ht="53.45" customHeight="1">
      <c r="A35" s="165" t="s">
        <v>10</v>
      </c>
      <c r="B35" s="263" t="s">
        <v>89</v>
      </c>
      <c r="C35" s="263"/>
      <c r="D35" s="24"/>
      <c r="E35" s="59" t="s">
        <v>11</v>
      </c>
      <c r="F35" s="26"/>
      <c r="G35" s="66"/>
      <c r="H35" s="264">
        <f>G40+G42</f>
        <v>167496.85160000008</v>
      </c>
      <c r="I35" s="70"/>
    </row>
    <row r="36" spans="1:11" ht="15">
      <c r="A36" s="165"/>
      <c r="B36" s="167" t="s">
        <v>12</v>
      </c>
      <c r="C36" s="167"/>
      <c r="D36" s="27">
        <f>H17</f>
        <v>12</v>
      </c>
      <c r="E36" s="27">
        <v>1363</v>
      </c>
      <c r="F36" s="28" t="str">
        <f>CONCATENATE("(",TEXT(E36,"# ##0,0"),")*",D36)</f>
        <v>(1 363,0)*12</v>
      </c>
      <c r="G36" s="66">
        <f>E36*D36</f>
        <v>16356</v>
      </c>
      <c r="H36" s="265"/>
      <c r="I36" s="70"/>
    </row>
    <row r="37" spans="1:11" ht="28.15" customHeight="1">
      <c r="A37" s="165"/>
      <c r="B37" s="171" t="s">
        <v>27</v>
      </c>
      <c r="C37" s="171"/>
      <c r="D37" s="44">
        <f>H15/100000</f>
        <v>0.5</v>
      </c>
      <c r="E37" s="27">
        <f>(1-0.9*(1-D37))</f>
        <v>0.55000000000000004</v>
      </c>
      <c r="F37" s="28" t="str">
        <f>CONCATENATE(TEXT(G36,"# ##0,0"),"*","(1,0 - 0,90(1 - n))")</f>
        <v>16 356,0*(1,0 - 0,90(1 - n))</v>
      </c>
      <c r="G37" s="84">
        <f>G36*(1-0.9*(1-D37))</f>
        <v>8995.8000000000011</v>
      </c>
      <c r="H37" s="265"/>
      <c r="I37" s="70"/>
    </row>
    <row r="38" spans="1:11" ht="56.45" customHeight="1">
      <c r="A38" s="165"/>
      <c r="B38" s="172" t="s">
        <v>24</v>
      </c>
      <c r="C38" s="172"/>
      <c r="D38" s="27">
        <v>14</v>
      </c>
      <c r="E38" s="27">
        <f>(1+0.6*(D38-1))</f>
        <v>8.8000000000000007</v>
      </c>
      <c r="F38" s="28" t="str">
        <f>CONCATENATE(TEXT(G37,"# ##0,00"),"*","(1,0 + 0,60(n - 1))")</f>
        <v>8 995,80*(1,0 + 0,60(n - 1))</v>
      </c>
      <c r="G38" s="84">
        <f>G37*(1+0.6*(D38-1))</f>
        <v>79163.040000000023</v>
      </c>
      <c r="H38" s="265"/>
      <c r="I38" s="70"/>
      <c r="J38" s="45"/>
    </row>
    <row r="39" spans="1:11" ht="57.75" customHeight="1">
      <c r="A39" s="165"/>
      <c r="B39" s="172" t="s">
        <v>25</v>
      </c>
      <c r="C39" s="172"/>
      <c r="D39" s="27">
        <v>8</v>
      </c>
      <c r="E39" s="27">
        <f>(1+0.1*(D39-1))</f>
        <v>1.7000000000000002</v>
      </c>
      <c r="F39" s="28" t="str">
        <f>CONCATENATE(TEXT(G38,"# ##0,00"),"*","(1+0,1(",D39,"-1))")</f>
        <v>79 163,04*(1+0,1(8-1))</v>
      </c>
      <c r="G39" s="66">
        <f>G38*(1+0.1*(D39-1))</f>
        <v>134577.16800000006</v>
      </c>
      <c r="H39" s="265"/>
      <c r="I39" s="70"/>
    </row>
    <row r="40" spans="1:11" ht="87.6" customHeight="1">
      <c r="A40" s="165"/>
      <c r="B40" s="172" t="s">
        <v>26</v>
      </c>
      <c r="C40" s="172"/>
      <c r="D40" s="27">
        <f>H22</f>
        <v>3</v>
      </c>
      <c r="E40" s="27">
        <f>(1+0.1*(D40-1))</f>
        <v>1.2</v>
      </c>
      <c r="F40" s="28" t="str">
        <f>CONCATENATE(TEXT(G39,"# ##0,0"),"*","(1+0,1(",D40,"-1))")</f>
        <v>134 577,2*(1+0,1(3-1))</v>
      </c>
      <c r="G40" s="67">
        <f>G39*(1+0.1*(D40-1))</f>
        <v>161492.60160000008</v>
      </c>
      <c r="H40" s="265"/>
      <c r="I40" s="70"/>
    </row>
    <row r="41" spans="1:11" ht="30" customHeight="1">
      <c r="A41" s="165"/>
      <c r="B41" s="268" t="s">
        <v>45</v>
      </c>
      <c r="C41" s="269"/>
      <c r="D41" s="43">
        <f>H15/100000</f>
        <v>0.5</v>
      </c>
      <c r="E41" s="27">
        <v>3431</v>
      </c>
      <c r="F41" s="28" t="str">
        <f>CONCATENATE("(",TEXT(E41,"# ##0,0"),")*",D41)</f>
        <v>(3 431,0)*0,5</v>
      </c>
      <c r="G41" s="66">
        <f>D41*E41</f>
        <v>1715.5</v>
      </c>
      <c r="H41" s="265"/>
      <c r="I41" s="212"/>
      <c r="J41" s="211"/>
    </row>
    <row r="42" spans="1:11" ht="85.9" customHeight="1" thickBot="1">
      <c r="A42" s="262"/>
      <c r="B42" s="267" t="s">
        <v>28</v>
      </c>
      <c r="C42" s="267"/>
      <c r="D42" s="61"/>
      <c r="E42" s="62">
        <v>3.5</v>
      </c>
      <c r="F42" s="63" t="str">
        <f>CONCATENATE(TEXT(G41,"# ##0,0"),"*",E42)</f>
        <v>1 715,5*3,5</v>
      </c>
      <c r="G42" s="68">
        <f>ROUND(G41*E42,2)</f>
        <v>6004.25</v>
      </c>
      <c r="H42" s="266"/>
      <c r="I42" s="212"/>
      <c r="J42" s="211"/>
    </row>
    <row r="43" spans="1:11" ht="16.5" thickBot="1">
      <c r="A43" s="155" t="s">
        <v>54</v>
      </c>
      <c r="B43" s="156"/>
      <c r="C43" s="156"/>
      <c r="D43" s="64"/>
      <c r="E43" s="65">
        <v>20.294</v>
      </c>
      <c r="F43" s="39" t="str">
        <f>CONCATENATE(TEXT(H35,"# ##0,0"),"*",E43)</f>
        <v>167 496,9*20,294</v>
      </c>
      <c r="G43" s="69"/>
      <c r="H43" s="78">
        <f>H35*E43</f>
        <v>3399181.1063704016</v>
      </c>
      <c r="I43" s="70"/>
    </row>
    <row r="44" spans="1:11" ht="45">
      <c r="A44" s="233" t="s">
        <v>51</v>
      </c>
      <c r="B44" s="250" t="s">
        <v>81</v>
      </c>
      <c r="C44" s="250"/>
      <c r="D44" s="53">
        <v>4</v>
      </c>
      <c r="E44" s="60" t="s">
        <v>9</v>
      </c>
      <c r="F44" s="50" t="str">
        <f>CONCATENATE("1,05*0,260*",TEXT(D44,"# ##0"),"+2637,7*",TEXT(D44,"# ##0"),"*(0,2+0,076)*1,8")</f>
        <v>1,05*0,260*4+2637,7*4*(0,2+0,076)*1,8</v>
      </c>
      <c r="G44" s="54">
        <f>1.05*0.26*4+2637.7*4*(0.2+0.076)*1.8</f>
        <v>5242.7294400000001</v>
      </c>
      <c r="H44" s="253">
        <f>G45</f>
        <v>62912.753280000004</v>
      </c>
    </row>
    <row r="45" spans="1:11" ht="15.75" thickBot="1">
      <c r="A45" s="235"/>
      <c r="B45" s="227" t="s">
        <v>85</v>
      </c>
      <c r="C45" s="227"/>
      <c r="D45" s="52">
        <f>D36</f>
        <v>12</v>
      </c>
      <c r="E45" s="55">
        <f>G44</f>
        <v>5242.7294400000001</v>
      </c>
      <c r="F45" s="57" t="str">
        <f>CONCATENATE(TEXT(D45,"# ##0"),"*",E45)</f>
        <v>12*5242,72944</v>
      </c>
      <c r="G45" s="56">
        <f>G44*D45</f>
        <v>62912.753280000004</v>
      </c>
      <c r="H45" s="254"/>
    </row>
    <row r="46" spans="1:11" ht="16.149999999999999" customHeight="1" thickBot="1">
      <c r="A46" s="236" t="s">
        <v>96</v>
      </c>
      <c r="B46" s="237"/>
      <c r="C46" s="237"/>
      <c r="D46" s="237"/>
      <c r="E46" s="237"/>
      <c r="F46" s="237"/>
      <c r="G46" s="237"/>
      <c r="H46" s="133">
        <f>(H43+H44)</f>
        <v>3462093.8596504014</v>
      </c>
    </row>
    <row r="47" spans="1:11" ht="26.45" customHeight="1" thickBot="1">
      <c r="A47" s="175" t="s">
        <v>64</v>
      </c>
      <c r="B47" s="176"/>
      <c r="C47" s="176"/>
      <c r="D47" s="176"/>
      <c r="E47" s="176"/>
      <c r="F47" s="176"/>
      <c r="G47" s="176"/>
      <c r="H47" s="177"/>
    </row>
    <row r="48" spans="1:11" ht="67.900000000000006" customHeight="1">
      <c r="A48" s="178" t="s">
        <v>13</v>
      </c>
      <c r="B48" s="202" t="s">
        <v>55</v>
      </c>
      <c r="C48" s="202"/>
      <c r="D48" s="88"/>
      <c r="E48" s="89" t="s">
        <v>23</v>
      </c>
      <c r="F48" s="90" t="str">
        <f>CONCATENATE(TEXT(G49,"# ##0,0"),"+",G50)</f>
        <v>55 566,0+19,25</v>
      </c>
      <c r="G48" s="91"/>
      <c r="H48" s="197">
        <f>G49+G50</f>
        <v>55585.25</v>
      </c>
    </row>
    <row r="49" spans="1:8" ht="15">
      <c r="A49" s="173"/>
      <c r="B49" s="193" t="s">
        <v>12</v>
      </c>
      <c r="C49" s="193"/>
      <c r="D49" s="71">
        <f>H17+H19</f>
        <v>63</v>
      </c>
      <c r="E49" s="71">
        <v>882</v>
      </c>
      <c r="F49" s="74" t="str">
        <f>CONCATENATE(TEXT(E49,"# ##0,0"),"*",D49)</f>
        <v>882,0*63</v>
      </c>
      <c r="G49" s="87">
        <f>D49*E49</f>
        <v>55566</v>
      </c>
      <c r="H49" s="198"/>
    </row>
    <row r="50" spans="1:8" ht="38.450000000000003" customHeight="1" thickBot="1">
      <c r="A50" s="173"/>
      <c r="B50" s="148" t="s">
        <v>45</v>
      </c>
      <c r="C50" s="148"/>
      <c r="D50" s="71">
        <f>H15/100000</f>
        <v>0.5</v>
      </c>
      <c r="E50" s="71">
        <v>11</v>
      </c>
      <c r="F50" s="74" t="str">
        <f>CONCATENATE(TEXT(G49,"# ##0,0"),"*",E50,"*","3,5",)</f>
        <v>55 566,0*11*3,5</v>
      </c>
      <c r="G50" s="87">
        <f>D50*E50*3.5</f>
        <v>19.25</v>
      </c>
      <c r="H50" s="199"/>
    </row>
    <row r="51" spans="1:8" ht="15" customHeight="1" thickBot="1">
      <c r="A51" s="153" t="s">
        <v>54</v>
      </c>
      <c r="B51" s="154"/>
      <c r="C51" s="154"/>
      <c r="D51" s="75"/>
      <c r="E51" s="76">
        <v>20.294</v>
      </c>
      <c r="F51" s="77" t="str">
        <f>CONCATENATE(TEXT(H55,"# ##0,0"),"*",E51)</f>
        <v>1 410 058,8*20,294</v>
      </c>
      <c r="G51" s="85"/>
      <c r="H51" s="79">
        <f>H48*E51</f>
        <v>1128047.0634999999</v>
      </c>
    </row>
    <row r="52" spans="1:8" ht="45">
      <c r="A52" s="233" t="s">
        <v>33</v>
      </c>
      <c r="B52" s="250" t="s">
        <v>81</v>
      </c>
      <c r="C52" s="250"/>
      <c r="D52" s="53">
        <v>4</v>
      </c>
      <c r="E52" s="60" t="s">
        <v>9</v>
      </c>
      <c r="F52" s="50" t="str">
        <f>CONCATENATE("1,05*0,260*",TEXT(D52,"# ##0"),"+2637,7*",TEXT(D52,"# ##0"),"*(0,2+0,076)*1,8")</f>
        <v>1,05*0,260*4+2637,7*4*(0,2+0,076)*1,8</v>
      </c>
      <c r="G52" s="114">
        <f>1.05*0.26*4+2637.7*4*(0.2+0.076)*1.8</f>
        <v>5242.7294400000001</v>
      </c>
      <c r="H52" s="251">
        <f>E54*D54</f>
        <v>282011.76587499998</v>
      </c>
    </row>
    <row r="53" spans="1:8" ht="15" customHeight="1">
      <c r="A53" s="234"/>
      <c r="B53" s="258" t="s">
        <v>85</v>
      </c>
      <c r="C53" s="258"/>
      <c r="D53" s="80">
        <f>D49</f>
        <v>63</v>
      </c>
      <c r="E53" s="81">
        <f>G52</f>
        <v>5242.7294400000001</v>
      </c>
      <c r="F53" s="82" t="str">
        <f>CONCATENATE(TEXT(D53,"# ##0"),"*",E53)</f>
        <v>63*5242,72944</v>
      </c>
      <c r="G53" s="107">
        <f>G52*D53</f>
        <v>330291.95471999998</v>
      </c>
      <c r="H53" s="261"/>
    </row>
    <row r="54" spans="1:8" ht="15" customHeight="1" thickBot="1">
      <c r="A54" s="235"/>
      <c r="B54" s="259" t="s">
        <v>93</v>
      </c>
      <c r="C54" s="260"/>
      <c r="D54" s="112">
        <v>0.25</v>
      </c>
      <c r="E54" s="113">
        <f>H51</f>
        <v>1128047.0634999999</v>
      </c>
      <c r="F54" s="57" t="str">
        <f>CONCATENATE(TEXT(D54,"# ##0%"),"*",TEXT(E54,"# ##0,00"))</f>
        <v>25%*1 128 047,06</v>
      </c>
      <c r="G54" s="115">
        <f>E54*D54</f>
        <v>282011.76587499998</v>
      </c>
      <c r="H54" s="252"/>
    </row>
    <row r="55" spans="1:8" ht="15" customHeight="1" thickBot="1">
      <c r="A55" s="236" t="s">
        <v>95</v>
      </c>
      <c r="B55" s="237"/>
      <c r="C55" s="237"/>
      <c r="D55" s="237"/>
      <c r="E55" s="237"/>
      <c r="F55" s="237"/>
      <c r="G55" s="237"/>
      <c r="H55" s="111">
        <f>(H51+H52)</f>
        <v>1410058.829375</v>
      </c>
    </row>
    <row r="56" spans="1:8" ht="15">
      <c r="A56" s="213" t="s">
        <v>72</v>
      </c>
      <c r="B56" s="214"/>
      <c r="C56" s="214"/>
      <c r="D56" s="214"/>
      <c r="E56" s="214"/>
      <c r="F56" s="214"/>
      <c r="G56" s="214"/>
      <c r="H56" s="215"/>
    </row>
    <row r="57" spans="1:8" ht="45">
      <c r="A57" s="216" t="s">
        <v>74</v>
      </c>
      <c r="B57" s="244" t="s">
        <v>47</v>
      </c>
      <c r="C57" s="245"/>
      <c r="D57" s="97"/>
      <c r="E57" s="102" t="s">
        <v>11</v>
      </c>
      <c r="F57" s="99" t="str">
        <f>CONCATENATE(TEXT(G60,"# ##0,0"),"+",G62)</f>
        <v>37 618,8+6004,25</v>
      </c>
      <c r="G57" s="100"/>
      <c r="H57" s="225">
        <f>G60+G62</f>
        <v>43623.049999999996</v>
      </c>
    </row>
    <row r="58" spans="1:8" ht="15">
      <c r="A58" s="216"/>
      <c r="B58" s="245" t="s">
        <v>12</v>
      </c>
      <c r="C58" s="245"/>
      <c r="D58" s="100">
        <f>H18</f>
        <v>23</v>
      </c>
      <c r="E58" s="100">
        <v>1363</v>
      </c>
      <c r="F58" s="101" t="str">
        <f>CONCATENATE("(",TEXT(E58,"# ##0,0"),")*",D58)</f>
        <v>(1 363,0)*23</v>
      </c>
      <c r="G58" s="100">
        <f>E58*D58</f>
        <v>31349</v>
      </c>
      <c r="H58" s="225"/>
    </row>
    <row r="59" spans="1:8" ht="47.45" customHeight="1">
      <c r="A59" s="216"/>
      <c r="B59" s="248" t="s">
        <v>48</v>
      </c>
      <c r="C59" s="248"/>
      <c r="D59" s="100">
        <f>H15*2/100000</f>
        <v>1</v>
      </c>
      <c r="E59" s="100">
        <f>(1-0.9*(1-D59))</f>
        <v>1</v>
      </c>
      <c r="F59" s="101" t="str">
        <f>CONCATENATE(TEXT(G58,"# ##0,0"),"*","(1,0 - 0,90(1 - n))")</f>
        <v>31 349,0*(1,0 - 0,90(1 - n))</v>
      </c>
      <c r="G59" s="100">
        <f>G58*(1-0.9*(1-D59))</f>
        <v>31349</v>
      </c>
      <c r="H59" s="225"/>
    </row>
    <row r="60" spans="1:8" ht="84" customHeight="1">
      <c r="A60" s="216"/>
      <c r="B60" s="247" t="s">
        <v>26</v>
      </c>
      <c r="C60" s="247"/>
      <c r="D60" s="100">
        <v>3</v>
      </c>
      <c r="E60" s="100">
        <f>(1+0.1*(D60-1))</f>
        <v>1.2</v>
      </c>
      <c r="F60" s="101" t="str">
        <f>CONCATENATE(TEXT(G59,"# ##0,0"),"*","(1+0,1(",D60,"-1))")</f>
        <v>31 349,0*(1+0,1(3-1))</v>
      </c>
      <c r="G60" s="102">
        <f>G59*(1+0.1*(D60-1))</f>
        <v>37618.799999999996</v>
      </c>
      <c r="H60" s="225"/>
    </row>
    <row r="61" spans="1:8" ht="15">
      <c r="A61" s="216"/>
      <c r="B61" s="243" t="s">
        <v>49</v>
      </c>
      <c r="C61" s="243"/>
      <c r="D61" s="100">
        <f>H15/100000</f>
        <v>0.5</v>
      </c>
      <c r="E61" s="100">
        <v>3431</v>
      </c>
      <c r="F61" s="101" t="str">
        <f>CONCATENATE("(",TEXT(E61,"# ##0,0"),")*",D61)</f>
        <v>(3 431,0)*0,5</v>
      </c>
      <c r="G61" s="100">
        <f>D61*E61</f>
        <v>1715.5</v>
      </c>
      <c r="H61" s="225"/>
    </row>
    <row r="62" spans="1:8" ht="75" customHeight="1" thickBot="1">
      <c r="A62" s="217"/>
      <c r="B62" s="249" t="s">
        <v>50</v>
      </c>
      <c r="C62" s="249"/>
      <c r="D62" s="103"/>
      <c r="E62" s="104">
        <v>3.5</v>
      </c>
      <c r="F62" s="105" t="str">
        <f>CONCATENATE(TEXT(G61,"# ##0,0"),"*",E62)</f>
        <v>1 715,5*3,5</v>
      </c>
      <c r="G62" s="106">
        <f>ROUND(G61*E62,2)</f>
        <v>6004.25</v>
      </c>
      <c r="H62" s="226"/>
    </row>
    <row r="63" spans="1:8" ht="16.5" thickBot="1">
      <c r="A63" s="246" t="s">
        <v>54</v>
      </c>
      <c r="B63" s="246"/>
      <c r="C63" s="246"/>
      <c r="D63" s="92"/>
      <c r="E63" s="93">
        <v>20.294</v>
      </c>
      <c r="F63" s="94" t="str">
        <f>CONCATENATE(TEXT(H57,"# ##0,0"),"*",E63)</f>
        <v>43 623,1*20,294</v>
      </c>
      <c r="G63" s="95"/>
      <c r="H63" s="96">
        <f>H57*E63</f>
        <v>885286.17669999995</v>
      </c>
    </row>
    <row r="64" spans="1:8" ht="45">
      <c r="A64" s="233" t="s">
        <v>75</v>
      </c>
      <c r="B64" s="250" t="s">
        <v>81</v>
      </c>
      <c r="C64" s="250"/>
      <c r="D64" s="53">
        <v>4</v>
      </c>
      <c r="E64" s="60" t="s">
        <v>9</v>
      </c>
      <c r="F64" s="50" t="str">
        <f>CONCATENATE("1,05*0,260*",TEXT(D64,"# ##0"),"+2637,7*",TEXT(D64,"# ##0"),"*(0,2+0,076)*1,8")</f>
        <v>1,05*0,260*4+2637,7*4*(0,2+0,076)*1,8</v>
      </c>
      <c r="G64" s="54">
        <f>1.05*0.26*4+2637.7*4*(0.2+0.076)*1.8</f>
        <v>5242.7294400000001</v>
      </c>
      <c r="H64" s="251">
        <f>G65</f>
        <v>120582.77712</v>
      </c>
    </row>
    <row r="65" spans="1:8" ht="15" customHeight="1" thickBot="1">
      <c r="A65" s="235"/>
      <c r="B65" s="227" t="s">
        <v>85</v>
      </c>
      <c r="C65" s="227"/>
      <c r="D65" s="52">
        <f>D58</f>
        <v>23</v>
      </c>
      <c r="E65" s="55">
        <f>G64</f>
        <v>5242.7294400000001</v>
      </c>
      <c r="F65" s="57" t="str">
        <f>CONCATENATE(TEXT(D65,"# ##0"),"*",E65)</f>
        <v>23*5242,72944</v>
      </c>
      <c r="G65" s="56">
        <f>G64*D65</f>
        <v>120582.77712</v>
      </c>
      <c r="H65" s="252"/>
    </row>
    <row r="66" spans="1:8" ht="15" customHeight="1" thickBot="1">
      <c r="A66" s="236" t="s">
        <v>94</v>
      </c>
      <c r="B66" s="237"/>
      <c r="C66" s="237"/>
      <c r="D66" s="237"/>
      <c r="E66" s="237"/>
      <c r="F66" s="237"/>
      <c r="G66" s="237"/>
      <c r="H66" s="83">
        <f>(H63+H64)</f>
        <v>1005868.9538199999</v>
      </c>
    </row>
    <row r="67" spans="1:8" ht="39" customHeight="1" thickBot="1">
      <c r="A67" s="163" t="s">
        <v>92</v>
      </c>
      <c r="B67" s="163"/>
      <c r="C67" s="163"/>
      <c r="D67" s="163"/>
      <c r="E67" s="163"/>
      <c r="F67" s="163"/>
      <c r="G67" s="163"/>
      <c r="H67" s="164"/>
    </row>
    <row r="68" spans="1:8" ht="41.45" customHeight="1">
      <c r="A68" s="165" t="s">
        <v>37</v>
      </c>
      <c r="B68" s="166" t="s">
        <v>47</v>
      </c>
      <c r="C68" s="167"/>
      <c r="D68" s="24"/>
      <c r="E68" s="59" t="s">
        <v>11</v>
      </c>
      <c r="F68" s="26" t="str">
        <f>CONCATENATE(TEXT(G71,"# ##0,0"),"+",G73)</f>
        <v>83 415,6+6004,25</v>
      </c>
      <c r="G68" s="125"/>
      <c r="H68" s="168">
        <f>G71+G73</f>
        <v>89419.849999999991</v>
      </c>
    </row>
    <row r="69" spans="1:8" ht="13.9" customHeight="1">
      <c r="A69" s="165"/>
      <c r="B69" s="167" t="s">
        <v>12</v>
      </c>
      <c r="C69" s="167"/>
      <c r="D69" s="27">
        <f>H19</f>
        <v>51</v>
      </c>
      <c r="E69" s="27">
        <v>1363</v>
      </c>
      <c r="F69" s="28" t="str">
        <f>CONCATENATE("(",TEXT(E69,"# ##0,0"),")*",D69)</f>
        <v>(1 363,0)*51</v>
      </c>
      <c r="G69" s="125">
        <f>E69*D69</f>
        <v>69513</v>
      </c>
      <c r="H69" s="169"/>
    </row>
    <row r="70" spans="1:8" ht="39.6" customHeight="1">
      <c r="A70" s="165"/>
      <c r="B70" s="171" t="s">
        <v>48</v>
      </c>
      <c r="C70" s="171"/>
      <c r="D70" s="27">
        <f>H15*2/100000</f>
        <v>1</v>
      </c>
      <c r="E70" s="27">
        <f>(1-0.9*(1-D70))</f>
        <v>1</v>
      </c>
      <c r="F70" s="28" t="str">
        <f>CONCATENATE(TEXT(G69,"# ##0,0"),"*","(1,0 - 0,90(1 - n))")</f>
        <v>69 513,0*(1,0 - 0,90(1 - n))</v>
      </c>
      <c r="G70" s="125">
        <f>G69*(1-0.9*(1-D70))</f>
        <v>69513</v>
      </c>
      <c r="H70" s="169"/>
    </row>
    <row r="71" spans="1:8" ht="87" customHeight="1">
      <c r="A71" s="165"/>
      <c r="B71" s="172" t="s">
        <v>26</v>
      </c>
      <c r="C71" s="172"/>
      <c r="D71" s="27">
        <v>3</v>
      </c>
      <c r="E71" s="27">
        <f>(1+0.1*(D71-1))</f>
        <v>1.2</v>
      </c>
      <c r="F71" s="28" t="str">
        <f>CONCATENATE(TEXT(G70,"# ##0,0"),"*","(1+0,1(",D71,"-1))")</f>
        <v>69 513,0*(1+0,1(3-1))</v>
      </c>
      <c r="G71" s="126">
        <f>G70*(1+0.1*(D71-1))</f>
        <v>83415.599999999991</v>
      </c>
      <c r="H71" s="169"/>
    </row>
    <row r="72" spans="1:8" ht="36" customHeight="1">
      <c r="A72" s="165"/>
      <c r="B72" s="165" t="s">
        <v>49</v>
      </c>
      <c r="C72" s="165"/>
      <c r="D72" s="27">
        <f>H15/100000</f>
        <v>0.5</v>
      </c>
      <c r="E72" s="27">
        <v>3431</v>
      </c>
      <c r="F72" s="28" t="str">
        <f>CONCATENATE("(",TEXT(E72,"# ##0,0"),")*",D72)</f>
        <v>(3 431,0)*0,5</v>
      </c>
      <c r="G72" s="125">
        <f>D72*E72</f>
        <v>1715.5</v>
      </c>
      <c r="H72" s="169"/>
    </row>
    <row r="73" spans="1:8" ht="13.9" customHeight="1" thickBot="1">
      <c r="A73" s="165"/>
      <c r="B73" s="172" t="s">
        <v>50</v>
      </c>
      <c r="C73" s="172"/>
      <c r="D73" s="24"/>
      <c r="E73" s="27">
        <v>3.5</v>
      </c>
      <c r="F73" s="28" t="str">
        <f>CONCATENATE(TEXT(G72,"# ##0,0"),"*",E73)</f>
        <v>1 715,5*3,5</v>
      </c>
      <c r="G73" s="126">
        <f>ROUND(G72*E73,2)</f>
        <v>6004.25</v>
      </c>
      <c r="H73" s="170"/>
    </row>
    <row r="74" spans="1:8" ht="16.5" thickBot="1">
      <c r="A74" s="189" t="s">
        <v>54</v>
      </c>
      <c r="B74" s="190"/>
      <c r="C74" s="190"/>
      <c r="D74" s="191"/>
      <c r="E74" s="40">
        <v>20.294</v>
      </c>
      <c r="F74" s="41" t="str">
        <f>CONCATENATE(TEXT(H68,"# ##0,0"),"*",E74)</f>
        <v>89 419,9*20,294</v>
      </c>
      <c r="G74" s="124"/>
      <c r="H74" s="78">
        <f>H68*E74</f>
        <v>1814686.4358999999</v>
      </c>
    </row>
    <row r="75" spans="1:8" ht="45">
      <c r="A75" s="49" t="s">
        <v>38</v>
      </c>
      <c r="B75" s="250" t="s">
        <v>81</v>
      </c>
      <c r="C75" s="250"/>
      <c r="D75" s="53">
        <v>4</v>
      </c>
      <c r="E75" s="60" t="s">
        <v>9</v>
      </c>
      <c r="F75" s="50" t="str">
        <f>CONCATENATE("1,05*0,260*",TEXT(D75,"# ##0"),"+2637,7*",TEXT(D75,"# ##0"),"*(0,2+0,076)*1,8")</f>
        <v>1,05*0,260*4+2637,7*4*(0,2+0,076)*1,8</v>
      </c>
      <c r="G75" s="54">
        <f>1.05*0.26*4+2637.7*4*(0.2+0.076)*1.8</f>
        <v>5242.7294400000001</v>
      </c>
      <c r="H75" s="251">
        <f>G76</f>
        <v>267379.20143999998</v>
      </c>
    </row>
    <row r="76" spans="1:8" ht="15.75" thickBot="1">
      <c r="A76" s="51"/>
      <c r="B76" s="227" t="s">
        <v>85</v>
      </c>
      <c r="C76" s="227"/>
      <c r="D76" s="52">
        <f>D69</f>
        <v>51</v>
      </c>
      <c r="E76" s="55">
        <f>G75</f>
        <v>5242.7294400000001</v>
      </c>
      <c r="F76" s="57" t="str">
        <f>CONCATENATE(TEXT(D76,"# ##0"),"*",E76)</f>
        <v>51*5242,72944</v>
      </c>
      <c r="G76" s="132">
        <f>G75*D76</f>
        <v>267379.20143999998</v>
      </c>
      <c r="H76" s="252"/>
    </row>
    <row r="77" spans="1:8" ht="16.5" thickBot="1">
      <c r="A77" s="236" t="s">
        <v>90</v>
      </c>
      <c r="B77" s="237"/>
      <c r="C77" s="237"/>
      <c r="D77" s="237"/>
      <c r="E77" s="237"/>
      <c r="F77" s="237"/>
      <c r="G77" s="237"/>
      <c r="H77" s="123">
        <f>H74+H75</f>
        <v>2082065.6373399999</v>
      </c>
    </row>
    <row r="78" spans="1:8" ht="13.9" customHeight="1" thickBot="1">
      <c r="A78" s="209" t="s">
        <v>88</v>
      </c>
      <c r="B78" s="209"/>
      <c r="C78" s="209"/>
      <c r="D78" s="209"/>
      <c r="E78" s="209"/>
      <c r="F78" s="209"/>
      <c r="G78" s="209"/>
      <c r="H78" s="209"/>
    </row>
    <row r="79" spans="1:8" ht="189" customHeight="1">
      <c r="A79" s="205" t="s">
        <v>77</v>
      </c>
      <c r="B79" s="207" t="s">
        <v>79</v>
      </c>
      <c r="C79" s="208"/>
      <c r="D79" s="33"/>
      <c r="E79" s="34" t="s">
        <v>23</v>
      </c>
      <c r="F79" s="42" t="str">
        <f>CONCATENATE(TEXT(G80,"# ##0,0"),"+",G81)</f>
        <v>75 852,0+5,5</v>
      </c>
      <c r="G79" s="35"/>
      <c r="H79" s="157">
        <f>G80+G81</f>
        <v>75857.5</v>
      </c>
    </row>
    <row r="80" spans="1:8" ht="15">
      <c r="A80" s="206"/>
      <c r="B80" s="159" t="s">
        <v>12</v>
      </c>
      <c r="C80" s="160"/>
      <c r="D80" s="36">
        <f>H16</f>
        <v>86</v>
      </c>
      <c r="E80" s="36">
        <v>882</v>
      </c>
      <c r="F80" s="37" t="str">
        <f>CONCATENATE(TEXT(D80,"# ##0"),"*",E80)</f>
        <v>86*882</v>
      </c>
      <c r="G80" s="38">
        <f>D80*E80</f>
        <v>75852</v>
      </c>
      <c r="H80" s="158"/>
    </row>
    <row r="81" spans="1:11" ht="15.75" thickBot="1">
      <c r="A81" s="206"/>
      <c r="B81" s="161" t="s">
        <v>45</v>
      </c>
      <c r="C81" s="162"/>
      <c r="D81" s="46">
        <f>$H$15/100000</f>
        <v>0.5</v>
      </c>
      <c r="E81" s="46">
        <v>11</v>
      </c>
      <c r="F81" s="47" t="str">
        <f>CONCATENATE(TEXT(D81,"# ##0,0"),"*",E81)</f>
        <v>0,5*11</v>
      </c>
      <c r="G81" s="48">
        <f>D81*E81</f>
        <v>5.5</v>
      </c>
      <c r="H81" s="158"/>
      <c r="I81" s="31"/>
      <c r="J81" s="31"/>
      <c r="K81" s="31"/>
    </row>
    <row r="82" spans="1:11" ht="15" customHeight="1" thickBot="1">
      <c r="A82" s="231" t="s">
        <v>54</v>
      </c>
      <c r="B82" s="232"/>
      <c r="C82" s="232"/>
      <c r="D82" s="232"/>
      <c r="E82" s="127">
        <v>20.294</v>
      </c>
      <c r="F82" s="128" t="str">
        <f>CONCATENATE(TEXT(H79,"# ##0,0"),"*",E82)</f>
        <v>75 857,5*20,294</v>
      </c>
      <c r="G82" s="129"/>
      <c r="H82" s="130">
        <f>H79*E82</f>
        <v>1539452.105</v>
      </c>
    </row>
    <row r="83" spans="1:11" ht="45">
      <c r="A83" s="233" t="s">
        <v>78</v>
      </c>
      <c r="B83" s="204" t="s">
        <v>81</v>
      </c>
      <c r="C83" s="204"/>
      <c r="D83" s="118">
        <v>4</v>
      </c>
      <c r="E83" s="119" t="s">
        <v>9</v>
      </c>
      <c r="F83" s="120" t="str">
        <f>CONCATENATE("1,05*0,260*",TEXT(D83,"# ##0"),"+2637,7*",TEXT(D83,"# ##0"),"*(0,2+0,076)*1,8")</f>
        <v>1,05*0,260*4+2637,7*4*(0,2+0,076)*1,8</v>
      </c>
      <c r="G83" s="121">
        <f>1.05*0.26*4+2637.7*4*(0.2+0.076)*1.8</f>
        <v>5242.7294400000001</v>
      </c>
      <c r="H83" s="228">
        <f>G85</f>
        <v>384863.02625</v>
      </c>
    </row>
    <row r="84" spans="1:11" ht="15">
      <c r="A84" s="234"/>
      <c r="B84" s="203" t="s">
        <v>85</v>
      </c>
      <c r="C84" s="203"/>
      <c r="D84" s="108">
        <f>D80</f>
        <v>86</v>
      </c>
      <c r="E84" s="109">
        <f>G83</f>
        <v>5242.7294400000001</v>
      </c>
      <c r="F84" s="110" t="str">
        <f>CONCATENATE(TEXT(D84,"# ##0"),"*",E84)</f>
        <v>86*5242,72944</v>
      </c>
      <c r="G84" s="116">
        <f>G83*D84</f>
        <v>450874.73184000002</v>
      </c>
      <c r="H84" s="229"/>
    </row>
    <row r="85" spans="1:11" ht="15.75" thickBot="1">
      <c r="A85" s="235"/>
      <c r="B85" s="227" t="s">
        <v>93</v>
      </c>
      <c r="C85" s="227"/>
      <c r="D85" s="112">
        <v>0.25</v>
      </c>
      <c r="E85" s="113">
        <f>H82</f>
        <v>1539452.105</v>
      </c>
      <c r="F85" s="57" t="str">
        <f>CONCATENATE(TEXT(D85,"# ##0%"),"*",TEXT(E85,"# ##0,00"))</f>
        <v>25%*1 539 452,11</v>
      </c>
      <c r="G85" s="117">
        <f>E85*D85</f>
        <v>384863.02625</v>
      </c>
      <c r="H85" s="230"/>
    </row>
    <row r="86" spans="1:11" ht="16.5" thickBot="1">
      <c r="A86" s="236" t="s">
        <v>87</v>
      </c>
      <c r="B86" s="237"/>
      <c r="C86" s="237"/>
      <c r="D86" s="237"/>
      <c r="E86" s="237"/>
      <c r="F86" s="237"/>
      <c r="G86" s="239"/>
      <c r="H86" s="122">
        <f>H82+H83</f>
        <v>1924315.1312500001</v>
      </c>
    </row>
    <row r="87" spans="1:11" ht="28.15" customHeight="1" thickBot="1">
      <c r="A87" s="240" t="s">
        <v>36</v>
      </c>
      <c r="B87" s="241"/>
      <c r="C87" s="241"/>
      <c r="D87" s="241"/>
      <c r="E87" s="241"/>
      <c r="F87" s="241"/>
      <c r="G87" s="242"/>
      <c r="H87" s="131">
        <f>H33+H46+H55+H66+H77+H86</f>
        <v>11106217.9019354</v>
      </c>
    </row>
    <row r="88" spans="1:11" ht="17.45" customHeight="1">
      <c r="A88" s="151" t="s">
        <v>83</v>
      </c>
      <c r="B88" s="151"/>
      <c r="C88" s="151"/>
      <c r="D88" s="151"/>
      <c r="E88" s="151"/>
      <c r="F88" s="151"/>
      <c r="G88" s="151"/>
      <c r="H88" s="151"/>
    </row>
    <row r="89" spans="1:11" ht="17.45" customHeight="1">
      <c r="A89" s="151" t="s">
        <v>82</v>
      </c>
      <c r="B89" s="151"/>
      <c r="C89" s="151"/>
      <c r="D89" s="151"/>
      <c r="E89" s="151"/>
      <c r="F89" s="151"/>
      <c r="G89" s="151"/>
      <c r="H89" s="151"/>
    </row>
    <row r="90" spans="1:11" ht="17.45" customHeight="1">
      <c r="A90" s="151" t="s">
        <v>80</v>
      </c>
      <c r="B90" s="151"/>
      <c r="C90" s="151"/>
      <c r="D90" s="151"/>
      <c r="E90" s="151"/>
      <c r="F90" s="151"/>
      <c r="G90" s="151"/>
      <c r="H90" s="151"/>
    </row>
    <row r="91" spans="1:11" ht="40.9" customHeight="1">
      <c r="A91" s="151" t="s">
        <v>91</v>
      </c>
      <c r="B91" s="151"/>
      <c r="C91" s="151"/>
      <c r="D91" s="151"/>
      <c r="E91" s="151"/>
      <c r="F91" s="151"/>
      <c r="G91" s="151"/>
      <c r="H91" s="151"/>
    </row>
    <row r="92" spans="1:11" ht="17.45" customHeight="1">
      <c r="A92" s="151" t="s">
        <v>86</v>
      </c>
      <c r="B92" s="151"/>
      <c r="C92" s="151"/>
      <c r="D92" s="151"/>
      <c r="E92" s="151"/>
      <c r="F92" s="151"/>
      <c r="G92" s="151"/>
      <c r="H92" s="151"/>
    </row>
    <row r="93" spans="1:11" ht="17.45" customHeight="1">
      <c r="A93" s="151" t="s">
        <v>84</v>
      </c>
      <c r="B93" s="151"/>
      <c r="C93" s="151"/>
      <c r="D93" s="151"/>
      <c r="E93" s="151"/>
      <c r="F93" s="151"/>
      <c r="G93" s="151"/>
      <c r="H93" s="151"/>
    </row>
    <row r="94" spans="1:11">
      <c r="A94" s="152"/>
      <c r="B94" s="152"/>
      <c r="C94" s="152"/>
      <c r="D94" s="152"/>
      <c r="E94" s="152"/>
      <c r="F94" s="152"/>
      <c r="G94" s="152"/>
      <c r="H94" s="152"/>
    </row>
    <row r="112" ht="17.45" customHeight="1"/>
    <row r="117" spans="1:8" ht="21" customHeight="1"/>
    <row r="119" spans="1:8" ht="13.9" customHeight="1">
      <c r="A119" s="238" t="s">
        <v>65</v>
      </c>
      <c r="B119" s="238"/>
      <c r="C119" s="238"/>
      <c r="D119" s="238"/>
      <c r="E119" s="238"/>
      <c r="F119" s="238"/>
      <c r="G119" s="238"/>
      <c r="H119" s="238"/>
    </row>
    <row r="123" spans="1:8" ht="15">
      <c r="B123" s="31"/>
      <c r="C123" s="31"/>
      <c r="D123" s="31"/>
      <c r="E123" s="31"/>
      <c r="F123" s="31"/>
      <c r="G123" s="31"/>
      <c r="H123" s="31"/>
    </row>
  </sheetData>
  <mergeCells count="125">
    <mergeCell ref="A1:H1"/>
    <mergeCell ref="A2:C2"/>
    <mergeCell ref="D2:H2"/>
    <mergeCell ref="A3:C3"/>
    <mergeCell ref="D3:H3"/>
    <mergeCell ref="A4:C4"/>
    <mergeCell ref="D4:H4"/>
    <mergeCell ref="A11:G11"/>
    <mergeCell ref="A12:G12"/>
    <mergeCell ref="A13:G13"/>
    <mergeCell ref="A14:G14"/>
    <mergeCell ref="A15:G15"/>
    <mergeCell ref="A16:G16"/>
    <mergeCell ref="A5:F5"/>
    <mergeCell ref="A6:H6"/>
    <mergeCell ref="A7:H7"/>
    <mergeCell ref="A8:H8"/>
    <mergeCell ref="A9:G9"/>
    <mergeCell ref="A10:G10"/>
    <mergeCell ref="A23:H23"/>
    <mergeCell ref="A24:H24"/>
    <mergeCell ref="A25:A26"/>
    <mergeCell ref="B25:C26"/>
    <mergeCell ref="D25:G25"/>
    <mergeCell ref="H25:H26"/>
    <mergeCell ref="A17:G17"/>
    <mergeCell ref="A18:G18"/>
    <mergeCell ref="A19:G19"/>
    <mergeCell ref="A20:G20"/>
    <mergeCell ref="A21:G21"/>
    <mergeCell ref="A22:G22"/>
    <mergeCell ref="K29:K33"/>
    <mergeCell ref="B30:C30"/>
    <mergeCell ref="B31:C31"/>
    <mergeCell ref="B32:C32"/>
    <mergeCell ref="A33:D33"/>
    <mergeCell ref="A34:H34"/>
    <mergeCell ref="B27:C27"/>
    <mergeCell ref="A28:H28"/>
    <mergeCell ref="A29:A32"/>
    <mergeCell ref="B29:C29"/>
    <mergeCell ref="H29:H32"/>
    <mergeCell ref="J29:J33"/>
    <mergeCell ref="I41:I42"/>
    <mergeCell ref="J41:J42"/>
    <mergeCell ref="B42:C42"/>
    <mergeCell ref="A43:C43"/>
    <mergeCell ref="A44:A45"/>
    <mergeCell ref="B44:C44"/>
    <mergeCell ref="H44:H45"/>
    <mergeCell ref="B45:C45"/>
    <mergeCell ref="A35:A42"/>
    <mergeCell ref="B35:C35"/>
    <mergeCell ref="H35:H42"/>
    <mergeCell ref="B36:C36"/>
    <mergeCell ref="B37:C37"/>
    <mergeCell ref="B38:C38"/>
    <mergeCell ref="B39:C39"/>
    <mergeCell ref="B40:C40"/>
    <mergeCell ref="B41:C41"/>
    <mergeCell ref="A51:C51"/>
    <mergeCell ref="A52:A54"/>
    <mergeCell ref="B52:C52"/>
    <mergeCell ref="H52:H54"/>
    <mergeCell ref="B53:C53"/>
    <mergeCell ref="B54:C54"/>
    <mergeCell ref="A46:G46"/>
    <mergeCell ref="A47:H47"/>
    <mergeCell ref="A48:A50"/>
    <mergeCell ref="B48:C48"/>
    <mergeCell ref="H48:H50"/>
    <mergeCell ref="B49:C49"/>
    <mergeCell ref="B50:C50"/>
    <mergeCell ref="A63:C63"/>
    <mergeCell ref="A64:A65"/>
    <mergeCell ref="B64:C64"/>
    <mergeCell ref="H64:H65"/>
    <mergeCell ref="B65:C65"/>
    <mergeCell ref="A66:G66"/>
    <mergeCell ref="A55:G55"/>
    <mergeCell ref="A56:H56"/>
    <mergeCell ref="A57:A62"/>
    <mergeCell ref="B57:C57"/>
    <mergeCell ref="H57:H62"/>
    <mergeCell ref="B58:C58"/>
    <mergeCell ref="B59:C59"/>
    <mergeCell ref="B60:C60"/>
    <mergeCell ref="B61:C61"/>
    <mergeCell ref="B62:C62"/>
    <mergeCell ref="A74:D74"/>
    <mergeCell ref="B75:C75"/>
    <mergeCell ref="H75:H76"/>
    <mergeCell ref="B76:C76"/>
    <mergeCell ref="A77:G77"/>
    <mergeCell ref="A78:H78"/>
    <mergeCell ref="A67:H67"/>
    <mergeCell ref="A68:A73"/>
    <mergeCell ref="B68:C68"/>
    <mergeCell ref="H68:H73"/>
    <mergeCell ref="B69:C69"/>
    <mergeCell ref="B70:C70"/>
    <mergeCell ref="B71:C71"/>
    <mergeCell ref="B72:C72"/>
    <mergeCell ref="B73:C73"/>
    <mergeCell ref="A83:A85"/>
    <mergeCell ref="B83:C83"/>
    <mergeCell ref="H83:H85"/>
    <mergeCell ref="B84:C84"/>
    <mergeCell ref="B85:C85"/>
    <mergeCell ref="A86:G86"/>
    <mergeCell ref="A79:A81"/>
    <mergeCell ref="B79:C79"/>
    <mergeCell ref="H79:H81"/>
    <mergeCell ref="B80:C80"/>
    <mergeCell ref="B81:C81"/>
    <mergeCell ref="A82:D82"/>
    <mergeCell ref="A93:H93"/>
    <mergeCell ref="A94:H94"/>
    <mergeCell ref="A119:H119"/>
    <mergeCell ref="A87:G87"/>
    <mergeCell ref="A88:H88"/>
    <mergeCell ref="A89:H89"/>
    <mergeCell ref="A90:H90"/>
    <mergeCell ref="A91:H91"/>
    <mergeCell ref="A92:H92"/>
  </mergeCells>
  <pageMargins left="0.82677165354330717" right="0.23622047244094491" top="0.74803149606299213" bottom="0.74803149606299213" header="0.31496062992125984" footer="0.31496062992125984"/>
  <pageSetup paperSize="9" scale="46" fitToHeight="0" orientation="portrait" r:id="rId1"/>
  <rowBreaks count="2" manualBreakCount="2">
    <brk id="33" max="10" man="1"/>
    <brk id="5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Кадастровые работы</vt:lpstr>
      <vt:lpstr>Сводный расчет</vt:lpstr>
      <vt:lpstr>Материалы обоснования</vt:lpstr>
      <vt:lpstr>Кадастровые работы (2)</vt:lpstr>
      <vt:lpstr>'Кадастровые работы'!Print_Area</vt:lpstr>
      <vt:lpstr>'Кадастровые работы (2)'!Print_Area</vt:lpstr>
      <vt:lpstr>'Сводный расчет'!Print_Area</vt:lpstr>
      <vt:lpstr>'Кадастровые работы'!Область_печати</vt:lpstr>
      <vt:lpstr>'Кадастровые работы (2)'!Область_печати</vt:lpstr>
      <vt:lpstr>'Сводный расчет'!Область_печати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2019-11-13T14:24:14Z</dcterms:created>
  <dcterms:modified xsi:type="dcterms:W3CDTF">2023-08-24T13:05:49Z</dcterms:modified>
</cp:coreProperties>
</file>