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negirevala\Desktop\"/>
    </mc:Choice>
  </mc:AlternateContent>
  <bookViews>
    <workbookView xWindow="0" yWindow="0" windowWidth="28800" windowHeight="11235"/>
  </bookViews>
  <sheets>
    <sheet name="0,1 км с ПП" sheetId="1" r:id="rId1"/>
  </sheets>
  <externalReferences>
    <externalReference r:id="rId2"/>
  </externalReferences>
  <definedNames>
    <definedName name="_1.1.1.12." localSheetId="0">'0,1 км с ПП'!#REF!</definedName>
    <definedName name="_1.1.1.12.">#REF!</definedName>
    <definedName name="_xlnm.Print_Titles" localSheetId="0">'0,1 км с ПП'!$11:$14</definedName>
    <definedName name="_xlnm.Print_Area" localSheetId="0">'0,1 км с ПП'!$A$1:$F$104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F84" i="1"/>
  <c r="C82" i="1"/>
  <c r="C79" i="1"/>
  <c r="F79" i="1" s="1"/>
  <c r="F71" i="1"/>
  <c r="F74" i="1" s="1"/>
  <c r="C55" i="1"/>
  <c r="F55" i="1" s="1"/>
  <c r="C54" i="1"/>
  <c r="F54" i="1" s="1"/>
  <c r="F50" i="1"/>
  <c r="C48" i="1"/>
  <c r="C63" i="1" s="1"/>
  <c r="F63" i="1" s="1"/>
  <c r="C46" i="1"/>
  <c r="C57" i="1" s="1"/>
  <c r="C93" i="1" s="1"/>
  <c r="C44" i="1"/>
  <c r="C64" i="1" s="1"/>
  <c r="F37" i="1"/>
  <c r="F30" i="1"/>
  <c r="F24" i="1"/>
  <c r="F40" i="1" s="1"/>
  <c r="F21" i="1"/>
  <c r="F46" i="1" l="1"/>
  <c r="C53" i="1"/>
  <c r="F53" i="1" s="1"/>
  <c r="F59" i="1" s="1"/>
  <c r="F48" i="1"/>
  <c r="F39" i="1"/>
  <c r="F41" i="1" s="1"/>
  <c r="F44" i="1"/>
  <c r="F64" i="1"/>
  <c r="F68" i="1" s="1"/>
  <c r="C73" i="1"/>
  <c r="F93" i="1"/>
  <c r="C92" i="1"/>
  <c r="C90" i="1"/>
  <c r="F90" i="1" s="1"/>
  <c r="F57" i="1"/>
  <c r="F60" i="1" s="1"/>
  <c r="F61" i="1" s="1"/>
  <c r="C65" i="1"/>
  <c r="C85" i="1"/>
  <c r="F49" i="1" l="1"/>
  <c r="F51" i="1" s="1"/>
  <c r="F85" i="1"/>
  <c r="F87" i="1" s="1"/>
  <c r="C91" i="1"/>
  <c r="F91" i="1" s="1"/>
  <c r="F95" i="1" s="1"/>
  <c r="F65" i="1"/>
  <c r="F67" i="1" s="1"/>
  <c r="F69" i="1" s="1"/>
  <c r="C72" i="1"/>
  <c r="F73" i="1"/>
  <c r="F75" i="1" s="1"/>
  <c r="F76" i="1" s="1"/>
  <c r="C97" i="1"/>
  <c r="F97" i="1" s="1"/>
  <c r="F99" i="1" s="1"/>
  <c r="F100" i="1" l="1"/>
  <c r="F101" i="1" s="1"/>
  <c r="F104" i="1" s="1"/>
  <c r="F102" i="1" l="1"/>
  <c r="F103" i="1"/>
</calcChain>
</file>

<file path=xl/sharedStrings.xml><?xml version="1.0" encoding="utf-8"?>
<sst xmlns="http://schemas.openxmlformats.org/spreadsheetml/2006/main" count="214" uniqueCount="160">
  <si>
    <t>Сводная таблица стоимости проектно-изыскательских работ</t>
  </si>
  <si>
    <t>ВЛ 0,4 кВ протяженностью до 100 м, при создании плана трассы.</t>
  </si>
  <si>
    <t>Стадия проектирования: «Проектная и рабочая документация»</t>
  </si>
  <si>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</si>
  <si>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</si>
  <si>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</si>
  <si>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 xml:space="preserve">Расчет стоимости:                         (а+bx) * Кi                                            или (объем строительно-монтажных работ) х коэф., отражающий инфляц. процессы </t>
  </si>
  <si>
    <t>Стоимость в руб.</t>
  </si>
  <si>
    <t>2.</t>
  </si>
  <si>
    <t xml:space="preserve">Выполнение землеустроительных работ </t>
  </si>
  <si>
    <t>Выполнение кадастровых и сопроводительных работ по оформлению документов на право пользования землей во временное и постоянное пользование:</t>
  </si>
  <si>
    <t>Сборник цен и общественно необходимых норм и затрат труда на изготовление проектной и изыскательской продукции землеустройства, земельного кадастра и мониторинга земель (1996)</t>
  </si>
  <si>
    <t>2.1.</t>
  </si>
  <si>
    <t xml:space="preserve">Подготовка землеустроительного дела по отводу земель </t>
  </si>
  <si>
    <t>СЦ-1996г. Москва 
Гл.11, табл. 73</t>
  </si>
  <si>
    <t>а=1363
в=3431</t>
  </si>
  <si>
    <t>1.1. Кол-воземлеустроительных дел</t>
  </si>
  <si>
    <t>К=1+0,2(n-1)</t>
  </si>
  <si>
    <t>примен. к  "а"</t>
  </si>
  <si>
    <t>1.2. Коэфф. к  S или  L</t>
  </si>
  <si>
    <t>L до 100 км</t>
  </si>
  <si>
    <t>К=1,0-0,9(1-n/100)</t>
  </si>
  <si>
    <t>L более 100 км</t>
  </si>
  <si>
    <t>К=1</t>
  </si>
  <si>
    <t>1.3. Удаленность объекта</t>
  </si>
  <si>
    <t>до 30 км</t>
  </si>
  <si>
    <t>К=1,0-0,01(30-n)</t>
  </si>
  <si>
    <t>примен. к  "а" и "в"</t>
  </si>
  <si>
    <t>более 30 км</t>
  </si>
  <si>
    <t xml:space="preserve">1.4. Кол-во точек, переносимых в натуру </t>
  </si>
  <si>
    <t>примен. к "в"</t>
  </si>
  <si>
    <t>до 5 на 1 км</t>
  </si>
  <si>
    <t>более 5 точек на 1 км</t>
  </si>
  <si>
    <t>К=1,0+0,01(n-5)</t>
  </si>
  <si>
    <t>1.5. Кол-во землепользователей</t>
  </si>
  <si>
    <t xml:space="preserve">примен. к "а" </t>
  </si>
  <si>
    <t>К=1,0+0,60(n-1)</t>
  </si>
  <si>
    <t>более 1</t>
  </si>
  <si>
    <t xml:space="preserve">1.6. Кол-во обособленных участков </t>
  </si>
  <si>
    <t xml:space="preserve">К=1,0+0,1(n-1) </t>
  </si>
  <si>
    <t>1.7. Кол-во согласующих организаций</t>
  </si>
  <si>
    <t>более</t>
  </si>
  <si>
    <t>К=1,0+0,10(n-1)</t>
  </si>
  <si>
    <t>1.8. Для линейных объектов</t>
  </si>
  <si>
    <t>К=1,0</t>
  </si>
  <si>
    <t>примен.  к "в"</t>
  </si>
  <si>
    <t>а=1363*1,0*0,107*0,8*1,0*1,9</t>
  </si>
  <si>
    <t>в=3431*0,8*1,0*0,028</t>
  </si>
  <si>
    <t>Итого по п.1</t>
  </si>
  <si>
    <t>2.2.</t>
  </si>
  <si>
    <t>Составление и вычерчивание плана границ землепользования</t>
  </si>
  <si>
    <t>Гл.11 табл. 75</t>
  </si>
  <si>
    <t>а=355
в=22</t>
  </si>
  <si>
    <t>2.1. Кол-во обособ. массивов</t>
  </si>
  <si>
    <t>примен. к "а"</t>
  </si>
  <si>
    <t>2.2. Коэфф. к S</t>
  </si>
  <si>
    <t>К=1,0-0,45(2-n/1000)</t>
  </si>
  <si>
    <t>2.3. Кол-во точек с геоданными</t>
  </si>
  <si>
    <t>2.4.  Кол-во землепользователей</t>
  </si>
  <si>
    <t>К=1,0+0,05n</t>
  </si>
  <si>
    <t>2.5.Коэф. на масштаб</t>
  </si>
  <si>
    <t>К=1,6</t>
  </si>
  <si>
    <t>2.6. Кол-во согласующих организаций</t>
  </si>
  <si>
    <t>а=355*1,0*0,1*1,1*1,9</t>
  </si>
  <si>
    <t>в=22*1,0*1,6</t>
  </si>
  <si>
    <t>Итого по п.2</t>
  </si>
  <si>
    <t>2.3.</t>
  </si>
  <si>
    <t>Описание и согласование границ землепользований</t>
  </si>
  <si>
    <t>Гл.11, табл. 77</t>
  </si>
  <si>
    <t>а=882
в=11</t>
  </si>
  <si>
    <t>3.1. Кол-во землепользователей</t>
  </si>
  <si>
    <t>К=1,0+0,1(n-1)</t>
  </si>
  <si>
    <t>3.2. Длина границы</t>
  </si>
  <si>
    <t>К=1,0-0,02(40-n)</t>
  </si>
  <si>
    <t>3.3. Удаленность объекта</t>
  </si>
  <si>
    <t xml:space="preserve">3.4. Кол-во поворотных точек- </t>
  </si>
  <si>
    <t>3.5. Кол-во смежных землепользователей</t>
  </si>
  <si>
    <t>3.6. Составление систематизированного каталога</t>
  </si>
  <si>
    <t>К=1,5</t>
  </si>
  <si>
    <t>а=882*1,0*0,216*0,8</t>
  </si>
  <si>
    <t>в=11*0,8*1,0*1,0</t>
  </si>
  <si>
    <t>Итого по п.3</t>
  </si>
  <si>
    <t>2.4.</t>
  </si>
  <si>
    <t>Подготовительные работы по регистрации землепользований</t>
  </si>
  <si>
    <t>Гл. 30.5, табл. 186</t>
  </si>
  <si>
    <t>а=32
в=11</t>
  </si>
  <si>
    <t>4.1. Кол-во согласующих организаций</t>
  </si>
  <si>
    <t>К=1+0,4(n-1)</t>
  </si>
  <si>
    <t>4.2. Коэфф. к S</t>
  </si>
  <si>
    <t>К=1,0-0,08(10-n/10)</t>
  </si>
  <si>
    <t>4.3. Подготовка постановления</t>
  </si>
  <si>
    <t>К=0,4</t>
  </si>
  <si>
    <t>4.4. Землепользование в населенном  пункте</t>
  </si>
  <si>
    <t>К=1,15</t>
  </si>
  <si>
    <t>а=32*4,6*0,4*1,15</t>
  </si>
  <si>
    <t>в=11*0,2</t>
  </si>
  <si>
    <t>Итого по п.4</t>
  </si>
  <si>
    <t>2.5.</t>
  </si>
  <si>
    <t>Услуги по оформлению договора на аренду земли временное землепользование</t>
  </si>
  <si>
    <t>Гл. 30.6, табл. 187</t>
  </si>
  <si>
    <t>а=32
в=32</t>
  </si>
  <si>
    <t>5.1. Кол-во обособ. массивов</t>
  </si>
  <si>
    <t>К=1+0,6(n-1)</t>
  </si>
  <si>
    <t>5.2. Кол-во договоров одного вида</t>
  </si>
  <si>
    <t>5.3. Коэфф. к S</t>
  </si>
  <si>
    <t>К=1,0-0,06(10-n/10)</t>
  </si>
  <si>
    <t>а=32*2,0*1,0</t>
  </si>
  <si>
    <t>в=32*0,4</t>
  </si>
  <si>
    <t>Итого по п.5</t>
  </si>
  <si>
    <t>2.6.</t>
  </si>
  <si>
    <t>Подбор проектно- изыскательских материа-лов и извлечение из ном. Документов для изготовления копий планово-картогр. Материала, проектов землеустройства</t>
  </si>
  <si>
    <t>Гл.30.10, табл.191, 192</t>
  </si>
  <si>
    <t>а=16
в=11</t>
  </si>
  <si>
    <t>6.1. Кол-во зем. дел</t>
  </si>
  <si>
    <t>Подбор материалов одного вида</t>
  </si>
  <si>
    <t>К=1+0,06(n-1)</t>
  </si>
  <si>
    <t>Итого по п.6</t>
  </si>
  <si>
    <t>16+11*2,2</t>
  </si>
  <si>
    <t>2.7.</t>
  </si>
  <si>
    <t>Топографо-геодезические изыскания: Полигонометрические ходы</t>
  </si>
  <si>
    <t>II категории сложности Гл. 1.1, табл.1</t>
  </si>
  <si>
    <t>а=1295
в=432</t>
  </si>
  <si>
    <t>L трассы</t>
  </si>
  <si>
    <t>7.1.1. Кол-во опорных точек на 1 км</t>
  </si>
  <si>
    <t>7.1.2.Положение полигонометрических ходов</t>
  </si>
  <si>
    <t>К=1,0-0,06(10-n)</t>
  </si>
  <si>
    <t>7.1.3. Удаление объекта</t>
  </si>
  <si>
    <t>К=1,0+0,01(30-n)</t>
  </si>
  <si>
    <t>7.1.4. Кол-во массивов</t>
  </si>
  <si>
    <t>Итого по п. 7</t>
  </si>
  <si>
    <t>1295*0,7*1,2*1,0+432*1,0*1,2</t>
  </si>
  <si>
    <t>2.8.</t>
  </si>
  <si>
    <t>Перенесение проектов землеустройства в натуру - установление границ землепользования</t>
  </si>
  <si>
    <t>Гл. 18.1, табл. 114
II кат. Сложности</t>
  </si>
  <si>
    <t>а=1218
в=195</t>
  </si>
  <si>
    <t>8.1.1. Кол-во межевых знаков на 1 км</t>
  </si>
  <si>
    <t>8.1.2. Протяженность устанавливаемой границы</t>
  </si>
  <si>
    <t>К=1,0-0,06(15-n)</t>
  </si>
  <si>
    <t>8.1.3. Удаление объекта</t>
  </si>
  <si>
    <t>8.1.4. Кол-во участков</t>
  </si>
  <si>
    <t>8.1.5. Кол-во землепользователей</t>
  </si>
  <si>
    <t>К=1+0,1(n-1)</t>
  </si>
  <si>
    <t>8.1.6. Восстановление утраченных границ</t>
  </si>
  <si>
    <t>Итого по п. 8</t>
  </si>
  <si>
    <t>1218*0,12*0,7*1,0+195*1,0*0,7*1,0*1,6</t>
  </si>
  <si>
    <t>2.9.</t>
  </si>
  <si>
    <t>Вычисление общей площади землепользования</t>
  </si>
  <si>
    <t>Гл.5.1, табл.35</t>
  </si>
  <si>
    <t>а=56
в=34</t>
  </si>
  <si>
    <t>9.1. Общая площадь</t>
  </si>
  <si>
    <t>К=1,0-0,9(1-n/1000)</t>
  </si>
  <si>
    <t>9.2. Кол-во массивов</t>
  </si>
  <si>
    <t>Итого по п. 9</t>
  </si>
  <si>
    <t>56*0,1*1,0+34</t>
  </si>
  <si>
    <t>Итого по п. 1-9</t>
  </si>
  <si>
    <t>Итого  по землеустроительным работам в базисных в ценах</t>
  </si>
  <si>
    <t>Итого по землеустроительным работам в текущих ценах 2013 г.</t>
  </si>
  <si>
    <t>Итого по землеустроительным работам с пересчетом в ценах 2010 г.</t>
  </si>
  <si>
    <t>Итого  по землеустроительным работам с пересчетом в  ценах 2012г.</t>
  </si>
  <si>
    <t xml:space="preserve">Наименование организации Заказчика: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</si>
</sst>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5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" fontId="5" fillId="0" borderId="1" xfId="2" applyNumberFormat="1" applyFont="1" applyFill="1" applyBorder="1"/>
    <xf numFmtId="0" fontId="5" fillId="0" borderId="1" xfId="2" applyFont="1" applyFill="1" applyBorder="1" applyAlignment="1">
      <alignment wrapText="1"/>
    </xf>
    <xf numFmtId="49" fontId="5" fillId="0" borderId="1" xfId="2" applyNumberFormat="1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center" vertical="center" wrapText="1"/>
    </xf>
    <xf numFmtId="2" fontId="5" fillId="0" borderId="1" xfId="2" applyNumberFormat="1" applyFont="1" applyFill="1" applyBorder="1"/>
    <xf numFmtId="0" fontId="5" fillId="0" borderId="1" xfId="2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5" fillId="0" borderId="1" xfId="2" applyFont="1" applyFill="1" applyBorder="1"/>
    <xf numFmtId="0" fontId="5" fillId="0" borderId="1" xfId="2" applyFont="1" applyFill="1" applyBorder="1" applyAlignment="1">
      <alignment horizontal="left"/>
    </xf>
    <xf numFmtId="4" fontId="5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wrapText="1"/>
    </xf>
    <xf numFmtId="164" fontId="5" fillId="0" borderId="1" xfId="2" applyNumberFormat="1" applyFont="1" applyFill="1" applyBorder="1" applyAlignment="1">
      <alignment horizontal="center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6" fontId="5" fillId="0" borderId="1" xfId="2" applyNumberFormat="1" applyFont="1" applyFill="1" applyBorder="1" applyAlignment="1">
      <alignment wrapText="1"/>
    </xf>
    <xf numFmtId="0" fontId="5" fillId="0" borderId="1" xfId="2" applyFont="1" applyFill="1" applyBorder="1" applyAlignment="1">
      <alignment horizontal="center" vertical="center"/>
    </xf>
    <xf numFmtId="4" fontId="7" fillId="0" borderId="1" xfId="2" applyNumberFormat="1" applyFont="1" applyFill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1" xfId="2" applyFont="1" applyFill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2" fontId="5" fillId="0" borderId="1" xfId="2" applyNumberFormat="1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vertical="center"/>
    </xf>
    <xf numFmtId="2" fontId="5" fillId="0" borderId="1" xfId="2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right" wrapText="1"/>
    </xf>
    <xf numFmtId="0" fontId="5" fillId="0" borderId="1" xfId="2" applyFont="1" applyFill="1" applyBorder="1" applyAlignment="1"/>
    <xf numFmtId="0" fontId="7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vertical="center" wrapText="1"/>
    </xf>
    <xf numFmtId="0" fontId="7" fillId="0" borderId="1" xfId="2" applyFont="1" applyFill="1" applyBorder="1"/>
    <xf numFmtId="2" fontId="5" fillId="0" borderId="1" xfId="2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EGIR~1/AppData/Local/Temp/Rar$DI72.856/&#1055;&#1048;&#1056;%20&#1042;&#1051;%200,4%20&#1082;&#1042;%201%20&#1082;&#1072;&#1090;%202%20&#1074;&#1072;&#1088;&#1080;&#1072;&#1085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,1 км с ПП"/>
      <sheetName val="0,5 км с ПП"/>
      <sheetName val="1 км с ПП"/>
      <sheetName val="1,5 км с ПП"/>
      <sheetName val="2 км с ПП"/>
      <sheetName val="2,1 км с ПП"/>
      <sheetName val="3 км с ПП"/>
      <sheetName val="4 км с ПП"/>
      <sheetName val="5 км с ПП"/>
      <sheetName val="6 км с ПП"/>
      <sheetName val="9 км с ПП"/>
      <sheetName val="10 км с 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4"/>
  <sheetViews>
    <sheetView tabSelected="1" view="pageBreakPreview" topLeftCell="A16" zoomScale="85" zoomScaleNormal="80" zoomScaleSheetLayoutView="85" workbookViewId="0">
      <selection activeCell="C19" sqref="C19"/>
    </sheetView>
  </sheetViews>
  <sheetFormatPr defaultRowHeight="12.75" x14ac:dyDescent="0.2"/>
  <cols>
    <col min="1" max="1" width="6.28515625" style="1" customWidth="1"/>
    <col min="2" max="2" width="40.85546875" style="1" customWidth="1"/>
    <col min="3" max="3" width="7.7109375" style="1" customWidth="1"/>
    <col min="4" max="4" width="40.85546875" style="2" customWidth="1"/>
    <col min="5" max="5" width="24.42578125" style="2" customWidth="1"/>
    <col min="6" max="6" width="12.140625" style="3" customWidth="1"/>
    <col min="7" max="16384" width="9.140625" style="2"/>
  </cols>
  <sheetData>
    <row r="1" spans="1:6" ht="30" customHeight="1" x14ac:dyDescent="0.2"/>
    <row r="2" spans="1:6" ht="10.5" customHeight="1" x14ac:dyDescent="0.2"/>
    <row r="3" spans="1:6" ht="12.75" customHeight="1" x14ac:dyDescent="0.2">
      <c r="A3" s="4" t="s">
        <v>0</v>
      </c>
      <c r="B3" s="4"/>
      <c r="C3" s="4"/>
      <c r="D3" s="4"/>
      <c r="E3" s="4"/>
      <c r="F3" s="4"/>
    </row>
    <row r="4" spans="1:6" ht="12.75" customHeight="1" x14ac:dyDescent="0.2">
      <c r="A4" s="5"/>
      <c r="B4" s="5"/>
      <c r="C4" s="5"/>
      <c r="D4" s="6"/>
      <c r="E4" s="6"/>
      <c r="F4" s="7"/>
    </row>
    <row r="5" spans="1:6" ht="42" customHeight="1" x14ac:dyDescent="0.2">
      <c r="A5" s="8" t="s">
        <v>1</v>
      </c>
      <c r="B5" s="8"/>
      <c r="C5" s="8"/>
      <c r="D5" s="8"/>
      <c r="E5" s="8"/>
      <c r="F5" s="8"/>
    </row>
    <row r="6" spans="1:6" ht="15.75" customHeight="1" x14ac:dyDescent="0.2">
      <c r="A6" s="4"/>
      <c r="B6" s="4"/>
      <c r="C6" s="4"/>
      <c r="D6" s="4"/>
      <c r="E6" s="4"/>
      <c r="F6" s="4"/>
    </row>
    <row r="7" spans="1:6" ht="12.75" customHeight="1" x14ac:dyDescent="0.2">
      <c r="A7" s="9" t="s">
        <v>2</v>
      </c>
      <c r="B7" s="9"/>
      <c r="C7" s="9"/>
      <c r="D7" s="9"/>
      <c r="E7" s="9"/>
      <c r="F7" s="9"/>
    </row>
    <row r="8" spans="1:6" ht="12.75" customHeight="1" x14ac:dyDescent="0.2">
      <c r="A8" s="9" t="s">
        <v>159</v>
      </c>
      <c r="B8" s="9"/>
      <c r="C8" s="9"/>
      <c r="D8" s="9"/>
      <c r="E8" s="9"/>
      <c r="F8" s="9"/>
    </row>
    <row r="9" spans="1:6" ht="8.25" customHeight="1" x14ac:dyDescent="0.2"/>
    <row r="10" spans="1:6" ht="8.25" customHeight="1" x14ac:dyDescent="0.2"/>
    <row r="11" spans="1:6" ht="32.25" customHeight="1" x14ac:dyDescent="0.2">
      <c r="A11" s="10" t="s">
        <v>3</v>
      </c>
      <c r="B11" s="10" t="s">
        <v>4</v>
      </c>
      <c r="C11" s="10"/>
      <c r="D11" s="11" t="s">
        <v>5</v>
      </c>
      <c r="E11" s="11" t="s">
        <v>6</v>
      </c>
      <c r="F11" s="12" t="s">
        <v>7</v>
      </c>
    </row>
    <row r="12" spans="1:6" ht="33" customHeight="1" x14ac:dyDescent="0.2">
      <c r="A12" s="10"/>
      <c r="B12" s="10"/>
      <c r="C12" s="10"/>
      <c r="D12" s="11"/>
      <c r="E12" s="11"/>
      <c r="F12" s="12"/>
    </row>
    <row r="13" spans="1:6" ht="22.5" customHeight="1" x14ac:dyDescent="0.2">
      <c r="A13" s="10"/>
      <c r="B13" s="10"/>
      <c r="C13" s="10"/>
      <c r="D13" s="11"/>
      <c r="E13" s="11"/>
      <c r="F13" s="12"/>
    </row>
    <row r="14" spans="1:6" ht="14.25" customHeight="1" x14ac:dyDescent="0.2">
      <c r="A14" s="10"/>
      <c r="B14" s="10"/>
      <c r="C14" s="10"/>
      <c r="D14" s="11"/>
      <c r="E14" s="11"/>
      <c r="F14" s="12"/>
    </row>
    <row r="15" spans="1:6" x14ac:dyDescent="0.2">
      <c r="A15" s="13">
        <v>1</v>
      </c>
      <c r="B15" s="10">
        <v>2</v>
      </c>
      <c r="C15" s="10"/>
      <c r="D15" s="14">
        <v>3</v>
      </c>
      <c r="E15" s="14">
        <v>4</v>
      </c>
      <c r="F15" s="15">
        <v>5</v>
      </c>
    </row>
    <row r="16" spans="1:6" s="6" customFormat="1" ht="16.5" customHeight="1" x14ac:dyDescent="0.2">
      <c r="A16" s="16" t="s">
        <v>8</v>
      </c>
      <c r="B16" s="11" t="s">
        <v>9</v>
      </c>
      <c r="C16" s="11"/>
      <c r="D16" s="11"/>
      <c r="E16" s="11"/>
      <c r="F16" s="11"/>
    </row>
    <row r="17" spans="1:6" s="24" customFormat="1" ht="66" customHeight="1" x14ac:dyDescent="0.2">
      <c r="A17" s="20"/>
      <c r="B17" s="21" t="s">
        <v>10</v>
      </c>
      <c r="C17" s="21"/>
      <c r="D17" s="22" t="s">
        <v>11</v>
      </c>
      <c r="E17" s="22"/>
      <c r="F17" s="23"/>
    </row>
    <row r="18" spans="1:6" s="24" customFormat="1" ht="54.75" customHeight="1" x14ac:dyDescent="0.2">
      <c r="A18" s="25" t="s">
        <v>12</v>
      </c>
      <c r="B18" s="26" t="s">
        <v>13</v>
      </c>
      <c r="C18" s="26"/>
      <c r="D18" s="27" t="s">
        <v>14</v>
      </c>
      <c r="E18" s="28" t="s">
        <v>15</v>
      </c>
      <c r="F18" s="28"/>
    </row>
    <row r="19" spans="1:6" s="24" customFormat="1" ht="16.5" customHeight="1" x14ac:dyDescent="0.2">
      <c r="A19" s="29"/>
      <c r="B19" s="26" t="s">
        <v>16</v>
      </c>
      <c r="C19" s="26">
        <v>1</v>
      </c>
      <c r="D19" s="27" t="s">
        <v>17</v>
      </c>
      <c r="E19" s="30" t="s">
        <v>18</v>
      </c>
      <c r="F19" s="31">
        <v>1</v>
      </c>
    </row>
    <row r="20" spans="1:6" s="24" customFormat="1" ht="16.5" customHeight="1" x14ac:dyDescent="0.2">
      <c r="A20" s="32"/>
      <c r="B20" s="26" t="s">
        <v>19</v>
      </c>
      <c r="C20" s="26"/>
      <c r="D20" s="33"/>
      <c r="E20" s="30"/>
      <c r="F20" s="34"/>
    </row>
    <row r="21" spans="1:6" s="24" customFormat="1" ht="16.5" customHeight="1" x14ac:dyDescent="0.2">
      <c r="A21" s="32"/>
      <c r="B21" s="26" t="s">
        <v>20</v>
      </c>
      <c r="C21" s="35">
        <v>0.1</v>
      </c>
      <c r="D21" s="26" t="s">
        <v>21</v>
      </c>
      <c r="E21" s="30" t="s">
        <v>18</v>
      </c>
      <c r="F21" s="36">
        <f>1-0.9*(1-C21/100)</f>
        <v>0.10089999999999999</v>
      </c>
    </row>
    <row r="22" spans="1:6" s="24" customFormat="1" ht="16.5" customHeight="1" x14ac:dyDescent="0.2">
      <c r="A22" s="32"/>
      <c r="B22" s="26" t="s">
        <v>22</v>
      </c>
      <c r="C22" s="26"/>
      <c r="D22" s="37" t="s">
        <v>23</v>
      </c>
      <c r="E22" s="30"/>
      <c r="F22" s="28"/>
    </row>
    <row r="23" spans="1:6" s="24" customFormat="1" ht="16.5" customHeight="1" x14ac:dyDescent="0.2">
      <c r="A23" s="32"/>
      <c r="B23" s="26" t="s">
        <v>24</v>
      </c>
      <c r="C23" s="26"/>
      <c r="D23" s="38"/>
      <c r="E23" s="28"/>
      <c r="F23" s="28"/>
    </row>
    <row r="24" spans="1:6" s="24" customFormat="1" ht="16.5" customHeight="1" x14ac:dyDescent="0.2">
      <c r="A24" s="32"/>
      <c r="B24" s="26" t="s">
        <v>25</v>
      </c>
      <c r="C24" s="35">
        <v>10</v>
      </c>
      <c r="D24" s="37" t="s">
        <v>26</v>
      </c>
      <c r="E24" s="39" t="s">
        <v>27</v>
      </c>
      <c r="F24" s="28">
        <f>1-0.01*(30-C24)</f>
        <v>0.8</v>
      </c>
    </row>
    <row r="25" spans="1:6" s="24" customFormat="1" ht="16.5" customHeight="1" x14ac:dyDescent="0.2">
      <c r="A25" s="40"/>
      <c r="B25" s="26" t="s">
        <v>28</v>
      </c>
      <c r="C25" s="41"/>
      <c r="D25" s="33" t="s">
        <v>23</v>
      </c>
      <c r="E25" s="39"/>
      <c r="F25" s="40"/>
    </row>
    <row r="26" spans="1:6" s="24" customFormat="1" ht="16.5" customHeight="1" x14ac:dyDescent="0.2">
      <c r="A26" s="32"/>
      <c r="B26" s="26" t="s">
        <v>29</v>
      </c>
      <c r="C26" s="26"/>
      <c r="D26" s="32"/>
      <c r="E26" s="42" t="s">
        <v>30</v>
      </c>
      <c r="F26" s="34"/>
    </row>
    <row r="27" spans="1:6" s="24" customFormat="1" ht="16.5" customHeight="1" x14ac:dyDescent="0.2">
      <c r="A27" s="32"/>
      <c r="B27" s="26" t="s">
        <v>31</v>
      </c>
      <c r="C27" s="26">
        <v>5</v>
      </c>
      <c r="D27" s="33" t="s">
        <v>23</v>
      </c>
      <c r="E27" s="42"/>
      <c r="F27" s="34">
        <v>1</v>
      </c>
    </row>
    <row r="28" spans="1:6" s="24" customFormat="1" ht="16.5" customHeight="1" x14ac:dyDescent="0.2">
      <c r="A28" s="32"/>
      <c r="B28" s="26" t="s">
        <v>32</v>
      </c>
      <c r="C28" s="26"/>
      <c r="D28" s="32" t="s">
        <v>33</v>
      </c>
      <c r="E28" s="42"/>
      <c r="F28" s="43"/>
    </row>
    <row r="29" spans="1:6" s="24" customFormat="1" ht="16.5" customHeight="1" x14ac:dyDescent="0.2">
      <c r="A29" s="44"/>
      <c r="B29" s="26" t="s">
        <v>34</v>
      </c>
      <c r="C29" s="26"/>
      <c r="D29" s="44"/>
      <c r="E29" s="45" t="s">
        <v>35</v>
      </c>
      <c r="F29" s="46"/>
    </row>
    <row r="30" spans="1:6" s="24" customFormat="1" ht="16.5" customHeight="1" x14ac:dyDescent="0.2">
      <c r="A30" s="44"/>
      <c r="B30" s="47"/>
      <c r="C30" s="35">
        <v>1</v>
      </c>
      <c r="D30" s="48" t="s">
        <v>36</v>
      </c>
      <c r="E30" s="45"/>
      <c r="F30" s="34">
        <f>1+0.6*(C30-1)</f>
        <v>1</v>
      </c>
    </row>
    <row r="31" spans="1:6" s="24" customFormat="1" ht="16.5" customHeight="1" x14ac:dyDescent="0.2">
      <c r="A31" s="44"/>
      <c r="B31" s="26" t="s">
        <v>37</v>
      </c>
      <c r="C31" s="26"/>
      <c r="D31" s="48" t="s">
        <v>36</v>
      </c>
      <c r="E31" s="45"/>
      <c r="F31" s="34"/>
    </row>
    <row r="32" spans="1:6" s="24" customFormat="1" ht="16.5" customHeight="1" x14ac:dyDescent="0.2">
      <c r="A32" s="44"/>
      <c r="B32" s="26" t="s">
        <v>38</v>
      </c>
      <c r="C32" s="26"/>
      <c r="D32" s="48"/>
      <c r="E32" s="45" t="s">
        <v>35</v>
      </c>
      <c r="F32" s="34"/>
    </row>
    <row r="33" spans="1:6" s="24" customFormat="1" ht="16.5" customHeight="1" x14ac:dyDescent="0.2">
      <c r="A33" s="44"/>
      <c r="B33" s="47">
        <v>1</v>
      </c>
      <c r="C33" s="26"/>
      <c r="D33" s="48" t="s">
        <v>23</v>
      </c>
      <c r="E33" s="45"/>
      <c r="F33" s="34">
        <v>1</v>
      </c>
    </row>
    <row r="34" spans="1:6" s="24" customFormat="1" ht="16.5" customHeight="1" x14ac:dyDescent="0.2">
      <c r="A34" s="44"/>
      <c r="B34" s="26" t="s">
        <v>37</v>
      </c>
      <c r="C34" s="26"/>
      <c r="D34" s="48" t="s">
        <v>39</v>
      </c>
      <c r="E34" s="45"/>
      <c r="F34" s="34"/>
    </row>
    <row r="35" spans="1:6" s="24" customFormat="1" ht="16.5" customHeight="1" x14ac:dyDescent="0.2">
      <c r="A35" s="44"/>
      <c r="B35" s="26" t="s">
        <v>40</v>
      </c>
      <c r="C35" s="26"/>
      <c r="D35" s="48"/>
      <c r="E35" s="46"/>
      <c r="F35" s="34"/>
    </row>
    <row r="36" spans="1:6" s="24" customFormat="1" ht="16.5" customHeight="1" x14ac:dyDescent="0.2">
      <c r="A36" s="44"/>
      <c r="B36" s="47">
        <v>1</v>
      </c>
      <c r="C36" s="26"/>
      <c r="D36" s="48" t="s">
        <v>23</v>
      </c>
      <c r="E36" s="30" t="s">
        <v>35</v>
      </c>
      <c r="F36" s="34"/>
    </row>
    <row r="37" spans="1:6" s="24" customFormat="1" ht="16.5" customHeight="1" x14ac:dyDescent="0.2">
      <c r="A37" s="44"/>
      <c r="B37" s="26" t="s">
        <v>41</v>
      </c>
      <c r="C37" s="26">
        <v>10</v>
      </c>
      <c r="D37" s="48" t="s">
        <v>42</v>
      </c>
      <c r="E37" s="30"/>
      <c r="F37" s="34">
        <f>1+0.1*(C37-1)</f>
        <v>1.9</v>
      </c>
    </row>
    <row r="38" spans="1:6" s="24" customFormat="1" ht="16.5" customHeight="1" x14ac:dyDescent="0.2">
      <c r="A38" s="44"/>
      <c r="B38" s="26" t="s">
        <v>43</v>
      </c>
      <c r="C38" s="35"/>
      <c r="D38" s="48" t="s">
        <v>44</v>
      </c>
      <c r="E38" s="46" t="s">
        <v>45</v>
      </c>
      <c r="F38" s="36">
        <v>1</v>
      </c>
    </row>
    <row r="39" spans="1:6" s="24" customFormat="1" ht="26.25" customHeight="1" x14ac:dyDescent="0.2">
      <c r="A39" s="44"/>
      <c r="B39" s="26"/>
      <c r="C39" s="26"/>
      <c r="D39" s="48"/>
      <c r="E39" s="49" t="s">
        <v>46</v>
      </c>
      <c r="F39" s="34">
        <f>1363*F19*F21*F24*F30*F33*F37</f>
        <v>209.04058399999997</v>
      </c>
    </row>
    <row r="40" spans="1:6" s="24" customFormat="1" ht="15" customHeight="1" x14ac:dyDescent="0.2">
      <c r="A40" s="44"/>
      <c r="B40" s="26"/>
      <c r="C40" s="26"/>
      <c r="D40" s="48"/>
      <c r="E40" s="46" t="s">
        <v>47</v>
      </c>
      <c r="F40" s="34">
        <f>3431*F24*F27*F38</f>
        <v>2744.8</v>
      </c>
    </row>
    <row r="41" spans="1:6" s="24" customFormat="1" ht="12.75" customHeight="1" x14ac:dyDescent="0.2">
      <c r="A41" s="44"/>
      <c r="B41" s="50" t="s">
        <v>48</v>
      </c>
      <c r="C41" s="26"/>
      <c r="D41" s="48"/>
      <c r="E41" s="44"/>
      <c r="F41" s="43">
        <f>F39+F40</f>
        <v>2953.840584</v>
      </c>
    </row>
    <row r="42" spans="1:6" s="24" customFormat="1" ht="29.25" customHeight="1" x14ac:dyDescent="0.2">
      <c r="A42" s="44" t="s">
        <v>49</v>
      </c>
      <c r="B42" s="26" t="s">
        <v>50</v>
      </c>
      <c r="C42" s="26"/>
      <c r="D42" s="48" t="s">
        <v>51</v>
      </c>
      <c r="E42" s="49" t="s">
        <v>52</v>
      </c>
      <c r="F42" s="34"/>
    </row>
    <row r="43" spans="1:6" s="24" customFormat="1" ht="18" customHeight="1" x14ac:dyDescent="0.2">
      <c r="A43" s="44"/>
      <c r="B43" s="26" t="s">
        <v>53</v>
      </c>
      <c r="C43" s="26">
        <v>1</v>
      </c>
      <c r="D43" s="48" t="s">
        <v>23</v>
      </c>
      <c r="E43" s="46" t="s">
        <v>54</v>
      </c>
      <c r="F43" s="34">
        <v>1</v>
      </c>
    </row>
    <row r="44" spans="1:6" s="24" customFormat="1" ht="18" customHeight="1" x14ac:dyDescent="0.2">
      <c r="A44" s="44"/>
      <c r="B44" s="26" t="s">
        <v>55</v>
      </c>
      <c r="C44" s="35">
        <f>C21*0.03/10</f>
        <v>3.0000000000000003E-4</v>
      </c>
      <c r="D44" s="48" t="s">
        <v>56</v>
      </c>
      <c r="E44" s="46" t="s">
        <v>54</v>
      </c>
      <c r="F44" s="34">
        <f xml:space="preserve"> 1-0.45*(2-C44/1000)</f>
        <v>0.10000013499999993</v>
      </c>
    </row>
    <row r="45" spans="1:6" s="24" customFormat="1" ht="18" customHeight="1" x14ac:dyDescent="0.2">
      <c r="A45" s="32"/>
      <c r="B45" s="26" t="s">
        <v>57</v>
      </c>
      <c r="C45" s="26">
        <v>5</v>
      </c>
      <c r="D45" s="48" t="s">
        <v>23</v>
      </c>
      <c r="E45" s="40" t="s">
        <v>45</v>
      </c>
      <c r="F45" s="34">
        <v>1</v>
      </c>
    </row>
    <row r="46" spans="1:6" s="24" customFormat="1" ht="18" customHeight="1" x14ac:dyDescent="0.2">
      <c r="A46" s="32"/>
      <c r="B46" s="26" t="s">
        <v>58</v>
      </c>
      <c r="C46" s="35">
        <f>C30</f>
        <v>1</v>
      </c>
      <c r="D46" s="33" t="s">
        <v>59</v>
      </c>
      <c r="E46" s="46" t="s">
        <v>54</v>
      </c>
      <c r="F46" s="34">
        <f>1+0.05*C46</f>
        <v>1.05</v>
      </c>
    </row>
    <row r="47" spans="1:6" s="24" customFormat="1" ht="18" customHeight="1" x14ac:dyDescent="0.2">
      <c r="A47" s="32"/>
      <c r="B47" s="26" t="s">
        <v>60</v>
      </c>
      <c r="C47" s="26">
        <v>500</v>
      </c>
      <c r="D47" s="26" t="s">
        <v>61</v>
      </c>
      <c r="E47" s="40" t="s">
        <v>45</v>
      </c>
      <c r="F47" s="34">
        <v>1.6</v>
      </c>
    </row>
    <row r="48" spans="1:6" s="24" customFormat="1" ht="18" customHeight="1" x14ac:dyDescent="0.2">
      <c r="A48" s="32"/>
      <c r="B48" s="26" t="s">
        <v>62</v>
      </c>
      <c r="C48" s="26">
        <f>C37</f>
        <v>10</v>
      </c>
      <c r="D48" s="48" t="s">
        <v>42</v>
      </c>
      <c r="E48" s="46" t="s">
        <v>54</v>
      </c>
      <c r="F48" s="34">
        <f>1+0.1*(C48-1)</f>
        <v>1.9</v>
      </c>
    </row>
    <row r="49" spans="1:6" s="24" customFormat="1" ht="18" customHeight="1" x14ac:dyDescent="0.2">
      <c r="A49" s="32"/>
      <c r="B49" s="32"/>
      <c r="C49" s="26"/>
      <c r="D49" s="32"/>
      <c r="E49" s="32" t="s">
        <v>63</v>
      </c>
      <c r="F49" s="51">
        <f>355*F43*F44*F46*F48</f>
        <v>70.822595610374961</v>
      </c>
    </row>
    <row r="50" spans="1:6" s="24" customFormat="1" ht="18" customHeight="1" x14ac:dyDescent="0.2">
      <c r="A50" s="32"/>
      <c r="B50" s="32"/>
      <c r="C50" s="26"/>
      <c r="D50" s="32"/>
      <c r="E50" s="32" t="s">
        <v>64</v>
      </c>
      <c r="F50" s="40">
        <f>22*F45*F47</f>
        <v>35.200000000000003</v>
      </c>
    </row>
    <row r="51" spans="1:6" s="24" customFormat="1" ht="18" customHeight="1" x14ac:dyDescent="0.2">
      <c r="A51" s="32"/>
      <c r="B51" s="50" t="s">
        <v>65</v>
      </c>
      <c r="C51" s="26"/>
      <c r="D51" s="32"/>
      <c r="E51" s="32"/>
      <c r="F51" s="52">
        <f>F49+F50</f>
        <v>106.02259561037496</v>
      </c>
    </row>
    <row r="52" spans="1:6" s="24" customFormat="1" ht="26.25" customHeight="1" x14ac:dyDescent="0.2">
      <c r="A52" s="32" t="s">
        <v>66</v>
      </c>
      <c r="B52" s="26" t="s">
        <v>67</v>
      </c>
      <c r="C52" s="26"/>
      <c r="D52" s="32" t="s">
        <v>68</v>
      </c>
      <c r="E52" s="53" t="s">
        <v>69</v>
      </c>
      <c r="F52" s="54"/>
    </row>
    <row r="53" spans="1:6" s="24" customFormat="1" ht="18" customHeight="1" x14ac:dyDescent="0.2">
      <c r="A53" s="32"/>
      <c r="B53" s="32" t="s">
        <v>70</v>
      </c>
      <c r="C53" s="35">
        <f>C46</f>
        <v>1</v>
      </c>
      <c r="D53" s="32" t="s">
        <v>71</v>
      </c>
      <c r="E53" s="40" t="s">
        <v>18</v>
      </c>
      <c r="F53" s="51">
        <f>1+0.1*(C53-1)</f>
        <v>1</v>
      </c>
    </row>
    <row r="54" spans="1:6" s="24" customFormat="1" ht="18" customHeight="1" x14ac:dyDescent="0.2">
      <c r="A54" s="32"/>
      <c r="B54" s="32" t="s">
        <v>72</v>
      </c>
      <c r="C54" s="35">
        <f>(C21+0.03)*2</f>
        <v>0.26</v>
      </c>
      <c r="D54" s="32" t="s">
        <v>73</v>
      </c>
      <c r="E54" s="40" t="s">
        <v>18</v>
      </c>
      <c r="F54" s="51">
        <f>1-0.02*(40-C54)</f>
        <v>0.20519999999999994</v>
      </c>
    </row>
    <row r="55" spans="1:6" s="24" customFormat="1" ht="18" customHeight="1" x14ac:dyDescent="0.2">
      <c r="A55" s="32"/>
      <c r="B55" s="32" t="s">
        <v>74</v>
      </c>
      <c r="C55" s="35">
        <f>C24</f>
        <v>10</v>
      </c>
      <c r="D55" s="32" t="s">
        <v>26</v>
      </c>
      <c r="E55" s="28" t="s">
        <v>27</v>
      </c>
      <c r="F55" s="51">
        <f>1-0.01*(30-C55)</f>
        <v>0.8</v>
      </c>
    </row>
    <row r="56" spans="1:6" s="24" customFormat="1" ht="18" customHeight="1" x14ac:dyDescent="0.2">
      <c r="A56" s="32"/>
      <c r="B56" s="32" t="s">
        <v>75</v>
      </c>
      <c r="C56" s="26">
        <v>1</v>
      </c>
      <c r="D56" s="32" t="s">
        <v>23</v>
      </c>
      <c r="E56" s="40" t="s">
        <v>45</v>
      </c>
      <c r="F56" s="51">
        <v>1</v>
      </c>
    </row>
    <row r="57" spans="1:6" s="24" customFormat="1" ht="18" customHeight="1" x14ac:dyDescent="0.2">
      <c r="A57" s="32"/>
      <c r="B57" s="26" t="s">
        <v>76</v>
      </c>
      <c r="C57" s="35">
        <f>C46</f>
        <v>1</v>
      </c>
      <c r="D57" s="32" t="s">
        <v>71</v>
      </c>
      <c r="E57" s="40" t="s">
        <v>45</v>
      </c>
      <c r="F57" s="51">
        <f>1+0.1*(C57-1)</f>
        <v>1</v>
      </c>
    </row>
    <row r="58" spans="1:6" s="24" customFormat="1" ht="26.25" customHeight="1" x14ac:dyDescent="0.2">
      <c r="A58" s="32"/>
      <c r="B58" s="26" t="s">
        <v>77</v>
      </c>
      <c r="C58" s="26"/>
      <c r="D58" s="32" t="s">
        <v>78</v>
      </c>
      <c r="E58" s="40" t="s">
        <v>45</v>
      </c>
      <c r="F58" s="51">
        <v>1</v>
      </c>
    </row>
    <row r="59" spans="1:6" s="24" customFormat="1" ht="18" customHeight="1" x14ac:dyDescent="0.2">
      <c r="A59" s="32"/>
      <c r="B59" s="32"/>
      <c r="C59" s="26"/>
      <c r="D59" s="32"/>
      <c r="E59" s="26" t="s">
        <v>79</v>
      </c>
      <c r="F59" s="55">
        <f>882*F53*F54*F55</f>
        <v>144.78911999999997</v>
      </c>
    </row>
    <row r="60" spans="1:6" s="24" customFormat="1" ht="18" customHeight="1" x14ac:dyDescent="0.2">
      <c r="A60" s="32"/>
      <c r="B60" s="32"/>
      <c r="C60" s="26"/>
      <c r="D60" s="32"/>
      <c r="E60" s="32" t="s">
        <v>80</v>
      </c>
      <c r="F60" s="55">
        <f>11*F55*F57*F58</f>
        <v>8.8000000000000007</v>
      </c>
    </row>
    <row r="61" spans="1:6" s="24" customFormat="1" ht="18" customHeight="1" x14ac:dyDescent="0.2">
      <c r="A61" s="32"/>
      <c r="B61" s="50" t="s">
        <v>81</v>
      </c>
      <c r="C61" s="26"/>
      <c r="D61" s="32"/>
      <c r="E61" s="32"/>
      <c r="F61" s="56">
        <f>F59+F60</f>
        <v>153.58911999999998</v>
      </c>
    </row>
    <row r="62" spans="1:6" s="24" customFormat="1" ht="28.5" customHeight="1" x14ac:dyDescent="0.2">
      <c r="A62" s="32" t="s">
        <v>82</v>
      </c>
      <c r="B62" s="26" t="s">
        <v>83</v>
      </c>
      <c r="C62" s="26"/>
      <c r="D62" s="32" t="s">
        <v>84</v>
      </c>
      <c r="E62" s="26" t="s">
        <v>85</v>
      </c>
      <c r="F62" s="55"/>
    </row>
    <row r="63" spans="1:6" s="24" customFormat="1" ht="18" customHeight="1" x14ac:dyDescent="0.2">
      <c r="A63" s="32"/>
      <c r="B63" s="32" t="s">
        <v>86</v>
      </c>
      <c r="C63" s="26">
        <f>C48</f>
        <v>10</v>
      </c>
      <c r="D63" s="32" t="s">
        <v>87</v>
      </c>
      <c r="E63" s="40" t="s">
        <v>18</v>
      </c>
      <c r="F63" s="55">
        <f>1+0.4*(C63-1)</f>
        <v>4.5999999999999996</v>
      </c>
    </row>
    <row r="64" spans="1:6" s="24" customFormat="1" ht="18" customHeight="1" x14ac:dyDescent="0.2">
      <c r="A64" s="32"/>
      <c r="B64" s="26" t="s">
        <v>88</v>
      </c>
      <c r="C64" s="57">
        <f>C44</f>
        <v>3.0000000000000003E-4</v>
      </c>
      <c r="D64" s="32" t="s">
        <v>89</v>
      </c>
      <c r="E64" s="40" t="s">
        <v>45</v>
      </c>
      <c r="F64" s="55">
        <f>1-0.08*(10-C64/10)</f>
        <v>0.20000240000000002</v>
      </c>
    </row>
    <row r="65" spans="1:6" s="24" customFormat="1" ht="18" customHeight="1" x14ac:dyDescent="0.2">
      <c r="A65" s="32"/>
      <c r="B65" s="32" t="s">
        <v>90</v>
      </c>
      <c r="C65" s="26">
        <f>C57</f>
        <v>1</v>
      </c>
      <c r="D65" s="32" t="s">
        <v>91</v>
      </c>
      <c r="E65" s="40" t="s">
        <v>18</v>
      </c>
      <c r="F65" s="55">
        <f>0.4*C65</f>
        <v>0.4</v>
      </c>
    </row>
    <row r="66" spans="1:6" s="24" customFormat="1" ht="18" customHeight="1" x14ac:dyDescent="0.2">
      <c r="A66" s="32"/>
      <c r="B66" s="26" t="s">
        <v>92</v>
      </c>
      <c r="C66" s="26"/>
      <c r="D66" s="32" t="s">
        <v>93</v>
      </c>
      <c r="E66" s="40" t="s">
        <v>18</v>
      </c>
      <c r="F66" s="55">
        <v>1.1499999999999999</v>
      </c>
    </row>
    <row r="67" spans="1:6" s="24" customFormat="1" ht="18" customHeight="1" x14ac:dyDescent="0.2">
      <c r="A67" s="32"/>
      <c r="B67" s="32"/>
      <c r="C67" s="26"/>
      <c r="D67" s="32"/>
      <c r="E67" s="26" t="s">
        <v>94</v>
      </c>
      <c r="F67" s="55">
        <f>32*F63*F65*F66</f>
        <v>67.711999999999989</v>
      </c>
    </row>
    <row r="68" spans="1:6" s="24" customFormat="1" ht="18" customHeight="1" x14ac:dyDescent="0.2">
      <c r="A68" s="32"/>
      <c r="B68" s="32"/>
      <c r="C68" s="26"/>
      <c r="D68" s="32"/>
      <c r="E68" s="32" t="s">
        <v>95</v>
      </c>
      <c r="F68" s="55">
        <f>11*F64</f>
        <v>2.2000264000000005</v>
      </c>
    </row>
    <row r="69" spans="1:6" s="24" customFormat="1" ht="18" customHeight="1" x14ac:dyDescent="0.2">
      <c r="A69" s="32"/>
      <c r="B69" s="50" t="s">
        <v>96</v>
      </c>
      <c r="C69" s="26"/>
      <c r="D69" s="32"/>
      <c r="E69" s="32"/>
      <c r="F69" s="56">
        <f>F67+F68</f>
        <v>69.912026399999988</v>
      </c>
    </row>
    <row r="70" spans="1:6" s="24" customFormat="1" ht="28.5" customHeight="1" x14ac:dyDescent="0.2">
      <c r="A70" s="32" t="s">
        <v>97</v>
      </c>
      <c r="B70" s="26" t="s">
        <v>98</v>
      </c>
      <c r="C70" s="26"/>
      <c r="D70" s="32" t="s">
        <v>99</v>
      </c>
      <c r="E70" s="53" t="s">
        <v>100</v>
      </c>
      <c r="F70" s="55"/>
    </row>
    <row r="71" spans="1:6" s="24" customFormat="1" ht="20.25" customHeight="1" x14ac:dyDescent="0.2">
      <c r="A71" s="32"/>
      <c r="B71" s="32" t="s">
        <v>101</v>
      </c>
      <c r="C71" s="26">
        <v>1</v>
      </c>
      <c r="D71" s="32" t="s">
        <v>102</v>
      </c>
      <c r="E71" s="40" t="s">
        <v>18</v>
      </c>
      <c r="F71" s="55">
        <f>1+0.6*(C71-1)</f>
        <v>1</v>
      </c>
    </row>
    <row r="72" spans="1:6" s="24" customFormat="1" ht="20.25" customHeight="1" x14ac:dyDescent="0.2">
      <c r="A72" s="32"/>
      <c r="B72" s="32" t="s">
        <v>103</v>
      </c>
      <c r="C72" s="26">
        <f>C65</f>
        <v>1</v>
      </c>
      <c r="D72" s="32" t="s">
        <v>23</v>
      </c>
      <c r="E72" s="40" t="s">
        <v>18</v>
      </c>
      <c r="F72" s="55">
        <v>2</v>
      </c>
    </row>
    <row r="73" spans="1:6" s="24" customFormat="1" ht="20.25" customHeight="1" x14ac:dyDescent="0.2">
      <c r="A73" s="32"/>
      <c r="B73" s="26" t="s">
        <v>104</v>
      </c>
      <c r="C73" s="35">
        <f>C64</f>
        <v>3.0000000000000003E-4</v>
      </c>
      <c r="D73" s="32" t="s">
        <v>105</v>
      </c>
      <c r="E73" s="40" t="s">
        <v>45</v>
      </c>
      <c r="F73" s="55">
        <f>1-0.06*(10-C73/10)</f>
        <v>0.40000180000000007</v>
      </c>
    </row>
    <row r="74" spans="1:6" s="24" customFormat="1" ht="20.25" customHeight="1" x14ac:dyDescent="0.2">
      <c r="A74" s="32"/>
      <c r="B74" s="32"/>
      <c r="C74" s="32"/>
      <c r="D74" s="32"/>
      <c r="E74" s="26" t="s">
        <v>106</v>
      </c>
      <c r="F74" s="55">
        <f>32*F72*F71</f>
        <v>64</v>
      </c>
    </row>
    <row r="75" spans="1:6" s="24" customFormat="1" ht="20.25" customHeight="1" x14ac:dyDescent="0.2">
      <c r="A75" s="32"/>
      <c r="B75" s="32"/>
      <c r="C75" s="32"/>
      <c r="D75" s="32"/>
      <c r="E75" s="32" t="s">
        <v>107</v>
      </c>
      <c r="F75" s="55">
        <f>32*F73</f>
        <v>12.800057600000002</v>
      </c>
    </row>
    <row r="76" spans="1:6" s="24" customFormat="1" ht="20.25" customHeight="1" x14ac:dyDescent="0.2">
      <c r="A76" s="32"/>
      <c r="B76" s="50" t="s">
        <v>108</v>
      </c>
      <c r="C76" s="32"/>
      <c r="D76" s="32"/>
      <c r="E76" s="32"/>
      <c r="F76" s="56">
        <f>F74+F75</f>
        <v>76.800057600000002</v>
      </c>
    </row>
    <row r="77" spans="1:6" s="24" customFormat="1" ht="54.75" customHeight="1" x14ac:dyDescent="0.2">
      <c r="A77" s="32" t="s">
        <v>109</v>
      </c>
      <c r="B77" s="26" t="s">
        <v>110</v>
      </c>
      <c r="C77" s="32"/>
      <c r="D77" s="32" t="s">
        <v>111</v>
      </c>
      <c r="E77" s="53" t="s">
        <v>112</v>
      </c>
      <c r="F77" s="32"/>
    </row>
    <row r="78" spans="1:6" s="24" customFormat="1" ht="18.75" customHeight="1" x14ac:dyDescent="0.2">
      <c r="A78" s="32"/>
      <c r="B78" s="32" t="s">
        <v>113</v>
      </c>
      <c r="C78" s="32"/>
      <c r="D78" s="32"/>
      <c r="E78" s="32"/>
      <c r="F78" s="32"/>
    </row>
    <row r="79" spans="1:6" s="24" customFormat="1" ht="18.75" customHeight="1" x14ac:dyDescent="0.2">
      <c r="A79" s="32"/>
      <c r="B79" s="32" t="s">
        <v>114</v>
      </c>
      <c r="C79" s="32">
        <f>C19</f>
        <v>1</v>
      </c>
      <c r="D79" s="32" t="s">
        <v>115</v>
      </c>
      <c r="E79" s="58" t="s">
        <v>45</v>
      </c>
      <c r="F79" s="40">
        <f>1+0.6*(C79-1)</f>
        <v>1</v>
      </c>
    </row>
    <row r="80" spans="1:6" s="24" customFormat="1" ht="18" customHeight="1" x14ac:dyDescent="0.2">
      <c r="A80" s="32"/>
      <c r="B80" s="50" t="s">
        <v>116</v>
      </c>
      <c r="C80" s="32"/>
      <c r="D80" s="32"/>
      <c r="E80" s="58" t="s">
        <v>117</v>
      </c>
      <c r="F80" s="59">
        <v>40.200000000000003</v>
      </c>
    </row>
    <row r="81" spans="1:6" s="24" customFormat="1" ht="27" customHeight="1" x14ac:dyDescent="0.2">
      <c r="A81" s="32" t="s">
        <v>118</v>
      </c>
      <c r="B81" s="26" t="s">
        <v>119</v>
      </c>
      <c r="C81" s="32"/>
      <c r="D81" s="32" t="s">
        <v>120</v>
      </c>
      <c r="E81" s="26" t="s">
        <v>121</v>
      </c>
      <c r="F81" s="32"/>
    </row>
    <row r="82" spans="1:6" s="24" customFormat="1" ht="18" customHeight="1" x14ac:dyDescent="0.2">
      <c r="A82" s="32"/>
      <c r="B82" s="32" t="s">
        <v>122</v>
      </c>
      <c r="C82" s="32">
        <f>C21</f>
        <v>0.1</v>
      </c>
      <c r="D82" s="32"/>
      <c r="E82" s="26"/>
      <c r="F82" s="32"/>
    </row>
    <row r="83" spans="1:6" s="24" customFormat="1" ht="18" customHeight="1" x14ac:dyDescent="0.2">
      <c r="A83" s="32"/>
      <c r="B83" s="32" t="s">
        <v>123</v>
      </c>
      <c r="C83" s="32"/>
      <c r="D83" s="32" t="s">
        <v>23</v>
      </c>
      <c r="E83" s="58" t="s">
        <v>30</v>
      </c>
      <c r="F83" s="51">
        <v>1</v>
      </c>
    </row>
    <row r="84" spans="1:6" s="24" customFormat="1" ht="18" customHeight="1" x14ac:dyDescent="0.2">
      <c r="A84" s="32"/>
      <c r="B84" s="26" t="s">
        <v>124</v>
      </c>
      <c r="C84" s="32">
        <v>10</v>
      </c>
      <c r="D84" s="32" t="s">
        <v>125</v>
      </c>
      <c r="E84" s="58" t="s">
        <v>18</v>
      </c>
      <c r="F84" s="51">
        <f>1-0.06*(10-C84)</f>
        <v>1</v>
      </c>
    </row>
    <row r="85" spans="1:6" s="24" customFormat="1" ht="18" customHeight="1" x14ac:dyDescent="0.2">
      <c r="A85" s="32"/>
      <c r="B85" s="32" t="s">
        <v>126</v>
      </c>
      <c r="C85" s="32">
        <f>C55</f>
        <v>10</v>
      </c>
      <c r="D85" s="32" t="s">
        <v>127</v>
      </c>
      <c r="E85" s="60" t="s">
        <v>27</v>
      </c>
      <c r="F85" s="51">
        <f>1+0.01*(30-C85)</f>
        <v>1.2</v>
      </c>
    </row>
    <row r="86" spans="1:6" s="24" customFormat="1" ht="18" customHeight="1" x14ac:dyDescent="0.2">
      <c r="A86" s="32"/>
      <c r="B86" s="32" t="s">
        <v>128</v>
      </c>
      <c r="C86" s="32">
        <v>1</v>
      </c>
      <c r="D86" s="32" t="s">
        <v>23</v>
      </c>
      <c r="E86" s="58" t="s">
        <v>18</v>
      </c>
      <c r="F86" s="51">
        <v>1</v>
      </c>
    </row>
    <row r="87" spans="1:6" s="24" customFormat="1" ht="27.75" customHeight="1" x14ac:dyDescent="0.2">
      <c r="A87" s="32"/>
      <c r="B87" s="61" t="s">
        <v>129</v>
      </c>
      <c r="C87" s="32"/>
      <c r="D87" s="32"/>
      <c r="E87" s="26" t="s">
        <v>130</v>
      </c>
      <c r="F87" s="59">
        <f>1295*F84*F85*F86+432*F85</f>
        <v>2072.4</v>
      </c>
    </row>
    <row r="88" spans="1:6" s="24" customFormat="1" ht="40.5" customHeight="1" x14ac:dyDescent="0.2">
      <c r="A88" s="32" t="s">
        <v>131</v>
      </c>
      <c r="B88" s="26" t="s">
        <v>132</v>
      </c>
      <c r="C88" s="32"/>
      <c r="D88" s="26" t="s">
        <v>133</v>
      </c>
      <c r="E88" s="26" t="s">
        <v>134</v>
      </c>
      <c r="F88" s="59"/>
    </row>
    <row r="89" spans="1:6" s="24" customFormat="1" ht="18" customHeight="1" x14ac:dyDescent="0.2">
      <c r="A89" s="32"/>
      <c r="B89" s="32" t="s">
        <v>135</v>
      </c>
      <c r="C89" s="32">
        <v>3</v>
      </c>
      <c r="D89" s="32" t="s">
        <v>23</v>
      </c>
      <c r="E89" s="58" t="s">
        <v>45</v>
      </c>
      <c r="F89" s="51">
        <v>1</v>
      </c>
    </row>
    <row r="90" spans="1:6" s="24" customFormat="1" ht="27.75" customHeight="1" x14ac:dyDescent="0.2">
      <c r="A90" s="32"/>
      <c r="B90" s="26" t="s">
        <v>136</v>
      </c>
      <c r="C90" s="32">
        <f>C54</f>
        <v>0.26</v>
      </c>
      <c r="D90" s="32" t="s">
        <v>137</v>
      </c>
      <c r="E90" s="33" t="s">
        <v>18</v>
      </c>
      <c r="F90" s="51">
        <f>1-0.06*(15-C90)</f>
        <v>0.11560000000000004</v>
      </c>
    </row>
    <row r="91" spans="1:6" s="24" customFormat="1" ht="18" customHeight="1" x14ac:dyDescent="0.2">
      <c r="A91" s="32"/>
      <c r="B91" s="32" t="s">
        <v>138</v>
      </c>
      <c r="C91" s="32">
        <f>C85</f>
        <v>10</v>
      </c>
      <c r="D91" s="32" t="s">
        <v>26</v>
      </c>
      <c r="E91" s="60" t="s">
        <v>27</v>
      </c>
      <c r="F91" s="40">
        <f>1-0.06*(15-C91)</f>
        <v>0.7</v>
      </c>
    </row>
    <row r="92" spans="1:6" s="24" customFormat="1" ht="18" customHeight="1" x14ac:dyDescent="0.2">
      <c r="A92" s="32"/>
      <c r="B92" s="32" t="s">
        <v>139</v>
      </c>
      <c r="C92" s="32">
        <f>C93</f>
        <v>1</v>
      </c>
      <c r="D92" s="32" t="s">
        <v>23</v>
      </c>
      <c r="E92" s="33" t="s">
        <v>18</v>
      </c>
      <c r="F92" s="51">
        <v>1</v>
      </c>
    </row>
    <row r="93" spans="1:6" s="24" customFormat="1" ht="18" customHeight="1" x14ac:dyDescent="0.2">
      <c r="A93" s="32"/>
      <c r="B93" s="32" t="s">
        <v>140</v>
      </c>
      <c r="C93" s="32">
        <f>C57</f>
        <v>1</v>
      </c>
      <c r="D93" s="32" t="s">
        <v>141</v>
      </c>
      <c r="E93" s="58" t="s">
        <v>45</v>
      </c>
      <c r="F93" s="51">
        <f>1+0.1*(C93-1)</f>
        <v>1</v>
      </c>
    </row>
    <row r="94" spans="1:6" s="24" customFormat="1" ht="18" customHeight="1" x14ac:dyDescent="0.2">
      <c r="A94" s="32"/>
      <c r="B94" s="26" t="s">
        <v>142</v>
      </c>
      <c r="C94" s="32"/>
      <c r="D94" s="32" t="s">
        <v>61</v>
      </c>
      <c r="E94" s="58" t="s">
        <v>45</v>
      </c>
      <c r="F94" s="51">
        <v>1.6</v>
      </c>
    </row>
    <row r="95" spans="1:6" s="24" customFormat="1" ht="28.5" customHeight="1" x14ac:dyDescent="0.2">
      <c r="A95" s="32"/>
      <c r="B95" s="61" t="s">
        <v>143</v>
      </c>
      <c r="C95" s="32"/>
      <c r="D95" s="32"/>
      <c r="E95" s="62" t="s">
        <v>144</v>
      </c>
      <c r="F95" s="52">
        <f>1218*F90*F91*F92+195*F89+F91*F93*F94</f>
        <v>294.68056000000001</v>
      </c>
    </row>
    <row r="96" spans="1:6" s="24" customFormat="1" ht="27.75" customHeight="1" x14ac:dyDescent="0.2">
      <c r="A96" s="32" t="s">
        <v>145</v>
      </c>
      <c r="B96" s="26" t="s">
        <v>146</v>
      </c>
      <c r="C96" s="32"/>
      <c r="D96" s="32" t="s">
        <v>147</v>
      </c>
      <c r="E96" s="62" t="s">
        <v>148</v>
      </c>
      <c r="F96" s="52"/>
    </row>
    <row r="97" spans="1:6" s="24" customFormat="1" ht="21" customHeight="1" x14ac:dyDescent="0.2">
      <c r="A97" s="32"/>
      <c r="B97" s="32" t="s">
        <v>149</v>
      </c>
      <c r="C97" s="32">
        <f>C73</f>
        <v>3.0000000000000003E-4</v>
      </c>
      <c r="D97" s="32" t="s">
        <v>150</v>
      </c>
      <c r="E97" s="33" t="s">
        <v>18</v>
      </c>
      <c r="F97" s="51">
        <f>1-0.9*(1-C97/1000)</f>
        <v>0.10000026999999989</v>
      </c>
    </row>
    <row r="98" spans="1:6" s="24" customFormat="1" ht="21" customHeight="1" x14ac:dyDescent="0.2">
      <c r="A98" s="32"/>
      <c r="B98" s="32" t="s">
        <v>151</v>
      </c>
      <c r="C98" s="32">
        <f>C86</f>
        <v>1</v>
      </c>
      <c r="D98" s="32" t="s">
        <v>44</v>
      </c>
      <c r="E98" s="33" t="s">
        <v>18</v>
      </c>
      <c r="F98" s="51">
        <v>1</v>
      </c>
    </row>
    <row r="99" spans="1:6" s="24" customFormat="1" ht="23.25" customHeight="1" x14ac:dyDescent="0.2">
      <c r="A99" s="32"/>
      <c r="B99" s="61" t="s">
        <v>152</v>
      </c>
      <c r="C99" s="32"/>
      <c r="D99" s="32"/>
      <c r="E99" s="62" t="s">
        <v>153</v>
      </c>
      <c r="F99" s="52">
        <f>56*F97*F98+34</f>
        <v>39.600015119999995</v>
      </c>
    </row>
    <row r="100" spans="1:6" s="24" customFormat="1" ht="23.25" customHeight="1" x14ac:dyDescent="0.2">
      <c r="A100" s="32"/>
      <c r="B100" s="61" t="s">
        <v>154</v>
      </c>
      <c r="C100" s="32"/>
      <c r="D100" s="32"/>
      <c r="E100" s="62"/>
      <c r="F100" s="52">
        <f>F41+F51+F61+F69+F76+F80+F87+F95+F99</f>
        <v>5807.0449587303738</v>
      </c>
    </row>
    <row r="101" spans="1:6" ht="21" customHeight="1" x14ac:dyDescent="0.2">
      <c r="A101" s="17" t="s">
        <v>155</v>
      </c>
      <c r="B101" s="17"/>
      <c r="C101" s="17"/>
      <c r="D101" s="17"/>
      <c r="E101" s="18"/>
      <c r="F101" s="63">
        <f>F100</f>
        <v>5807.0449587303738</v>
      </c>
    </row>
    <row r="102" spans="1:6" s="6" customFormat="1" ht="17.25" customHeight="1" x14ac:dyDescent="0.2">
      <c r="A102" s="19" t="s">
        <v>157</v>
      </c>
      <c r="B102" s="19"/>
      <c r="C102" s="19"/>
      <c r="D102" s="19"/>
      <c r="E102" s="14">
        <v>9.1677739999999996</v>
      </c>
      <c r="F102" s="64">
        <f>F101*E102</f>
        <v>53237.675789479392</v>
      </c>
    </row>
    <row r="103" spans="1:6" s="6" customFormat="1" ht="17.25" customHeight="1" x14ac:dyDescent="0.2">
      <c r="A103" s="19" t="s">
        <v>156</v>
      </c>
      <c r="B103" s="19"/>
      <c r="C103" s="19"/>
      <c r="D103" s="19"/>
      <c r="E103" s="14">
        <v>11.107519999999999</v>
      </c>
      <c r="F103" s="64">
        <f>F101*E103</f>
        <v>64501.868019996793</v>
      </c>
    </row>
    <row r="104" spans="1:6" s="6" customFormat="1" ht="17.25" customHeight="1" x14ac:dyDescent="0.2">
      <c r="A104" s="19" t="s">
        <v>158</v>
      </c>
      <c r="B104" s="19"/>
      <c r="C104" s="19"/>
      <c r="D104" s="19"/>
      <c r="E104" s="14">
        <v>10.57798</v>
      </c>
      <c r="F104" s="64">
        <f>F101*E104</f>
        <v>61426.805432550718</v>
      </c>
    </row>
  </sheetData>
  <mergeCells count="24">
    <mergeCell ref="A102:D102"/>
    <mergeCell ref="A103:D103"/>
    <mergeCell ref="A104:D104"/>
    <mergeCell ref="E32:E34"/>
    <mergeCell ref="E36:E37"/>
    <mergeCell ref="A101:D101"/>
    <mergeCell ref="E24:E25"/>
    <mergeCell ref="E26:E28"/>
    <mergeCell ref="E29:E31"/>
    <mergeCell ref="B17:C17"/>
    <mergeCell ref="E19:E20"/>
    <mergeCell ref="E21:E22"/>
    <mergeCell ref="B16:F16"/>
    <mergeCell ref="B15:C15"/>
    <mergeCell ref="A11:A14"/>
    <mergeCell ref="B11:C14"/>
    <mergeCell ref="D11:D14"/>
    <mergeCell ref="E11:E14"/>
    <mergeCell ref="F11:F14"/>
    <mergeCell ref="A7:F7"/>
    <mergeCell ref="A8:F8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2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0,1 км с ПП</vt:lpstr>
      <vt:lpstr>'0,1 км с ПП'!Заголовки_для_печати</vt:lpstr>
      <vt:lpstr>'0,1 км с ПП'!Область_печати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Людмила Александровна</dc:creator>
  <cp:lastModifiedBy>Снегирева Людмила Александровна</cp:lastModifiedBy>
  <dcterms:created xsi:type="dcterms:W3CDTF">2015-09-18T08:52:27Z</dcterms:created>
  <dcterms:modified xsi:type="dcterms:W3CDTF">2015-09-18T08:54:13Z</dcterms:modified>
</cp:coreProperties>
</file>