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845" windowHeight="1050"/>
  </bookViews>
  <sheets>
    <sheet name="Смета 11 граф c НР и СП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11 граф c НР и СП'!$15:$15</definedName>
    <definedName name="_xlnm.Print_Area" localSheetId="0">'Смета 11 граф c НР и СП'!$A$1:$K$88</definedName>
  </definedNames>
  <calcPr calcId="124519"/>
</workbook>
</file>

<file path=xl/calcChain.xml><?xml version="1.0" encoding="utf-8"?>
<calcChain xmlns="http://schemas.openxmlformats.org/spreadsheetml/2006/main">
  <c r="I86" i="5"/>
  <c r="I83"/>
  <c r="C86"/>
  <c r="C83"/>
  <c r="H80"/>
  <c r="C80"/>
  <c r="H79"/>
  <c r="C79"/>
  <c r="H78"/>
  <c r="C78"/>
  <c r="H77"/>
  <c r="C77"/>
  <c r="H76"/>
  <c r="C76"/>
  <c r="H75"/>
  <c r="C75"/>
  <c r="H74"/>
  <c r="C74"/>
  <c r="H73"/>
  <c r="C73"/>
  <c r="H72"/>
  <c r="C72"/>
  <c r="H71"/>
  <c r="C71"/>
  <c r="H70"/>
  <c r="C70"/>
  <c r="H69"/>
  <c r="C69"/>
  <c r="H68"/>
  <c r="C68"/>
  <c r="H67"/>
  <c r="C67"/>
  <c r="H66"/>
  <c r="C66"/>
  <c r="H65"/>
  <c r="C65"/>
  <c r="H64"/>
  <c r="C64"/>
  <c r="H63"/>
  <c r="C63"/>
  <c r="H62"/>
  <c r="C62"/>
  <c r="H61"/>
  <c r="C61"/>
  <c r="H60"/>
  <c r="C60"/>
  <c r="C56"/>
  <c r="G54"/>
  <c r="E54"/>
  <c r="H53"/>
  <c r="G53"/>
  <c r="E53"/>
  <c r="D53"/>
  <c r="H52"/>
  <c r="G52"/>
  <c r="E52"/>
  <c r="D52"/>
  <c r="AB50"/>
  <c r="AA50"/>
  <c r="Z50"/>
  <c r="Y50"/>
  <c r="X50"/>
  <c r="W50"/>
  <c r="V50"/>
  <c r="U50"/>
  <c r="T50"/>
  <c r="K51"/>
  <c r="K50"/>
  <c r="J51"/>
  <c r="J50"/>
  <c r="I51"/>
  <c r="I50"/>
  <c r="H50"/>
  <c r="G50"/>
  <c r="F51"/>
  <c r="F50"/>
  <c r="E51"/>
  <c r="E50"/>
  <c r="D50"/>
  <c r="C51"/>
  <c r="C50"/>
  <c r="B50"/>
  <c r="A50"/>
  <c r="G49"/>
  <c r="E49"/>
  <c r="H48"/>
  <c r="G48"/>
  <c r="E48"/>
  <c r="D48"/>
  <c r="H47"/>
  <c r="G47"/>
  <c r="E47"/>
  <c r="D47"/>
  <c r="AB45"/>
  <c r="AA45"/>
  <c r="Z45"/>
  <c r="Y45"/>
  <c r="X45"/>
  <c r="W45"/>
  <c r="V45"/>
  <c r="U45"/>
  <c r="T45"/>
  <c r="K46"/>
  <c r="K45"/>
  <c r="J46"/>
  <c r="J45"/>
  <c r="I46"/>
  <c r="I45"/>
  <c r="H45"/>
  <c r="G45"/>
  <c r="F46"/>
  <c r="F45"/>
  <c r="E46"/>
  <c r="E45"/>
  <c r="D45"/>
  <c r="C46"/>
  <c r="C45"/>
  <c r="B45"/>
  <c r="A45"/>
  <c r="G44"/>
  <c r="E44"/>
  <c r="H43"/>
  <c r="G43"/>
  <c r="E43"/>
  <c r="D43"/>
  <c r="H42"/>
  <c r="G42"/>
  <c r="E42"/>
  <c r="D42"/>
  <c r="AB40"/>
  <c r="AA40"/>
  <c r="Z40"/>
  <c r="Y40"/>
  <c r="X40"/>
  <c r="W40"/>
  <c r="V40"/>
  <c r="U40"/>
  <c r="T40"/>
  <c r="K41"/>
  <c r="K40"/>
  <c r="J41"/>
  <c r="J40"/>
  <c r="I41"/>
  <c r="I40"/>
  <c r="H40"/>
  <c r="G40"/>
  <c r="F41"/>
  <c r="F40"/>
  <c r="E41"/>
  <c r="E40"/>
  <c r="D40"/>
  <c r="C41"/>
  <c r="C40"/>
  <c r="B40"/>
  <c r="A40"/>
  <c r="G39"/>
  <c r="E39"/>
  <c r="H38"/>
  <c r="G38"/>
  <c r="E38"/>
  <c r="D38"/>
  <c r="H37"/>
  <c r="G37"/>
  <c r="E37"/>
  <c r="D37"/>
  <c r="AB35"/>
  <c r="AA35"/>
  <c r="Z35"/>
  <c r="Y35"/>
  <c r="X35"/>
  <c r="W35"/>
  <c r="V35"/>
  <c r="U35"/>
  <c r="T35"/>
  <c r="K36"/>
  <c r="K35"/>
  <c r="J36"/>
  <c r="J35"/>
  <c r="I36"/>
  <c r="I35"/>
  <c r="H35"/>
  <c r="G35"/>
  <c r="F36"/>
  <c r="F35"/>
  <c r="E36"/>
  <c r="E35"/>
  <c r="D35"/>
  <c r="C36"/>
  <c r="C35"/>
  <c r="B35"/>
  <c r="A35"/>
  <c r="G34"/>
  <c r="E34"/>
  <c r="H33"/>
  <c r="G33"/>
  <c r="E33"/>
  <c r="D33"/>
  <c r="H32"/>
  <c r="G32"/>
  <c r="E32"/>
  <c r="D32"/>
  <c r="AB30"/>
  <c r="AA30"/>
  <c r="Z30"/>
  <c r="Y30"/>
  <c r="X30"/>
  <c r="W30"/>
  <c r="V30"/>
  <c r="U30"/>
  <c r="T30"/>
  <c r="K31"/>
  <c r="K30"/>
  <c r="J31"/>
  <c r="J30"/>
  <c r="I31"/>
  <c r="I30"/>
  <c r="H30"/>
  <c r="G30"/>
  <c r="F31"/>
  <c r="F30"/>
  <c r="E31"/>
  <c r="E30"/>
  <c r="D30"/>
  <c r="C31"/>
  <c r="C30"/>
  <c r="B30"/>
  <c r="A30"/>
  <c r="G29"/>
  <c r="E29"/>
  <c r="H28"/>
  <c r="G28"/>
  <c r="E28"/>
  <c r="D28"/>
  <c r="H27"/>
  <c r="G27"/>
  <c r="E27"/>
  <c r="D27"/>
  <c r="AB25"/>
  <c r="AA25"/>
  <c r="Z25"/>
  <c r="Y25"/>
  <c r="X25"/>
  <c r="W25"/>
  <c r="V25"/>
  <c r="U25"/>
  <c r="T25"/>
  <c r="K26"/>
  <c r="K25"/>
  <c r="J26"/>
  <c r="J25"/>
  <c r="I26"/>
  <c r="I25"/>
  <c r="H25"/>
  <c r="G25"/>
  <c r="F26"/>
  <c r="F25"/>
  <c r="E26"/>
  <c r="E25"/>
  <c r="D25"/>
  <c r="C26"/>
  <c r="C25"/>
  <c r="B25"/>
  <c r="A25"/>
  <c r="AB23"/>
  <c r="AA23"/>
  <c r="Z23"/>
  <c r="Y23"/>
  <c r="X23"/>
  <c r="W23"/>
  <c r="V23"/>
  <c r="U23"/>
  <c r="T23"/>
  <c r="K24"/>
  <c r="K23"/>
  <c r="J24"/>
  <c r="J23"/>
  <c r="I24"/>
  <c r="I23"/>
  <c r="H23"/>
  <c r="G23"/>
  <c r="F24"/>
  <c r="F23"/>
  <c r="E24"/>
  <c r="E23"/>
  <c r="D23"/>
  <c r="C24"/>
  <c r="B23"/>
  <c r="A23"/>
  <c r="AB21"/>
  <c r="AA21"/>
  <c r="Z21"/>
  <c r="Y21"/>
  <c r="X21"/>
  <c r="W21"/>
  <c r="V21"/>
  <c r="U21"/>
  <c r="T21"/>
  <c r="K22"/>
  <c r="K21"/>
  <c r="J22"/>
  <c r="J21"/>
  <c r="I22"/>
  <c r="I21"/>
  <c r="H21"/>
  <c r="G21"/>
  <c r="F22"/>
  <c r="F21"/>
  <c r="E22"/>
  <c r="E21"/>
  <c r="D21"/>
  <c r="C22"/>
  <c r="B21"/>
  <c r="A21"/>
  <c r="G20"/>
  <c r="E20"/>
  <c r="H19"/>
  <c r="G19"/>
  <c r="E19"/>
  <c r="D19"/>
  <c r="H18"/>
  <c r="G18"/>
  <c r="E18"/>
  <c r="D18"/>
  <c r="AB16"/>
  <c r="AA16"/>
  <c r="Z16"/>
  <c r="K57" s="1"/>
  <c r="Y16"/>
  <c r="K56" s="1"/>
  <c r="X16"/>
  <c r="I57" s="1"/>
  <c r="W16"/>
  <c r="I56" s="1"/>
  <c r="V16"/>
  <c r="H56" s="1"/>
  <c r="U16"/>
  <c r="T16"/>
  <c r="G56" s="1"/>
  <c r="K17"/>
  <c r="K16"/>
  <c r="J17"/>
  <c r="J16"/>
  <c r="I17"/>
  <c r="I16"/>
  <c r="H16"/>
  <c r="G16"/>
  <c r="F17"/>
  <c r="F16"/>
  <c r="E17"/>
  <c r="E16"/>
  <c r="D16"/>
  <c r="C17"/>
  <c r="C16"/>
  <c r="B16"/>
  <c r="A16"/>
  <c r="I9"/>
  <c r="A7"/>
  <c r="A4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1" i="3"/>
  <c r="CX1"/>
  <c r="CY1"/>
  <c r="CZ1"/>
  <c r="DA1"/>
  <c r="A2"/>
  <c r="CX2"/>
  <c r="CY2"/>
  <c r="CZ2"/>
  <c r="DA2"/>
  <c r="A3"/>
  <c r="CX3"/>
  <c r="CY3"/>
  <c r="CZ3"/>
  <c r="DA3"/>
  <c r="A4"/>
  <c r="CX4"/>
  <c r="CY4"/>
  <c r="CZ4"/>
  <c r="DA4"/>
  <c r="A5"/>
  <c r="CX5"/>
  <c r="CY5"/>
  <c r="CZ5"/>
  <c r="DA5"/>
  <c r="A6"/>
  <c r="CX6"/>
  <c r="CY6"/>
  <c r="CZ6"/>
  <c r="DA6"/>
  <c r="A7"/>
  <c r="CX7"/>
  <c r="CY7"/>
  <c r="CZ7"/>
  <c r="DA7"/>
  <c r="A8"/>
  <c r="CX8"/>
  <c r="CY8"/>
  <c r="CZ8"/>
  <c r="DA8"/>
  <c r="A9"/>
  <c r="CX9"/>
  <c r="CY9"/>
  <c r="CZ9"/>
  <c r="DA9"/>
  <c r="A10"/>
  <c r="CX10"/>
  <c r="CY10"/>
  <c r="CZ10"/>
  <c r="DA10"/>
  <c r="A11"/>
  <c r="CX11"/>
  <c r="CY11"/>
  <c r="CZ11"/>
  <c r="DA11"/>
  <c r="A12"/>
  <c r="CX12"/>
  <c r="CY12"/>
  <c r="CZ12"/>
  <c r="DA12"/>
  <c r="A13"/>
  <c r="CX13"/>
  <c r="CY13"/>
  <c r="CZ13"/>
  <c r="DA13"/>
  <c r="A14"/>
  <c r="CX14"/>
  <c r="CY14"/>
  <c r="CZ14"/>
  <c r="DA14"/>
  <c r="A15"/>
  <c r="CX15"/>
  <c r="CY15"/>
  <c r="CZ15"/>
  <c r="DA15"/>
  <c r="A16"/>
  <c r="CX16"/>
  <c r="CY16"/>
  <c r="CZ16"/>
  <c r="DA16"/>
  <c r="A17"/>
  <c r="CX17"/>
  <c r="CY17"/>
  <c r="CZ17"/>
  <c r="DA17"/>
  <c r="A18"/>
  <c r="CX18"/>
  <c r="CY18"/>
  <c r="CZ18"/>
  <c r="DA18"/>
  <c r="A19"/>
  <c r="CX19"/>
  <c r="CY19"/>
  <c r="CZ19"/>
  <c r="DA19"/>
  <c r="A20"/>
  <c r="CX20"/>
  <c r="CY20"/>
  <c r="CZ20"/>
  <c r="DA20"/>
  <c r="A21"/>
  <c r="CX21"/>
  <c r="CY21"/>
  <c r="CZ21"/>
  <c r="DA21"/>
  <c r="A22"/>
  <c r="CX22"/>
  <c r="CY22"/>
  <c r="CZ22"/>
  <c r="DA22"/>
  <c r="A23"/>
  <c r="CX23"/>
  <c r="CY23"/>
  <c r="CZ23"/>
  <c r="DA23"/>
  <c r="A24"/>
  <c r="CX24"/>
  <c r="CY24"/>
  <c r="CZ24"/>
  <c r="DA24"/>
  <c r="A25"/>
  <c r="CX25"/>
  <c r="CY25"/>
  <c r="CZ25"/>
  <c r="DA25"/>
  <c r="A26"/>
  <c r="CX26"/>
  <c r="CY26"/>
  <c r="CZ26"/>
  <c r="DA26"/>
  <c r="A27"/>
  <c r="CX27"/>
  <c r="CY27"/>
  <c r="CZ27"/>
  <c r="DA27"/>
  <c r="A28"/>
  <c r="CX28"/>
  <c r="CY28"/>
  <c r="CZ28"/>
  <c r="DA28"/>
  <c r="A29"/>
  <c r="CX29"/>
  <c r="CY29"/>
  <c r="CZ29"/>
  <c r="DA29"/>
  <c r="A30"/>
  <c r="CX30"/>
  <c r="CY30"/>
  <c r="CZ30"/>
  <c r="DA30"/>
  <c r="A31"/>
  <c r="CX31"/>
  <c r="CY31"/>
  <c r="CZ31"/>
  <c r="DA31"/>
  <c r="A32"/>
  <c r="CX32"/>
  <c r="CY32"/>
  <c r="CZ32"/>
  <c r="DA32"/>
  <c r="A33"/>
  <c r="CX33"/>
  <c r="CY33"/>
  <c r="CZ33"/>
  <c r="DA33"/>
  <c r="A34"/>
  <c r="CX34"/>
  <c r="CY34"/>
  <c r="CZ34"/>
  <c r="DA34"/>
  <c r="A35"/>
  <c r="CX35"/>
  <c r="CY35"/>
  <c r="CZ35"/>
  <c r="DA35"/>
  <c r="A36"/>
  <c r="CX36"/>
  <c r="CY36"/>
  <c r="CZ36"/>
  <c r="DA36"/>
  <c r="A37"/>
  <c r="CX37"/>
  <c r="CY37"/>
  <c r="CZ37"/>
  <c r="DA37"/>
  <c r="A38"/>
  <c r="CX38"/>
  <c r="CY38"/>
  <c r="CZ38"/>
  <c r="DA38"/>
  <c r="A39"/>
  <c r="CX39"/>
  <c r="CY39"/>
  <c r="CZ39"/>
  <c r="DA39"/>
  <c r="A40"/>
  <c r="CX40"/>
  <c r="CY40"/>
  <c r="CZ40"/>
  <c r="DA40"/>
  <c r="A41"/>
  <c r="CX41"/>
  <c r="CY41"/>
  <c r="CZ41"/>
  <c r="DA41"/>
  <c r="A42"/>
  <c r="CX42"/>
  <c r="CY42"/>
  <c r="CZ42"/>
  <c r="DA42"/>
  <c r="A43"/>
  <c r="CX43"/>
  <c r="CY43"/>
  <c r="CZ43"/>
  <c r="DA43"/>
  <c r="A44"/>
  <c r="CX44"/>
  <c r="CY44"/>
  <c r="CZ44"/>
  <c r="DA44"/>
  <c r="A45"/>
  <c r="CX45"/>
  <c r="CY45"/>
  <c r="CZ45"/>
  <c r="DA45"/>
  <c r="A46"/>
  <c r="CX46"/>
  <c r="CY46"/>
  <c r="CZ46"/>
  <c r="DA46"/>
  <c r="A47"/>
  <c r="CX47"/>
  <c r="CY47"/>
  <c r="CZ47"/>
  <c r="DA47"/>
  <c r="A48"/>
  <c r="CX48"/>
  <c r="CY48"/>
  <c r="CZ48"/>
  <c r="DA48"/>
  <c r="A49"/>
  <c r="CX49"/>
  <c r="CY49"/>
  <c r="CZ49"/>
  <c r="DA49"/>
  <c r="A50"/>
  <c r="CY50"/>
  <c r="CZ50"/>
  <c r="DA50"/>
  <c r="A51"/>
  <c r="CY51"/>
  <c r="CZ51"/>
  <c r="DA51"/>
  <c r="A52"/>
  <c r="CY52"/>
  <c r="CZ52"/>
  <c r="DA52"/>
  <c r="A53"/>
  <c r="CY53"/>
  <c r="CZ53"/>
  <c r="DA53"/>
  <c r="A54"/>
  <c r="CY54"/>
  <c r="CZ54"/>
  <c r="DA54"/>
  <c r="A55"/>
  <c r="CY55"/>
  <c r="CZ55"/>
  <c r="DA55"/>
  <c r="A56"/>
  <c r="CY56"/>
  <c r="CZ56"/>
  <c r="DA56"/>
  <c r="A57"/>
  <c r="CY57"/>
  <c r="CZ57"/>
  <c r="DA57"/>
  <c r="A58"/>
  <c r="CY58"/>
  <c r="CZ58"/>
  <c r="DA58"/>
  <c r="A59"/>
  <c r="CY59"/>
  <c r="CZ59"/>
  <c r="DA59"/>
  <c r="A60"/>
  <c r="CY60"/>
  <c r="CZ60"/>
  <c r="DA60"/>
  <c r="A61"/>
  <c r="CY61"/>
  <c r="CZ61"/>
  <c r="DA61"/>
  <c r="A62"/>
  <c r="CY62"/>
  <c r="CZ62"/>
  <c r="DA62"/>
  <c r="A63"/>
  <c r="CX63"/>
  <c r="CY63"/>
  <c r="CZ63"/>
  <c r="DA63"/>
  <c r="A64"/>
  <c r="CX64"/>
  <c r="CY64"/>
  <c r="CZ64"/>
  <c r="DA64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AC24"/>
  <c r="AE24"/>
  <c r="AD24" s="1"/>
  <c r="CR24" s="1"/>
  <c r="Q24" s="1"/>
  <c r="AF24"/>
  <c r="AG24"/>
  <c r="AH24"/>
  <c r="AI24"/>
  <c r="AJ24"/>
  <c r="CQ24"/>
  <c r="P24" s="1"/>
  <c r="CS24"/>
  <c r="R24" s="1"/>
  <c r="CT24"/>
  <c r="S24" s="1"/>
  <c r="CU24"/>
  <c r="T24" s="1"/>
  <c r="CV24"/>
  <c r="U24" s="1"/>
  <c r="CW24"/>
  <c r="V24" s="1"/>
  <c r="CX24"/>
  <c r="W24" s="1"/>
  <c r="FR24"/>
  <c r="GL24"/>
  <c r="GN24"/>
  <c r="GP24"/>
  <c r="GV24"/>
  <c r="GX24"/>
  <c r="AC25"/>
  <c r="AD25"/>
  <c r="CR25" s="1"/>
  <c r="Q25" s="1"/>
  <c r="AE25"/>
  <c r="AF25"/>
  <c r="CT25" s="1"/>
  <c r="S25" s="1"/>
  <c r="AG25"/>
  <c r="AH25"/>
  <c r="CV25" s="1"/>
  <c r="U25" s="1"/>
  <c r="AI25"/>
  <c r="AJ25"/>
  <c r="CX25" s="1"/>
  <c r="W25" s="1"/>
  <c r="CQ25"/>
  <c r="P25" s="1"/>
  <c r="CS25"/>
  <c r="R25" s="1"/>
  <c r="GK25" s="1"/>
  <c r="CU25"/>
  <c r="T25" s="1"/>
  <c r="CW25"/>
  <c r="V25" s="1"/>
  <c r="CY25"/>
  <c r="X25" s="1"/>
  <c r="CZ25"/>
  <c r="Y25" s="1"/>
  <c r="GL25"/>
  <c r="GN25"/>
  <c r="GO25"/>
  <c r="GP25"/>
  <c r="GV25"/>
  <c r="GX25"/>
  <c r="AC26"/>
  <c r="AD26"/>
  <c r="CR26" s="1"/>
  <c r="Q26" s="1"/>
  <c r="AE26"/>
  <c r="AF26"/>
  <c r="CT26" s="1"/>
  <c r="S26" s="1"/>
  <c r="AG26"/>
  <c r="AH26"/>
  <c r="CV26" s="1"/>
  <c r="U26" s="1"/>
  <c r="AI26"/>
  <c r="AJ26"/>
  <c r="CX26" s="1"/>
  <c r="W26" s="1"/>
  <c r="CQ26"/>
  <c r="P26" s="1"/>
  <c r="CS26"/>
  <c r="R26" s="1"/>
  <c r="GK26" s="1"/>
  <c r="CU26"/>
  <c r="T26" s="1"/>
  <c r="CW26"/>
  <c r="V26" s="1"/>
  <c r="CY26"/>
  <c r="X26" s="1"/>
  <c r="CZ26"/>
  <c r="Y26" s="1"/>
  <c r="GL26"/>
  <c r="GN26"/>
  <c r="GO26"/>
  <c r="GP26"/>
  <c r="GV26"/>
  <c r="GX26"/>
  <c r="C27"/>
  <c r="D27"/>
  <c r="AC27"/>
  <c r="AD27"/>
  <c r="CR27" s="1"/>
  <c r="Q27" s="1"/>
  <c r="AE27"/>
  <c r="AF27"/>
  <c r="CT27" s="1"/>
  <c r="S27" s="1"/>
  <c r="AG27"/>
  <c r="AH27"/>
  <c r="CV27" s="1"/>
  <c r="U27" s="1"/>
  <c r="AI27"/>
  <c r="AJ27"/>
  <c r="CX27" s="1"/>
  <c r="W27" s="1"/>
  <c r="CQ27"/>
  <c r="P27" s="1"/>
  <c r="CS27"/>
  <c r="R27" s="1"/>
  <c r="GK27" s="1"/>
  <c r="CU27"/>
  <c r="T27" s="1"/>
  <c r="CW27"/>
  <c r="V27" s="1"/>
  <c r="FR27"/>
  <c r="GL27"/>
  <c r="GN27"/>
  <c r="GP27"/>
  <c r="GV27"/>
  <c r="GX27"/>
  <c r="C28"/>
  <c r="D28"/>
  <c r="AC28"/>
  <c r="AD28"/>
  <c r="CR28" s="1"/>
  <c r="Q28" s="1"/>
  <c r="AE28"/>
  <c r="AF28"/>
  <c r="CT28" s="1"/>
  <c r="S28" s="1"/>
  <c r="AG28"/>
  <c r="AH28"/>
  <c r="CV28" s="1"/>
  <c r="U28" s="1"/>
  <c r="AI28"/>
  <c r="AJ28"/>
  <c r="CX28" s="1"/>
  <c r="W28" s="1"/>
  <c r="CQ28"/>
  <c r="P28" s="1"/>
  <c r="CS28"/>
  <c r="R28" s="1"/>
  <c r="GK28" s="1"/>
  <c r="CU28"/>
  <c r="T28" s="1"/>
  <c r="CW28"/>
  <c r="V28" s="1"/>
  <c r="FR28"/>
  <c r="GL28"/>
  <c r="GN28"/>
  <c r="GP28"/>
  <c r="GV28"/>
  <c r="GX28"/>
  <c r="C29"/>
  <c r="D29"/>
  <c r="AC29"/>
  <c r="AD29"/>
  <c r="CR29" s="1"/>
  <c r="Q29" s="1"/>
  <c r="AE29"/>
  <c r="AF29"/>
  <c r="CT29" s="1"/>
  <c r="S29" s="1"/>
  <c r="AG29"/>
  <c r="AH29"/>
  <c r="CV29" s="1"/>
  <c r="U29" s="1"/>
  <c r="AI29"/>
  <c r="AJ29"/>
  <c r="CX29" s="1"/>
  <c r="W29" s="1"/>
  <c r="CQ29"/>
  <c r="P29" s="1"/>
  <c r="CS29"/>
  <c r="R29" s="1"/>
  <c r="GK29" s="1"/>
  <c r="CU29"/>
  <c r="T29" s="1"/>
  <c r="CW29"/>
  <c r="V29" s="1"/>
  <c r="FR29"/>
  <c r="GL29"/>
  <c r="GN29"/>
  <c r="GP29"/>
  <c r="GV29"/>
  <c r="GX29"/>
  <c r="C30"/>
  <c r="D30"/>
  <c r="AC30"/>
  <c r="AD30"/>
  <c r="CR30" s="1"/>
  <c r="Q30" s="1"/>
  <c r="AE30"/>
  <c r="AF30"/>
  <c r="CT30" s="1"/>
  <c r="S30" s="1"/>
  <c r="AG30"/>
  <c r="AH30"/>
  <c r="CV30" s="1"/>
  <c r="U30" s="1"/>
  <c r="AI30"/>
  <c r="AJ30"/>
  <c r="CX30" s="1"/>
  <c r="W30" s="1"/>
  <c r="CQ30"/>
  <c r="P30" s="1"/>
  <c r="CS30"/>
  <c r="R30" s="1"/>
  <c r="GK30" s="1"/>
  <c r="CU30"/>
  <c r="T30" s="1"/>
  <c r="CW30"/>
  <c r="V30" s="1"/>
  <c r="FR30"/>
  <c r="GL30"/>
  <c r="GN30"/>
  <c r="GP30"/>
  <c r="GV30"/>
  <c r="GX30"/>
  <c r="C31"/>
  <c r="D31"/>
  <c r="I31"/>
  <c r="CX50" i="3" s="1"/>
  <c r="AC31" i="1"/>
  <c r="AB31" s="1"/>
  <c r="AE31"/>
  <c r="AD31" s="1"/>
  <c r="CR31" s="1"/>
  <c r="Q31" s="1"/>
  <c r="AF31"/>
  <c r="AG31"/>
  <c r="CU31" s="1"/>
  <c r="T31" s="1"/>
  <c r="AH31"/>
  <c r="AI31"/>
  <c r="CW31" s="1"/>
  <c r="V31" s="1"/>
  <c r="AJ31"/>
  <c r="CT31"/>
  <c r="S31" s="1"/>
  <c r="CV31"/>
  <c r="U31" s="1"/>
  <c r="CX31"/>
  <c r="W31" s="1"/>
  <c r="FR31"/>
  <c r="GL31"/>
  <c r="GN31"/>
  <c r="GP31"/>
  <c r="GV31"/>
  <c r="GX31" s="1"/>
  <c r="CJ34" s="1"/>
  <c r="C32"/>
  <c r="D32"/>
  <c r="AC32"/>
  <c r="AE32"/>
  <c r="AD32" s="1"/>
  <c r="CR32" s="1"/>
  <c r="Q32" s="1"/>
  <c r="AF32"/>
  <c r="AG32"/>
  <c r="CU32" s="1"/>
  <c r="T32" s="1"/>
  <c r="AH32"/>
  <c r="AI32"/>
  <c r="CW32" s="1"/>
  <c r="V32" s="1"/>
  <c r="AJ32"/>
  <c r="CT32"/>
  <c r="S32" s="1"/>
  <c r="CV32"/>
  <c r="U32" s="1"/>
  <c r="CX32"/>
  <c r="W32" s="1"/>
  <c r="FR32"/>
  <c r="GL32"/>
  <c r="GN32"/>
  <c r="GO32"/>
  <c r="GV32"/>
  <c r="GX32" s="1"/>
  <c r="B34"/>
  <c r="B22" s="1"/>
  <c r="C34"/>
  <c r="C22" s="1"/>
  <c r="D34"/>
  <c r="D22" s="1"/>
  <c r="F34"/>
  <c r="F22" s="1"/>
  <c r="G34"/>
  <c r="G22" s="1"/>
  <c r="BX34"/>
  <c r="AO34" s="1"/>
  <c r="BZ34"/>
  <c r="AQ34" s="1"/>
  <c r="CB34"/>
  <c r="AS34" s="1"/>
  <c r="CK34"/>
  <c r="CK22" s="1"/>
  <c r="CL34"/>
  <c r="BC34" s="1"/>
  <c r="B69"/>
  <c r="B18" s="1"/>
  <c r="C69"/>
  <c r="C18" s="1"/>
  <c r="D69"/>
  <c r="D18" s="1"/>
  <c r="F69"/>
  <c r="F18" s="1"/>
  <c r="G69"/>
  <c r="G18" s="1"/>
  <c r="B24" i="2"/>
  <c r="B27"/>
  <c r="CZ30" i="1" l="1"/>
  <c r="Y30" s="1"/>
  <c r="CY30"/>
  <c r="X30" s="1"/>
  <c r="CZ29"/>
  <c r="Y29" s="1"/>
  <c r="CY29"/>
  <c r="X29" s="1"/>
  <c r="BC22"/>
  <c r="F50"/>
  <c r="BC69"/>
  <c r="AS22"/>
  <c r="AS69"/>
  <c r="F51"/>
  <c r="E16" i="2" s="1"/>
  <c r="AO22" i="1"/>
  <c r="F38"/>
  <c r="AO69"/>
  <c r="CP26"/>
  <c r="O26" s="1"/>
  <c r="GM26" s="1"/>
  <c r="FR26"/>
  <c r="CP25"/>
  <c r="O25" s="1"/>
  <c r="GM25" s="1"/>
  <c r="FR25"/>
  <c r="BY34" s="1"/>
  <c r="GK24"/>
  <c r="AB32"/>
  <c r="CP30"/>
  <c r="O30" s="1"/>
  <c r="CP29"/>
  <c r="O29" s="1"/>
  <c r="CP28"/>
  <c r="O28" s="1"/>
  <c r="CP27"/>
  <c r="O27" s="1"/>
  <c r="AI34"/>
  <c r="AG34"/>
  <c r="AB24"/>
  <c r="AQ22"/>
  <c r="F44"/>
  <c r="AQ69"/>
  <c r="BA34"/>
  <c r="CJ22"/>
  <c r="CZ28"/>
  <c r="Y28" s="1"/>
  <c r="CY28"/>
  <c r="X28" s="1"/>
  <c r="CZ27"/>
  <c r="Y27" s="1"/>
  <c r="CY27"/>
  <c r="X27" s="1"/>
  <c r="CZ24"/>
  <c r="Y24" s="1"/>
  <c r="CY24"/>
  <c r="X24" s="1"/>
  <c r="AF34"/>
  <c r="CP24"/>
  <c r="O24" s="1"/>
  <c r="AJ34"/>
  <c r="AH34"/>
  <c r="AD34"/>
  <c r="BB34"/>
  <c r="AB30"/>
  <c r="AB29"/>
  <c r="AB28"/>
  <c r="AB27"/>
  <c r="AB26"/>
  <c r="AB25"/>
  <c r="CL22"/>
  <c r="CB22"/>
  <c r="BZ22"/>
  <c r="BX22"/>
  <c r="CX61" i="3"/>
  <c r="CX59"/>
  <c r="CX57"/>
  <c r="CX55"/>
  <c r="CX53"/>
  <c r="CX51"/>
  <c r="CG34" i="1"/>
  <c r="CS32"/>
  <c r="R32" s="1"/>
  <c r="GK32" s="1"/>
  <c r="CQ32"/>
  <c r="P32" s="1"/>
  <c r="CP32" s="1"/>
  <c r="O32" s="1"/>
  <c r="CS31"/>
  <c r="R31" s="1"/>
  <c r="GK31" s="1"/>
  <c r="CQ31"/>
  <c r="P31" s="1"/>
  <c r="CP31" s="1"/>
  <c r="O31" s="1"/>
  <c r="CX62" i="3"/>
  <c r="CX60"/>
  <c r="CX58"/>
  <c r="CX56"/>
  <c r="CX54"/>
  <c r="CX52"/>
  <c r="BB22" i="1" l="1"/>
  <c r="F47"/>
  <c r="BB69"/>
  <c r="U34"/>
  <c r="AH22"/>
  <c r="S34"/>
  <c r="AF22"/>
  <c r="BA22"/>
  <c r="F54"/>
  <c r="BA69"/>
  <c r="AI22"/>
  <c r="V34"/>
  <c r="GM28"/>
  <c r="GO28"/>
  <c r="GM30"/>
  <c r="GO30"/>
  <c r="BY22"/>
  <c r="CI34"/>
  <c r="AP34"/>
  <c r="AO18"/>
  <c r="F73"/>
  <c r="F86"/>
  <c r="AS18"/>
  <c r="BC18"/>
  <c r="F85"/>
  <c r="AC34"/>
  <c r="AE34"/>
  <c r="CZ31"/>
  <c r="Y31" s="1"/>
  <c r="AL34" s="1"/>
  <c r="CY32"/>
  <c r="X32" s="1"/>
  <c r="GP32" s="1"/>
  <c r="CD34" s="1"/>
  <c r="CG22"/>
  <c r="AX34"/>
  <c r="Q34"/>
  <c r="AD22"/>
  <c r="W34"/>
  <c r="AJ22"/>
  <c r="GM24"/>
  <c r="GO24"/>
  <c r="AB34"/>
  <c r="AQ18"/>
  <c r="F79"/>
  <c r="AG22"/>
  <c r="T34"/>
  <c r="GM27"/>
  <c r="GO27"/>
  <c r="GM29"/>
  <c r="GO29"/>
  <c r="E18" i="2"/>
  <c r="AK34" i="1"/>
  <c r="CY31"/>
  <c r="X31" s="1"/>
  <c r="GO31" s="1"/>
  <c r="CZ32"/>
  <c r="Y32" s="1"/>
  <c r="GM32" s="1"/>
  <c r="AU34" l="1"/>
  <c r="CD22"/>
  <c r="Y34"/>
  <c r="AL22"/>
  <c r="T69"/>
  <c r="T22"/>
  <c r="F55"/>
  <c r="O34"/>
  <c r="AB22"/>
  <c r="W22"/>
  <c r="F58"/>
  <c r="W69"/>
  <c r="Q22"/>
  <c r="F46"/>
  <c r="Q69"/>
  <c r="AP22"/>
  <c r="F43"/>
  <c r="AP69"/>
  <c r="BB18"/>
  <c r="F82"/>
  <c r="CA34"/>
  <c r="GM31"/>
  <c r="AK22"/>
  <c r="X34"/>
  <c r="AX22"/>
  <c r="F41"/>
  <c r="AX69"/>
  <c r="AE22"/>
  <c r="R34"/>
  <c r="AC22"/>
  <c r="CE34"/>
  <c r="P34"/>
  <c r="CF34"/>
  <c r="CH34"/>
  <c r="CI22"/>
  <c r="AZ34"/>
  <c r="V69"/>
  <c r="V22"/>
  <c r="F57"/>
  <c r="BA18"/>
  <c r="F89"/>
  <c r="S22"/>
  <c r="F49"/>
  <c r="J16" i="2" s="1"/>
  <c r="J18" s="1"/>
  <c r="S69" i="1"/>
  <c r="U22"/>
  <c r="F56"/>
  <c r="U69"/>
  <c r="CC34"/>
  <c r="V18" l="1"/>
  <c r="F92"/>
  <c r="AW34"/>
  <c r="CF22"/>
  <c r="CE22"/>
  <c r="AV34"/>
  <c r="F48"/>
  <c r="R69"/>
  <c r="R22"/>
  <c r="AX18"/>
  <c r="F76"/>
  <c r="CA22"/>
  <c r="AR34"/>
  <c r="G16" i="2"/>
  <c r="G18" s="1"/>
  <c r="F63" i="1"/>
  <c r="Q18"/>
  <c r="F81"/>
  <c r="T18"/>
  <c r="F90"/>
  <c r="Y22"/>
  <c r="F60"/>
  <c r="Y69"/>
  <c r="AU22"/>
  <c r="AU69"/>
  <c r="F53"/>
  <c r="U18"/>
  <c r="F91"/>
  <c r="CC22"/>
  <c r="AT34"/>
  <c r="F84"/>
  <c r="S18"/>
  <c r="AZ22"/>
  <c r="F45"/>
  <c r="AZ69"/>
  <c r="AY34"/>
  <c r="CH22"/>
  <c r="P69"/>
  <c r="P22"/>
  <c r="F37"/>
  <c r="X69"/>
  <c r="X22"/>
  <c r="F59"/>
  <c r="AP18"/>
  <c r="F78"/>
  <c r="F98" s="1"/>
  <c r="W18"/>
  <c r="F93"/>
  <c r="O22"/>
  <c r="F36"/>
  <c r="O69"/>
  <c r="O18" l="1"/>
  <c r="F71"/>
  <c r="P18"/>
  <c r="F72"/>
  <c r="AY22"/>
  <c r="F42"/>
  <c r="AY69"/>
  <c r="F52"/>
  <c r="F16" i="2" s="1"/>
  <c r="AT22" i="1"/>
  <c r="AT69"/>
  <c r="F64"/>
  <c r="H16" i="2"/>
  <c r="H18" s="1"/>
  <c r="AR22" i="1"/>
  <c r="F61"/>
  <c r="F62" s="1"/>
  <c r="AR69"/>
  <c r="AW22"/>
  <c r="F40"/>
  <c r="AW69"/>
  <c r="X18"/>
  <c r="F94"/>
  <c r="AZ18"/>
  <c r="F80"/>
  <c r="F88"/>
  <c r="F99" s="1"/>
  <c r="AU18"/>
  <c r="Y18"/>
  <c r="F95"/>
  <c r="R18"/>
  <c r="F83"/>
  <c r="AV22"/>
  <c r="F39"/>
  <c r="AV69"/>
  <c r="AW18" l="1"/>
  <c r="F75"/>
  <c r="AV18"/>
  <c r="F74"/>
  <c r="AR18"/>
  <c r="F96"/>
  <c r="F97" s="1"/>
  <c r="F100" s="1"/>
  <c r="F101" s="1"/>
  <c r="F102" s="1"/>
  <c r="AY18"/>
  <c r="F77"/>
  <c r="F65"/>
  <c r="F66" s="1"/>
  <c r="F67" s="1"/>
  <c r="AT18"/>
  <c r="F87"/>
  <c r="F18" i="2"/>
  <c r="I16"/>
  <c r="I18" s="1"/>
</calcChain>
</file>

<file path=xl/sharedStrings.xml><?xml version="1.0" encoding="utf-8"?>
<sst xmlns="http://schemas.openxmlformats.org/spreadsheetml/2006/main" count="1716" uniqueCount="334">
  <si>
    <t>Smeta.RU (Краснодар)  (495) 974-1589</t>
  </si>
  <si>
    <t>_PS_</t>
  </si>
  <si>
    <t>Smeta.RU (Краснодар)</t>
  </si>
  <si>
    <t>Новый объект_(Копия)</t>
  </si>
  <si>
    <t>Монтаж крана мостового с талью г/п 2 т</t>
  </si>
  <si>
    <t/>
  </si>
  <si>
    <t>Проект П.14314</t>
  </si>
  <si>
    <t>Сметные нормы списания</t>
  </si>
  <si>
    <t>Коды ценников</t>
  </si>
  <si>
    <t>ФЕР-2017</t>
  </si>
  <si>
    <t>ТР для Версии 10: Центральные регионы (с учетом п-ма 2536-ИП/12/ГС от 22.03.2017 г</t>
  </si>
  <si>
    <t>Поправки  для ГСН 2017 от 31.03.2017 г</t>
  </si>
  <si>
    <t>Новая локальная смета</t>
  </si>
  <si>
    <t>1</t>
  </si>
  <si>
    <t>м03-01-091-01</t>
  </si>
  <si>
    <t>Кран подвесной многопролетный электрический с одной неповоротной тележкой, ширина колеи 3 м, пролет 45 м, грузоподъемность 20/5 т прим.</t>
  </si>
  <si>
    <t>т</t>
  </si>
  <si>
    <t>ФЕРм-2001, м03-01-091-01, приказ Минстроя России №1039/пр от 30.12.2016г.</t>
  </si>
  <si>
    <t>Монтажные работы</t>
  </si>
  <si>
    <t>Подъемно-транспортное оборудование</t>
  </si>
  <si>
    <t>мФЕР-03</t>
  </si>
  <si>
    <t>2</t>
  </si>
  <si>
    <t>Цена поставщика https://telfer.ru/</t>
  </si>
  <si>
    <t>ШТ</t>
  </si>
  <si>
    <t>оборудование</t>
  </si>
  <si>
    <t>Оборудование</t>
  </si>
  <si>
    <t>оборудование (03)</t>
  </si>
  <si>
    <t>[150 741,25 / 1,18 /  4,64]</t>
  </si>
  <si>
    <t>3</t>
  </si>
  <si>
    <t>Таль электрическая передвижная канатная (Болгария) 2ТН-6М: г/п 2тн, высота подъема -6 м, скорость подъема -8м/мин, скорость передвижения 20м/мин, температурный режим -20+40, тепловая защита двигателя подъема; пыле-влагозащита IP 54, питание 350В</t>
  </si>
  <si>
    <t>[148 523,95 / 1,18 /  4,64] +  4% Трансп</t>
  </si>
  <si>
    <t>4</t>
  </si>
  <si>
    <t>м08-03-481-20</t>
  </si>
  <si>
    <t>Подготовка электрической машины переменного тока с короткозамкнутым ротором, со щитовыми подшипниками, поступающей в собранном виде, к испытанию, сдаче под наладку и пуску, присоединение к электрической сети, масса до 0,15 т прим.</t>
  </si>
  <si>
    <t>ФЕРм-2001, м08-03-481-20, приказ Минстроя России №1039/пр от 30.12.2016г.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</si>
  <si>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</si>
  <si>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</si>
  <si>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5</t>
  </si>
  <si>
    <t>м08-03-533-02</t>
  </si>
  <si>
    <t>Пост управления кнопочный подвесной, подвешиваемый на кабеле (тросе), количество элементов поста до 10</t>
  </si>
  <si>
    <t>ФЕРм-2001, м08-03-533-02, приказ Минстроя России №1039/пр от 30.12.2016г.</t>
  </si>
  <si>
    <t>6</t>
  </si>
  <si>
    <t>м08-03-521-01</t>
  </si>
  <si>
    <t>Рубильник на плите с центральной или боковой рукояткой или управлением штангой, устанавливаемый на металлическом основании, однополюсный на ток до 250 А</t>
  </si>
  <si>
    <t>ФЕРм-2001, м08-03-521-01, приказ Минстроя России №1039/пр от 30.12.2016г.</t>
  </si>
  <si>
    <t>7</t>
  </si>
  <si>
    <t>м08-03-603-01</t>
  </si>
  <si>
    <t>Ящик с понижающим трансформатором</t>
  </si>
  <si>
    <t>ФЕРм-2001, м08-03-603-01, приказ Минстроя России №1039/пр от 30.12.2016г.</t>
  </si>
  <si>
    <t>8</t>
  </si>
  <si>
    <t>м08-02-149-01</t>
  </si>
  <si>
    <t>Кабель до 35 кВ, подвешиваемый на тросе, масса 1 м кабеля до 1 кг</t>
  </si>
  <si>
    <t>100 м</t>
  </si>
  <si>
    <t>ФЕРм-2001, м08-02-149-01, приказ Минстроя России №1039/пр от 30.12.2016г.</t>
  </si>
  <si>
    <t>9</t>
  </si>
  <si>
    <t>п04-01-001-02</t>
  </si>
  <si>
    <t>Кран подвесной электрический однобалочный однопролетный, управление с пола, высота подъема - 6, 12, 18 м; скорость: подъема - 8 м/мин, передвижения тали - 20 м/мин, передвижения крана - 32 м/мин; грузоподъемность 2 т</t>
  </si>
  <si>
    <t>ФЕРп-2001, п04-01-001-02, приказ Минстроя России №1039/пр от 30.12.2016г.</t>
  </si>
  <si>
    <t>Пусконаладочные работы</t>
  </si>
  <si>
    <t>Пусконаладочные работы : все сборники, отдел 05 ( диагностика лифтов ) и отдел 06 ( техническое освидетельствование ) сборника мрФЕР-01</t>
  </si>
  <si>
    <t>пФЕРп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</si>
  <si>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</si>
  <si>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</si>
  <si>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</si>
  <si>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</si>
  <si>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</si>
  <si>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</si>
  <si>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</si>
  <si>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</si>
  <si>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</si>
  <si>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</si>
  <si>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</si>
  <si>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</si>
  <si>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</si>
  <si>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</si>
  <si>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</si>
  <si>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</si>
  <si>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</si>
  <si>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</si>
  <si>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</si>
  <si>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</si>
  <si>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</si>
  <si>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</si>
  <si>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</si>
  <si>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</si>
  <si>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</si>
  <si>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</si>
  <si>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</si>
  <si>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</si>
  <si>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</si>
  <si>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</si>
  <si>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</si>
  <si>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</si>
  <si>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</si>
  <si>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</si>
  <si>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</si>
  <si>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</si>
  <si>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</si>
  <si>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</si>
  <si>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</si>
  <si>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</si>
  <si>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</si>
  <si>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</si>
  <si>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</si>
  <si>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</si>
  <si>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</si>
  <si>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</si>
  <si>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</si>
  <si>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</si>
  <si>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</si>
  <si>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</si>
  <si>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</si>
  <si>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</si>
  <si>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Индекс СМР 7,13  (4-ый кв. 2017 г.)</t>
  </si>
  <si>
    <t>Индекс оборудование 4,64 (3-ий кв. 2017 г. (Письмо Минстроя России от 05.12.2017 г. №45082-ХМ/09 прил.4)</t>
  </si>
  <si>
    <t>Пуско-наладочные работы 2,96 (4-ый кв. 2017 г.)</t>
  </si>
  <si>
    <t>Итого</t>
  </si>
  <si>
    <t>НДС 18%</t>
  </si>
  <si>
    <t>Всего по смете в текущих ценах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</si>
  <si>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</si>
  <si>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</si>
  <si>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</si>
  <si>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</si>
  <si>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</si>
  <si>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</si>
  <si>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</si>
  <si>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</si>
  <si>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</si>
  <si>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</si>
  <si>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</si>
  <si>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</si>
  <si>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</si>
  <si>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</si>
  <si>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</si>
  <si>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М/Т/Я</t>
  </si>
  <si>
    <t>Работы по строительству мостов, тоннелей, метрополитенов, атомных станций, объектов с ядерным топливом и радиокативными отходами ( письмо Госстроя РФ № 2536-ИП/12/ГС от 27.11.12), коэффициенты к НР =0,85 и к СП-0,8 не назначаются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</si>
  <si>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</si>
  <si>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</si>
  <si>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</si>
  <si>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</si>
  <si>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</si>
  <si>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</si>
  <si>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</si>
  <si>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</si>
  <si>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</si>
  <si>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</si>
  <si>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</si>
  <si>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</si>
  <si>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</si>
  <si>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</si>
  <si>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</si>
  <si>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</si>
  <si>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</si>
  <si>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</si>
  <si>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</si>
  <si>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</si>
  <si>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</si>
  <si>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</si>
  <si>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</si>
  <si>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</si>
  <si>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</si>
  <si>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</si>
  <si>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</si>
  <si>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</si>
  <si>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</si>
  <si>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  если (М/Т/Я) = {выкл.}</t>
  </si>
  <si>
    <t>К_СП_12</t>
  </si>
  <si>
    <t>Корректировка СП с 03.12.12  в текущем уровне цен по письму  2536-ИП/12/ГС от 27.11.12  ( если (М/Т/Я)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</si>
  <si>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</si>
  <si>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</si>
  <si>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</si>
  <si>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</si>
  <si>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</si>
  <si>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</si>
  <si>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</si>
  <si>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 и  кап. ремонте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</si>
  <si>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</si>
  <si>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</si>
  <si>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</si>
  <si>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</si>
  <si>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</si>
  <si>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_OBSM_</t>
  </si>
  <si>
    <t>1-100-40</t>
  </si>
  <si>
    <t>Рабочий среднего разряда 4</t>
  </si>
  <si>
    <t>чел.-ч.</t>
  </si>
  <si>
    <t>4-100-00</t>
  </si>
  <si>
    <t>Затраты труда машинистов</t>
  </si>
  <si>
    <t>91.05.06-009</t>
  </si>
  <si>
    <t>ФСЭМ-2001, 91.05.06-009, приказ Минстроя России №1039/пр от 30.12.2016г.</t>
  </si>
  <si>
    <t>Краны на гусеничном ходу, грузоподъемность 50-63 т</t>
  </si>
  <si>
    <t>маш.-ч</t>
  </si>
  <si>
    <t>91.06.03-055</t>
  </si>
  <si>
    <t>ФСЭМ-2001, 91.06.03-055, приказ Минстроя России №1039/пр от 30.12.2016г.</t>
  </si>
  <si>
    <t>Лебедки электрические тяговым усилием 19,62 кН (2 т)</t>
  </si>
  <si>
    <t>91.06.09-001</t>
  </si>
  <si>
    <t>ФСЭМ-2001, 91.06.09-001, приказ Минстроя России №1039/пр от 30.12.2016г.</t>
  </si>
  <si>
    <t>Вышка телескопическая 25 м</t>
  </si>
  <si>
    <t>91.14.02-004</t>
  </si>
  <si>
    <t>ФСЭМ-2001, 91.14.02-004, приказ Минстроя России №1039/пр от 30.12.2016г.</t>
  </si>
  <si>
    <t>Автомобили бортовые, грузоподъемность до 15т</t>
  </si>
  <si>
    <t>91.17.04-233</t>
  </si>
  <si>
    <t>ФСЭМ-2001, 91.17.04-233, приказ Минстроя России №1039/пр от 30.12.2016г.</t>
  </si>
  <si>
    <t>Установки для сварки ручной дуговой (постоянного тока)</t>
  </si>
  <si>
    <t>01.7.03.04-0001</t>
  </si>
  <si>
    <t>ФССЦ-2001, 01.7.03.04-0001, приказ Минстроя России №1039/пр от 30.12.2016г.</t>
  </si>
  <si>
    <t>Электроэнергия</t>
  </si>
  <si>
    <t>КВТ-Ч</t>
  </si>
  <si>
    <t>01.7.11.07-0033</t>
  </si>
  <si>
    <t>ФССЦ-2001, 01.7.11.07-0033, приказ Минстроя России №1039/пр от 30.12.2016г.</t>
  </si>
  <si>
    <t>Электроды диаметром 4 мм Э42А</t>
  </si>
  <si>
    <t>07.2.07.13-0081</t>
  </si>
  <si>
    <t>ФССЦ-2001, 07.2.07.13-0081, приказ Минстроя России №1039/пр от 30.12.2016г.</t>
  </si>
  <si>
    <t>Конструкции стальные приспособлений: для монтажа</t>
  </si>
  <si>
    <t>08.1.02.11-0023</t>
  </si>
  <si>
    <t>ФССЦ-2001, 08.1.02.11-0023, приказ Минстроя России №1039/пр от 30.12.2016г.</t>
  </si>
  <si>
    <t>Поковки простые строительные /скобы, закрепы, хомуты и т,п,/ массой до 1,6 кг</t>
  </si>
  <si>
    <t>кг</t>
  </si>
  <si>
    <t>08.3.11.01-0055</t>
  </si>
  <si>
    <t>ФССЦ-2001, 08.3.11.01-0055, приказ Минстроя России №1039/пр от 30.12.2016г.</t>
  </si>
  <si>
    <t>Швеллеры № 16-24 сталь марки 18пс</t>
  </si>
  <si>
    <t>25.1.01.04-0031</t>
  </si>
  <si>
    <t>ФССЦ-2001, 25.1.01.04-0031, приказ Минстроя России №1039/пр от 30.12.2016г.</t>
  </si>
  <si>
    <t>Шпалы непропитанные для железных дорог 1 тип</t>
  </si>
  <si>
    <t>шт.</t>
  </si>
  <si>
    <t>999-9950</t>
  </si>
  <si>
    <t>Вспомогательные ненормируемые материалы (2% от ОЗП)</t>
  </si>
  <si>
    <t>РУБ</t>
  </si>
  <si>
    <t>1-100-42</t>
  </si>
  <si>
    <t>Рабочий среднего разряда 4.2</t>
  </si>
  <si>
    <t>91.21.16-012</t>
  </si>
  <si>
    <t>ФСЭМ-2001, 91.21.16-012, приказ Минстроя России №1039/пр от 30.12.2016г.</t>
  </si>
  <si>
    <t>Пресс гидравлический с электроприводом</t>
  </si>
  <si>
    <t>01.3.01.06-0050</t>
  </si>
  <si>
    <t>ФССЦ-2001, 01.3.01.06-0050, приказ Минстроя России №1039/пр от 30.12.2016г.</t>
  </si>
  <si>
    <t>Смазка универсальная тугоплавкая УТ (консталин жировой)</t>
  </si>
  <si>
    <t>01.7.02.09-0002</t>
  </si>
  <si>
    <t>ФССЦ-2001, 01.7.02.09-0002, приказ Минстроя России №1039/пр от 30.12.2016г.</t>
  </si>
  <si>
    <t>Шпагат бумажный</t>
  </si>
  <si>
    <t>01.7.06.05-0041</t>
  </si>
  <si>
    <t>ФССЦ-2001, 01.7.06.05-0041, приказ Минстроя России №1039/пр от 30.12.2016г.</t>
  </si>
  <si>
    <t>Лента изоляционная прорезиненная односторонняя ширина 20 мм, толщина 0,25-0,35 мм</t>
  </si>
  <si>
    <t>01.7.11.07-0034</t>
  </si>
  <si>
    <t>ФССЦ-2001, 01.7.11.07-0034, приказ Минстроя России №1039/пр от 30.12.2016г.</t>
  </si>
  <si>
    <t>14.4.02.09-0001</t>
  </si>
  <si>
    <t>ФССЦ-2001, 14.4.02.09-0001, приказ Минстроя России №1039/пр от 30.12.2016г.</t>
  </si>
  <si>
    <t>Краска</t>
  </si>
  <si>
    <t>20.1.02.23-0082</t>
  </si>
  <si>
    <t>ФССЦ-2001, 20.1.02.23-0082, приказ Минстроя России №1039/пр от 30.12.2016г.</t>
  </si>
  <si>
    <t>Перемычки гибкие, тип ПГС-50</t>
  </si>
  <si>
    <t>10 шт.</t>
  </si>
  <si>
    <t>1-100-38</t>
  </si>
  <si>
    <t>Рабочий среднего разряда 3.8</t>
  </si>
  <si>
    <t>01.3.01.02-0002</t>
  </si>
  <si>
    <t>ФССЦ-2001, 01.3.01.02-0002, приказ Минстроя России №1039/пр от 30.12.2016г.</t>
  </si>
  <si>
    <t>Вазелин технический</t>
  </si>
  <si>
    <t>01.7.20.04-0005</t>
  </si>
  <si>
    <t>ФССЦ-2001, 01.7.20.04-0005, приказ Минстроя России №1039/пр от 30.12.2016г.</t>
  </si>
  <si>
    <t>Нитки швейные</t>
  </si>
  <si>
    <t>14.4.03.17-0011</t>
  </si>
  <si>
    <t>ФССЦ-2001, 14.4.03.17-0011, приказ Минстроя России №1039/пр от 30.12.2016г.</t>
  </si>
  <si>
    <t>Лак электроизоляционный 318</t>
  </si>
  <si>
    <t>25.2.01.01-0001</t>
  </si>
  <si>
    <t>ФССЦ-2001, 25.2.01.01-0001, приказ Минстроя России №1039/пр от 30.12.2016г.</t>
  </si>
  <si>
    <t>Бирки-оконцеватели</t>
  </si>
  <si>
    <t>100 шт.</t>
  </si>
  <si>
    <t>1-100-47</t>
  </si>
  <si>
    <t>Рабочий среднего разряда 4.7</t>
  </si>
  <si>
    <t>01.7.15.03-0042</t>
  </si>
  <si>
    <t>ФССЦ-2001, 01.7.15.03-0042, приказ Минстроя России №1039/пр от 30.12.2016г.</t>
  </si>
  <si>
    <t>Болты с гайками и шайбами строительные</t>
  </si>
  <si>
    <t>91.05.05-014</t>
  </si>
  <si>
    <t>ФСЭМ-2001, 91.05.05-014, приказ Минстроя России №1039/пр от 30.12.2016г.</t>
  </si>
  <si>
    <t>Краны на автомобильном ходу, грузоподъемность 10 т</t>
  </si>
  <si>
    <t>91.14.02-001</t>
  </si>
  <si>
    <t>ФСЭМ-2001, 91.14.02-001, приказ Минстроя России №1039/пр от 30.12.2016г.</t>
  </si>
  <si>
    <t>Автомобили бортовые, грузоподъемность до 5 т</t>
  </si>
  <si>
    <t>01.7.15.07-0014</t>
  </si>
  <si>
    <t>ФССЦ-2001, 01.7.15.07-0014, приказ Минстроя России №1039/пр от 30.12.2016г.</t>
  </si>
  <si>
    <t>Дюбели распорные полипропиленовые</t>
  </si>
  <si>
    <t>91.06.01-003</t>
  </si>
  <si>
    <t>ФСЭМ-2001, 91.06.01-003, приказ Минстроя России №1039/пр от 30.12.2016г.</t>
  </si>
  <si>
    <t>Домкраты гидравлические, грузоподъемность 63-100 т</t>
  </si>
  <si>
    <t>91.06.03-061</t>
  </si>
  <si>
    <t>ФСЭМ-2001, 91.06.03-061, приказ Минстроя России №1039/пр от 30.12.2016г.</t>
  </si>
  <si>
    <t>Лебедки электрические тяговым усилием до 12,26 кН (1,25 т)</t>
  </si>
  <si>
    <t>01.7.06.07-0001</t>
  </si>
  <si>
    <t>ФССЦ-2001, 01.7.06.07-0001, приказ Минстроя России №1039/пр от 30.12.2016г.</t>
  </si>
  <si>
    <t>Лента К226</t>
  </si>
  <si>
    <t>12.1.02.14-0002</t>
  </si>
  <si>
    <t>ФССЦ-2001, 12.1.02.14-0002, приказ Минстроя России №1039/пр от 30.12.2016г.</t>
  </si>
  <si>
    <t>Толь с крупнозернистой посыпкой марки ТВК-350</t>
  </si>
  <si>
    <t>м2</t>
  </si>
  <si>
    <t>20.1.02.14-0001</t>
  </si>
  <si>
    <t>ФССЦ-2001, 20.1.02.14-0001, приказ Минстроя России №1039/пр от 30.12.2016г.</t>
  </si>
  <si>
    <t>Серьга</t>
  </si>
  <si>
    <t>20.1.02.20-0001</t>
  </si>
  <si>
    <t>ФССЦ-2001, 20.1.02.20-0001, приказ Минстроя России №1039/пр от 30.12.2016г.</t>
  </si>
  <si>
    <t>Анкер тросовый</t>
  </si>
  <si>
    <t>20.5.04.11-0021</t>
  </si>
  <si>
    <t>ФССЦ-2001, 20.5.04.11-0021, приказ Минстроя России №1039/пр от 30.12.2016г.</t>
  </si>
  <si>
    <t>Зажимы</t>
  </si>
  <si>
    <t>2-100-50</t>
  </si>
  <si>
    <t>Рабочий наладчик, разряд 5</t>
  </si>
  <si>
    <t>3-100-30</t>
  </si>
  <si>
    <t>Инженер III категории</t>
  </si>
  <si>
    <t>999-0005</t>
  </si>
  <si>
    <t>Масса оборудования</t>
  </si>
  <si>
    <t>Кран мостовой подвесной электрический 2-6 (евростандарт): г/п 2 тн, длина пролета 6 м, вылет консолей 0,5м/0,5 м, скорость передвижения крана -20 м/мин, встроенный тормоз на передвижение, режим работы А3,исполнение-общепромышленное, управление с пульта с пола, напряжение 380В, современный дизайн</t>
  </si>
  <si>
    <t>Форма 4</t>
  </si>
  <si>
    <t>Нормативная трудоемкость</t>
  </si>
  <si>
    <t>чел.-ч</t>
  </si>
  <si>
    <t>№ п/п</t>
  </si>
  <si>
    <t>Шифр и № позиции норматива</t>
  </si>
  <si>
    <t>Наименование работ и затрат, единица измерения</t>
  </si>
  <si>
    <t>Кол-во</t>
  </si>
  <si>
    <t>Стоимость ед, руб.</t>
  </si>
  <si>
    <t>Общая стоимость, руб.</t>
  </si>
  <si>
    <t>Затраты труда рабочих, чел.-ч., не занятых обсл. Машин</t>
  </si>
  <si>
    <t>Экспл. Машин</t>
  </si>
  <si>
    <t>зар.платы</t>
  </si>
  <si>
    <t>Основной зар.платы</t>
  </si>
  <si>
    <t>в т.ч. Зарплаты</t>
  </si>
  <si>
    <t>обслуж. машины</t>
  </si>
  <si>
    <t>на един.</t>
  </si>
  <si>
    <t>всего</t>
  </si>
  <si>
    <t xml:space="preserve">% НР </t>
  </si>
  <si>
    <t xml:space="preserve">% СП </t>
  </si>
  <si>
    <t xml:space="preserve">Итого с НР и СП </t>
  </si>
  <si>
    <t xml:space="preserve">Составил    </t>
  </si>
  <si>
    <t>[должность,подпись(инициалы,фамилия)]</t>
  </si>
  <si>
    <t xml:space="preserve">Проверил    </t>
  </si>
  <si>
    <r>
      <t>Кран мостовой подвесной электрический 2-6 (евростандарт): г/п 2 тн, длина пролета 6 м, вылет консолей 0,5м/0,5 м, скорость передвижения крана -20 м/мин, встроенный тормоз на передвижение, режим работы А3,исполнение-общепромышленное, управление с пульта с пола, напряжение 380В, современный дизайн</t>
    </r>
    <r>
      <rPr>
        <i/>
        <sz val="12"/>
        <rFont val="Arial"/>
        <family val="2"/>
        <charset val="204"/>
      </rPr>
      <t xml:space="preserve">
Базисная стоимость: 27 531,64 = [150 741,25 / 1,18 /  4,64]</t>
    </r>
  </si>
  <si>
    <r>
      <t>Таль электрическая передвижная канатная (Болгария) 2ТН-6М: г/п 2тн, высота подъема -6 м, скорость подъема -8м/мин, скорость передвижения 20м/мин, температурный режим -20+40, тепловая защита двигателя подъема; пыле-влагозащита IP 54, питание 350В</t>
    </r>
    <r>
      <rPr>
        <i/>
        <sz val="12"/>
        <rFont val="Arial"/>
        <family val="2"/>
        <charset val="204"/>
      </rPr>
      <t xml:space="preserve">
Базисная стоимость: 28 211,74 = [148 523,95 / 1,18 /  4,64] +  4% Трансп</t>
    </r>
  </si>
  <si>
    <t>Монтаж кран балки 2 т пр 6м с талью электрическая подвесная</t>
  </si>
</sst>
</file>

<file path=xl/styles.xml><?xml version="1.0" encoding="utf-8"?>
<styleSheet xmlns="http://schemas.openxmlformats.org/spreadsheetml/2006/main">
  <numFmts count="3">
    <numFmt numFmtId="164" formatCode="#,##0.00;[Red]\-\ #,##0.00"/>
    <numFmt numFmtId="165" formatCode="#,##0.0;[Red]\-\ #,##0.0"/>
    <numFmt numFmtId="166" formatCode="#,##0;[Red]\-\ #,##0"/>
  </numFmts>
  <fonts count="12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i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165" fontId="9" fillId="0" borderId="3" xfId="0" applyNumberFormat="1" applyFont="1" applyBorder="1"/>
    <xf numFmtId="166" fontId="9" fillId="0" borderId="0" xfId="0" applyNumberFormat="1" applyFont="1"/>
    <xf numFmtId="166" fontId="9" fillId="0" borderId="3" xfId="0" applyNumberFormat="1" applyFont="1" applyBorder="1"/>
    <xf numFmtId="164" fontId="9" fillId="0" borderId="3" xfId="0" applyNumberFormat="1" applyFont="1" applyBorder="1"/>
    <xf numFmtId="0" fontId="11" fillId="0" borderId="0" xfId="0" applyFont="1" applyAlignment="1">
      <alignment horizontal="right" wrapText="1"/>
    </xf>
    <xf numFmtId="165" fontId="9" fillId="0" borderId="0" xfId="0" applyNumberFormat="1" applyFont="1"/>
    <xf numFmtId="164" fontId="9" fillId="0" borderId="0" xfId="0" applyNumberFormat="1" applyFont="1"/>
    <xf numFmtId="0" fontId="9" fillId="0" borderId="0" xfId="0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66" fontId="9" fillId="0" borderId="0" xfId="0" applyNumberFormat="1" applyFont="1" applyAlignment="1">
      <alignment horizontal="right" wrapText="1"/>
    </xf>
    <xf numFmtId="165" fontId="9" fillId="0" borderId="1" xfId="0" applyNumberFormat="1" applyFont="1" applyBorder="1"/>
    <xf numFmtId="166" fontId="9" fillId="0" borderId="1" xfId="0" applyNumberFormat="1" applyFont="1" applyBorder="1"/>
    <xf numFmtId="164" fontId="9" fillId="0" borderId="1" xfId="0" applyNumberFormat="1" applyFont="1" applyBorder="1"/>
    <xf numFmtId="0" fontId="8" fillId="0" borderId="0" xfId="0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87"/>
  <sheetViews>
    <sheetView tabSelected="1" view="pageBreakPreview" topLeftCell="A37" zoomScale="60" workbookViewId="0">
      <selection activeCell="I2" sqref="I2"/>
    </sheetView>
  </sheetViews>
  <sheetFormatPr defaultRowHeight="15"/>
  <cols>
    <col min="1" max="1" width="6.7109375" style="9" customWidth="1"/>
    <col min="2" max="2" width="15.7109375" style="9" customWidth="1"/>
    <col min="3" max="3" width="40.7109375" style="9" customWidth="1"/>
    <col min="4" max="11" width="12.7109375" style="9" customWidth="1"/>
    <col min="12" max="19" width="9.140625" style="9"/>
    <col min="20" max="34" width="0" style="9" hidden="1" customWidth="1"/>
    <col min="35" max="35" width="91.7109375" style="9" hidden="1" customWidth="1"/>
    <col min="36" max="37" width="0" style="9" hidden="1" customWidth="1"/>
    <col min="38" max="16384" width="9.140625" style="9"/>
  </cols>
  <sheetData>
    <row r="1" spans="1:28">
      <c r="K1" s="9" t="s">
        <v>308</v>
      </c>
    </row>
    <row r="3" spans="1:28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28" ht="15.75">
      <c r="A4" s="12" t="str">
        <f>CONCATENATE( "Локальная смета ", IF(Source!F20&lt;&gt;"Новая локальная смета", Source!F20, ""))</f>
        <v xml:space="preserve">Локальная смета 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28" ht="15.75">
      <c r="A5" s="13" t="s">
        <v>333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2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28">
      <c r="A7" s="15" t="str">
        <f>CONCATENATE( "Основание: ", Source!J20)</f>
        <v xml:space="preserve">Основание: 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2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28">
      <c r="A9" s="17"/>
      <c r="B9" s="17"/>
      <c r="C9" s="17"/>
      <c r="D9" s="17"/>
      <c r="E9" s="17"/>
      <c r="F9" s="14" t="s">
        <v>309</v>
      </c>
      <c r="G9" s="14"/>
      <c r="H9" s="14"/>
      <c r="I9" s="18">
        <f>(Source!F56+Source!F57)</f>
        <v>146.63</v>
      </c>
      <c r="J9" s="10"/>
      <c r="K9" s="19" t="s">
        <v>310</v>
      </c>
    </row>
    <row r="10" spans="1:28">
      <c r="A10" s="20" t="s">
        <v>311</v>
      </c>
      <c r="B10" s="20" t="s">
        <v>312</v>
      </c>
      <c r="C10" s="20" t="s">
        <v>313</v>
      </c>
      <c r="D10" s="20" t="s">
        <v>314</v>
      </c>
      <c r="E10" s="20" t="s">
        <v>315</v>
      </c>
      <c r="F10" s="20"/>
      <c r="G10" s="21" t="s">
        <v>316</v>
      </c>
      <c r="H10" s="21"/>
      <c r="I10" s="21"/>
      <c r="J10" s="20" t="s">
        <v>317</v>
      </c>
      <c r="K10" s="20"/>
    </row>
    <row r="11" spans="1:28" ht="20.100000000000001" customHeight="1">
      <c r="A11" s="20"/>
      <c r="B11" s="20"/>
      <c r="C11" s="20"/>
      <c r="D11" s="20"/>
      <c r="E11" s="20" t="s">
        <v>111</v>
      </c>
      <c r="F11" s="20" t="s">
        <v>318</v>
      </c>
      <c r="G11" s="20" t="s">
        <v>111</v>
      </c>
      <c r="H11" s="20" t="s">
        <v>319</v>
      </c>
      <c r="I11" s="20" t="s">
        <v>318</v>
      </c>
      <c r="J11" s="20"/>
      <c r="K11" s="20"/>
    </row>
    <row r="12" spans="1:28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28" ht="20.100000000000001" customHeight="1">
      <c r="A13" s="20"/>
      <c r="B13" s="20"/>
      <c r="C13" s="20"/>
      <c r="D13" s="20"/>
      <c r="E13" s="20" t="s">
        <v>320</v>
      </c>
      <c r="F13" s="20" t="s">
        <v>321</v>
      </c>
      <c r="G13" s="20"/>
      <c r="H13" s="20"/>
      <c r="I13" s="20" t="s">
        <v>321</v>
      </c>
      <c r="J13" s="20" t="s">
        <v>322</v>
      </c>
      <c r="K13" s="20"/>
    </row>
    <row r="14" spans="1:28">
      <c r="A14" s="20"/>
      <c r="B14" s="20"/>
      <c r="C14" s="20"/>
      <c r="D14" s="20"/>
      <c r="E14" s="20"/>
      <c r="F14" s="20"/>
      <c r="G14" s="20"/>
      <c r="H14" s="20"/>
      <c r="I14" s="20"/>
      <c r="J14" s="22" t="s">
        <v>323</v>
      </c>
      <c r="K14" s="22" t="s">
        <v>324</v>
      </c>
    </row>
    <row r="15" spans="1:28">
      <c r="A15" s="22">
        <v>1</v>
      </c>
      <c r="B15" s="22">
        <v>2</v>
      </c>
      <c r="C15" s="22">
        <v>3</v>
      </c>
      <c r="D15" s="22">
        <v>4</v>
      </c>
      <c r="E15" s="22">
        <v>5</v>
      </c>
      <c r="F15" s="22">
        <v>6</v>
      </c>
      <c r="G15" s="22">
        <v>7</v>
      </c>
      <c r="H15" s="22">
        <v>8</v>
      </c>
      <c r="I15" s="22">
        <v>9</v>
      </c>
      <c r="J15" s="22">
        <v>10</v>
      </c>
      <c r="K15" s="22">
        <v>11</v>
      </c>
    </row>
    <row r="16" spans="1:28" ht="91.5" customHeight="1">
      <c r="A16" s="23" t="str">
        <f>Source!E24</f>
        <v>1</v>
      </c>
      <c r="B16" s="23" t="str">
        <f>Source!F24</f>
        <v>м03-01-091-01</v>
      </c>
      <c r="C16" s="24" t="str">
        <f>Source!G24</f>
        <v>Кран подвесной многопролетный электрический с одной неповоротной тележкой, ширина колеи 3 м, пролет 45 м, грузоподъемность 20/5 т прим.</v>
      </c>
      <c r="D16" s="9">
        <f>Source!I24</f>
        <v>0.92</v>
      </c>
      <c r="E16" s="25">
        <f>Source!AB24</f>
        <v>2332.3000000000002</v>
      </c>
      <c r="F16" s="25">
        <f>Source!AD24</f>
        <v>1676.1</v>
      </c>
      <c r="G16" s="26">
        <f>Source!O24</f>
        <v>2145</v>
      </c>
      <c r="H16" s="26">
        <f>Source!S24</f>
        <v>429</v>
      </c>
      <c r="I16" s="27">
        <f>Source!Q24</f>
        <v>1542</v>
      </c>
      <c r="J16" s="28">
        <f>Source!AH24</f>
        <v>48.5</v>
      </c>
      <c r="K16" s="28">
        <f>Source!U24</f>
        <v>44.620000000000005</v>
      </c>
      <c r="T16" s="9">
        <f>Source!O24+Source!X24+Source!Y24</f>
        <v>2933</v>
      </c>
      <c r="U16" s="9">
        <f>Source!P24</f>
        <v>174</v>
      </c>
      <c r="V16" s="9">
        <f>Source!S24</f>
        <v>429</v>
      </c>
      <c r="W16" s="9">
        <f>Source!Q24</f>
        <v>1542</v>
      </c>
      <c r="X16" s="9">
        <f>Source!R24</f>
        <v>134</v>
      </c>
      <c r="Y16" s="9">
        <f>Source!U24</f>
        <v>44.620000000000005</v>
      </c>
      <c r="Z16" s="9">
        <f>Source!V24</f>
        <v>10.533999999999999</v>
      </c>
      <c r="AA16" s="9">
        <f>Source!X24</f>
        <v>450</v>
      </c>
      <c r="AB16" s="9">
        <f>Source!Y24</f>
        <v>338</v>
      </c>
    </row>
    <row r="17" spans="1:28">
      <c r="C17" s="29" t="str">
        <f>Source!H24</f>
        <v>т</v>
      </c>
      <c r="E17" s="30">
        <f>Source!AF24</f>
        <v>466.6</v>
      </c>
      <c r="F17" s="30">
        <f>Source!AE24</f>
        <v>145.30000000000001</v>
      </c>
      <c r="G17" s="26"/>
      <c r="H17" s="26"/>
      <c r="I17" s="26">
        <f>Source!R24</f>
        <v>134</v>
      </c>
      <c r="J17" s="31">
        <f>Source!AI24</f>
        <v>11.45</v>
      </c>
      <c r="K17" s="31">
        <f>Source!V24</f>
        <v>10.533999999999999</v>
      </c>
    </row>
    <row r="18" spans="1:28">
      <c r="C18" s="9" t="s">
        <v>325</v>
      </c>
      <c r="D18" s="32">
        <f>Source!BZ24</f>
        <v>80</v>
      </c>
      <c r="E18" s="33">
        <f>(Source!AF24+Source!AE24)*Source!FX24/100</f>
        <v>489.5200000000001</v>
      </c>
      <c r="F18" s="32"/>
      <c r="G18" s="34">
        <f>Source!X24</f>
        <v>450</v>
      </c>
      <c r="H18" s="32" t="str">
        <f>CONCATENATE(Source!AT24)</f>
        <v>80</v>
      </c>
      <c r="I18" s="32"/>
      <c r="J18" s="32"/>
      <c r="K18" s="32"/>
    </row>
    <row r="19" spans="1:28">
      <c r="C19" s="9" t="s">
        <v>326</v>
      </c>
      <c r="D19" s="32">
        <f>Source!CA24</f>
        <v>60</v>
      </c>
      <c r="E19" s="33">
        <f>(Source!AF24+Source!AE24)*Source!FY24/100</f>
        <v>367.1400000000001</v>
      </c>
      <c r="F19" s="32"/>
      <c r="G19" s="34">
        <f>Source!Y24</f>
        <v>338</v>
      </c>
      <c r="H19" s="32" t="str">
        <f>CONCATENATE(Source!AU24)</f>
        <v>60</v>
      </c>
      <c r="I19" s="32"/>
      <c r="J19" s="32"/>
      <c r="K19" s="32"/>
    </row>
    <row r="20" spans="1:28">
      <c r="C20" s="9" t="s">
        <v>327</v>
      </c>
      <c r="D20" s="32"/>
      <c r="E20" s="33">
        <f>((Source!AF24+Source!AE24)*Source!FX24/100)+((Source!AF24+Source!AE24)*Source!FY24/100)+Source!AB24</f>
        <v>3188.9600000000005</v>
      </c>
      <c r="F20" s="32"/>
      <c r="G20" s="34">
        <f>Source!O24+Source!X24+Source!Y24</f>
        <v>2933</v>
      </c>
      <c r="H20" s="32"/>
      <c r="I20" s="32"/>
      <c r="J20" s="32"/>
      <c r="K20" s="32"/>
    </row>
    <row r="21" spans="1:28" ht="210" customHeight="1">
      <c r="A21" s="23" t="str">
        <f>Source!E25</f>
        <v>2</v>
      </c>
      <c r="B21" s="23" t="str">
        <f>Source!F25</f>
        <v>Цена поставщика https://telfer.ru/</v>
      </c>
      <c r="C21" s="24" t="s">
        <v>331</v>
      </c>
      <c r="D21" s="9">
        <f>Source!I25</f>
        <v>1</v>
      </c>
      <c r="E21" s="35">
        <f>Source!AB25</f>
        <v>27531.599999999999</v>
      </c>
      <c r="F21" s="35">
        <f>Source!AD25</f>
        <v>0</v>
      </c>
      <c r="G21" s="26">
        <f>Source!O25</f>
        <v>27532</v>
      </c>
      <c r="H21" s="26">
        <f>Source!S25</f>
        <v>0</v>
      </c>
      <c r="I21" s="36">
        <f>Source!Q25</f>
        <v>0</v>
      </c>
      <c r="J21" s="37">
        <f>Source!AH25</f>
        <v>0</v>
      </c>
      <c r="K21" s="37">
        <f>Source!U25</f>
        <v>0</v>
      </c>
      <c r="T21" s="9">
        <f>Source!O25+Source!X25+Source!Y25</f>
        <v>27532</v>
      </c>
      <c r="U21" s="9">
        <f>Source!P25</f>
        <v>27532</v>
      </c>
      <c r="V21" s="9">
        <f>Source!S25</f>
        <v>0</v>
      </c>
      <c r="W21" s="9">
        <f>Source!Q25</f>
        <v>0</v>
      </c>
      <c r="X21" s="9">
        <f>Source!R25</f>
        <v>0</v>
      </c>
      <c r="Y21" s="9">
        <f>Source!U25</f>
        <v>0</v>
      </c>
      <c r="Z21" s="9">
        <f>Source!V25</f>
        <v>0</v>
      </c>
      <c r="AA21" s="9">
        <f>Source!X25</f>
        <v>0</v>
      </c>
      <c r="AB21" s="9">
        <f>Source!Y25</f>
        <v>0</v>
      </c>
    </row>
    <row r="22" spans="1:28">
      <c r="C22" s="29" t="str">
        <f>Source!H25</f>
        <v>ШТ</v>
      </c>
      <c r="E22" s="30">
        <f>Source!AF25</f>
        <v>0</v>
      </c>
      <c r="F22" s="30">
        <f>Source!AE25</f>
        <v>0</v>
      </c>
      <c r="G22" s="26"/>
      <c r="H22" s="26"/>
      <c r="I22" s="26">
        <f>Source!R25</f>
        <v>0</v>
      </c>
      <c r="J22" s="31">
        <f>Source!AI25</f>
        <v>0</v>
      </c>
      <c r="K22" s="31">
        <f>Source!V25</f>
        <v>0</v>
      </c>
    </row>
    <row r="23" spans="1:28" ht="197.25" customHeight="1">
      <c r="A23" s="23" t="str">
        <f>Source!E26</f>
        <v>3</v>
      </c>
      <c r="B23" s="23" t="str">
        <f>Source!F26</f>
        <v>Цена поставщика https://telfer.ru/</v>
      </c>
      <c r="C23" s="24" t="s">
        <v>332</v>
      </c>
      <c r="D23" s="9">
        <f>Source!I26</f>
        <v>1</v>
      </c>
      <c r="E23" s="35">
        <f>Source!AB26</f>
        <v>28211.7</v>
      </c>
      <c r="F23" s="35">
        <f>Source!AD26</f>
        <v>0</v>
      </c>
      <c r="G23" s="26">
        <f>Source!O26</f>
        <v>28212</v>
      </c>
      <c r="H23" s="26">
        <f>Source!S26</f>
        <v>0</v>
      </c>
      <c r="I23" s="36">
        <f>Source!Q26</f>
        <v>0</v>
      </c>
      <c r="J23" s="37">
        <f>Source!AH26</f>
        <v>0</v>
      </c>
      <c r="K23" s="37">
        <f>Source!U26</f>
        <v>0</v>
      </c>
      <c r="T23" s="9">
        <f>Source!O26+Source!X26+Source!Y26</f>
        <v>28212</v>
      </c>
      <c r="U23" s="9">
        <f>Source!P26</f>
        <v>28212</v>
      </c>
      <c r="V23" s="9">
        <f>Source!S26</f>
        <v>0</v>
      </c>
      <c r="W23" s="9">
        <f>Source!Q26</f>
        <v>0</v>
      </c>
      <c r="X23" s="9">
        <f>Source!R26</f>
        <v>0</v>
      </c>
      <c r="Y23" s="9">
        <f>Source!U26</f>
        <v>0</v>
      </c>
      <c r="Z23" s="9">
        <f>Source!V26</f>
        <v>0</v>
      </c>
      <c r="AA23" s="9">
        <f>Source!X26</f>
        <v>0</v>
      </c>
      <c r="AB23" s="9">
        <f>Source!Y26</f>
        <v>0</v>
      </c>
    </row>
    <row r="24" spans="1:28">
      <c r="C24" s="29" t="str">
        <f>Source!H26</f>
        <v>ШТ</v>
      </c>
      <c r="E24" s="30">
        <f>Source!AF26</f>
        <v>0</v>
      </c>
      <c r="F24" s="30">
        <f>Source!AE26</f>
        <v>0</v>
      </c>
      <c r="G24" s="26"/>
      <c r="H24" s="26"/>
      <c r="I24" s="26">
        <f>Source!R26</f>
        <v>0</v>
      </c>
      <c r="J24" s="31">
        <f>Source!AI26</f>
        <v>0</v>
      </c>
      <c r="K24" s="31">
        <f>Source!V26</f>
        <v>0</v>
      </c>
    </row>
    <row r="25" spans="1:28" ht="135">
      <c r="A25" s="23" t="str">
        <f>Source!E27</f>
        <v>4</v>
      </c>
      <c r="B25" s="23" t="str">
        <f>Source!F27</f>
        <v>м08-03-481-20</v>
      </c>
      <c r="C25" s="24" t="str">
        <f>Source!G27</f>
        <v>Подготовка электрической машины переменного тока с короткозамкнутым ротором, со щитовыми подшипниками, поступающей в собранном виде, к испытанию, сдаче под наладку и пуску, присоединение к электрической сети, масса до 0,15 т прим.</v>
      </c>
      <c r="D25" s="9">
        <f>Source!I27</f>
        <v>2</v>
      </c>
      <c r="E25" s="35">
        <f>Source!AB27</f>
        <v>32.9</v>
      </c>
      <c r="F25" s="35">
        <f>Source!AD27</f>
        <v>0.9</v>
      </c>
      <c r="G25" s="26">
        <f>Source!O27</f>
        <v>66</v>
      </c>
      <c r="H25" s="26">
        <f>Source!S27</f>
        <v>24</v>
      </c>
      <c r="I25" s="36">
        <f>Source!Q27</f>
        <v>2</v>
      </c>
      <c r="J25" s="37">
        <f>Source!AH27</f>
        <v>1.21</v>
      </c>
      <c r="K25" s="37">
        <f>Source!U27</f>
        <v>2.42</v>
      </c>
      <c r="T25" s="9">
        <f>Source!O27+Source!X27+Source!Y27</f>
        <v>105</v>
      </c>
      <c r="U25" s="9">
        <f>Source!P27</f>
        <v>40</v>
      </c>
      <c r="V25" s="9">
        <f>Source!S27</f>
        <v>24</v>
      </c>
      <c r="W25" s="9">
        <f>Source!Q27</f>
        <v>2</v>
      </c>
      <c r="X25" s="9">
        <f>Source!R27</f>
        <v>0</v>
      </c>
      <c r="Y25" s="9">
        <f>Source!U27</f>
        <v>2.42</v>
      </c>
      <c r="Z25" s="9">
        <f>Source!V27</f>
        <v>0</v>
      </c>
      <c r="AA25" s="9">
        <f>Source!X27</f>
        <v>23</v>
      </c>
      <c r="AB25" s="9">
        <f>Source!Y27</f>
        <v>16</v>
      </c>
    </row>
    <row r="26" spans="1:28">
      <c r="C26" s="29" t="str">
        <f>Source!H27</f>
        <v>ШТ</v>
      </c>
      <c r="E26" s="30">
        <f>Source!AF27</f>
        <v>12</v>
      </c>
      <c r="F26" s="30">
        <f>Source!AE27</f>
        <v>0</v>
      </c>
      <c r="G26" s="26"/>
      <c r="H26" s="26"/>
      <c r="I26" s="26">
        <f>Source!R27</f>
        <v>0</v>
      </c>
      <c r="J26" s="31">
        <f>Source!AI27</f>
        <v>0</v>
      </c>
      <c r="K26" s="31">
        <f>Source!V27</f>
        <v>0</v>
      </c>
    </row>
    <row r="27" spans="1:28">
      <c r="C27" s="9" t="s">
        <v>325</v>
      </c>
      <c r="D27" s="32">
        <f>Source!BZ27</f>
        <v>95</v>
      </c>
      <c r="E27" s="33">
        <f>(Source!AF27+Source!AE27)*Source!FX27/100</f>
        <v>11.4</v>
      </c>
      <c r="F27" s="32"/>
      <c r="G27" s="34">
        <f>Source!X27</f>
        <v>23</v>
      </c>
      <c r="H27" s="32" t="str">
        <f>CONCATENATE(Source!AT27)</f>
        <v>95</v>
      </c>
      <c r="I27" s="32"/>
      <c r="J27" s="32"/>
      <c r="K27" s="32"/>
    </row>
    <row r="28" spans="1:28">
      <c r="C28" s="9" t="s">
        <v>326</v>
      </c>
      <c r="D28" s="32">
        <f>Source!CA27</f>
        <v>65</v>
      </c>
      <c r="E28" s="33">
        <f>(Source!AF27+Source!AE27)*Source!FY27/100</f>
        <v>7.8</v>
      </c>
      <c r="F28" s="32"/>
      <c r="G28" s="34">
        <f>Source!Y27</f>
        <v>16</v>
      </c>
      <c r="H28" s="32" t="str">
        <f>CONCATENATE(Source!AU27)</f>
        <v>65</v>
      </c>
      <c r="I28" s="32"/>
      <c r="J28" s="32"/>
      <c r="K28" s="32"/>
    </row>
    <row r="29" spans="1:28">
      <c r="C29" s="9" t="s">
        <v>327</v>
      </c>
      <c r="D29" s="32"/>
      <c r="E29" s="33">
        <f>((Source!AF27+Source!AE27)*Source!FX27/100)+((Source!AF27+Source!AE27)*Source!FY27/100)+Source!AB27</f>
        <v>52.099999999999994</v>
      </c>
      <c r="F29" s="32"/>
      <c r="G29" s="34">
        <f>Source!O27+Source!X27+Source!Y27</f>
        <v>105</v>
      </c>
      <c r="H29" s="32"/>
      <c r="I29" s="32"/>
      <c r="J29" s="32"/>
      <c r="K29" s="32"/>
    </row>
    <row r="30" spans="1:28" ht="60">
      <c r="A30" s="23" t="str">
        <f>Source!E28</f>
        <v>5</v>
      </c>
      <c r="B30" s="23" t="str">
        <f>Source!F28</f>
        <v>м08-03-533-02</v>
      </c>
      <c r="C30" s="24" t="str">
        <f>Source!G28</f>
        <v>Пост управления кнопочный подвесной, подвешиваемый на кабеле (тросе), количество элементов поста до 10</v>
      </c>
      <c r="D30" s="9">
        <f>Source!I28</f>
        <v>1</v>
      </c>
      <c r="E30" s="35">
        <f>Source!AB28</f>
        <v>31.7</v>
      </c>
      <c r="F30" s="35">
        <f>Source!AD28</f>
        <v>0</v>
      </c>
      <c r="G30" s="26">
        <f>Source!O28</f>
        <v>32</v>
      </c>
      <c r="H30" s="26">
        <f>Source!S28</f>
        <v>26</v>
      </c>
      <c r="I30" s="36">
        <f>Source!Q28</f>
        <v>0</v>
      </c>
      <c r="J30" s="37">
        <f>Source!AH28</f>
        <v>2.75</v>
      </c>
      <c r="K30" s="37">
        <f>Source!U28</f>
        <v>2.75</v>
      </c>
      <c r="T30" s="9">
        <f>Source!O28+Source!X28+Source!Y28</f>
        <v>74</v>
      </c>
      <c r="U30" s="9">
        <f>Source!P28</f>
        <v>6</v>
      </c>
      <c r="V30" s="9">
        <f>Source!S28</f>
        <v>26</v>
      </c>
      <c r="W30" s="9">
        <f>Source!Q28</f>
        <v>0</v>
      </c>
      <c r="X30" s="9">
        <f>Source!R28</f>
        <v>0</v>
      </c>
      <c r="Y30" s="9">
        <f>Source!U28</f>
        <v>2.75</v>
      </c>
      <c r="Z30" s="9">
        <f>Source!V28</f>
        <v>0</v>
      </c>
      <c r="AA30" s="9">
        <f>Source!X28</f>
        <v>25</v>
      </c>
      <c r="AB30" s="9">
        <f>Source!Y28</f>
        <v>17</v>
      </c>
    </row>
    <row r="31" spans="1:28">
      <c r="C31" s="29" t="str">
        <f>Source!H28</f>
        <v>ШТ</v>
      </c>
      <c r="E31" s="30">
        <f>Source!AF28</f>
        <v>25.9</v>
      </c>
      <c r="F31" s="30">
        <f>Source!AE28</f>
        <v>0</v>
      </c>
      <c r="G31" s="26"/>
      <c r="H31" s="26"/>
      <c r="I31" s="26">
        <f>Source!R28</f>
        <v>0</v>
      </c>
      <c r="J31" s="31">
        <f>Source!AI28</f>
        <v>0</v>
      </c>
      <c r="K31" s="31">
        <f>Source!V28</f>
        <v>0</v>
      </c>
    </row>
    <row r="32" spans="1:28">
      <c r="C32" s="9" t="s">
        <v>325</v>
      </c>
      <c r="D32" s="32">
        <f>Source!BZ28</f>
        <v>95</v>
      </c>
      <c r="E32" s="33">
        <f>(Source!AF28+Source!AE28)*Source!FX28/100</f>
        <v>24.605</v>
      </c>
      <c r="F32" s="32"/>
      <c r="G32" s="34">
        <f>Source!X28</f>
        <v>25</v>
      </c>
      <c r="H32" s="32" t="str">
        <f>CONCATENATE(Source!AT28)</f>
        <v>95</v>
      </c>
      <c r="I32" s="32"/>
      <c r="J32" s="32"/>
      <c r="K32" s="32"/>
    </row>
    <row r="33" spans="1:28">
      <c r="C33" s="9" t="s">
        <v>326</v>
      </c>
      <c r="D33" s="32">
        <f>Source!CA28</f>
        <v>65</v>
      </c>
      <c r="E33" s="33">
        <f>(Source!AF28+Source!AE28)*Source!FY28/100</f>
        <v>16.835000000000001</v>
      </c>
      <c r="F33" s="32"/>
      <c r="G33" s="34">
        <f>Source!Y28</f>
        <v>17</v>
      </c>
      <c r="H33" s="32" t="str">
        <f>CONCATENATE(Source!AU28)</f>
        <v>65</v>
      </c>
      <c r="I33" s="32"/>
      <c r="J33" s="32"/>
      <c r="K33" s="32"/>
    </row>
    <row r="34" spans="1:28">
      <c r="C34" s="9" t="s">
        <v>327</v>
      </c>
      <c r="D34" s="32"/>
      <c r="E34" s="33">
        <f>((Source!AF28+Source!AE28)*Source!FX28/100)+((Source!AF28+Source!AE28)*Source!FY28/100)+Source!AB28</f>
        <v>73.14</v>
      </c>
      <c r="F34" s="32"/>
      <c r="G34" s="34">
        <f>Source!O28+Source!X28+Source!Y28</f>
        <v>74</v>
      </c>
      <c r="H34" s="32"/>
      <c r="I34" s="32"/>
      <c r="J34" s="32"/>
      <c r="K34" s="32"/>
    </row>
    <row r="35" spans="1:28" ht="90">
      <c r="A35" s="23" t="str">
        <f>Source!E29</f>
        <v>6</v>
      </c>
      <c r="B35" s="23" t="str">
        <f>Source!F29</f>
        <v>м08-03-521-01</v>
      </c>
      <c r="C35" s="24" t="str">
        <f>Source!G29</f>
        <v>Рубильник на плите с центральной или боковой рукояткой или управлением штангой, устанавливаемый на металлическом основании, однополюсный на ток до 250 А</v>
      </c>
      <c r="D35" s="9">
        <f>Source!I29</f>
        <v>1</v>
      </c>
      <c r="E35" s="35">
        <f>Source!AB29</f>
        <v>18.5</v>
      </c>
      <c r="F35" s="35">
        <f>Source!AD29</f>
        <v>0.1</v>
      </c>
      <c r="G35" s="26">
        <f>Source!O29</f>
        <v>19</v>
      </c>
      <c r="H35" s="26">
        <f>Source!S29</f>
        <v>13</v>
      </c>
      <c r="I35" s="36">
        <f>Source!Q29</f>
        <v>0</v>
      </c>
      <c r="J35" s="37">
        <f>Source!AH29</f>
        <v>1.18</v>
      </c>
      <c r="K35" s="37">
        <f>Source!U29</f>
        <v>1.18</v>
      </c>
      <c r="T35" s="9">
        <f>Source!O29+Source!X29+Source!Y29</f>
        <v>39</v>
      </c>
      <c r="U35" s="9">
        <f>Source!P29</f>
        <v>6</v>
      </c>
      <c r="V35" s="9">
        <f>Source!S29</f>
        <v>13</v>
      </c>
      <c r="W35" s="9">
        <f>Source!Q29</f>
        <v>0</v>
      </c>
      <c r="X35" s="9">
        <f>Source!R29</f>
        <v>0</v>
      </c>
      <c r="Y35" s="9">
        <f>Source!U29</f>
        <v>1.18</v>
      </c>
      <c r="Z35" s="9">
        <f>Source!V29</f>
        <v>0</v>
      </c>
      <c r="AA35" s="9">
        <f>Source!X29</f>
        <v>12</v>
      </c>
      <c r="AB35" s="9">
        <f>Source!Y29</f>
        <v>8</v>
      </c>
    </row>
    <row r="36" spans="1:28">
      <c r="C36" s="29" t="str">
        <f>Source!H29</f>
        <v>ШТ</v>
      </c>
      <c r="E36" s="30">
        <f>Source!AF29</f>
        <v>12.6</v>
      </c>
      <c r="F36" s="30">
        <f>Source!AE29</f>
        <v>0</v>
      </c>
      <c r="G36" s="26"/>
      <c r="H36" s="26"/>
      <c r="I36" s="26">
        <f>Source!R29</f>
        <v>0</v>
      </c>
      <c r="J36" s="31">
        <f>Source!AI29</f>
        <v>0</v>
      </c>
      <c r="K36" s="31">
        <f>Source!V29</f>
        <v>0</v>
      </c>
    </row>
    <row r="37" spans="1:28">
      <c r="C37" s="9" t="s">
        <v>325</v>
      </c>
      <c r="D37" s="32">
        <f>Source!BZ29</f>
        <v>95</v>
      </c>
      <c r="E37" s="33">
        <f>(Source!AF29+Source!AE29)*Source!FX29/100</f>
        <v>11.97</v>
      </c>
      <c r="F37" s="32"/>
      <c r="G37" s="34">
        <f>Source!X29</f>
        <v>12</v>
      </c>
      <c r="H37" s="32" t="str">
        <f>CONCATENATE(Source!AT29)</f>
        <v>95</v>
      </c>
      <c r="I37" s="32"/>
      <c r="J37" s="32"/>
      <c r="K37" s="32"/>
    </row>
    <row r="38" spans="1:28">
      <c r="C38" s="9" t="s">
        <v>326</v>
      </c>
      <c r="D38" s="32">
        <f>Source!CA29</f>
        <v>65</v>
      </c>
      <c r="E38" s="33">
        <f>(Source!AF29+Source!AE29)*Source!FY29/100</f>
        <v>8.19</v>
      </c>
      <c r="F38" s="32"/>
      <c r="G38" s="34">
        <f>Source!Y29</f>
        <v>8</v>
      </c>
      <c r="H38" s="32" t="str">
        <f>CONCATENATE(Source!AU29)</f>
        <v>65</v>
      </c>
      <c r="I38" s="32"/>
      <c r="J38" s="32"/>
      <c r="K38" s="32"/>
    </row>
    <row r="39" spans="1:28">
      <c r="C39" s="9" t="s">
        <v>327</v>
      </c>
      <c r="D39" s="32"/>
      <c r="E39" s="33">
        <f>((Source!AF29+Source!AE29)*Source!FX29/100)+((Source!AF29+Source!AE29)*Source!FY29/100)+Source!AB29</f>
        <v>38.659999999999997</v>
      </c>
      <c r="F39" s="32"/>
      <c r="G39" s="34">
        <f>Source!O29+Source!X29+Source!Y29</f>
        <v>39</v>
      </c>
      <c r="H39" s="32"/>
      <c r="I39" s="32"/>
      <c r="J39" s="32"/>
      <c r="K39" s="32"/>
    </row>
    <row r="40" spans="1:28" ht="47.25" customHeight="1">
      <c r="A40" s="23" t="str">
        <f>Source!E30</f>
        <v>7</v>
      </c>
      <c r="B40" s="23" t="str">
        <f>Source!F30</f>
        <v>м08-03-603-01</v>
      </c>
      <c r="C40" s="24" t="str">
        <f>Source!G30</f>
        <v>Ящик с понижающим трансформатором</v>
      </c>
      <c r="D40" s="9">
        <f>Source!I30</f>
        <v>1</v>
      </c>
      <c r="E40" s="35">
        <f>Source!AB30</f>
        <v>16.8</v>
      </c>
      <c r="F40" s="35">
        <f>Source!AD30</f>
        <v>1.8</v>
      </c>
      <c r="G40" s="26">
        <f>Source!O30</f>
        <v>17</v>
      </c>
      <c r="H40" s="26">
        <f>Source!S30</f>
        <v>11</v>
      </c>
      <c r="I40" s="36">
        <f>Source!Q30</f>
        <v>2</v>
      </c>
      <c r="J40" s="37">
        <f>Source!AH30</f>
        <v>1.1399999999999999</v>
      </c>
      <c r="K40" s="37">
        <f>Source!U30</f>
        <v>1.1399999999999999</v>
      </c>
      <c r="T40" s="9">
        <f>Source!O30+Source!X30+Source!Y30</f>
        <v>34</v>
      </c>
      <c r="U40" s="9">
        <f>Source!P30</f>
        <v>4</v>
      </c>
      <c r="V40" s="9">
        <f>Source!S30</f>
        <v>11</v>
      </c>
      <c r="W40" s="9">
        <f>Source!Q30</f>
        <v>2</v>
      </c>
      <c r="X40" s="9">
        <f>Source!R30</f>
        <v>0</v>
      </c>
      <c r="Y40" s="9">
        <f>Source!U30</f>
        <v>1.1399999999999999</v>
      </c>
      <c r="Z40" s="9">
        <f>Source!V30</f>
        <v>0.02</v>
      </c>
      <c r="AA40" s="9">
        <f>Source!X30</f>
        <v>10</v>
      </c>
      <c r="AB40" s="9">
        <f>Source!Y30</f>
        <v>7</v>
      </c>
    </row>
    <row r="41" spans="1:28">
      <c r="C41" s="29" t="str">
        <f>Source!H30</f>
        <v>ШТ</v>
      </c>
      <c r="E41" s="30">
        <f>Source!AF30</f>
        <v>11.3</v>
      </c>
      <c r="F41" s="30">
        <f>Source!AE30</f>
        <v>0.3</v>
      </c>
      <c r="G41" s="26"/>
      <c r="H41" s="26"/>
      <c r="I41" s="26">
        <f>Source!R30</f>
        <v>0</v>
      </c>
      <c r="J41" s="31">
        <f>Source!AI30</f>
        <v>0.02</v>
      </c>
      <c r="K41" s="31">
        <f>Source!V30</f>
        <v>0.02</v>
      </c>
    </row>
    <row r="42" spans="1:28">
      <c r="C42" s="9" t="s">
        <v>325</v>
      </c>
      <c r="D42" s="32">
        <f>Source!BZ30</f>
        <v>95</v>
      </c>
      <c r="E42" s="33">
        <f>(Source!AF30+Source!AE30)*Source!FX30/100</f>
        <v>11.020000000000003</v>
      </c>
      <c r="F42" s="32"/>
      <c r="G42" s="34">
        <f>Source!X30</f>
        <v>10</v>
      </c>
      <c r="H42" s="32" t="str">
        <f>CONCATENATE(Source!AT30)</f>
        <v>95</v>
      </c>
      <c r="I42" s="32"/>
      <c r="J42" s="32"/>
      <c r="K42" s="32"/>
    </row>
    <row r="43" spans="1:28">
      <c r="C43" s="9" t="s">
        <v>326</v>
      </c>
      <c r="D43" s="32">
        <f>Source!CA30</f>
        <v>65</v>
      </c>
      <c r="E43" s="33">
        <f>(Source!AF30+Source!AE30)*Source!FY30/100</f>
        <v>7.5400000000000009</v>
      </c>
      <c r="F43" s="32"/>
      <c r="G43" s="34">
        <f>Source!Y30</f>
        <v>7</v>
      </c>
      <c r="H43" s="32" t="str">
        <f>CONCATENATE(Source!AU30)</f>
        <v>65</v>
      </c>
      <c r="I43" s="32"/>
      <c r="J43" s="32"/>
      <c r="K43" s="32"/>
    </row>
    <row r="44" spans="1:28">
      <c r="C44" s="9" t="s">
        <v>327</v>
      </c>
      <c r="D44" s="32"/>
      <c r="E44" s="33">
        <f>((Source!AF30+Source!AE30)*Source!FX30/100)+((Source!AF30+Source!AE30)*Source!FY30/100)+Source!AB30</f>
        <v>35.36</v>
      </c>
      <c r="F44" s="32"/>
      <c r="G44" s="34">
        <f>Source!O30+Source!X30+Source!Y30</f>
        <v>34</v>
      </c>
      <c r="H44" s="32"/>
      <c r="I44" s="32"/>
      <c r="J44" s="32"/>
      <c r="K44" s="32"/>
    </row>
    <row r="45" spans="1:28" ht="42.75" customHeight="1">
      <c r="A45" s="23" t="str">
        <f>Source!E31</f>
        <v>8</v>
      </c>
      <c r="B45" s="23" t="str">
        <f>Source!F31</f>
        <v>м08-02-149-01</v>
      </c>
      <c r="C45" s="24" t="str">
        <f>Source!G31</f>
        <v>Кабель до 35 кВ, подвешиваемый на тросе, масса 1 м кабеля до 1 кг</v>
      </c>
      <c r="D45" s="9">
        <f>Source!I31</f>
        <v>0.16</v>
      </c>
      <c r="E45" s="35">
        <f>Source!AB31</f>
        <v>2166.1</v>
      </c>
      <c r="F45" s="35">
        <f>Source!AD31</f>
        <v>1563.1</v>
      </c>
      <c r="G45" s="26">
        <f>Source!O31</f>
        <v>346</v>
      </c>
      <c r="H45" s="26">
        <f>Source!S31</f>
        <v>21</v>
      </c>
      <c r="I45" s="36">
        <f>Source!Q31</f>
        <v>250</v>
      </c>
      <c r="J45" s="37">
        <f>Source!AH31</f>
        <v>13.73</v>
      </c>
      <c r="K45" s="37">
        <f>Source!U31</f>
        <v>2.1968000000000001</v>
      </c>
      <c r="T45" s="9">
        <f>Source!O31+Source!X31+Source!Y31</f>
        <v>418</v>
      </c>
      <c r="U45" s="9">
        <f>Source!P31</f>
        <v>75</v>
      </c>
      <c r="V45" s="9">
        <f>Source!S31</f>
        <v>21</v>
      </c>
      <c r="W45" s="9">
        <f>Source!Q31</f>
        <v>250</v>
      </c>
      <c r="X45" s="9">
        <f>Source!R31</f>
        <v>24</v>
      </c>
      <c r="Y45" s="9">
        <f>Source!U31</f>
        <v>2.1968000000000001</v>
      </c>
      <c r="Z45" s="9">
        <f>Source!V31</f>
        <v>1.7664</v>
      </c>
      <c r="AA45" s="9">
        <f>Source!X31</f>
        <v>43</v>
      </c>
      <c r="AB45" s="9">
        <f>Source!Y31</f>
        <v>29</v>
      </c>
    </row>
    <row r="46" spans="1:28">
      <c r="C46" s="29" t="str">
        <f>Source!H31</f>
        <v>100 м</v>
      </c>
      <c r="E46" s="30">
        <f>Source!AF31</f>
        <v>132.1</v>
      </c>
      <c r="F46" s="30">
        <f>Source!AE31</f>
        <v>148.69999999999999</v>
      </c>
      <c r="G46" s="26"/>
      <c r="H46" s="26"/>
      <c r="I46" s="26">
        <f>Source!R31</f>
        <v>24</v>
      </c>
      <c r="J46" s="31">
        <f>Source!AI31</f>
        <v>11.04</v>
      </c>
      <c r="K46" s="31">
        <f>Source!V31</f>
        <v>1.7664</v>
      </c>
    </row>
    <row r="47" spans="1:28">
      <c r="C47" s="9" t="s">
        <v>325</v>
      </c>
      <c r="D47" s="32">
        <f>Source!BZ31</f>
        <v>95</v>
      </c>
      <c r="E47" s="33">
        <f>(Source!AF31+Source!AE31)*Source!FX31/100</f>
        <v>266.76</v>
      </c>
      <c r="F47" s="32"/>
      <c r="G47" s="34">
        <f>Source!X31</f>
        <v>43</v>
      </c>
      <c r="H47" s="32" t="str">
        <f>CONCATENATE(Source!AT31)</f>
        <v>95</v>
      </c>
      <c r="I47" s="32"/>
      <c r="J47" s="32"/>
      <c r="K47" s="32"/>
    </row>
    <row r="48" spans="1:28">
      <c r="C48" s="9" t="s">
        <v>326</v>
      </c>
      <c r="D48" s="32">
        <f>Source!CA31</f>
        <v>65</v>
      </c>
      <c r="E48" s="33">
        <f>(Source!AF31+Source!AE31)*Source!FY31/100</f>
        <v>182.51999999999995</v>
      </c>
      <c r="F48" s="32"/>
      <c r="G48" s="34">
        <f>Source!Y31</f>
        <v>29</v>
      </c>
      <c r="H48" s="32" t="str">
        <f>CONCATENATE(Source!AU31)</f>
        <v>65</v>
      </c>
      <c r="I48" s="32"/>
      <c r="J48" s="32"/>
      <c r="K48" s="32"/>
    </row>
    <row r="49" spans="1:28">
      <c r="C49" s="9" t="s">
        <v>327</v>
      </c>
      <c r="D49" s="32"/>
      <c r="E49" s="33">
        <f>((Source!AF31+Source!AE31)*Source!FX31/100)+((Source!AF31+Source!AE31)*Source!FY31/100)+Source!AB31</f>
        <v>2615.38</v>
      </c>
      <c r="F49" s="32"/>
      <c r="G49" s="34">
        <f>Source!O31+Source!X31+Source!Y31</f>
        <v>418</v>
      </c>
      <c r="H49" s="32"/>
      <c r="I49" s="32"/>
      <c r="J49" s="32"/>
      <c r="K49" s="32"/>
    </row>
    <row r="50" spans="1:28" ht="105">
      <c r="A50" s="23" t="str">
        <f>Source!E32</f>
        <v>9</v>
      </c>
      <c r="B50" s="23" t="str">
        <f>Source!F32</f>
        <v>п04-01-001-02</v>
      </c>
      <c r="C50" s="24" t="str">
        <f>Source!G32</f>
        <v>Кран подвесной электрический однобалочный однопролетный, управление с пола, высота подъема - 6, 12, 18 м; скорость: подъема - 8 м/мин, передвижения тали - 20 м/мин, передвижения крана - 32 м/мин; грузоподъемность 2 т</v>
      </c>
      <c r="D50" s="9">
        <f>Source!I32</f>
        <v>1</v>
      </c>
      <c r="E50" s="35">
        <f>Source!AB32</f>
        <v>951.2</v>
      </c>
      <c r="F50" s="35">
        <f>Source!AD32</f>
        <v>0</v>
      </c>
      <c r="G50" s="26">
        <f>Source!O32</f>
        <v>951</v>
      </c>
      <c r="H50" s="26">
        <f>Source!S32</f>
        <v>951</v>
      </c>
      <c r="I50" s="36">
        <f>Source!Q32</f>
        <v>0</v>
      </c>
      <c r="J50" s="37">
        <f>Source!AH32</f>
        <v>80</v>
      </c>
      <c r="K50" s="37">
        <f>Source!U32</f>
        <v>80</v>
      </c>
      <c r="T50" s="9">
        <f>Source!O32+Source!X32+Source!Y32</f>
        <v>1949</v>
      </c>
      <c r="U50" s="9">
        <f>Source!P32</f>
        <v>0</v>
      </c>
      <c r="V50" s="9">
        <f>Source!S32</f>
        <v>951</v>
      </c>
      <c r="W50" s="9">
        <f>Source!Q32</f>
        <v>0</v>
      </c>
      <c r="X50" s="9">
        <f>Source!R32</f>
        <v>0</v>
      </c>
      <c r="Y50" s="9">
        <f>Source!U32</f>
        <v>80</v>
      </c>
      <c r="Z50" s="9">
        <f>Source!V32</f>
        <v>0</v>
      </c>
      <c r="AA50" s="9">
        <f>Source!X32</f>
        <v>618</v>
      </c>
      <c r="AB50" s="9">
        <f>Source!Y32</f>
        <v>380</v>
      </c>
    </row>
    <row r="51" spans="1:28">
      <c r="C51" s="29" t="str">
        <f>Source!H32</f>
        <v>ШТ</v>
      </c>
      <c r="E51" s="30">
        <f>Source!AF32</f>
        <v>951.2</v>
      </c>
      <c r="F51" s="30">
        <f>Source!AE32</f>
        <v>0</v>
      </c>
      <c r="G51" s="26"/>
      <c r="H51" s="26"/>
      <c r="I51" s="26">
        <f>Source!R32</f>
        <v>0</v>
      </c>
      <c r="J51" s="31">
        <f>Source!AI32</f>
        <v>0</v>
      </c>
      <c r="K51" s="31">
        <f>Source!V32</f>
        <v>0</v>
      </c>
    </row>
    <row r="52" spans="1:28">
      <c r="C52" s="9" t="s">
        <v>325</v>
      </c>
      <c r="D52" s="32">
        <f>Source!BZ32</f>
        <v>65</v>
      </c>
      <c r="E52" s="33">
        <f>(Source!AF32+Source!AE32)*Source!FX32/100</f>
        <v>618.28</v>
      </c>
      <c r="F52" s="32"/>
      <c r="G52" s="34">
        <f>Source!X32</f>
        <v>618</v>
      </c>
      <c r="H52" s="32" t="str">
        <f>CONCATENATE(Source!AT32)</f>
        <v>65</v>
      </c>
      <c r="I52" s="32"/>
      <c r="J52" s="32"/>
      <c r="K52" s="32"/>
    </row>
    <row r="53" spans="1:28">
      <c r="C53" s="9" t="s">
        <v>326</v>
      </c>
      <c r="D53" s="32">
        <f>Source!CA32</f>
        <v>40</v>
      </c>
      <c r="E53" s="33">
        <f>(Source!AF32+Source!AE32)*Source!FY32/100</f>
        <v>380.48</v>
      </c>
      <c r="F53" s="32"/>
      <c r="G53" s="34">
        <f>Source!Y32</f>
        <v>380</v>
      </c>
      <c r="H53" s="32" t="str">
        <f>CONCATENATE(Source!AU32)</f>
        <v>40</v>
      </c>
      <c r="I53" s="32"/>
      <c r="J53" s="32"/>
      <c r="K53" s="32"/>
    </row>
    <row r="54" spans="1:28">
      <c r="C54" s="9" t="s">
        <v>327</v>
      </c>
      <c r="D54" s="32"/>
      <c r="E54" s="33">
        <f>((Source!AF32+Source!AE32)*Source!FX32/100)+((Source!AF32+Source!AE32)*Source!FY32/100)+Source!AB32</f>
        <v>1949.96</v>
      </c>
      <c r="F54" s="32"/>
      <c r="G54" s="34">
        <f>Source!O32+Source!X32+Source!Y32</f>
        <v>1949</v>
      </c>
      <c r="H54" s="32"/>
      <c r="I54" s="32"/>
      <c r="J54" s="32"/>
      <c r="K54" s="32"/>
    </row>
    <row r="56" spans="1:28" ht="15.75">
      <c r="A56" s="38"/>
      <c r="B56" s="38"/>
      <c r="C56" s="8" t="str">
        <f>CONCATENATE("Итого по локальной смете: ",IF(Source!G34&lt;&gt;"Новая локальная смета", Source!G34, ""))</f>
        <v xml:space="preserve">Итого по локальной смете: </v>
      </c>
      <c r="D56" s="8"/>
      <c r="E56" s="8"/>
      <c r="F56" s="8"/>
      <c r="G56" s="39">
        <f>IF(SUM(T16:T55)=0, "-", SUM(T16:T55))</f>
        <v>61296</v>
      </c>
      <c r="H56" s="39">
        <f>IF(SUM(V16:V55)=0, "-", SUM(V16:V55))</f>
        <v>1475</v>
      </c>
      <c r="I56" s="40">
        <f>IF(SUM(W16:W55)=0, "-", SUM(W16:W55))</f>
        <v>1796</v>
      </c>
      <c r="J56" s="39"/>
      <c r="K56" s="41">
        <f>IF(SUM(Y16:Y55)=0, "-", SUM(Y16:Y55))</f>
        <v>134.30680000000001</v>
      </c>
    </row>
    <row r="57" spans="1:28" ht="15.75">
      <c r="A57" s="38"/>
      <c r="B57" s="38"/>
      <c r="C57" s="38"/>
      <c r="D57" s="38"/>
      <c r="E57" s="38"/>
      <c r="F57" s="38"/>
      <c r="G57" s="39"/>
      <c r="H57" s="39"/>
      <c r="I57" s="39">
        <f>IF(SUM(X16:X55)=0, "-", SUM(X16:X55))</f>
        <v>158</v>
      </c>
      <c r="J57" s="39"/>
      <c r="K57" s="42">
        <f>IF(SUM(Z16:Z55)=0, "-", SUM(Z16:Z55))</f>
        <v>12.320399999999999</v>
      </c>
    </row>
    <row r="60" spans="1:28">
      <c r="C60" s="15" t="str">
        <f>Source!H36</f>
        <v>Прямые затраты</v>
      </c>
      <c r="D60" s="15"/>
      <c r="E60" s="15"/>
      <c r="F60" s="15"/>
      <c r="G60" s="15"/>
      <c r="H60" s="43">
        <f>IF(Source!F36=0, "", Source!F36)</f>
        <v>59320</v>
      </c>
      <c r="I60" s="43"/>
    </row>
    <row r="61" spans="1:28">
      <c r="C61" s="15" t="str">
        <f>Source!H37</f>
        <v>Стоимость материальных ресурсов (всего)</v>
      </c>
      <c r="D61" s="15"/>
      <c r="E61" s="15"/>
      <c r="F61" s="15"/>
      <c r="G61" s="15"/>
      <c r="H61" s="43">
        <f>IF(Source!F37=0, "", Source!F37)</f>
        <v>56049</v>
      </c>
      <c r="I61" s="43"/>
    </row>
    <row r="62" spans="1:28">
      <c r="C62" s="15" t="str">
        <f>Source!H40</f>
        <v>Стоимость материалов (всего)</v>
      </c>
      <c r="D62" s="15"/>
      <c r="E62" s="15"/>
      <c r="F62" s="15"/>
      <c r="G62" s="15"/>
      <c r="H62" s="43">
        <f>IF(Source!F40=0, "", Source!F40)</f>
        <v>305</v>
      </c>
      <c r="I62" s="43"/>
    </row>
    <row r="63" spans="1:28">
      <c r="C63" s="15" t="str">
        <f>Source!H43</f>
        <v>Стоимость оборудования (всего)</v>
      </c>
      <c r="D63" s="15"/>
      <c r="E63" s="15"/>
      <c r="F63" s="15"/>
      <c r="G63" s="15"/>
      <c r="H63" s="43">
        <f>IF(Source!F43=0, "", Source!F43)</f>
        <v>55744</v>
      </c>
      <c r="I63" s="43"/>
    </row>
    <row r="64" spans="1:28">
      <c r="C64" s="15" t="str">
        <f>Source!H46</f>
        <v>Эксплуатация машин</v>
      </c>
      <c r="D64" s="15"/>
      <c r="E64" s="15"/>
      <c r="F64" s="15"/>
      <c r="G64" s="15"/>
      <c r="H64" s="43">
        <f>IF(Source!F46=0, "", Source!F46)</f>
        <v>1796</v>
      </c>
      <c r="I64" s="43"/>
    </row>
    <row r="65" spans="3:35">
      <c r="C65" s="15" t="str">
        <f>Source!H48</f>
        <v>ЗП машинистов</v>
      </c>
      <c r="D65" s="15"/>
      <c r="E65" s="15"/>
      <c r="F65" s="15"/>
      <c r="G65" s="15"/>
      <c r="H65" s="43">
        <f>IF(Source!F48=0, "", Source!F48)</f>
        <v>158</v>
      </c>
      <c r="I65" s="43"/>
    </row>
    <row r="66" spans="3:35">
      <c r="C66" s="15" t="str">
        <f>Source!H49</f>
        <v>Основная ЗП рабочих</v>
      </c>
      <c r="D66" s="15"/>
      <c r="E66" s="15"/>
      <c r="F66" s="15"/>
      <c r="G66" s="15"/>
      <c r="H66" s="43">
        <f>IF(Source!F49=0, "", Source!F49)</f>
        <v>1475</v>
      </c>
      <c r="I66" s="43"/>
    </row>
    <row r="67" spans="3:35">
      <c r="C67" s="15" t="str">
        <f>Source!H51</f>
        <v>Строительные работы с НР и СП</v>
      </c>
      <c r="D67" s="15"/>
      <c r="E67" s="15"/>
      <c r="F67" s="15"/>
      <c r="G67" s="15"/>
      <c r="H67" s="43" t="str">
        <f>IF(Source!F51=0, "", Source!F51)</f>
        <v/>
      </c>
      <c r="I67" s="43"/>
    </row>
    <row r="68" spans="3:35">
      <c r="C68" s="15" t="str">
        <f>Source!H52</f>
        <v>Монтажные работы с НР и СП</v>
      </c>
      <c r="D68" s="15"/>
      <c r="E68" s="15"/>
      <c r="F68" s="15"/>
      <c r="G68" s="15"/>
      <c r="H68" s="43">
        <f>IF(Source!F52=0, "", Source!F52)</f>
        <v>3603</v>
      </c>
      <c r="I68" s="43"/>
    </row>
    <row r="69" spans="3:35">
      <c r="C69" s="15" t="str">
        <f>Source!H53</f>
        <v>Прочие работы с НР и СП</v>
      </c>
      <c r="D69" s="15"/>
      <c r="E69" s="15"/>
      <c r="F69" s="15"/>
      <c r="G69" s="15"/>
      <c r="H69" s="43">
        <f>IF(Source!F53=0, "", Source!F53)</f>
        <v>1949</v>
      </c>
      <c r="I69" s="43"/>
    </row>
    <row r="70" spans="3:35">
      <c r="C70" s="15" t="str">
        <f>Source!H56</f>
        <v>Трудозатраты строителей</v>
      </c>
      <c r="D70" s="15"/>
      <c r="E70" s="15"/>
      <c r="F70" s="15"/>
      <c r="G70" s="15"/>
      <c r="H70" s="18">
        <f>IF(Source!F56=0, "", Source!F56)</f>
        <v>134.31</v>
      </c>
      <c r="I70" s="18"/>
    </row>
    <row r="71" spans="3:35">
      <c r="C71" s="15" t="str">
        <f>Source!H57</f>
        <v>Трудозатраты машинистов</v>
      </c>
      <c r="D71" s="15"/>
      <c r="E71" s="15"/>
      <c r="F71" s="15"/>
      <c r="G71" s="15"/>
      <c r="H71" s="18">
        <f>IF(Source!F57=0, "", Source!F57)</f>
        <v>12.32</v>
      </c>
      <c r="I71" s="18"/>
    </row>
    <row r="72" spans="3:35">
      <c r="C72" s="15" t="str">
        <f>Source!H59</f>
        <v>Накладные расходы</v>
      </c>
      <c r="D72" s="15"/>
      <c r="E72" s="15"/>
      <c r="F72" s="15"/>
      <c r="G72" s="15"/>
      <c r="H72" s="43">
        <f>IF(Source!F59=0, "", Source!F59)</f>
        <v>1181</v>
      </c>
      <c r="I72" s="43"/>
    </row>
    <row r="73" spans="3:35">
      <c r="C73" s="15" t="str">
        <f>Source!H60</f>
        <v>Сметная прибыль</v>
      </c>
      <c r="D73" s="15"/>
      <c r="E73" s="15"/>
      <c r="F73" s="15"/>
      <c r="G73" s="15"/>
      <c r="H73" s="43">
        <f>IF(Source!F60=0, "", Source!F60)</f>
        <v>795</v>
      </c>
      <c r="I73" s="43"/>
    </row>
    <row r="74" spans="3:35">
      <c r="C74" s="15" t="str">
        <f>Source!H61</f>
        <v>Всего с НР и СП</v>
      </c>
      <c r="D74" s="15"/>
      <c r="E74" s="15"/>
      <c r="F74" s="15"/>
      <c r="G74" s="15"/>
      <c r="H74" s="43">
        <f>IF(Source!F61=0, "", Source!F61)</f>
        <v>61296</v>
      </c>
      <c r="I74" s="43"/>
    </row>
    <row r="75" spans="3:35">
      <c r="C75" s="15" t="str">
        <f>Source!H62</f>
        <v>Индекс СМР 7,13  (4-ый кв. 2017 г.)</v>
      </c>
      <c r="D75" s="15"/>
      <c r="E75" s="15"/>
      <c r="F75" s="15"/>
      <c r="G75" s="15"/>
      <c r="H75" s="18">
        <f>IF(Source!F62=0, "", Source!F62)</f>
        <v>25689.39</v>
      </c>
      <c r="I75" s="18"/>
    </row>
    <row r="76" spans="3:35" ht="30">
      <c r="C76" s="15" t="str">
        <f>Source!H63</f>
        <v>Индекс оборудование 4,64 (3-ий кв. 2017 г. (Письмо Минстроя России от 05.12.2017 г. №45082-ХМ/09 прил.4)</v>
      </c>
      <c r="D76" s="15"/>
      <c r="E76" s="15"/>
      <c r="F76" s="15"/>
      <c r="G76" s="15"/>
      <c r="H76" s="18">
        <f>IF(Source!F63=0, "", Source!F63)</f>
        <v>258652.16</v>
      </c>
      <c r="I76" s="18"/>
      <c r="AI76" s="44" t="s">
        <v>114</v>
      </c>
    </row>
    <row r="77" spans="3:35">
      <c r="C77" s="15" t="str">
        <f>Source!H64</f>
        <v>Пуско-наладочные работы 2,96 (4-ый кв. 2017 г.)</v>
      </c>
      <c r="D77" s="15"/>
      <c r="E77" s="15"/>
      <c r="F77" s="15"/>
      <c r="G77" s="15"/>
      <c r="H77" s="18">
        <f>IF(Source!F64=0, "", Source!F64)</f>
        <v>5769.04</v>
      </c>
      <c r="I77" s="18"/>
    </row>
    <row r="78" spans="3:35">
      <c r="C78" s="15" t="str">
        <f>Source!H65</f>
        <v>Итого</v>
      </c>
      <c r="D78" s="15"/>
      <c r="E78" s="15"/>
      <c r="F78" s="15"/>
      <c r="G78" s="15"/>
      <c r="H78" s="18">
        <f>IF(Source!F65=0, "", Source!F65)</f>
        <v>290110.59000000003</v>
      </c>
      <c r="I78" s="18"/>
    </row>
    <row r="79" spans="3:35">
      <c r="C79" s="15" t="str">
        <f>Source!H66</f>
        <v>НДС 18%</v>
      </c>
      <c r="D79" s="15"/>
      <c r="E79" s="15"/>
      <c r="F79" s="15"/>
      <c r="G79" s="15"/>
      <c r="H79" s="18">
        <f>IF(Source!F66=0, "", Source!F66)</f>
        <v>52219.91</v>
      </c>
      <c r="I79" s="18"/>
    </row>
    <row r="80" spans="3:35">
      <c r="C80" s="15" t="str">
        <f>Source!H67</f>
        <v>Всего по смете в текущих ценах</v>
      </c>
      <c r="D80" s="15"/>
      <c r="E80" s="15"/>
      <c r="F80" s="15"/>
      <c r="G80" s="15"/>
      <c r="H80" s="18">
        <f>IF(Source!F67=0, "", Source!F67)</f>
        <v>342330.5</v>
      </c>
      <c r="I80" s="18"/>
    </row>
    <row r="83" spans="1:9">
      <c r="A83" s="10" t="s">
        <v>328</v>
      </c>
      <c r="B83" s="10"/>
      <c r="C83" s="45" t="str">
        <f>IF(Source!AC12&lt;&gt;"", Source!AC12," ")</f>
        <v xml:space="preserve"> </v>
      </c>
      <c r="D83" s="46"/>
      <c r="E83" s="46"/>
      <c r="F83" s="46"/>
      <c r="G83" s="46"/>
      <c r="H83" s="46"/>
      <c r="I83" s="19" t="str">
        <f>IF(Source!AB12&lt;&gt;"", Source!AB12," ")</f>
        <v xml:space="preserve"> </v>
      </c>
    </row>
    <row r="84" spans="1:9">
      <c r="C84" s="47" t="s">
        <v>329</v>
      </c>
      <c r="D84" s="47"/>
      <c r="E84" s="47"/>
      <c r="F84" s="47"/>
      <c r="G84" s="47"/>
      <c r="H84" s="47"/>
    </row>
    <row r="86" spans="1:9">
      <c r="A86" s="10" t="s">
        <v>330</v>
      </c>
      <c r="B86" s="10"/>
      <c r="C86" s="45" t="str">
        <f>IF(Source!AE12&lt;&gt;"", Source!AE12," ")</f>
        <v xml:space="preserve"> </v>
      </c>
      <c r="D86" s="46"/>
      <c r="E86" s="46"/>
      <c r="F86" s="46"/>
      <c r="G86" s="46"/>
      <c r="H86" s="46"/>
      <c r="I86" s="19" t="str">
        <f>IF(Source!AD12&lt;&gt;"", Source!AD12," ")</f>
        <v xml:space="preserve"> </v>
      </c>
    </row>
    <row r="87" spans="1:9">
      <c r="C87" s="47" t="s">
        <v>329</v>
      </c>
      <c r="D87" s="47"/>
      <c r="E87" s="47"/>
      <c r="F87" s="47"/>
      <c r="G87" s="47"/>
      <c r="H87" s="47"/>
    </row>
  </sheetData>
  <mergeCells count="69">
    <mergeCell ref="A83:B83"/>
    <mergeCell ref="C84:H84"/>
    <mergeCell ref="A86:B86"/>
    <mergeCell ref="C87:H87"/>
    <mergeCell ref="C78:G78"/>
    <mergeCell ref="H78:I78"/>
    <mergeCell ref="C79:G79"/>
    <mergeCell ref="H79:I79"/>
    <mergeCell ref="C80:G80"/>
    <mergeCell ref="H80:I80"/>
    <mergeCell ref="C75:G75"/>
    <mergeCell ref="H75:I75"/>
    <mergeCell ref="C76:G76"/>
    <mergeCell ref="H76:I76"/>
    <mergeCell ref="C77:G77"/>
    <mergeCell ref="H77:I77"/>
    <mergeCell ref="C72:G72"/>
    <mergeCell ref="H72:I72"/>
    <mergeCell ref="C73:G73"/>
    <mergeCell ref="H73:I73"/>
    <mergeCell ref="C74:G74"/>
    <mergeCell ref="H74:I74"/>
    <mergeCell ref="C69:G69"/>
    <mergeCell ref="H69:I69"/>
    <mergeCell ref="C70:G70"/>
    <mergeCell ref="H70:I70"/>
    <mergeCell ref="C71:G71"/>
    <mergeCell ref="H71:I71"/>
    <mergeCell ref="C66:G66"/>
    <mergeCell ref="H66:I66"/>
    <mergeCell ref="C67:G67"/>
    <mergeCell ref="H67:I67"/>
    <mergeCell ref="C68:G68"/>
    <mergeCell ref="H68:I68"/>
    <mergeCell ref="C63:G63"/>
    <mergeCell ref="H63:I63"/>
    <mergeCell ref="C64:G64"/>
    <mergeCell ref="H64:I64"/>
    <mergeCell ref="C65:G65"/>
    <mergeCell ref="H65:I65"/>
    <mergeCell ref="C56:F56"/>
    <mergeCell ref="C60:G60"/>
    <mergeCell ref="H60:I60"/>
    <mergeCell ref="C61:G61"/>
    <mergeCell ref="H61:I61"/>
    <mergeCell ref="C62:G62"/>
    <mergeCell ref="H62:I62"/>
    <mergeCell ref="J10:K12"/>
    <mergeCell ref="E11:E12"/>
    <mergeCell ref="F11:F12"/>
    <mergeCell ref="G11:G14"/>
    <mergeCell ref="H11:H14"/>
    <mergeCell ref="I11:I12"/>
    <mergeCell ref="E13:E14"/>
    <mergeCell ref="F13:F14"/>
    <mergeCell ref="I13:I14"/>
    <mergeCell ref="J13:K13"/>
    <mergeCell ref="A10:A14"/>
    <mergeCell ref="B10:B14"/>
    <mergeCell ref="C10:C14"/>
    <mergeCell ref="D10:D14"/>
    <mergeCell ref="E10:F10"/>
    <mergeCell ref="G10:I10"/>
    <mergeCell ref="A7:K7"/>
    <mergeCell ref="A9:E9"/>
    <mergeCell ref="F9:H9"/>
    <mergeCell ref="I9:J9"/>
    <mergeCell ref="A4:K4"/>
    <mergeCell ref="A5:K5"/>
  </mergeCells>
  <pageMargins left="0.4" right="0.2" top="0.4" bottom="0.4" header="0.2" footer="0.2"/>
  <pageSetup paperSize="9" scale="60" fitToHeight="0" orientation="portrait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37"/>
  <sheetViews>
    <sheetView workbookViewId="0">
      <selection activeCell="I7" sqref="I7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K1">
        <v>1</v>
      </c>
      <c r="L1">
        <v>37929</v>
      </c>
      <c r="M1">
        <v>10</v>
      </c>
    </row>
    <row r="12" spans="1:133">
      <c r="A12" s="1">
        <v>1</v>
      </c>
      <c r="B12" s="1">
        <v>133</v>
      </c>
      <c r="C12" s="1">
        <v>0</v>
      </c>
      <c r="D12" s="1">
        <f>ROW(A69)</f>
        <v>69</v>
      </c>
      <c r="E12" s="1">
        <v>0</v>
      </c>
      <c r="F12" s="1" t="s">
        <v>3</v>
      </c>
      <c r="G12" s="1" t="s">
        <v>4</v>
      </c>
      <c r="H12" s="1" t="s">
        <v>5</v>
      </c>
      <c r="I12" s="1">
        <v>0</v>
      </c>
      <c r="J12" s="1" t="s">
        <v>6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5</v>
      </c>
      <c r="V12" s="1">
        <v>0</v>
      </c>
      <c r="W12" s="1" t="s">
        <v>5</v>
      </c>
      <c r="X12" s="1" t="s">
        <v>5</v>
      </c>
      <c r="Y12" s="1" t="s">
        <v>5</v>
      </c>
      <c r="Z12" s="1" t="s">
        <v>5</v>
      </c>
      <c r="AA12" s="1" t="s">
        <v>5</v>
      </c>
      <c r="AB12" s="1" t="s">
        <v>5</v>
      </c>
      <c r="AC12" s="1" t="s">
        <v>5</v>
      </c>
      <c r="AD12" s="1" t="s">
        <v>5</v>
      </c>
      <c r="AE12" s="1" t="s">
        <v>5</v>
      </c>
      <c r="AF12" s="1" t="s">
        <v>5</v>
      </c>
      <c r="AG12" s="1" t="s">
        <v>5</v>
      </c>
      <c r="AH12" s="1" t="s">
        <v>5</v>
      </c>
      <c r="AI12" s="1" t="s">
        <v>5</v>
      </c>
      <c r="AJ12" s="1" t="s">
        <v>5</v>
      </c>
      <c r="AK12" s="1"/>
      <c r="AL12" s="1" t="s">
        <v>5</v>
      </c>
      <c r="AM12" s="1" t="s">
        <v>5</v>
      </c>
      <c r="AN12" s="1" t="s">
        <v>5</v>
      </c>
      <c r="AO12" s="1"/>
      <c r="AP12" s="1" t="s">
        <v>5</v>
      </c>
      <c r="AQ12" s="1" t="s">
        <v>5</v>
      </c>
      <c r="AR12" s="1" t="s">
        <v>5</v>
      </c>
      <c r="AS12" s="1"/>
      <c r="AT12" s="1"/>
      <c r="AU12" s="1"/>
      <c r="AV12" s="1"/>
      <c r="AW12" s="1"/>
      <c r="AX12" s="1" t="s">
        <v>5</v>
      </c>
      <c r="AY12" s="1" t="s">
        <v>5</v>
      </c>
      <c r="AZ12" s="1" t="s">
        <v>5</v>
      </c>
      <c r="BA12" s="1"/>
      <c r="BB12" s="1"/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1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9</v>
      </c>
      <c r="BZ12" s="1" t="s">
        <v>10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11</v>
      </c>
      <c r="CF12" s="1">
        <v>0</v>
      </c>
      <c r="CG12" s="1">
        <v>0</v>
      </c>
      <c r="CH12" s="1">
        <v>8</v>
      </c>
      <c r="CI12" s="1" t="s">
        <v>5</v>
      </c>
      <c r="CJ12" s="1" t="s">
        <v>5</v>
      </c>
      <c r="CK12" s="1">
        <v>2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B69</f>
        <v>133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объект_(Копия)</v>
      </c>
      <c r="G18" s="2" t="str">
        <f t="shared" si="0"/>
        <v>Монтаж крана мостового с талью г/п 2 т</v>
      </c>
      <c r="H18" s="2"/>
      <c r="I18" s="2"/>
      <c r="J18" s="2"/>
      <c r="K18" s="2"/>
      <c r="L18" s="2"/>
      <c r="M18" s="2"/>
      <c r="N18" s="2"/>
      <c r="O18" s="2">
        <f t="shared" ref="O18:AT18" si="1">O69</f>
        <v>59320</v>
      </c>
      <c r="P18" s="2">
        <f t="shared" si="1"/>
        <v>56049</v>
      </c>
      <c r="Q18" s="2">
        <f t="shared" si="1"/>
        <v>1796</v>
      </c>
      <c r="R18" s="2">
        <f t="shared" si="1"/>
        <v>158</v>
      </c>
      <c r="S18" s="2">
        <f t="shared" si="1"/>
        <v>1475</v>
      </c>
      <c r="T18" s="2">
        <f t="shared" si="1"/>
        <v>0</v>
      </c>
      <c r="U18" s="2">
        <f t="shared" si="1"/>
        <v>134.30680000000001</v>
      </c>
      <c r="V18" s="2">
        <f t="shared" si="1"/>
        <v>12.320399999999999</v>
      </c>
      <c r="W18" s="2">
        <f t="shared" si="1"/>
        <v>0</v>
      </c>
      <c r="X18" s="2">
        <f t="shared" si="1"/>
        <v>1181</v>
      </c>
      <c r="Y18" s="2">
        <f t="shared" si="1"/>
        <v>795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55744</v>
      </c>
      <c r="AQ18" s="2">
        <f t="shared" si="1"/>
        <v>0</v>
      </c>
      <c r="AR18" s="2">
        <f t="shared" si="1"/>
        <v>61296</v>
      </c>
      <c r="AS18" s="2">
        <f t="shared" si="1"/>
        <v>0</v>
      </c>
      <c r="AT18" s="2">
        <f t="shared" si="1"/>
        <v>3603</v>
      </c>
      <c r="AU18" s="2">
        <f t="shared" ref="AU18:BZ18" si="2">AU69</f>
        <v>1949</v>
      </c>
      <c r="AV18" s="2">
        <f t="shared" si="2"/>
        <v>56049</v>
      </c>
      <c r="AW18" s="2">
        <f t="shared" si="2"/>
        <v>305</v>
      </c>
      <c r="AX18" s="2">
        <f t="shared" si="2"/>
        <v>0</v>
      </c>
      <c r="AY18" s="2">
        <f t="shared" si="2"/>
        <v>305</v>
      </c>
      <c r="AZ18" s="2">
        <f t="shared" si="2"/>
        <v>55744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CA69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DG69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EM69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FS69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ROW(A34)</f>
        <v>34</v>
      </c>
      <c r="E20" s="1"/>
      <c r="F20" s="1" t="s">
        <v>12</v>
      </c>
      <c r="G20" s="1" t="s">
        <v>12</v>
      </c>
      <c r="H20" s="1" t="s">
        <v>5</v>
      </c>
      <c r="I20" s="1">
        <v>0</v>
      </c>
      <c r="J20" s="1" t="s">
        <v>5</v>
      </c>
      <c r="K20" s="1">
        <v>0</v>
      </c>
      <c r="L20" s="1" t="s">
        <v>5</v>
      </c>
      <c r="M20" s="1"/>
      <c r="N20" s="1"/>
      <c r="O20" s="1"/>
      <c r="P20" s="1"/>
      <c r="Q20" s="1"/>
      <c r="R20" s="1"/>
      <c r="S20" s="1"/>
      <c r="T20" s="1"/>
      <c r="U20" s="1" t="s">
        <v>5</v>
      </c>
      <c r="V20" s="1">
        <v>0</v>
      </c>
      <c r="W20" s="1"/>
      <c r="X20" s="1"/>
      <c r="Y20" s="1"/>
      <c r="Z20" s="1"/>
      <c r="AA20" s="1"/>
      <c r="AB20" s="1" t="s">
        <v>5</v>
      </c>
      <c r="AC20" s="1" t="s">
        <v>5</v>
      </c>
      <c r="AD20" s="1" t="s">
        <v>5</v>
      </c>
      <c r="AE20" s="1" t="s">
        <v>5</v>
      </c>
      <c r="AF20" s="1" t="s">
        <v>5</v>
      </c>
      <c r="AG20" s="1" t="s">
        <v>5</v>
      </c>
      <c r="AH20" s="1"/>
      <c r="AI20" s="1"/>
      <c r="AJ20" s="1"/>
      <c r="AK20" s="1"/>
      <c r="AL20" s="1"/>
      <c r="AM20" s="1"/>
      <c r="AN20" s="1"/>
      <c r="AO20" s="1"/>
      <c r="AP20" s="1" t="s">
        <v>5</v>
      </c>
      <c r="AQ20" s="1" t="s">
        <v>5</v>
      </c>
      <c r="AR20" s="1" t="s">
        <v>5</v>
      </c>
      <c r="AS20" s="1"/>
      <c r="AT20" s="1"/>
      <c r="AU20" s="1"/>
      <c r="AV20" s="1"/>
      <c r="AW20" s="1"/>
      <c r="AX20" s="1"/>
      <c r="AY20" s="1"/>
      <c r="AZ20" s="1" t="s">
        <v>5</v>
      </c>
      <c r="BA20" s="1"/>
      <c r="BB20" s="1" t="s">
        <v>5</v>
      </c>
      <c r="BC20" s="1" t="s">
        <v>5</v>
      </c>
      <c r="BD20" s="1" t="s">
        <v>5</v>
      </c>
      <c r="BE20" s="1" t="s">
        <v>5</v>
      </c>
      <c r="BF20" s="1" t="s">
        <v>5</v>
      </c>
      <c r="BG20" s="1" t="s">
        <v>5</v>
      </c>
      <c r="BH20" s="1" t="s">
        <v>5</v>
      </c>
      <c r="BI20" s="1" t="s">
        <v>5</v>
      </c>
      <c r="BJ20" s="1" t="s">
        <v>5</v>
      </c>
      <c r="BK20" s="1" t="s">
        <v>5</v>
      </c>
      <c r="BL20" s="1" t="s">
        <v>5</v>
      </c>
      <c r="BM20" s="1" t="s">
        <v>5</v>
      </c>
      <c r="BN20" s="1" t="s">
        <v>5</v>
      </c>
      <c r="BO20" s="1" t="s">
        <v>5</v>
      </c>
      <c r="BP20" s="1" t="s">
        <v>5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5</v>
      </c>
      <c r="CJ20" s="1" t="s">
        <v>5</v>
      </c>
    </row>
    <row r="22" spans="1:245">
      <c r="A22" s="2">
        <v>52</v>
      </c>
      <c r="B22" s="2">
        <f t="shared" ref="B22:G22" si="7">B34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O34</f>
        <v>59320</v>
      </c>
      <c r="P22" s="2">
        <f t="shared" si="8"/>
        <v>56049</v>
      </c>
      <c r="Q22" s="2">
        <f t="shared" si="8"/>
        <v>1796</v>
      </c>
      <c r="R22" s="2">
        <f t="shared" si="8"/>
        <v>158</v>
      </c>
      <c r="S22" s="2">
        <f t="shared" si="8"/>
        <v>1475</v>
      </c>
      <c r="T22" s="2">
        <f t="shared" si="8"/>
        <v>0</v>
      </c>
      <c r="U22" s="2">
        <f t="shared" si="8"/>
        <v>134.30680000000001</v>
      </c>
      <c r="V22" s="2">
        <f t="shared" si="8"/>
        <v>12.320399999999999</v>
      </c>
      <c r="W22" s="2">
        <f t="shared" si="8"/>
        <v>0</v>
      </c>
      <c r="X22" s="2">
        <f t="shared" si="8"/>
        <v>1181</v>
      </c>
      <c r="Y22" s="2">
        <f t="shared" si="8"/>
        <v>795</v>
      </c>
      <c r="Z22" s="2">
        <f t="shared" si="8"/>
        <v>0</v>
      </c>
      <c r="AA22" s="2">
        <f t="shared" si="8"/>
        <v>0</v>
      </c>
      <c r="AB22" s="2">
        <f t="shared" si="8"/>
        <v>59320</v>
      </c>
      <c r="AC22" s="2">
        <f t="shared" si="8"/>
        <v>56049</v>
      </c>
      <c r="AD22" s="2">
        <f t="shared" si="8"/>
        <v>1796</v>
      </c>
      <c r="AE22" s="2">
        <f t="shared" si="8"/>
        <v>158</v>
      </c>
      <c r="AF22" s="2">
        <f t="shared" si="8"/>
        <v>1475</v>
      </c>
      <c r="AG22" s="2">
        <f t="shared" si="8"/>
        <v>0</v>
      </c>
      <c r="AH22" s="2">
        <f t="shared" si="8"/>
        <v>134.30680000000001</v>
      </c>
      <c r="AI22" s="2">
        <f t="shared" si="8"/>
        <v>12.320399999999999</v>
      </c>
      <c r="AJ22" s="2">
        <f t="shared" si="8"/>
        <v>0</v>
      </c>
      <c r="AK22" s="2">
        <f t="shared" si="8"/>
        <v>1181</v>
      </c>
      <c r="AL22" s="2">
        <f t="shared" si="8"/>
        <v>795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55744</v>
      </c>
      <c r="AQ22" s="2">
        <f t="shared" si="8"/>
        <v>0</v>
      </c>
      <c r="AR22" s="2">
        <f t="shared" si="8"/>
        <v>61296</v>
      </c>
      <c r="AS22" s="2">
        <f t="shared" si="8"/>
        <v>0</v>
      </c>
      <c r="AT22" s="2">
        <f t="shared" si="8"/>
        <v>3603</v>
      </c>
      <c r="AU22" s="2">
        <f t="shared" ref="AU22:BZ22" si="9">AU34</f>
        <v>1949</v>
      </c>
      <c r="AV22" s="2">
        <f t="shared" si="9"/>
        <v>56049</v>
      </c>
      <c r="AW22" s="2">
        <f t="shared" si="9"/>
        <v>305</v>
      </c>
      <c r="AX22" s="2">
        <f t="shared" si="9"/>
        <v>0</v>
      </c>
      <c r="AY22" s="2">
        <f t="shared" si="9"/>
        <v>305</v>
      </c>
      <c r="AZ22" s="2">
        <f t="shared" si="9"/>
        <v>55744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55744</v>
      </c>
      <c r="BZ22" s="2">
        <f t="shared" si="9"/>
        <v>0</v>
      </c>
      <c r="CA22" s="2">
        <f t="shared" ref="CA22:DF22" si="10">CA34</f>
        <v>61296</v>
      </c>
      <c r="CB22" s="2">
        <f t="shared" si="10"/>
        <v>0</v>
      </c>
      <c r="CC22" s="2">
        <f t="shared" si="10"/>
        <v>3603</v>
      </c>
      <c r="CD22" s="2">
        <f t="shared" si="10"/>
        <v>1949</v>
      </c>
      <c r="CE22" s="2">
        <f t="shared" si="10"/>
        <v>56049</v>
      </c>
      <c r="CF22" s="2">
        <f t="shared" si="10"/>
        <v>305</v>
      </c>
      <c r="CG22" s="2">
        <f t="shared" si="10"/>
        <v>0</v>
      </c>
      <c r="CH22" s="2">
        <f t="shared" si="10"/>
        <v>305</v>
      </c>
      <c r="CI22" s="2">
        <f t="shared" si="10"/>
        <v>55744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DG34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EM34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FS34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ROW(SmtRes!A14)</f>
        <v>14</v>
      </c>
      <c r="D24">
        <f>ROW(EtalonRes!A15)</f>
        <v>15</v>
      </c>
      <c r="E24" t="s">
        <v>13</v>
      </c>
      <c r="F24" t="s">
        <v>14</v>
      </c>
      <c r="G24" t="s">
        <v>15</v>
      </c>
      <c r="H24" t="s">
        <v>16</v>
      </c>
      <c r="I24">
        <v>0.92</v>
      </c>
      <c r="J24">
        <v>0</v>
      </c>
      <c r="O24">
        <f t="shared" ref="O24:O32" si="14">ROUND(CP24,0)</f>
        <v>2145</v>
      </c>
      <c r="P24">
        <f t="shared" ref="P24:P32" si="15">ROUND(CQ24*I24,0)</f>
        <v>174</v>
      </c>
      <c r="Q24">
        <f t="shared" ref="Q24:Q32" si="16">ROUND(CR24*I24,0)</f>
        <v>1542</v>
      </c>
      <c r="R24">
        <f t="shared" ref="R24:R32" si="17">ROUND(CS24*I24,0)</f>
        <v>134</v>
      </c>
      <c r="S24">
        <f t="shared" ref="S24:S32" si="18">ROUND(CT24*I24,0)</f>
        <v>429</v>
      </c>
      <c r="T24">
        <f t="shared" ref="T24:T32" si="19">ROUND(CU24*I24,0)</f>
        <v>0</v>
      </c>
      <c r="U24">
        <f t="shared" ref="U24:U32" si="20">CV24*I24</f>
        <v>44.620000000000005</v>
      </c>
      <c r="V24">
        <f t="shared" ref="V24:V32" si="21">CW24*I24</f>
        <v>10.533999999999999</v>
      </c>
      <c r="W24">
        <f t="shared" ref="W24:W32" si="22">ROUND(CX24*I24,0)</f>
        <v>0</v>
      </c>
      <c r="X24">
        <f t="shared" ref="X24:X32" si="23">ROUND(CY24,0)</f>
        <v>450</v>
      </c>
      <c r="Y24">
        <f t="shared" ref="Y24:Y32" si="24">ROUND(CZ24,0)</f>
        <v>338</v>
      </c>
      <c r="AA24">
        <v>31859403</v>
      </c>
      <c r="AB24">
        <f t="shared" ref="AB24:AB32" si="25">ROUND((AC24+AD24+AF24),1)</f>
        <v>2332.3000000000002</v>
      </c>
      <c r="AC24">
        <f t="shared" ref="AC24:AC32" si="26">ROUND((ES24),1)</f>
        <v>189.6</v>
      </c>
      <c r="AD24">
        <f t="shared" ref="AD24:AD32" si="27">ROUND((((ET24)-(EU24))+AE24),1)</f>
        <v>1676.1</v>
      </c>
      <c r="AE24">
        <f t="shared" ref="AE24:AE32" si="28">ROUND((EU24),1)</f>
        <v>145.30000000000001</v>
      </c>
      <c r="AF24">
        <f t="shared" ref="AF24:AF32" si="29">ROUND((EV24),1)</f>
        <v>466.6</v>
      </c>
      <c r="AG24">
        <f t="shared" ref="AG24:AG32" si="30">ROUND((AP24),1)</f>
        <v>0</v>
      </c>
      <c r="AH24">
        <f t="shared" ref="AH24:AH32" si="31">(EW24)</f>
        <v>48.5</v>
      </c>
      <c r="AI24">
        <f t="shared" ref="AI24:AI32" si="32">(EX24)</f>
        <v>11.45</v>
      </c>
      <c r="AJ24">
        <f t="shared" ref="AJ24:AJ32" si="33">ROUND((AS24),1)</f>
        <v>0</v>
      </c>
      <c r="AK24">
        <v>2332.2600000000002</v>
      </c>
      <c r="AL24">
        <v>189.58</v>
      </c>
      <c r="AM24">
        <v>1676.11</v>
      </c>
      <c r="AN24">
        <v>145.33000000000001</v>
      </c>
      <c r="AO24">
        <v>466.57</v>
      </c>
      <c r="AP24">
        <v>0</v>
      </c>
      <c r="AQ24">
        <v>48.5</v>
      </c>
      <c r="AR24">
        <v>11.45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1</v>
      </c>
      <c r="BB24">
        <v>1</v>
      </c>
      <c r="BC24">
        <v>1</v>
      </c>
      <c r="BD24" t="s">
        <v>5</v>
      </c>
      <c r="BE24" t="s">
        <v>5</v>
      </c>
      <c r="BF24" t="s">
        <v>5</v>
      </c>
      <c r="BG24" t="s">
        <v>5</v>
      </c>
      <c r="BH24">
        <v>0</v>
      </c>
      <c r="BI24">
        <v>2</v>
      </c>
      <c r="BJ24" t="s">
        <v>17</v>
      </c>
      <c r="BM24">
        <v>103001</v>
      </c>
      <c r="BN24">
        <v>0</v>
      </c>
      <c r="BO24" t="s">
        <v>5</v>
      </c>
      <c r="BP24">
        <v>0</v>
      </c>
      <c r="BQ24">
        <v>3</v>
      </c>
      <c r="BR24">
        <v>0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5</v>
      </c>
      <c r="BZ24">
        <v>80</v>
      </c>
      <c r="CA24">
        <v>60</v>
      </c>
      <c r="CF24">
        <v>0</v>
      </c>
      <c r="CG24">
        <v>0</v>
      </c>
      <c r="CM24">
        <v>0</v>
      </c>
      <c r="CN24" t="s">
        <v>5</v>
      </c>
      <c r="CO24">
        <v>0</v>
      </c>
      <c r="CP24">
        <f t="shared" ref="CP24:CP32" si="34">(P24+Q24+S24)</f>
        <v>2145</v>
      </c>
      <c r="CQ24">
        <f t="shared" ref="CQ24:CQ32" si="35">AC24*BC24</f>
        <v>189.6</v>
      </c>
      <c r="CR24">
        <f t="shared" ref="CR24:CR32" si="36">AD24*BB24</f>
        <v>1676.1</v>
      </c>
      <c r="CS24">
        <f t="shared" ref="CS24:CS32" si="37">AE24*BS24</f>
        <v>145.30000000000001</v>
      </c>
      <c r="CT24">
        <f t="shared" ref="CT24:CT32" si="38">AF24*BA24</f>
        <v>466.6</v>
      </c>
      <c r="CU24">
        <f t="shared" ref="CU24:CU32" si="39">AG24</f>
        <v>0</v>
      </c>
      <c r="CV24">
        <f t="shared" ref="CV24:CV32" si="40">AH24</f>
        <v>48.5</v>
      </c>
      <c r="CW24">
        <f t="shared" ref="CW24:CW32" si="41">AI24</f>
        <v>11.45</v>
      </c>
      <c r="CX24">
        <f t="shared" ref="CX24:CX32" si="42">AJ24</f>
        <v>0</v>
      </c>
      <c r="CY24">
        <f>(((S24+R24)*AT24)/100)</f>
        <v>450.4</v>
      </c>
      <c r="CZ24">
        <f>(((S24+R24)*AU24)/100)</f>
        <v>337.8</v>
      </c>
      <c r="DC24" t="s">
        <v>5</v>
      </c>
      <c r="DD24" t="s">
        <v>5</v>
      </c>
      <c r="DE24" t="s">
        <v>5</v>
      </c>
      <c r="DF24" t="s">
        <v>5</v>
      </c>
      <c r="DG24" t="s">
        <v>5</v>
      </c>
      <c r="DH24" t="s">
        <v>5</v>
      </c>
      <c r="DI24" t="s">
        <v>5</v>
      </c>
      <c r="DJ24" t="s">
        <v>5</v>
      </c>
      <c r="DK24" t="s">
        <v>5</v>
      </c>
      <c r="DL24" t="s">
        <v>5</v>
      </c>
      <c r="DM24" t="s">
        <v>5</v>
      </c>
      <c r="DN24">
        <v>0</v>
      </c>
      <c r="DO24">
        <v>0</v>
      </c>
      <c r="DP24">
        <v>1</v>
      </c>
      <c r="DQ24">
        <v>1</v>
      </c>
      <c r="DU24">
        <v>1009</v>
      </c>
      <c r="DV24" t="s">
        <v>16</v>
      </c>
      <c r="DW24" t="s">
        <v>16</v>
      </c>
      <c r="DX24">
        <v>1000</v>
      </c>
      <c r="EE24">
        <v>30368037</v>
      </c>
      <c r="EF24">
        <v>3</v>
      </c>
      <c r="EG24" t="s">
        <v>18</v>
      </c>
      <c r="EH24">
        <v>0</v>
      </c>
      <c r="EI24" t="s">
        <v>5</v>
      </c>
      <c r="EJ24">
        <v>2</v>
      </c>
      <c r="EK24">
        <v>103001</v>
      </c>
      <c r="EL24" t="s">
        <v>19</v>
      </c>
      <c r="EM24" t="s">
        <v>20</v>
      </c>
      <c r="EO24" t="s">
        <v>5</v>
      </c>
      <c r="EQ24">
        <v>0</v>
      </c>
      <c r="ER24">
        <v>2332.2600000000002</v>
      </c>
      <c r="ES24">
        <v>189.58</v>
      </c>
      <c r="ET24">
        <v>1676.11</v>
      </c>
      <c r="EU24">
        <v>145.33000000000001</v>
      </c>
      <c r="EV24">
        <v>466.57</v>
      </c>
      <c r="EW24">
        <v>48.5</v>
      </c>
      <c r="EX24">
        <v>11.45</v>
      </c>
      <c r="EY24">
        <v>0</v>
      </c>
      <c r="FQ24">
        <v>0</v>
      </c>
      <c r="FR24">
        <f t="shared" ref="FR24:FR32" si="43">ROUND(IF(AND(BH24=3,BI24=3),P24,0),0)</f>
        <v>0</v>
      </c>
      <c r="FS24">
        <v>0</v>
      </c>
      <c r="FX24">
        <v>80</v>
      </c>
      <c r="FY24">
        <v>60</v>
      </c>
      <c r="GA24" t="s">
        <v>5</v>
      </c>
      <c r="GD24">
        <v>0</v>
      </c>
      <c r="GF24">
        <v>-1045112366</v>
      </c>
      <c r="GG24">
        <v>2</v>
      </c>
      <c r="GH24">
        <v>1</v>
      </c>
      <c r="GI24">
        <v>-2</v>
      </c>
      <c r="GJ24">
        <v>0</v>
      </c>
      <c r="GK24">
        <f>ROUND(R24*(R12)/100,0)</f>
        <v>0</v>
      </c>
      <c r="GL24">
        <f t="shared" ref="GL24:GL32" si="44">ROUND(IF(AND(BH24=3,BI24=3,FS24&lt;&gt;0),P24,0),0)</f>
        <v>0</v>
      </c>
      <c r="GM24">
        <f t="shared" ref="GM24:GM32" si="45">ROUND(O24+X24+Y24+GK24,0)+GX24</f>
        <v>2933</v>
      </c>
      <c r="GN24">
        <f t="shared" ref="GN24:GN32" si="46">IF(OR(BI24=0,BI24=1),ROUND(O24+X24+Y24+GK24,0),0)</f>
        <v>0</v>
      </c>
      <c r="GO24">
        <f t="shared" ref="GO24:GO32" si="47">IF(BI24=2,ROUND(O24+X24+Y24+GK24,0),0)</f>
        <v>2933</v>
      </c>
      <c r="GP24">
        <f t="shared" ref="GP24:GP32" si="48">IF(BI24=4,ROUND(O24+X24+Y24+GK24,0)+GX24,0)</f>
        <v>0</v>
      </c>
      <c r="GR24">
        <v>0</v>
      </c>
      <c r="GS24">
        <v>3</v>
      </c>
      <c r="GT24">
        <v>0</v>
      </c>
      <c r="GU24" t="s">
        <v>5</v>
      </c>
      <c r="GV24">
        <f t="shared" ref="GV24:GV32" si="49">ROUND(GT24,1)</f>
        <v>0</v>
      </c>
      <c r="GW24">
        <v>1</v>
      </c>
      <c r="GX24">
        <f t="shared" ref="GX24:GX32" si="50">ROUND(GV24*GW24*I24,0)</f>
        <v>0</v>
      </c>
      <c r="HA24">
        <v>0</v>
      </c>
      <c r="HB24">
        <v>0</v>
      </c>
      <c r="IK24">
        <v>0</v>
      </c>
    </row>
    <row r="25" spans="1:245">
      <c r="A25">
        <v>17</v>
      </c>
      <c r="B25">
        <v>1</v>
      </c>
      <c r="E25" t="s">
        <v>21</v>
      </c>
      <c r="F25" t="s">
        <v>22</v>
      </c>
      <c r="G25" t="s">
        <v>307</v>
      </c>
      <c r="H25" t="s">
        <v>23</v>
      </c>
      <c r="I25">
        <v>1</v>
      </c>
      <c r="J25">
        <v>0</v>
      </c>
      <c r="O25">
        <f t="shared" si="14"/>
        <v>27532</v>
      </c>
      <c r="P25">
        <f t="shared" si="15"/>
        <v>27532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31859403</v>
      </c>
      <c r="AB25">
        <f t="shared" si="25"/>
        <v>27531.599999999999</v>
      </c>
      <c r="AC25">
        <f t="shared" si="26"/>
        <v>27531.599999999999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27531.64</v>
      </c>
      <c r="AL25">
        <v>27531.64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5</v>
      </c>
      <c r="BE25" t="s">
        <v>5</v>
      </c>
      <c r="BF25" t="s">
        <v>5</v>
      </c>
      <c r="BG25" t="s">
        <v>5</v>
      </c>
      <c r="BH25">
        <v>3</v>
      </c>
      <c r="BI25">
        <v>3</v>
      </c>
      <c r="BJ25" t="s">
        <v>5</v>
      </c>
      <c r="BM25">
        <v>100</v>
      </c>
      <c r="BN25">
        <v>0</v>
      </c>
      <c r="BO25" t="s">
        <v>5</v>
      </c>
      <c r="BP25">
        <v>0</v>
      </c>
      <c r="BQ25">
        <v>5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5</v>
      </c>
      <c r="BZ25">
        <v>0</v>
      </c>
      <c r="CA25">
        <v>0</v>
      </c>
      <c r="CF25">
        <v>0</v>
      </c>
      <c r="CG25">
        <v>0</v>
      </c>
      <c r="CM25">
        <v>0</v>
      </c>
      <c r="CN25" t="s">
        <v>5</v>
      </c>
      <c r="CO25">
        <v>0</v>
      </c>
      <c r="CP25">
        <f t="shared" si="34"/>
        <v>27532</v>
      </c>
      <c r="CQ25">
        <f t="shared" si="35"/>
        <v>27531.599999999999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>0</f>
        <v>0</v>
      </c>
      <c r="CZ25">
        <f>0</f>
        <v>0</v>
      </c>
      <c r="DC25" t="s">
        <v>5</v>
      </c>
      <c r="DD25" t="s">
        <v>5</v>
      </c>
      <c r="DE25" t="s">
        <v>5</v>
      </c>
      <c r="DF25" t="s">
        <v>5</v>
      </c>
      <c r="DG25" t="s">
        <v>5</v>
      </c>
      <c r="DH25" t="s">
        <v>5</v>
      </c>
      <c r="DI25" t="s">
        <v>5</v>
      </c>
      <c r="DJ25" t="s">
        <v>5</v>
      </c>
      <c r="DK25" t="s">
        <v>5</v>
      </c>
      <c r="DL25" t="s">
        <v>5</v>
      </c>
      <c r="DM25" t="s">
        <v>5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23</v>
      </c>
      <c r="DW25" t="s">
        <v>23</v>
      </c>
      <c r="DX25">
        <v>1</v>
      </c>
      <c r="EE25">
        <v>30368327</v>
      </c>
      <c r="EF25">
        <v>5</v>
      </c>
      <c r="EG25" t="s">
        <v>24</v>
      </c>
      <c r="EH25">
        <v>0</v>
      </c>
      <c r="EI25" t="s">
        <v>5</v>
      </c>
      <c r="EJ25">
        <v>3</v>
      </c>
      <c r="EK25">
        <v>100</v>
      </c>
      <c r="EL25" t="s">
        <v>25</v>
      </c>
      <c r="EM25" t="s">
        <v>26</v>
      </c>
      <c r="EO25" t="s">
        <v>5</v>
      </c>
      <c r="EQ25">
        <v>0</v>
      </c>
      <c r="ER25">
        <v>27531.64</v>
      </c>
      <c r="ES25">
        <v>27531.64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5</v>
      </c>
      <c r="FC25">
        <v>1</v>
      </c>
      <c r="FD25">
        <v>18</v>
      </c>
      <c r="FF25">
        <v>150741.25</v>
      </c>
      <c r="FQ25">
        <v>0</v>
      </c>
      <c r="FR25">
        <f t="shared" si="43"/>
        <v>27532</v>
      </c>
      <c r="FS25">
        <v>0</v>
      </c>
      <c r="FX25">
        <v>0</v>
      </c>
      <c r="FY25">
        <v>0</v>
      </c>
      <c r="GA25" t="s">
        <v>27</v>
      </c>
      <c r="GD25">
        <v>0</v>
      </c>
      <c r="GF25">
        <v>1259020102</v>
      </c>
      <c r="GG25">
        <v>2</v>
      </c>
      <c r="GH25">
        <v>3</v>
      </c>
      <c r="GI25">
        <v>3</v>
      </c>
      <c r="GJ25">
        <v>0</v>
      </c>
      <c r="GK25">
        <f>ROUND(R25*(R12)/100,0)</f>
        <v>0</v>
      </c>
      <c r="GL25">
        <f t="shared" si="44"/>
        <v>0</v>
      </c>
      <c r="GM25">
        <f t="shared" si="45"/>
        <v>27532</v>
      </c>
      <c r="GN25">
        <f t="shared" si="46"/>
        <v>0</v>
      </c>
      <c r="GO25">
        <f t="shared" si="47"/>
        <v>0</v>
      </c>
      <c r="GP25">
        <f t="shared" si="48"/>
        <v>0</v>
      </c>
      <c r="GR25">
        <v>1</v>
      </c>
      <c r="GS25">
        <v>1</v>
      </c>
      <c r="GT25">
        <v>0</v>
      </c>
      <c r="GU25" t="s">
        <v>5</v>
      </c>
      <c r="GV25">
        <f t="shared" si="49"/>
        <v>0</v>
      </c>
      <c r="GW25">
        <v>1</v>
      </c>
      <c r="GX25">
        <f t="shared" si="50"/>
        <v>0</v>
      </c>
      <c r="HA25">
        <v>0</v>
      </c>
      <c r="HB25">
        <v>0</v>
      </c>
      <c r="IK25">
        <v>0</v>
      </c>
    </row>
    <row r="26" spans="1:245">
      <c r="A26">
        <v>17</v>
      </c>
      <c r="B26">
        <v>1</v>
      </c>
      <c r="E26" t="s">
        <v>28</v>
      </c>
      <c r="F26" t="s">
        <v>22</v>
      </c>
      <c r="G26" t="s">
        <v>29</v>
      </c>
      <c r="H26" t="s">
        <v>23</v>
      </c>
      <c r="I26">
        <v>1</v>
      </c>
      <c r="J26">
        <v>0</v>
      </c>
      <c r="O26">
        <f t="shared" si="14"/>
        <v>28212</v>
      </c>
      <c r="P26">
        <f t="shared" si="15"/>
        <v>28212</v>
      </c>
      <c r="Q26">
        <f t="shared" si="16"/>
        <v>0</v>
      </c>
      <c r="R26">
        <f t="shared" si="17"/>
        <v>0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0</v>
      </c>
      <c r="W26">
        <f t="shared" si="22"/>
        <v>0</v>
      </c>
      <c r="X26">
        <f t="shared" si="23"/>
        <v>0</v>
      </c>
      <c r="Y26">
        <f t="shared" si="24"/>
        <v>0</v>
      </c>
      <c r="AA26">
        <v>31859403</v>
      </c>
      <c r="AB26">
        <f t="shared" si="25"/>
        <v>28211.7</v>
      </c>
      <c r="AC26">
        <f t="shared" si="26"/>
        <v>28211.7</v>
      </c>
      <c r="AD26">
        <f t="shared" si="27"/>
        <v>0</v>
      </c>
      <c r="AE26">
        <f t="shared" si="28"/>
        <v>0</v>
      </c>
      <c r="AF26">
        <f t="shared" si="29"/>
        <v>0</v>
      </c>
      <c r="AG26">
        <f t="shared" si="30"/>
        <v>0</v>
      </c>
      <c r="AH26">
        <f t="shared" si="31"/>
        <v>0</v>
      </c>
      <c r="AI26">
        <f t="shared" si="32"/>
        <v>0</v>
      </c>
      <c r="AJ26">
        <f t="shared" si="33"/>
        <v>0</v>
      </c>
      <c r="AK26">
        <v>28211.739999999998</v>
      </c>
      <c r="AL26">
        <v>28211.739999999998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1</v>
      </c>
      <c r="AW26">
        <v>1</v>
      </c>
      <c r="AZ26">
        <v>1</v>
      </c>
      <c r="BA26">
        <v>1</v>
      </c>
      <c r="BB26">
        <v>1</v>
      </c>
      <c r="BC26">
        <v>1</v>
      </c>
      <c r="BD26" t="s">
        <v>5</v>
      </c>
      <c r="BE26" t="s">
        <v>5</v>
      </c>
      <c r="BF26" t="s">
        <v>5</v>
      </c>
      <c r="BG26" t="s">
        <v>5</v>
      </c>
      <c r="BH26">
        <v>3</v>
      </c>
      <c r="BI26">
        <v>3</v>
      </c>
      <c r="BJ26" t="s">
        <v>5</v>
      </c>
      <c r="BM26">
        <v>100</v>
      </c>
      <c r="BN26">
        <v>0</v>
      </c>
      <c r="BO26" t="s">
        <v>5</v>
      </c>
      <c r="BP26">
        <v>0</v>
      </c>
      <c r="BQ26">
        <v>5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5</v>
      </c>
      <c r="BZ26">
        <v>0</v>
      </c>
      <c r="CA26">
        <v>0</v>
      </c>
      <c r="CF26">
        <v>0</v>
      </c>
      <c r="CG26">
        <v>0</v>
      </c>
      <c r="CM26">
        <v>0</v>
      </c>
      <c r="CN26" t="s">
        <v>5</v>
      </c>
      <c r="CO26">
        <v>0</v>
      </c>
      <c r="CP26">
        <f t="shared" si="34"/>
        <v>28212</v>
      </c>
      <c r="CQ26">
        <f t="shared" si="35"/>
        <v>28211.7</v>
      </c>
      <c r="CR26">
        <f t="shared" si="36"/>
        <v>0</v>
      </c>
      <c r="CS26">
        <f t="shared" si="37"/>
        <v>0</v>
      </c>
      <c r="CT26">
        <f t="shared" si="38"/>
        <v>0</v>
      </c>
      <c r="CU26">
        <f t="shared" si="39"/>
        <v>0</v>
      </c>
      <c r="CV26">
        <f t="shared" si="40"/>
        <v>0</v>
      </c>
      <c r="CW26">
        <f t="shared" si="41"/>
        <v>0</v>
      </c>
      <c r="CX26">
        <f t="shared" si="42"/>
        <v>0</v>
      </c>
      <c r="CY26">
        <f>0</f>
        <v>0</v>
      </c>
      <c r="CZ26">
        <f>0</f>
        <v>0</v>
      </c>
      <c r="DC26" t="s">
        <v>5</v>
      </c>
      <c r="DD26" t="s">
        <v>5</v>
      </c>
      <c r="DE26" t="s">
        <v>5</v>
      </c>
      <c r="DF26" t="s">
        <v>5</v>
      </c>
      <c r="DG26" t="s">
        <v>5</v>
      </c>
      <c r="DH26" t="s">
        <v>5</v>
      </c>
      <c r="DI26" t="s">
        <v>5</v>
      </c>
      <c r="DJ26" t="s">
        <v>5</v>
      </c>
      <c r="DK26" t="s">
        <v>5</v>
      </c>
      <c r="DL26" t="s">
        <v>5</v>
      </c>
      <c r="DM26" t="s">
        <v>5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23</v>
      </c>
      <c r="DW26" t="s">
        <v>23</v>
      </c>
      <c r="DX26">
        <v>1</v>
      </c>
      <c r="EE26">
        <v>30368327</v>
      </c>
      <c r="EF26">
        <v>5</v>
      </c>
      <c r="EG26" t="s">
        <v>24</v>
      </c>
      <c r="EH26">
        <v>0</v>
      </c>
      <c r="EI26" t="s">
        <v>5</v>
      </c>
      <c r="EJ26">
        <v>3</v>
      </c>
      <c r="EK26">
        <v>100</v>
      </c>
      <c r="EL26" t="s">
        <v>25</v>
      </c>
      <c r="EM26" t="s">
        <v>26</v>
      </c>
      <c r="EO26" t="s">
        <v>5</v>
      </c>
      <c r="EQ26">
        <v>0</v>
      </c>
      <c r="ER26">
        <v>28211.739999999998</v>
      </c>
      <c r="ES26">
        <v>28211.739999999998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5</v>
      </c>
      <c r="FC26">
        <v>1</v>
      </c>
      <c r="FD26">
        <v>18</v>
      </c>
      <c r="FF26">
        <v>148523.95000000001</v>
      </c>
      <c r="FQ26">
        <v>0</v>
      </c>
      <c r="FR26">
        <f t="shared" si="43"/>
        <v>28212</v>
      </c>
      <c r="FS26">
        <v>0</v>
      </c>
      <c r="FX26">
        <v>0</v>
      </c>
      <c r="FY26">
        <v>0</v>
      </c>
      <c r="GA26" t="s">
        <v>30</v>
      </c>
      <c r="GD26">
        <v>0</v>
      </c>
      <c r="GF26">
        <v>627045530</v>
      </c>
      <c r="GG26">
        <v>2</v>
      </c>
      <c r="GH26">
        <v>3</v>
      </c>
      <c r="GI26">
        <v>3</v>
      </c>
      <c r="GJ26">
        <v>0</v>
      </c>
      <c r="GK26">
        <f>ROUND(R26*(R12)/100,0)</f>
        <v>0</v>
      </c>
      <c r="GL26">
        <f t="shared" si="44"/>
        <v>0</v>
      </c>
      <c r="GM26">
        <f t="shared" si="45"/>
        <v>28212</v>
      </c>
      <c r="GN26">
        <f t="shared" si="46"/>
        <v>0</v>
      </c>
      <c r="GO26">
        <f t="shared" si="47"/>
        <v>0</v>
      </c>
      <c r="GP26">
        <f t="shared" si="48"/>
        <v>0</v>
      </c>
      <c r="GR26">
        <v>1</v>
      </c>
      <c r="GS26">
        <v>1</v>
      </c>
      <c r="GT26">
        <v>0</v>
      </c>
      <c r="GU26" t="s">
        <v>5</v>
      </c>
      <c r="GV26">
        <f t="shared" si="49"/>
        <v>0</v>
      </c>
      <c r="GW26">
        <v>1</v>
      </c>
      <c r="GX26">
        <f t="shared" si="50"/>
        <v>0</v>
      </c>
      <c r="HA26">
        <v>0</v>
      </c>
      <c r="HB26">
        <v>0</v>
      </c>
      <c r="IK26">
        <v>0</v>
      </c>
    </row>
    <row r="27" spans="1:245">
      <c r="A27">
        <v>17</v>
      </c>
      <c r="B27">
        <v>1</v>
      </c>
      <c r="C27">
        <f>ROW(SmtRes!A24)</f>
        <v>24</v>
      </c>
      <c r="D27">
        <f>ROW(EtalonRes!A25)</f>
        <v>25</v>
      </c>
      <c r="E27" t="s">
        <v>31</v>
      </c>
      <c r="F27" t="s">
        <v>32</v>
      </c>
      <c r="G27" t="s">
        <v>33</v>
      </c>
      <c r="H27" t="s">
        <v>23</v>
      </c>
      <c r="I27">
        <v>2</v>
      </c>
      <c r="J27">
        <v>0</v>
      </c>
      <c r="O27">
        <f t="shared" si="14"/>
        <v>66</v>
      </c>
      <c r="P27">
        <f t="shared" si="15"/>
        <v>40</v>
      </c>
      <c r="Q27">
        <f t="shared" si="16"/>
        <v>2</v>
      </c>
      <c r="R27">
        <f t="shared" si="17"/>
        <v>0</v>
      </c>
      <c r="S27">
        <f t="shared" si="18"/>
        <v>24</v>
      </c>
      <c r="T27">
        <f t="shared" si="19"/>
        <v>0</v>
      </c>
      <c r="U27">
        <f t="shared" si="20"/>
        <v>2.42</v>
      </c>
      <c r="V27">
        <f t="shared" si="21"/>
        <v>0</v>
      </c>
      <c r="W27">
        <f t="shared" si="22"/>
        <v>0</v>
      </c>
      <c r="X27">
        <f t="shared" si="23"/>
        <v>23</v>
      </c>
      <c r="Y27">
        <f t="shared" si="24"/>
        <v>16</v>
      </c>
      <c r="AA27">
        <v>31859403</v>
      </c>
      <c r="AB27">
        <f t="shared" si="25"/>
        <v>32.9</v>
      </c>
      <c r="AC27">
        <f t="shared" si="26"/>
        <v>20</v>
      </c>
      <c r="AD27">
        <f t="shared" si="27"/>
        <v>0.9</v>
      </c>
      <c r="AE27">
        <f t="shared" si="28"/>
        <v>0</v>
      </c>
      <c r="AF27">
        <f t="shared" si="29"/>
        <v>12</v>
      </c>
      <c r="AG27">
        <f t="shared" si="30"/>
        <v>0</v>
      </c>
      <c r="AH27">
        <f t="shared" si="31"/>
        <v>1.21</v>
      </c>
      <c r="AI27">
        <f t="shared" si="32"/>
        <v>0</v>
      </c>
      <c r="AJ27">
        <f t="shared" si="33"/>
        <v>0</v>
      </c>
      <c r="AK27">
        <v>32.880000000000003</v>
      </c>
      <c r="AL27">
        <v>20.03</v>
      </c>
      <c r="AM27">
        <v>0.85</v>
      </c>
      <c r="AN27">
        <v>0</v>
      </c>
      <c r="AO27">
        <v>12</v>
      </c>
      <c r="AP27">
        <v>0</v>
      </c>
      <c r="AQ27">
        <v>1.21</v>
      </c>
      <c r="AR27">
        <v>0</v>
      </c>
      <c r="AS27">
        <v>0</v>
      </c>
      <c r="AT27">
        <v>95</v>
      </c>
      <c r="AU27">
        <v>65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5</v>
      </c>
      <c r="BE27" t="s">
        <v>5</v>
      </c>
      <c r="BF27" t="s">
        <v>5</v>
      </c>
      <c r="BG27" t="s">
        <v>5</v>
      </c>
      <c r="BH27">
        <v>0</v>
      </c>
      <c r="BI27">
        <v>2</v>
      </c>
      <c r="BJ27" t="s">
        <v>34</v>
      </c>
      <c r="BM27">
        <v>108001</v>
      </c>
      <c r="BN27">
        <v>0</v>
      </c>
      <c r="BO27" t="s">
        <v>5</v>
      </c>
      <c r="BP27">
        <v>0</v>
      </c>
      <c r="BQ27">
        <v>3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5</v>
      </c>
      <c r="BZ27">
        <v>95</v>
      </c>
      <c r="CA27">
        <v>65</v>
      </c>
      <c r="CF27">
        <v>0</v>
      </c>
      <c r="CG27">
        <v>0</v>
      </c>
      <c r="CM27">
        <v>0</v>
      </c>
      <c r="CN27" t="s">
        <v>5</v>
      </c>
      <c r="CO27">
        <v>0</v>
      </c>
      <c r="CP27">
        <f t="shared" si="34"/>
        <v>66</v>
      </c>
      <c r="CQ27">
        <f t="shared" si="35"/>
        <v>20</v>
      </c>
      <c r="CR27">
        <f t="shared" si="36"/>
        <v>0.9</v>
      </c>
      <c r="CS27">
        <f t="shared" si="37"/>
        <v>0</v>
      </c>
      <c r="CT27">
        <f t="shared" si="38"/>
        <v>12</v>
      </c>
      <c r="CU27">
        <f t="shared" si="39"/>
        <v>0</v>
      </c>
      <c r="CV27">
        <f t="shared" si="40"/>
        <v>1.21</v>
      </c>
      <c r="CW27">
        <f t="shared" si="41"/>
        <v>0</v>
      </c>
      <c r="CX27">
        <f t="shared" si="42"/>
        <v>0</v>
      </c>
      <c r="CY27">
        <f t="shared" ref="CY27:CY32" si="51">(((S27+R27)*AT27)/100)</f>
        <v>22.8</v>
      </c>
      <c r="CZ27">
        <f t="shared" ref="CZ27:CZ32" si="52">(((S27+R27)*AU27)/100)</f>
        <v>15.6</v>
      </c>
      <c r="DC27" t="s">
        <v>5</v>
      </c>
      <c r="DD27" t="s">
        <v>5</v>
      </c>
      <c r="DE27" t="s">
        <v>5</v>
      </c>
      <c r="DF27" t="s">
        <v>5</v>
      </c>
      <c r="DG27" t="s">
        <v>5</v>
      </c>
      <c r="DH27" t="s">
        <v>5</v>
      </c>
      <c r="DI27" t="s">
        <v>5</v>
      </c>
      <c r="DJ27" t="s">
        <v>5</v>
      </c>
      <c r="DK27" t="s">
        <v>5</v>
      </c>
      <c r="DL27" t="s">
        <v>5</v>
      </c>
      <c r="DM27" t="s">
        <v>5</v>
      </c>
      <c r="DN27">
        <v>0</v>
      </c>
      <c r="DO27">
        <v>0</v>
      </c>
      <c r="DP27">
        <v>1</v>
      </c>
      <c r="DQ27">
        <v>1</v>
      </c>
      <c r="DU27">
        <v>1013</v>
      </c>
      <c r="DV27" t="s">
        <v>23</v>
      </c>
      <c r="DW27" t="s">
        <v>23</v>
      </c>
      <c r="DX27">
        <v>1</v>
      </c>
      <c r="EE27">
        <v>30368042</v>
      </c>
      <c r="EF27">
        <v>3</v>
      </c>
      <c r="EG27" t="s">
        <v>18</v>
      </c>
      <c r="EH27">
        <v>0</v>
      </c>
      <c r="EI27" t="s">
        <v>5</v>
      </c>
      <c r="EJ27">
        <v>2</v>
      </c>
      <c r="EK27">
        <v>108001</v>
      </c>
      <c r="EL27" t="s">
        <v>35</v>
      </c>
      <c r="EM27" t="s">
        <v>36</v>
      </c>
      <c r="EO27" t="s">
        <v>5</v>
      </c>
      <c r="EQ27">
        <v>0</v>
      </c>
      <c r="ER27">
        <v>32.880000000000003</v>
      </c>
      <c r="ES27">
        <v>20.03</v>
      </c>
      <c r="ET27">
        <v>0.85</v>
      </c>
      <c r="EU27">
        <v>0</v>
      </c>
      <c r="EV27">
        <v>12</v>
      </c>
      <c r="EW27">
        <v>1.21</v>
      </c>
      <c r="EX27">
        <v>0</v>
      </c>
      <c r="EY27">
        <v>0</v>
      </c>
      <c r="FQ27">
        <v>0</v>
      </c>
      <c r="FR27">
        <f t="shared" si="43"/>
        <v>0</v>
      </c>
      <c r="FS27">
        <v>0</v>
      </c>
      <c r="FX27">
        <v>95</v>
      </c>
      <c r="FY27">
        <v>65</v>
      </c>
      <c r="GA27" t="s">
        <v>5</v>
      </c>
      <c r="GD27">
        <v>0</v>
      </c>
      <c r="GF27">
        <v>-775660258</v>
      </c>
      <c r="GG27">
        <v>2</v>
      </c>
      <c r="GH27">
        <v>1</v>
      </c>
      <c r="GI27">
        <v>-2</v>
      </c>
      <c r="GJ27">
        <v>0</v>
      </c>
      <c r="GK27">
        <f>ROUND(R27*(R12)/100,0)</f>
        <v>0</v>
      </c>
      <c r="GL27">
        <f t="shared" si="44"/>
        <v>0</v>
      </c>
      <c r="GM27">
        <f t="shared" si="45"/>
        <v>105</v>
      </c>
      <c r="GN27">
        <f t="shared" si="46"/>
        <v>0</v>
      </c>
      <c r="GO27">
        <f t="shared" si="47"/>
        <v>105</v>
      </c>
      <c r="GP27">
        <f t="shared" si="48"/>
        <v>0</v>
      </c>
      <c r="GR27">
        <v>0</v>
      </c>
      <c r="GS27">
        <v>3</v>
      </c>
      <c r="GT27">
        <v>0</v>
      </c>
      <c r="GU27" t="s">
        <v>5</v>
      </c>
      <c r="GV27">
        <f t="shared" si="49"/>
        <v>0</v>
      </c>
      <c r="GW27">
        <v>1</v>
      </c>
      <c r="GX27">
        <f t="shared" si="50"/>
        <v>0</v>
      </c>
      <c r="HA27">
        <v>0</v>
      </c>
      <c r="HB27">
        <v>0</v>
      </c>
      <c r="IK27">
        <v>0</v>
      </c>
    </row>
    <row r="28" spans="1:245">
      <c r="A28">
        <v>17</v>
      </c>
      <c r="B28">
        <v>1</v>
      </c>
      <c r="C28">
        <f>ROW(SmtRes!A33)</f>
        <v>33</v>
      </c>
      <c r="D28">
        <f>ROW(EtalonRes!A34)</f>
        <v>34</v>
      </c>
      <c r="E28" t="s">
        <v>37</v>
      </c>
      <c r="F28" t="s">
        <v>38</v>
      </c>
      <c r="G28" t="s">
        <v>39</v>
      </c>
      <c r="H28" t="s">
        <v>23</v>
      </c>
      <c r="I28">
        <v>1</v>
      </c>
      <c r="J28">
        <v>0</v>
      </c>
      <c r="O28">
        <f t="shared" si="14"/>
        <v>32</v>
      </c>
      <c r="P28">
        <f t="shared" si="15"/>
        <v>6</v>
      </c>
      <c r="Q28">
        <f t="shared" si="16"/>
        <v>0</v>
      </c>
      <c r="R28">
        <f t="shared" si="17"/>
        <v>0</v>
      </c>
      <c r="S28">
        <f t="shared" si="18"/>
        <v>26</v>
      </c>
      <c r="T28">
        <f t="shared" si="19"/>
        <v>0</v>
      </c>
      <c r="U28">
        <f t="shared" si="20"/>
        <v>2.75</v>
      </c>
      <c r="V28">
        <f t="shared" si="21"/>
        <v>0</v>
      </c>
      <c r="W28">
        <f t="shared" si="22"/>
        <v>0</v>
      </c>
      <c r="X28">
        <f t="shared" si="23"/>
        <v>25</v>
      </c>
      <c r="Y28">
        <f t="shared" si="24"/>
        <v>17</v>
      </c>
      <c r="AA28">
        <v>31859403</v>
      </c>
      <c r="AB28">
        <f t="shared" si="25"/>
        <v>31.7</v>
      </c>
      <c r="AC28">
        <f t="shared" si="26"/>
        <v>5.8</v>
      </c>
      <c r="AD28">
        <f t="shared" si="27"/>
        <v>0</v>
      </c>
      <c r="AE28">
        <f t="shared" si="28"/>
        <v>0</v>
      </c>
      <c r="AF28">
        <f t="shared" si="29"/>
        <v>25.9</v>
      </c>
      <c r="AG28">
        <f t="shared" si="30"/>
        <v>0</v>
      </c>
      <c r="AH28">
        <f t="shared" si="31"/>
        <v>2.75</v>
      </c>
      <c r="AI28">
        <f t="shared" si="32"/>
        <v>0</v>
      </c>
      <c r="AJ28">
        <f t="shared" si="33"/>
        <v>0</v>
      </c>
      <c r="AK28">
        <v>31.64</v>
      </c>
      <c r="AL28">
        <v>5.79</v>
      </c>
      <c r="AM28">
        <v>0</v>
      </c>
      <c r="AN28">
        <v>0</v>
      </c>
      <c r="AO28">
        <v>25.85</v>
      </c>
      <c r="AP28">
        <v>0</v>
      </c>
      <c r="AQ28">
        <v>2.75</v>
      </c>
      <c r="AR28">
        <v>0</v>
      </c>
      <c r="AS28">
        <v>0</v>
      </c>
      <c r="AT28">
        <v>95</v>
      </c>
      <c r="AU28">
        <v>65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5</v>
      </c>
      <c r="BE28" t="s">
        <v>5</v>
      </c>
      <c r="BF28" t="s">
        <v>5</v>
      </c>
      <c r="BG28" t="s">
        <v>5</v>
      </c>
      <c r="BH28">
        <v>0</v>
      </c>
      <c r="BI28">
        <v>2</v>
      </c>
      <c r="BJ28" t="s">
        <v>40</v>
      </c>
      <c r="BM28">
        <v>108001</v>
      </c>
      <c r="BN28">
        <v>0</v>
      </c>
      <c r="BO28" t="s">
        <v>5</v>
      </c>
      <c r="BP28">
        <v>0</v>
      </c>
      <c r="BQ28">
        <v>3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5</v>
      </c>
      <c r="BZ28">
        <v>95</v>
      </c>
      <c r="CA28">
        <v>65</v>
      </c>
      <c r="CF28">
        <v>0</v>
      </c>
      <c r="CG28">
        <v>0</v>
      </c>
      <c r="CM28">
        <v>0</v>
      </c>
      <c r="CN28" t="s">
        <v>5</v>
      </c>
      <c r="CO28">
        <v>0</v>
      </c>
      <c r="CP28">
        <f t="shared" si="34"/>
        <v>32</v>
      </c>
      <c r="CQ28">
        <f t="shared" si="35"/>
        <v>5.8</v>
      </c>
      <c r="CR28">
        <f t="shared" si="36"/>
        <v>0</v>
      </c>
      <c r="CS28">
        <f t="shared" si="37"/>
        <v>0</v>
      </c>
      <c r="CT28">
        <f t="shared" si="38"/>
        <v>25.9</v>
      </c>
      <c r="CU28">
        <f t="shared" si="39"/>
        <v>0</v>
      </c>
      <c r="CV28">
        <f t="shared" si="40"/>
        <v>2.75</v>
      </c>
      <c r="CW28">
        <f t="shared" si="41"/>
        <v>0</v>
      </c>
      <c r="CX28">
        <f t="shared" si="42"/>
        <v>0</v>
      </c>
      <c r="CY28">
        <f t="shared" si="51"/>
        <v>24.7</v>
      </c>
      <c r="CZ28">
        <f t="shared" si="52"/>
        <v>16.899999999999999</v>
      </c>
      <c r="DC28" t="s">
        <v>5</v>
      </c>
      <c r="DD28" t="s">
        <v>5</v>
      </c>
      <c r="DE28" t="s">
        <v>5</v>
      </c>
      <c r="DF28" t="s">
        <v>5</v>
      </c>
      <c r="DG28" t="s">
        <v>5</v>
      </c>
      <c r="DH28" t="s">
        <v>5</v>
      </c>
      <c r="DI28" t="s">
        <v>5</v>
      </c>
      <c r="DJ28" t="s">
        <v>5</v>
      </c>
      <c r="DK28" t="s">
        <v>5</v>
      </c>
      <c r="DL28" t="s">
        <v>5</v>
      </c>
      <c r="DM28" t="s">
        <v>5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23</v>
      </c>
      <c r="DW28" t="s">
        <v>23</v>
      </c>
      <c r="DX28">
        <v>1</v>
      </c>
      <c r="EE28">
        <v>30368042</v>
      </c>
      <c r="EF28">
        <v>3</v>
      </c>
      <c r="EG28" t="s">
        <v>18</v>
      </c>
      <c r="EH28">
        <v>0</v>
      </c>
      <c r="EI28" t="s">
        <v>5</v>
      </c>
      <c r="EJ28">
        <v>2</v>
      </c>
      <c r="EK28">
        <v>108001</v>
      </c>
      <c r="EL28" t="s">
        <v>35</v>
      </c>
      <c r="EM28" t="s">
        <v>36</v>
      </c>
      <c r="EO28" t="s">
        <v>5</v>
      </c>
      <c r="EQ28">
        <v>0</v>
      </c>
      <c r="ER28">
        <v>31.64</v>
      </c>
      <c r="ES28">
        <v>5.79</v>
      </c>
      <c r="ET28">
        <v>0</v>
      </c>
      <c r="EU28">
        <v>0</v>
      </c>
      <c r="EV28">
        <v>25.85</v>
      </c>
      <c r="EW28">
        <v>2.75</v>
      </c>
      <c r="EX28">
        <v>0</v>
      </c>
      <c r="EY28">
        <v>0</v>
      </c>
      <c r="FQ28">
        <v>0</v>
      </c>
      <c r="FR28">
        <f t="shared" si="43"/>
        <v>0</v>
      </c>
      <c r="FS28">
        <v>0</v>
      </c>
      <c r="FX28">
        <v>95</v>
      </c>
      <c r="FY28">
        <v>65</v>
      </c>
      <c r="GA28" t="s">
        <v>5</v>
      </c>
      <c r="GD28">
        <v>0</v>
      </c>
      <c r="GF28">
        <v>-2140460165</v>
      </c>
      <c r="GG28">
        <v>2</v>
      </c>
      <c r="GH28">
        <v>1</v>
      </c>
      <c r="GI28">
        <v>-2</v>
      </c>
      <c r="GJ28">
        <v>0</v>
      </c>
      <c r="GK28">
        <f>ROUND(R28*(R12)/100,0)</f>
        <v>0</v>
      </c>
      <c r="GL28">
        <f t="shared" si="44"/>
        <v>0</v>
      </c>
      <c r="GM28">
        <f t="shared" si="45"/>
        <v>74</v>
      </c>
      <c r="GN28">
        <f t="shared" si="46"/>
        <v>0</v>
      </c>
      <c r="GO28">
        <f t="shared" si="47"/>
        <v>74</v>
      </c>
      <c r="GP28">
        <f t="shared" si="48"/>
        <v>0</v>
      </c>
      <c r="GR28">
        <v>0</v>
      </c>
      <c r="GS28">
        <v>3</v>
      </c>
      <c r="GT28">
        <v>0</v>
      </c>
      <c r="GU28" t="s">
        <v>5</v>
      </c>
      <c r="GV28">
        <f t="shared" si="49"/>
        <v>0</v>
      </c>
      <c r="GW28">
        <v>1</v>
      </c>
      <c r="GX28">
        <f t="shared" si="50"/>
        <v>0</v>
      </c>
      <c r="HA28">
        <v>0</v>
      </c>
      <c r="HB28">
        <v>0</v>
      </c>
      <c r="IK28">
        <v>0</v>
      </c>
    </row>
    <row r="29" spans="1:245">
      <c r="A29">
        <v>17</v>
      </c>
      <c r="B29">
        <v>1</v>
      </c>
      <c r="C29">
        <f>ROW(SmtRes!A43)</f>
        <v>43</v>
      </c>
      <c r="D29">
        <f>ROW(EtalonRes!A44)</f>
        <v>44</v>
      </c>
      <c r="E29" t="s">
        <v>41</v>
      </c>
      <c r="F29" t="s">
        <v>42</v>
      </c>
      <c r="G29" t="s">
        <v>43</v>
      </c>
      <c r="H29" t="s">
        <v>23</v>
      </c>
      <c r="I29">
        <v>1</v>
      </c>
      <c r="J29">
        <v>0</v>
      </c>
      <c r="O29">
        <f t="shared" si="14"/>
        <v>19</v>
      </c>
      <c r="P29">
        <f t="shared" si="15"/>
        <v>6</v>
      </c>
      <c r="Q29">
        <f t="shared" si="16"/>
        <v>0</v>
      </c>
      <c r="R29">
        <f t="shared" si="17"/>
        <v>0</v>
      </c>
      <c r="S29">
        <f t="shared" si="18"/>
        <v>13</v>
      </c>
      <c r="T29">
        <f t="shared" si="19"/>
        <v>0</v>
      </c>
      <c r="U29">
        <f t="shared" si="20"/>
        <v>1.18</v>
      </c>
      <c r="V29">
        <f t="shared" si="21"/>
        <v>0</v>
      </c>
      <c r="W29">
        <f t="shared" si="22"/>
        <v>0</v>
      </c>
      <c r="X29">
        <f t="shared" si="23"/>
        <v>12</v>
      </c>
      <c r="Y29">
        <f t="shared" si="24"/>
        <v>8</v>
      </c>
      <c r="AA29">
        <v>31859403</v>
      </c>
      <c r="AB29">
        <f t="shared" si="25"/>
        <v>18.5</v>
      </c>
      <c r="AC29">
        <f t="shared" si="26"/>
        <v>5.8</v>
      </c>
      <c r="AD29">
        <f t="shared" si="27"/>
        <v>0.1</v>
      </c>
      <c r="AE29">
        <f t="shared" si="28"/>
        <v>0</v>
      </c>
      <c r="AF29">
        <f t="shared" si="29"/>
        <v>12.6</v>
      </c>
      <c r="AG29">
        <f t="shared" si="30"/>
        <v>0</v>
      </c>
      <c r="AH29">
        <f t="shared" si="31"/>
        <v>1.18</v>
      </c>
      <c r="AI29">
        <f t="shared" si="32"/>
        <v>0</v>
      </c>
      <c r="AJ29">
        <f t="shared" si="33"/>
        <v>0</v>
      </c>
      <c r="AK29">
        <v>18.440000000000001</v>
      </c>
      <c r="AL29">
        <v>5.76</v>
      </c>
      <c r="AM29">
        <v>0.11</v>
      </c>
      <c r="AN29">
        <v>0</v>
      </c>
      <c r="AO29">
        <v>12.57</v>
      </c>
      <c r="AP29">
        <v>0</v>
      </c>
      <c r="AQ29">
        <v>1.18</v>
      </c>
      <c r="AR29">
        <v>0</v>
      </c>
      <c r="AS29">
        <v>0</v>
      </c>
      <c r="AT29">
        <v>95</v>
      </c>
      <c r="AU29">
        <v>65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5</v>
      </c>
      <c r="BE29" t="s">
        <v>5</v>
      </c>
      <c r="BF29" t="s">
        <v>5</v>
      </c>
      <c r="BG29" t="s">
        <v>5</v>
      </c>
      <c r="BH29">
        <v>0</v>
      </c>
      <c r="BI29">
        <v>2</v>
      </c>
      <c r="BJ29" t="s">
        <v>44</v>
      </c>
      <c r="BM29">
        <v>108001</v>
      </c>
      <c r="BN29">
        <v>0</v>
      </c>
      <c r="BO29" t="s">
        <v>5</v>
      </c>
      <c r="BP29">
        <v>0</v>
      </c>
      <c r="BQ29">
        <v>3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5</v>
      </c>
      <c r="BZ29">
        <v>95</v>
      </c>
      <c r="CA29">
        <v>65</v>
      </c>
      <c r="CF29">
        <v>0</v>
      </c>
      <c r="CG29">
        <v>0</v>
      </c>
      <c r="CM29">
        <v>0</v>
      </c>
      <c r="CN29" t="s">
        <v>5</v>
      </c>
      <c r="CO29">
        <v>0</v>
      </c>
      <c r="CP29">
        <f t="shared" si="34"/>
        <v>19</v>
      </c>
      <c r="CQ29">
        <f t="shared" si="35"/>
        <v>5.8</v>
      </c>
      <c r="CR29">
        <f t="shared" si="36"/>
        <v>0.1</v>
      </c>
      <c r="CS29">
        <f t="shared" si="37"/>
        <v>0</v>
      </c>
      <c r="CT29">
        <f t="shared" si="38"/>
        <v>12.6</v>
      </c>
      <c r="CU29">
        <f t="shared" si="39"/>
        <v>0</v>
      </c>
      <c r="CV29">
        <f t="shared" si="40"/>
        <v>1.18</v>
      </c>
      <c r="CW29">
        <f t="shared" si="41"/>
        <v>0</v>
      </c>
      <c r="CX29">
        <f t="shared" si="42"/>
        <v>0</v>
      </c>
      <c r="CY29">
        <f t="shared" si="51"/>
        <v>12.35</v>
      </c>
      <c r="CZ29">
        <f t="shared" si="52"/>
        <v>8.4499999999999993</v>
      </c>
      <c r="DC29" t="s">
        <v>5</v>
      </c>
      <c r="DD29" t="s">
        <v>5</v>
      </c>
      <c r="DE29" t="s">
        <v>5</v>
      </c>
      <c r="DF29" t="s">
        <v>5</v>
      </c>
      <c r="DG29" t="s">
        <v>5</v>
      </c>
      <c r="DH29" t="s">
        <v>5</v>
      </c>
      <c r="DI29" t="s">
        <v>5</v>
      </c>
      <c r="DJ29" t="s">
        <v>5</v>
      </c>
      <c r="DK29" t="s">
        <v>5</v>
      </c>
      <c r="DL29" t="s">
        <v>5</v>
      </c>
      <c r="DM29" t="s">
        <v>5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23</v>
      </c>
      <c r="DW29" t="s">
        <v>23</v>
      </c>
      <c r="DX29">
        <v>1</v>
      </c>
      <c r="EE29">
        <v>30368042</v>
      </c>
      <c r="EF29">
        <v>3</v>
      </c>
      <c r="EG29" t="s">
        <v>18</v>
      </c>
      <c r="EH29">
        <v>0</v>
      </c>
      <c r="EI29" t="s">
        <v>5</v>
      </c>
      <c r="EJ29">
        <v>2</v>
      </c>
      <c r="EK29">
        <v>108001</v>
      </c>
      <c r="EL29" t="s">
        <v>35</v>
      </c>
      <c r="EM29" t="s">
        <v>36</v>
      </c>
      <c r="EO29" t="s">
        <v>5</v>
      </c>
      <c r="EQ29">
        <v>0</v>
      </c>
      <c r="ER29">
        <v>18.440000000000001</v>
      </c>
      <c r="ES29">
        <v>5.76</v>
      </c>
      <c r="ET29">
        <v>0.11</v>
      </c>
      <c r="EU29">
        <v>0</v>
      </c>
      <c r="EV29">
        <v>12.57</v>
      </c>
      <c r="EW29">
        <v>1.18</v>
      </c>
      <c r="EX29">
        <v>0</v>
      </c>
      <c r="EY29">
        <v>0</v>
      </c>
      <c r="FQ29">
        <v>0</v>
      </c>
      <c r="FR29">
        <f t="shared" si="43"/>
        <v>0</v>
      </c>
      <c r="FS29">
        <v>0</v>
      </c>
      <c r="FX29">
        <v>95</v>
      </c>
      <c r="FY29">
        <v>65</v>
      </c>
      <c r="GA29" t="s">
        <v>5</v>
      </c>
      <c r="GD29">
        <v>0</v>
      </c>
      <c r="GF29">
        <v>-203470282</v>
      </c>
      <c r="GG29">
        <v>2</v>
      </c>
      <c r="GH29">
        <v>1</v>
      </c>
      <c r="GI29">
        <v>-2</v>
      </c>
      <c r="GJ29">
        <v>0</v>
      </c>
      <c r="GK29">
        <f>ROUND(R29*(R12)/100,0)</f>
        <v>0</v>
      </c>
      <c r="GL29">
        <f t="shared" si="44"/>
        <v>0</v>
      </c>
      <c r="GM29">
        <f t="shared" si="45"/>
        <v>39</v>
      </c>
      <c r="GN29">
        <f t="shared" si="46"/>
        <v>0</v>
      </c>
      <c r="GO29">
        <f t="shared" si="47"/>
        <v>39</v>
      </c>
      <c r="GP29">
        <f t="shared" si="48"/>
        <v>0</v>
      </c>
      <c r="GR29">
        <v>0</v>
      </c>
      <c r="GS29">
        <v>3</v>
      </c>
      <c r="GT29">
        <v>0</v>
      </c>
      <c r="GU29" t="s">
        <v>5</v>
      </c>
      <c r="GV29">
        <f t="shared" si="49"/>
        <v>0</v>
      </c>
      <c r="GW29">
        <v>1</v>
      </c>
      <c r="GX29">
        <f t="shared" si="50"/>
        <v>0</v>
      </c>
      <c r="HA29">
        <v>0</v>
      </c>
      <c r="HB29">
        <v>0</v>
      </c>
      <c r="IK29">
        <v>0</v>
      </c>
    </row>
    <row r="30" spans="1:245">
      <c r="A30">
        <v>17</v>
      </c>
      <c r="B30">
        <v>1</v>
      </c>
      <c r="C30">
        <f>ROW(SmtRes!A49)</f>
        <v>49</v>
      </c>
      <c r="D30">
        <f>ROW(EtalonRes!A50)</f>
        <v>50</v>
      </c>
      <c r="E30" t="s">
        <v>45</v>
      </c>
      <c r="F30" t="s">
        <v>46</v>
      </c>
      <c r="G30" t="s">
        <v>47</v>
      </c>
      <c r="H30" t="s">
        <v>23</v>
      </c>
      <c r="I30">
        <v>1</v>
      </c>
      <c r="J30">
        <v>0</v>
      </c>
      <c r="O30">
        <f t="shared" si="14"/>
        <v>17</v>
      </c>
      <c r="P30">
        <f t="shared" si="15"/>
        <v>4</v>
      </c>
      <c r="Q30">
        <f t="shared" si="16"/>
        <v>2</v>
      </c>
      <c r="R30">
        <f t="shared" si="17"/>
        <v>0</v>
      </c>
      <c r="S30">
        <f t="shared" si="18"/>
        <v>11</v>
      </c>
      <c r="T30">
        <f t="shared" si="19"/>
        <v>0</v>
      </c>
      <c r="U30">
        <f t="shared" si="20"/>
        <v>1.1399999999999999</v>
      </c>
      <c r="V30">
        <f t="shared" si="21"/>
        <v>0.02</v>
      </c>
      <c r="W30">
        <f t="shared" si="22"/>
        <v>0</v>
      </c>
      <c r="X30">
        <f t="shared" si="23"/>
        <v>10</v>
      </c>
      <c r="Y30">
        <f t="shared" si="24"/>
        <v>7</v>
      </c>
      <c r="AA30">
        <v>31859403</v>
      </c>
      <c r="AB30">
        <f t="shared" si="25"/>
        <v>16.8</v>
      </c>
      <c r="AC30">
        <f t="shared" si="26"/>
        <v>3.7</v>
      </c>
      <c r="AD30">
        <f t="shared" si="27"/>
        <v>1.8</v>
      </c>
      <c r="AE30">
        <f t="shared" si="28"/>
        <v>0.3</v>
      </c>
      <c r="AF30">
        <f t="shared" si="29"/>
        <v>11.3</v>
      </c>
      <c r="AG30">
        <f t="shared" si="30"/>
        <v>0</v>
      </c>
      <c r="AH30">
        <f t="shared" si="31"/>
        <v>1.1399999999999999</v>
      </c>
      <c r="AI30">
        <f t="shared" si="32"/>
        <v>0.02</v>
      </c>
      <c r="AJ30">
        <f t="shared" si="33"/>
        <v>0</v>
      </c>
      <c r="AK30">
        <v>16.760000000000002</v>
      </c>
      <c r="AL30">
        <v>3.67</v>
      </c>
      <c r="AM30">
        <v>1.78</v>
      </c>
      <c r="AN30">
        <v>0.26</v>
      </c>
      <c r="AO30">
        <v>11.31</v>
      </c>
      <c r="AP30">
        <v>0</v>
      </c>
      <c r="AQ30">
        <v>1.1399999999999999</v>
      </c>
      <c r="AR30">
        <v>0.02</v>
      </c>
      <c r="AS30">
        <v>0</v>
      </c>
      <c r="AT30">
        <v>95</v>
      </c>
      <c r="AU30">
        <v>65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5</v>
      </c>
      <c r="BE30" t="s">
        <v>5</v>
      </c>
      <c r="BF30" t="s">
        <v>5</v>
      </c>
      <c r="BG30" t="s">
        <v>5</v>
      </c>
      <c r="BH30">
        <v>0</v>
      </c>
      <c r="BI30">
        <v>2</v>
      </c>
      <c r="BJ30" t="s">
        <v>48</v>
      </c>
      <c r="BM30">
        <v>108001</v>
      </c>
      <c r="BN30">
        <v>0</v>
      </c>
      <c r="BO30" t="s">
        <v>5</v>
      </c>
      <c r="BP30">
        <v>0</v>
      </c>
      <c r="BQ30">
        <v>3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5</v>
      </c>
      <c r="BZ30">
        <v>95</v>
      </c>
      <c r="CA30">
        <v>65</v>
      </c>
      <c r="CF30">
        <v>0</v>
      </c>
      <c r="CG30">
        <v>0</v>
      </c>
      <c r="CM30">
        <v>0</v>
      </c>
      <c r="CN30" t="s">
        <v>5</v>
      </c>
      <c r="CO30">
        <v>0</v>
      </c>
      <c r="CP30">
        <f t="shared" si="34"/>
        <v>17</v>
      </c>
      <c r="CQ30">
        <f t="shared" si="35"/>
        <v>3.7</v>
      </c>
      <c r="CR30">
        <f t="shared" si="36"/>
        <v>1.8</v>
      </c>
      <c r="CS30">
        <f t="shared" si="37"/>
        <v>0.3</v>
      </c>
      <c r="CT30">
        <f t="shared" si="38"/>
        <v>11.3</v>
      </c>
      <c r="CU30">
        <f t="shared" si="39"/>
        <v>0</v>
      </c>
      <c r="CV30">
        <f t="shared" si="40"/>
        <v>1.1399999999999999</v>
      </c>
      <c r="CW30">
        <f t="shared" si="41"/>
        <v>0.02</v>
      </c>
      <c r="CX30">
        <f t="shared" si="42"/>
        <v>0</v>
      </c>
      <c r="CY30">
        <f t="shared" si="51"/>
        <v>10.45</v>
      </c>
      <c r="CZ30">
        <f t="shared" si="52"/>
        <v>7.15</v>
      </c>
      <c r="DC30" t="s">
        <v>5</v>
      </c>
      <c r="DD30" t="s">
        <v>5</v>
      </c>
      <c r="DE30" t="s">
        <v>5</v>
      </c>
      <c r="DF30" t="s">
        <v>5</v>
      </c>
      <c r="DG30" t="s">
        <v>5</v>
      </c>
      <c r="DH30" t="s">
        <v>5</v>
      </c>
      <c r="DI30" t="s">
        <v>5</v>
      </c>
      <c r="DJ30" t="s">
        <v>5</v>
      </c>
      <c r="DK30" t="s">
        <v>5</v>
      </c>
      <c r="DL30" t="s">
        <v>5</v>
      </c>
      <c r="DM30" t="s">
        <v>5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23</v>
      </c>
      <c r="DW30" t="s">
        <v>23</v>
      </c>
      <c r="DX30">
        <v>1</v>
      </c>
      <c r="EE30">
        <v>30368042</v>
      </c>
      <c r="EF30">
        <v>3</v>
      </c>
      <c r="EG30" t="s">
        <v>18</v>
      </c>
      <c r="EH30">
        <v>0</v>
      </c>
      <c r="EI30" t="s">
        <v>5</v>
      </c>
      <c r="EJ30">
        <v>2</v>
      </c>
      <c r="EK30">
        <v>108001</v>
      </c>
      <c r="EL30" t="s">
        <v>35</v>
      </c>
      <c r="EM30" t="s">
        <v>36</v>
      </c>
      <c r="EO30" t="s">
        <v>5</v>
      </c>
      <c r="EQ30">
        <v>0</v>
      </c>
      <c r="ER30">
        <v>16.760000000000002</v>
      </c>
      <c r="ES30">
        <v>3.67</v>
      </c>
      <c r="ET30">
        <v>1.78</v>
      </c>
      <c r="EU30">
        <v>0.26</v>
      </c>
      <c r="EV30">
        <v>11.31</v>
      </c>
      <c r="EW30">
        <v>1.1399999999999999</v>
      </c>
      <c r="EX30">
        <v>0.02</v>
      </c>
      <c r="EY30">
        <v>0</v>
      </c>
      <c r="FQ30">
        <v>0</v>
      </c>
      <c r="FR30">
        <f t="shared" si="43"/>
        <v>0</v>
      </c>
      <c r="FS30">
        <v>0</v>
      </c>
      <c r="FX30">
        <v>95</v>
      </c>
      <c r="FY30">
        <v>65</v>
      </c>
      <c r="GA30" t="s">
        <v>5</v>
      </c>
      <c r="GD30">
        <v>0</v>
      </c>
      <c r="GF30">
        <v>-745453235</v>
      </c>
      <c r="GG30">
        <v>2</v>
      </c>
      <c r="GH30">
        <v>1</v>
      </c>
      <c r="GI30">
        <v>-2</v>
      </c>
      <c r="GJ30">
        <v>0</v>
      </c>
      <c r="GK30">
        <f>ROUND(R30*(R12)/100,0)</f>
        <v>0</v>
      </c>
      <c r="GL30">
        <f t="shared" si="44"/>
        <v>0</v>
      </c>
      <c r="GM30">
        <f t="shared" si="45"/>
        <v>34</v>
      </c>
      <c r="GN30">
        <f t="shared" si="46"/>
        <v>0</v>
      </c>
      <c r="GO30">
        <f t="shared" si="47"/>
        <v>34</v>
      </c>
      <c r="GP30">
        <f t="shared" si="48"/>
        <v>0</v>
      </c>
      <c r="GR30">
        <v>0</v>
      </c>
      <c r="GS30">
        <v>3</v>
      </c>
      <c r="GT30">
        <v>0</v>
      </c>
      <c r="GU30" t="s">
        <v>5</v>
      </c>
      <c r="GV30">
        <f t="shared" si="49"/>
        <v>0</v>
      </c>
      <c r="GW30">
        <v>1</v>
      </c>
      <c r="GX30">
        <f t="shared" si="50"/>
        <v>0</v>
      </c>
      <c r="HA30">
        <v>0</v>
      </c>
      <c r="HB30">
        <v>0</v>
      </c>
      <c r="IK30">
        <v>0</v>
      </c>
    </row>
    <row r="31" spans="1:245">
      <c r="A31">
        <v>17</v>
      </c>
      <c r="B31">
        <v>1</v>
      </c>
      <c r="C31">
        <f>ROW(SmtRes!A62)</f>
        <v>62</v>
      </c>
      <c r="D31">
        <f>ROW(EtalonRes!A63)</f>
        <v>63</v>
      </c>
      <c r="E31" t="s">
        <v>49</v>
      </c>
      <c r="F31" t="s">
        <v>50</v>
      </c>
      <c r="G31" t="s">
        <v>51</v>
      </c>
      <c r="H31" t="s">
        <v>52</v>
      </c>
      <c r="I31">
        <f>ROUND(16/100,9)</f>
        <v>0.16</v>
      </c>
      <c r="J31">
        <v>0</v>
      </c>
      <c r="O31">
        <f t="shared" si="14"/>
        <v>346</v>
      </c>
      <c r="P31">
        <f t="shared" si="15"/>
        <v>75</v>
      </c>
      <c r="Q31">
        <f t="shared" si="16"/>
        <v>250</v>
      </c>
      <c r="R31">
        <f t="shared" si="17"/>
        <v>24</v>
      </c>
      <c r="S31">
        <f t="shared" si="18"/>
        <v>21</v>
      </c>
      <c r="T31">
        <f t="shared" si="19"/>
        <v>0</v>
      </c>
      <c r="U31">
        <f t="shared" si="20"/>
        <v>2.1968000000000001</v>
      </c>
      <c r="V31">
        <f t="shared" si="21"/>
        <v>1.7664</v>
      </c>
      <c r="W31">
        <f t="shared" si="22"/>
        <v>0</v>
      </c>
      <c r="X31">
        <f t="shared" si="23"/>
        <v>43</v>
      </c>
      <c r="Y31">
        <f t="shared" si="24"/>
        <v>29</v>
      </c>
      <c r="AA31">
        <v>31859403</v>
      </c>
      <c r="AB31">
        <f t="shared" si="25"/>
        <v>2166.1</v>
      </c>
      <c r="AC31">
        <f t="shared" si="26"/>
        <v>470.9</v>
      </c>
      <c r="AD31">
        <f t="shared" si="27"/>
        <v>1563.1</v>
      </c>
      <c r="AE31">
        <f t="shared" si="28"/>
        <v>148.69999999999999</v>
      </c>
      <c r="AF31">
        <f t="shared" si="29"/>
        <v>132.1</v>
      </c>
      <c r="AG31">
        <f t="shared" si="30"/>
        <v>0</v>
      </c>
      <c r="AH31">
        <f t="shared" si="31"/>
        <v>13.73</v>
      </c>
      <c r="AI31">
        <f t="shared" si="32"/>
        <v>11.04</v>
      </c>
      <c r="AJ31">
        <f t="shared" si="33"/>
        <v>0</v>
      </c>
      <c r="AK31">
        <v>2166.08</v>
      </c>
      <c r="AL31">
        <v>470.93</v>
      </c>
      <c r="AM31">
        <v>1563.07</v>
      </c>
      <c r="AN31">
        <v>148.66</v>
      </c>
      <c r="AO31">
        <v>132.08000000000001</v>
      </c>
      <c r="AP31">
        <v>0</v>
      </c>
      <c r="AQ31">
        <v>13.73</v>
      </c>
      <c r="AR31">
        <v>11.04</v>
      </c>
      <c r="AS31">
        <v>0</v>
      </c>
      <c r="AT31">
        <v>95</v>
      </c>
      <c r="AU31">
        <v>65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5</v>
      </c>
      <c r="BE31" t="s">
        <v>5</v>
      </c>
      <c r="BF31" t="s">
        <v>5</v>
      </c>
      <c r="BG31" t="s">
        <v>5</v>
      </c>
      <c r="BH31">
        <v>0</v>
      </c>
      <c r="BI31">
        <v>2</v>
      </c>
      <c r="BJ31" t="s">
        <v>53</v>
      </c>
      <c r="BM31">
        <v>108001</v>
      </c>
      <c r="BN31">
        <v>0</v>
      </c>
      <c r="BO31" t="s">
        <v>5</v>
      </c>
      <c r="BP31">
        <v>0</v>
      </c>
      <c r="BQ31">
        <v>3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5</v>
      </c>
      <c r="BZ31">
        <v>95</v>
      </c>
      <c r="CA31">
        <v>65</v>
      </c>
      <c r="CF31">
        <v>0</v>
      </c>
      <c r="CG31">
        <v>0</v>
      </c>
      <c r="CM31">
        <v>0</v>
      </c>
      <c r="CN31" t="s">
        <v>5</v>
      </c>
      <c r="CO31">
        <v>0</v>
      </c>
      <c r="CP31">
        <f t="shared" si="34"/>
        <v>346</v>
      </c>
      <c r="CQ31">
        <f t="shared" si="35"/>
        <v>470.9</v>
      </c>
      <c r="CR31">
        <f t="shared" si="36"/>
        <v>1563.1</v>
      </c>
      <c r="CS31">
        <f t="shared" si="37"/>
        <v>148.69999999999999</v>
      </c>
      <c r="CT31">
        <f t="shared" si="38"/>
        <v>132.1</v>
      </c>
      <c r="CU31">
        <f t="shared" si="39"/>
        <v>0</v>
      </c>
      <c r="CV31">
        <f t="shared" si="40"/>
        <v>13.73</v>
      </c>
      <c r="CW31">
        <f t="shared" si="41"/>
        <v>11.04</v>
      </c>
      <c r="CX31">
        <f t="shared" si="42"/>
        <v>0</v>
      </c>
      <c r="CY31">
        <f t="shared" si="51"/>
        <v>42.75</v>
      </c>
      <c r="CZ31">
        <f t="shared" si="52"/>
        <v>29.25</v>
      </c>
      <c r="DC31" t="s">
        <v>5</v>
      </c>
      <c r="DD31" t="s">
        <v>5</v>
      </c>
      <c r="DE31" t="s">
        <v>5</v>
      </c>
      <c r="DF31" t="s">
        <v>5</v>
      </c>
      <c r="DG31" t="s">
        <v>5</v>
      </c>
      <c r="DH31" t="s">
        <v>5</v>
      </c>
      <c r="DI31" t="s">
        <v>5</v>
      </c>
      <c r="DJ31" t="s">
        <v>5</v>
      </c>
      <c r="DK31" t="s">
        <v>5</v>
      </c>
      <c r="DL31" t="s">
        <v>5</v>
      </c>
      <c r="DM31" t="s">
        <v>5</v>
      </c>
      <c r="DN31">
        <v>0</v>
      </c>
      <c r="DO31">
        <v>0</v>
      </c>
      <c r="DP31">
        <v>1</v>
      </c>
      <c r="DQ31">
        <v>1</v>
      </c>
      <c r="DU31">
        <v>1003</v>
      </c>
      <c r="DV31" t="s">
        <v>52</v>
      </c>
      <c r="DW31" t="s">
        <v>52</v>
      </c>
      <c r="DX31">
        <v>100</v>
      </c>
      <c r="EE31">
        <v>30368042</v>
      </c>
      <c r="EF31">
        <v>3</v>
      </c>
      <c r="EG31" t="s">
        <v>18</v>
      </c>
      <c r="EH31">
        <v>0</v>
      </c>
      <c r="EI31" t="s">
        <v>5</v>
      </c>
      <c r="EJ31">
        <v>2</v>
      </c>
      <c r="EK31">
        <v>108001</v>
      </c>
      <c r="EL31" t="s">
        <v>35</v>
      </c>
      <c r="EM31" t="s">
        <v>36</v>
      </c>
      <c r="EO31" t="s">
        <v>5</v>
      </c>
      <c r="EQ31">
        <v>0</v>
      </c>
      <c r="ER31">
        <v>2166.08</v>
      </c>
      <c r="ES31">
        <v>470.93</v>
      </c>
      <c r="ET31">
        <v>1563.07</v>
      </c>
      <c r="EU31">
        <v>148.66</v>
      </c>
      <c r="EV31">
        <v>132.08000000000001</v>
      </c>
      <c r="EW31">
        <v>13.73</v>
      </c>
      <c r="EX31">
        <v>11.04</v>
      </c>
      <c r="EY31">
        <v>0</v>
      </c>
      <c r="FQ31">
        <v>0</v>
      </c>
      <c r="FR31">
        <f t="shared" si="43"/>
        <v>0</v>
      </c>
      <c r="FS31">
        <v>0</v>
      </c>
      <c r="FX31">
        <v>95</v>
      </c>
      <c r="FY31">
        <v>65</v>
      </c>
      <c r="GA31" t="s">
        <v>5</v>
      </c>
      <c r="GD31">
        <v>0</v>
      </c>
      <c r="GF31">
        <v>-1745460009</v>
      </c>
      <c r="GG31">
        <v>2</v>
      </c>
      <c r="GH31">
        <v>1</v>
      </c>
      <c r="GI31">
        <v>-2</v>
      </c>
      <c r="GJ31">
        <v>0</v>
      </c>
      <c r="GK31">
        <f>ROUND(R31*(R12)/100,0)</f>
        <v>0</v>
      </c>
      <c r="GL31">
        <f t="shared" si="44"/>
        <v>0</v>
      </c>
      <c r="GM31">
        <f t="shared" si="45"/>
        <v>418</v>
      </c>
      <c r="GN31">
        <f t="shared" si="46"/>
        <v>0</v>
      </c>
      <c r="GO31">
        <f t="shared" si="47"/>
        <v>418</v>
      </c>
      <c r="GP31">
        <f t="shared" si="48"/>
        <v>0</v>
      </c>
      <c r="GR31">
        <v>0</v>
      </c>
      <c r="GS31">
        <v>3</v>
      </c>
      <c r="GT31">
        <v>0</v>
      </c>
      <c r="GU31" t="s">
        <v>5</v>
      </c>
      <c r="GV31">
        <f t="shared" si="49"/>
        <v>0</v>
      </c>
      <c r="GW31">
        <v>1</v>
      </c>
      <c r="GX31">
        <f t="shared" si="50"/>
        <v>0</v>
      </c>
      <c r="HA31">
        <v>0</v>
      </c>
      <c r="HB31">
        <v>0</v>
      </c>
      <c r="IK31">
        <v>0</v>
      </c>
    </row>
    <row r="32" spans="1:245">
      <c r="A32">
        <v>17</v>
      </c>
      <c r="B32">
        <v>1</v>
      </c>
      <c r="C32">
        <f>ROW(SmtRes!A64)</f>
        <v>64</v>
      </c>
      <c r="D32">
        <f>ROW(EtalonRes!A65)</f>
        <v>65</v>
      </c>
      <c r="E32" t="s">
        <v>54</v>
      </c>
      <c r="F32" t="s">
        <v>55</v>
      </c>
      <c r="G32" t="s">
        <v>56</v>
      </c>
      <c r="H32" t="s">
        <v>23</v>
      </c>
      <c r="I32">
        <v>1</v>
      </c>
      <c r="J32">
        <v>0</v>
      </c>
      <c r="O32">
        <f t="shared" si="14"/>
        <v>951</v>
      </c>
      <c r="P32">
        <f t="shared" si="15"/>
        <v>0</v>
      </c>
      <c r="Q32">
        <f t="shared" si="16"/>
        <v>0</v>
      </c>
      <c r="R32">
        <f t="shared" si="17"/>
        <v>0</v>
      </c>
      <c r="S32">
        <f t="shared" si="18"/>
        <v>951</v>
      </c>
      <c r="T32">
        <f t="shared" si="19"/>
        <v>0</v>
      </c>
      <c r="U32">
        <f t="shared" si="20"/>
        <v>80</v>
      </c>
      <c r="V32">
        <f t="shared" si="21"/>
        <v>0</v>
      </c>
      <c r="W32">
        <f t="shared" si="22"/>
        <v>0</v>
      </c>
      <c r="X32">
        <f t="shared" si="23"/>
        <v>618</v>
      </c>
      <c r="Y32">
        <f t="shared" si="24"/>
        <v>380</v>
      </c>
      <c r="AA32">
        <v>31859403</v>
      </c>
      <c r="AB32">
        <f t="shared" si="25"/>
        <v>951.2</v>
      </c>
      <c r="AC32">
        <f t="shared" si="26"/>
        <v>0</v>
      </c>
      <c r="AD32">
        <f t="shared" si="27"/>
        <v>0</v>
      </c>
      <c r="AE32">
        <f t="shared" si="28"/>
        <v>0</v>
      </c>
      <c r="AF32">
        <f t="shared" si="29"/>
        <v>951.2</v>
      </c>
      <c r="AG32">
        <f t="shared" si="30"/>
        <v>0</v>
      </c>
      <c r="AH32">
        <f t="shared" si="31"/>
        <v>80</v>
      </c>
      <c r="AI32">
        <f t="shared" si="32"/>
        <v>0</v>
      </c>
      <c r="AJ32">
        <f t="shared" si="33"/>
        <v>0</v>
      </c>
      <c r="AK32">
        <v>951.2</v>
      </c>
      <c r="AL32">
        <v>0</v>
      </c>
      <c r="AM32">
        <v>0</v>
      </c>
      <c r="AN32">
        <v>0</v>
      </c>
      <c r="AO32">
        <v>951.2</v>
      </c>
      <c r="AP32">
        <v>0</v>
      </c>
      <c r="AQ32">
        <v>80</v>
      </c>
      <c r="AR32">
        <v>0</v>
      </c>
      <c r="AS32">
        <v>0</v>
      </c>
      <c r="AT32">
        <v>65</v>
      </c>
      <c r="AU32">
        <v>40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5</v>
      </c>
      <c r="BE32" t="s">
        <v>5</v>
      </c>
      <c r="BF32" t="s">
        <v>5</v>
      </c>
      <c r="BG32" t="s">
        <v>5</v>
      </c>
      <c r="BH32">
        <v>0</v>
      </c>
      <c r="BI32">
        <v>4</v>
      </c>
      <c r="BJ32" t="s">
        <v>57</v>
      </c>
      <c r="BM32">
        <v>200001</v>
      </c>
      <c r="BN32">
        <v>0</v>
      </c>
      <c r="BO32" t="s">
        <v>5</v>
      </c>
      <c r="BP32">
        <v>0</v>
      </c>
      <c r="BQ32">
        <v>4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5</v>
      </c>
      <c r="BZ32">
        <v>65</v>
      </c>
      <c r="CA32">
        <v>40</v>
      </c>
      <c r="CF32">
        <v>0</v>
      </c>
      <c r="CG32">
        <v>0</v>
      </c>
      <c r="CM32">
        <v>0</v>
      </c>
      <c r="CN32" t="s">
        <v>5</v>
      </c>
      <c r="CO32">
        <v>0</v>
      </c>
      <c r="CP32">
        <f t="shared" si="34"/>
        <v>951</v>
      </c>
      <c r="CQ32">
        <f t="shared" si="35"/>
        <v>0</v>
      </c>
      <c r="CR32">
        <f t="shared" si="36"/>
        <v>0</v>
      </c>
      <c r="CS32">
        <f t="shared" si="37"/>
        <v>0</v>
      </c>
      <c r="CT32">
        <f t="shared" si="38"/>
        <v>951.2</v>
      </c>
      <c r="CU32">
        <f t="shared" si="39"/>
        <v>0</v>
      </c>
      <c r="CV32">
        <f t="shared" si="40"/>
        <v>80</v>
      </c>
      <c r="CW32">
        <f t="shared" si="41"/>
        <v>0</v>
      </c>
      <c r="CX32">
        <f t="shared" si="42"/>
        <v>0</v>
      </c>
      <c r="CY32">
        <f t="shared" si="51"/>
        <v>618.15</v>
      </c>
      <c r="CZ32">
        <f t="shared" si="52"/>
        <v>380.4</v>
      </c>
      <c r="DC32" t="s">
        <v>5</v>
      </c>
      <c r="DD32" t="s">
        <v>5</v>
      </c>
      <c r="DE32" t="s">
        <v>5</v>
      </c>
      <c r="DF32" t="s">
        <v>5</v>
      </c>
      <c r="DG32" t="s">
        <v>5</v>
      </c>
      <c r="DH32" t="s">
        <v>5</v>
      </c>
      <c r="DI32" t="s">
        <v>5</v>
      </c>
      <c r="DJ32" t="s">
        <v>5</v>
      </c>
      <c r="DK32" t="s">
        <v>5</v>
      </c>
      <c r="DL32" t="s">
        <v>5</v>
      </c>
      <c r="DM32" t="s">
        <v>5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23</v>
      </c>
      <c r="DW32" t="s">
        <v>23</v>
      </c>
      <c r="DX32">
        <v>1</v>
      </c>
      <c r="EE32">
        <v>30368084</v>
      </c>
      <c r="EF32">
        <v>4</v>
      </c>
      <c r="EG32" t="s">
        <v>58</v>
      </c>
      <c r="EH32">
        <v>0</v>
      </c>
      <c r="EI32" t="s">
        <v>5</v>
      </c>
      <c r="EJ32">
        <v>4</v>
      </c>
      <c r="EK32">
        <v>200001</v>
      </c>
      <c r="EL32" t="s">
        <v>59</v>
      </c>
      <c r="EM32" t="s">
        <v>60</v>
      </c>
      <c r="EO32" t="s">
        <v>5</v>
      </c>
      <c r="EQ32">
        <v>0</v>
      </c>
      <c r="ER32">
        <v>951.2</v>
      </c>
      <c r="ES32">
        <v>0</v>
      </c>
      <c r="ET32">
        <v>0</v>
      </c>
      <c r="EU32">
        <v>0</v>
      </c>
      <c r="EV32">
        <v>951.2</v>
      </c>
      <c r="EW32">
        <v>80</v>
      </c>
      <c r="EX32">
        <v>0</v>
      </c>
      <c r="EY32">
        <v>0</v>
      </c>
      <c r="FQ32">
        <v>0</v>
      </c>
      <c r="FR32">
        <f t="shared" si="43"/>
        <v>0</v>
      </c>
      <c r="FS32">
        <v>0</v>
      </c>
      <c r="FX32">
        <v>65</v>
      </c>
      <c r="FY32">
        <v>40</v>
      </c>
      <c r="GA32" t="s">
        <v>5</v>
      </c>
      <c r="GD32">
        <v>0</v>
      </c>
      <c r="GF32">
        <v>-1569976850</v>
      </c>
      <c r="GG32">
        <v>2</v>
      </c>
      <c r="GH32">
        <v>1</v>
      </c>
      <c r="GI32">
        <v>-2</v>
      </c>
      <c r="GJ32">
        <v>0</v>
      </c>
      <c r="GK32">
        <f>ROUND(R32*(R12)/100,0)</f>
        <v>0</v>
      </c>
      <c r="GL32">
        <f t="shared" si="44"/>
        <v>0</v>
      </c>
      <c r="GM32">
        <f t="shared" si="45"/>
        <v>1949</v>
      </c>
      <c r="GN32">
        <f t="shared" si="46"/>
        <v>0</v>
      </c>
      <c r="GO32">
        <f t="shared" si="47"/>
        <v>0</v>
      </c>
      <c r="GP32">
        <f t="shared" si="48"/>
        <v>1949</v>
      </c>
      <c r="GR32">
        <v>0</v>
      </c>
      <c r="GS32">
        <v>3</v>
      </c>
      <c r="GT32">
        <v>0</v>
      </c>
      <c r="GU32" t="s">
        <v>5</v>
      </c>
      <c r="GV32">
        <f t="shared" si="49"/>
        <v>0</v>
      </c>
      <c r="GW32">
        <v>1</v>
      </c>
      <c r="GX32">
        <f t="shared" si="50"/>
        <v>0</v>
      </c>
      <c r="HA32">
        <v>0</v>
      </c>
      <c r="HB32">
        <v>0</v>
      </c>
      <c r="IK32">
        <v>0</v>
      </c>
    </row>
    <row r="34" spans="1:206">
      <c r="A34" s="2">
        <v>51</v>
      </c>
      <c r="B34" s="2">
        <f>B20</f>
        <v>1</v>
      </c>
      <c r="C34" s="2">
        <f>A20</f>
        <v>3</v>
      </c>
      <c r="D34" s="2">
        <f>ROW(A20)</f>
        <v>20</v>
      </c>
      <c r="E34" s="2"/>
      <c r="F34" s="2" t="str">
        <f>IF(F20&lt;&gt;"",F20,"")</f>
        <v>Новая локальная смета</v>
      </c>
      <c r="G34" s="2" t="str">
        <f>IF(G20&lt;&gt;"",G20,"")</f>
        <v>Новая локальная смета</v>
      </c>
      <c r="H34" s="2">
        <v>0</v>
      </c>
      <c r="I34" s="2"/>
      <c r="J34" s="2"/>
      <c r="K34" s="2"/>
      <c r="L34" s="2"/>
      <c r="M34" s="2"/>
      <c r="N34" s="2"/>
      <c r="O34" s="2">
        <f t="shared" ref="O34:T34" si="53">ROUND(AB34,0)</f>
        <v>59320</v>
      </c>
      <c r="P34" s="2">
        <f t="shared" si="53"/>
        <v>56049</v>
      </c>
      <c r="Q34" s="2">
        <f t="shared" si="53"/>
        <v>1796</v>
      </c>
      <c r="R34" s="2">
        <f t="shared" si="53"/>
        <v>158</v>
      </c>
      <c r="S34" s="2">
        <f t="shared" si="53"/>
        <v>1475</v>
      </c>
      <c r="T34" s="2">
        <f t="shared" si="53"/>
        <v>0</v>
      </c>
      <c r="U34" s="2">
        <f>AH34</f>
        <v>134.30680000000001</v>
      </c>
      <c r="V34" s="2">
        <f>AI34</f>
        <v>12.320399999999999</v>
      </c>
      <c r="W34" s="2">
        <f>ROUND(AJ34,0)</f>
        <v>0</v>
      </c>
      <c r="X34" s="2">
        <f>ROUND(AK34,0)</f>
        <v>1181</v>
      </c>
      <c r="Y34" s="2">
        <f>ROUND(AL34,0)</f>
        <v>795</v>
      </c>
      <c r="Z34" s="2"/>
      <c r="AA34" s="2"/>
      <c r="AB34" s="2">
        <f>ROUND(SUMIF(AA24:AA32,"=31859403",O24:O32),0)</f>
        <v>59320</v>
      </c>
      <c r="AC34" s="2">
        <f>ROUND(SUMIF(AA24:AA32,"=31859403",P24:P32),0)</f>
        <v>56049</v>
      </c>
      <c r="AD34" s="2">
        <f>ROUND(SUMIF(AA24:AA32,"=31859403",Q24:Q32),0)</f>
        <v>1796</v>
      </c>
      <c r="AE34" s="2">
        <f>ROUND(SUMIF(AA24:AA32,"=31859403",R24:R32),0)</f>
        <v>158</v>
      </c>
      <c r="AF34" s="2">
        <f>ROUND(SUMIF(AA24:AA32,"=31859403",S24:S32),0)</f>
        <v>1475</v>
      </c>
      <c r="AG34" s="2">
        <f>ROUND(SUMIF(AA24:AA32,"=31859403",T24:T32),0)</f>
        <v>0</v>
      </c>
      <c r="AH34" s="2">
        <f>SUMIF(AA24:AA32,"=31859403",U24:U32)</f>
        <v>134.30680000000001</v>
      </c>
      <c r="AI34" s="2">
        <f>SUMIF(AA24:AA32,"=31859403",V24:V32)</f>
        <v>12.320399999999999</v>
      </c>
      <c r="AJ34" s="2">
        <f>ROUND(SUMIF(AA24:AA32,"=31859403",W24:W32),0)</f>
        <v>0</v>
      </c>
      <c r="AK34" s="2">
        <f>ROUND(SUMIF(AA24:AA32,"=31859403",X24:X32),0)</f>
        <v>1181</v>
      </c>
      <c r="AL34" s="2">
        <f>ROUND(SUMIF(AA24:AA32,"=31859403",Y24:Y32),0)</f>
        <v>795</v>
      </c>
      <c r="AM34" s="2"/>
      <c r="AN34" s="2"/>
      <c r="AO34" s="2">
        <f t="shared" ref="AO34:BC34" si="54">ROUND(BX34,0)</f>
        <v>0</v>
      </c>
      <c r="AP34" s="2">
        <f t="shared" si="54"/>
        <v>55744</v>
      </c>
      <c r="AQ34" s="2">
        <f t="shared" si="54"/>
        <v>0</v>
      </c>
      <c r="AR34" s="2">
        <f t="shared" si="54"/>
        <v>61296</v>
      </c>
      <c r="AS34" s="2">
        <f t="shared" si="54"/>
        <v>0</v>
      </c>
      <c r="AT34" s="2">
        <f t="shared" si="54"/>
        <v>3603</v>
      </c>
      <c r="AU34" s="2">
        <f t="shared" si="54"/>
        <v>1949</v>
      </c>
      <c r="AV34" s="2">
        <f t="shared" si="54"/>
        <v>56049</v>
      </c>
      <c r="AW34" s="2">
        <f t="shared" si="54"/>
        <v>305</v>
      </c>
      <c r="AX34" s="2">
        <f t="shared" si="54"/>
        <v>0</v>
      </c>
      <c r="AY34" s="2">
        <f t="shared" si="54"/>
        <v>305</v>
      </c>
      <c r="AZ34" s="2">
        <f t="shared" si="54"/>
        <v>55744</v>
      </c>
      <c r="BA34" s="2">
        <f t="shared" si="54"/>
        <v>0</v>
      </c>
      <c r="BB34" s="2">
        <f t="shared" si="54"/>
        <v>0</v>
      </c>
      <c r="BC34" s="2">
        <f t="shared" si="54"/>
        <v>0</v>
      </c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>
        <f>ROUND(SUMIF(AA24:AA32,"=31859403",FQ24:FQ32),0)</f>
        <v>0</v>
      </c>
      <c r="BY34" s="2">
        <f>ROUND(SUMIF(AA24:AA32,"=31859403",FR24:FR32),0)</f>
        <v>55744</v>
      </c>
      <c r="BZ34" s="2">
        <f>ROUND(SUMIF(AA24:AA32,"=31859403",GL24:GL32),0)</f>
        <v>0</v>
      </c>
      <c r="CA34" s="2">
        <f>ROUND(SUMIF(AA24:AA32,"=31859403",GM24:GM32),0)</f>
        <v>61296</v>
      </c>
      <c r="CB34" s="2">
        <f>ROUND(SUMIF(AA24:AA32,"=31859403",GN24:GN32),0)</f>
        <v>0</v>
      </c>
      <c r="CC34" s="2">
        <f>ROUND(SUMIF(AA24:AA32,"=31859403",GO24:GO32),0)</f>
        <v>3603</v>
      </c>
      <c r="CD34" s="2">
        <f>ROUND(SUMIF(AA24:AA32,"=31859403",GP24:GP32),0)</f>
        <v>1949</v>
      </c>
      <c r="CE34" s="2">
        <f>AC34-BX34</f>
        <v>56049</v>
      </c>
      <c r="CF34" s="2">
        <f>AC34-BY34</f>
        <v>305</v>
      </c>
      <c r="CG34" s="2">
        <f>BX34-BZ34</f>
        <v>0</v>
      </c>
      <c r="CH34" s="2">
        <f>AC34-BX34-BY34+BZ34</f>
        <v>305</v>
      </c>
      <c r="CI34" s="2">
        <f>BY34-BZ34</f>
        <v>55744</v>
      </c>
      <c r="CJ34" s="2">
        <f>ROUND(SUMIF(AA24:AA32,"=31859403",GX24:GX32),0)</f>
        <v>0</v>
      </c>
      <c r="CK34" s="2">
        <f>ROUND(SUMIF(AA24:AA32,"=31859403",GY24:GY32),0)</f>
        <v>0</v>
      </c>
      <c r="CL34" s="2">
        <f>ROUND(SUMIF(AA24:AA32,"=31859403",GZ24:GZ32),0)</f>
        <v>0</v>
      </c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>
        <v>0</v>
      </c>
    </row>
    <row r="36" spans="1:206">
      <c r="A36" s="4">
        <v>50</v>
      </c>
      <c r="B36" s="4">
        <v>1</v>
      </c>
      <c r="C36" s="4">
        <v>0</v>
      </c>
      <c r="D36" s="4">
        <v>1</v>
      </c>
      <c r="E36" s="4">
        <v>201</v>
      </c>
      <c r="F36" s="4">
        <f>ROUND(Source!O34,O36)</f>
        <v>59320</v>
      </c>
      <c r="G36" s="4" t="s">
        <v>61</v>
      </c>
      <c r="H36" s="4" t="s">
        <v>62</v>
      </c>
      <c r="I36" s="4"/>
      <c r="J36" s="4"/>
      <c r="K36" s="4">
        <v>201</v>
      </c>
      <c r="L36" s="4">
        <v>1</v>
      </c>
      <c r="M36" s="4">
        <v>0</v>
      </c>
      <c r="N36" s="4" t="s">
        <v>5</v>
      </c>
      <c r="O36" s="4">
        <v>0</v>
      </c>
      <c r="P36" s="4"/>
      <c r="Q36" s="4"/>
      <c r="R36" s="4"/>
      <c r="S36" s="4"/>
      <c r="T36" s="4"/>
      <c r="U36" s="4"/>
      <c r="V36" s="4"/>
      <c r="W36" s="4"/>
    </row>
    <row r="37" spans="1:206">
      <c r="A37" s="4">
        <v>50</v>
      </c>
      <c r="B37" s="4">
        <v>1</v>
      </c>
      <c r="C37" s="4">
        <v>0</v>
      </c>
      <c r="D37" s="4">
        <v>1</v>
      </c>
      <c r="E37" s="4">
        <v>202</v>
      </c>
      <c r="F37" s="4">
        <f>ROUND(Source!P34,O37)</f>
        <v>56049</v>
      </c>
      <c r="G37" s="4" t="s">
        <v>63</v>
      </c>
      <c r="H37" s="4" t="s">
        <v>64</v>
      </c>
      <c r="I37" s="4"/>
      <c r="J37" s="4"/>
      <c r="K37" s="4">
        <v>202</v>
      </c>
      <c r="L37" s="4">
        <v>2</v>
      </c>
      <c r="M37" s="4">
        <v>0</v>
      </c>
      <c r="N37" s="4" t="s">
        <v>5</v>
      </c>
      <c r="O37" s="4">
        <v>0</v>
      </c>
      <c r="P37" s="4"/>
      <c r="Q37" s="4"/>
      <c r="R37" s="4"/>
      <c r="S37" s="4"/>
      <c r="T37" s="4"/>
      <c r="U37" s="4"/>
      <c r="V37" s="4"/>
      <c r="W37" s="4"/>
    </row>
    <row r="38" spans="1:206">
      <c r="A38" s="4">
        <v>50</v>
      </c>
      <c r="B38" s="4">
        <v>0</v>
      </c>
      <c r="C38" s="4">
        <v>0</v>
      </c>
      <c r="D38" s="4">
        <v>1</v>
      </c>
      <c r="E38" s="4">
        <v>222</v>
      </c>
      <c r="F38" s="4">
        <f>ROUND(Source!AO34,O38)</f>
        <v>0</v>
      </c>
      <c r="G38" s="4" t="s">
        <v>65</v>
      </c>
      <c r="H38" s="4" t="s">
        <v>66</v>
      </c>
      <c r="I38" s="4"/>
      <c r="J38" s="4"/>
      <c r="K38" s="4">
        <v>222</v>
      </c>
      <c r="L38" s="4">
        <v>3</v>
      </c>
      <c r="M38" s="4">
        <v>3</v>
      </c>
      <c r="N38" s="4" t="s">
        <v>5</v>
      </c>
      <c r="O38" s="4">
        <v>0</v>
      </c>
      <c r="P38" s="4"/>
      <c r="Q38" s="4"/>
      <c r="R38" s="4"/>
      <c r="S38" s="4"/>
      <c r="T38" s="4"/>
      <c r="U38" s="4"/>
      <c r="V38" s="4"/>
      <c r="W38" s="4"/>
    </row>
    <row r="39" spans="1:206">
      <c r="A39" s="4">
        <v>50</v>
      </c>
      <c r="B39" s="4">
        <v>0</v>
      </c>
      <c r="C39" s="4">
        <v>0</v>
      </c>
      <c r="D39" s="4">
        <v>1</v>
      </c>
      <c r="E39" s="4">
        <v>225</v>
      </c>
      <c r="F39" s="4">
        <f>ROUND(Source!AV34,O39)</f>
        <v>56049</v>
      </c>
      <c r="G39" s="4" t="s">
        <v>67</v>
      </c>
      <c r="H39" s="4" t="s">
        <v>68</v>
      </c>
      <c r="I39" s="4"/>
      <c r="J39" s="4"/>
      <c r="K39" s="4">
        <v>225</v>
      </c>
      <c r="L39" s="4">
        <v>4</v>
      </c>
      <c r="M39" s="4">
        <v>3</v>
      </c>
      <c r="N39" s="4" t="s">
        <v>5</v>
      </c>
      <c r="O39" s="4">
        <v>0</v>
      </c>
      <c r="P39" s="4"/>
      <c r="Q39" s="4"/>
      <c r="R39" s="4"/>
      <c r="S39" s="4"/>
      <c r="T39" s="4"/>
      <c r="U39" s="4"/>
      <c r="V39" s="4"/>
      <c r="W39" s="4"/>
    </row>
    <row r="40" spans="1:206">
      <c r="A40" s="4">
        <v>50</v>
      </c>
      <c r="B40" s="4">
        <v>1</v>
      </c>
      <c r="C40" s="4">
        <v>0</v>
      </c>
      <c r="D40" s="4">
        <v>1</v>
      </c>
      <c r="E40" s="4">
        <v>226</v>
      </c>
      <c r="F40" s="4">
        <f>ROUND(Source!AW34,O40)</f>
        <v>305</v>
      </c>
      <c r="G40" s="4" t="s">
        <v>69</v>
      </c>
      <c r="H40" s="4" t="s">
        <v>70</v>
      </c>
      <c r="I40" s="4"/>
      <c r="J40" s="4"/>
      <c r="K40" s="4">
        <v>226</v>
      </c>
      <c r="L40" s="4">
        <v>5</v>
      </c>
      <c r="M40" s="4">
        <v>1</v>
      </c>
      <c r="N40" s="4" t="s">
        <v>5</v>
      </c>
      <c r="O40" s="4">
        <v>0</v>
      </c>
      <c r="P40" s="4"/>
      <c r="Q40" s="4"/>
      <c r="R40" s="4"/>
      <c r="S40" s="4"/>
      <c r="T40" s="4"/>
      <c r="U40" s="4"/>
      <c r="V40" s="4"/>
      <c r="W40" s="4"/>
    </row>
    <row r="41" spans="1:206">
      <c r="A41" s="4">
        <v>50</v>
      </c>
      <c r="B41" s="4">
        <v>0</v>
      </c>
      <c r="C41" s="4">
        <v>0</v>
      </c>
      <c r="D41" s="4">
        <v>1</v>
      </c>
      <c r="E41" s="4">
        <v>227</v>
      </c>
      <c r="F41" s="4">
        <f>ROUND(Source!AX34,O41)</f>
        <v>0</v>
      </c>
      <c r="G41" s="4" t="s">
        <v>71</v>
      </c>
      <c r="H41" s="4" t="s">
        <v>72</v>
      </c>
      <c r="I41" s="4"/>
      <c r="J41" s="4"/>
      <c r="K41" s="4">
        <v>227</v>
      </c>
      <c r="L41" s="4">
        <v>6</v>
      </c>
      <c r="M41" s="4">
        <v>3</v>
      </c>
      <c r="N41" s="4" t="s">
        <v>5</v>
      </c>
      <c r="O41" s="4">
        <v>0</v>
      </c>
      <c r="P41" s="4"/>
      <c r="Q41" s="4"/>
      <c r="R41" s="4"/>
      <c r="S41" s="4"/>
      <c r="T41" s="4"/>
      <c r="U41" s="4"/>
      <c r="V41" s="4"/>
      <c r="W41" s="4"/>
    </row>
    <row r="42" spans="1:206">
      <c r="A42" s="4">
        <v>50</v>
      </c>
      <c r="B42" s="4">
        <v>0</v>
      </c>
      <c r="C42" s="4">
        <v>0</v>
      </c>
      <c r="D42" s="4">
        <v>1</v>
      </c>
      <c r="E42" s="4">
        <v>228</v>
      </c>
      <c r="F42" s="4">
        <f>ROUND(Source!AY34,O42)</f>
        <v>305</v>
      </c>
      <c r="G42" s="4" t="s">
        <v>73</v>
      </c>
      <c r="H42" s="4" t="s">
        <v>74</v>
      </c>
      <c r="I42" s="4"/>
      <c r="J42" s="4"/>
      <c r="K42" s="4">
        <v>228</v>
      </c>
      <c r="L42" s="4">
        <v>7</v>
      </c>
      <c r="M42" s="4">
        <v>3</v>
      </c>
      <c r="N42" s="4" t="s">
        <v>5</v>
      </c>
      <c r="O42" s="4">
        <v>0</v>
      </c>
      <c r="P42" s="4"/>
      <c r="Q42" s="4"/>
      <c r="R42" s="4"/>
      <c r="S42" s="4"/>
      <c r="T42" s="4"/>
      <c r="U42" s="4"/>
      <c r="V42" s="4"/>
      <c r="W42" s="4"/>
    </row>
    <row r="43" spans="1:206">
      <c r="A43" s="4">
        <v>50</v>
      </c>
      <c r="B43" s="4">
        <v>1</v>
      </c>
      <c r="C43" s="4">
        <v>0</v>
      </c>
      <c r="D43" s="4">
        <v>1</v>
      </c>
      <c r="E43" s="4">
        <v>216</v>
      </c>
      <c r="F43" s="4">
        <f>ROUND(Source!AP34,O43)</f>
        <v>55744</v>
      </c>
      <c r="G43" s="4" t="s">
        <v>75</v>
      </c>
      <c r="H43" s="4" t="s">
        <v>76</v>
      </c>
      <c r="I43" s="4"/>
      <c r="J43" s="4"/>
      <c r="K43" s="4">
        <v>216</v>
      </c>
      <c r="L43" s="4">
        <v>8</v>
      </c>
      <c r="M43" s="4">
        <v>1</v>
      </c>
      <c r="N43" s="4" t="s">
        <v>5</v>
      </c>
      <c r="O43" s="4">
        <v>0</v>
      </c>
      <c r="P43" s="4"/>
      <c r="Q43" s="4"/>
      <c r="R43" s="4"/>
      <c r="S43" s="4"/>
      <c r="T43" s="4"/>
      <c r="U43" s="4"/>
      <c r="V43" s="4"/>
      <c r="W43" s="4"/>
    </row>
    <row r="44" spans="1:206">
      <c r="A44" s="4">
        <v>50</v>
      </c>
      <c r="B44" s="4">
        <v>0</v>
      </c>
      <c r="C44" s="4">
        <v>0</v>
      </c>
      <c r="D44" s="4">
        <v>1</v>
      </c>
      <c r="E44" s="4">
        <v>223</v>
      </c>
      <c r="F44" s="4">
        <f>ROUND(Source!AQ34,O44)</f>
        <v>0</v>
      </c>
      <c r="G44" s="4" t="s">
        <v>77</v>
      </c>
      <c r="H44" s="4" t="s">
        <v>78</v>
      </c>
      <c r="I44" s="4"/>
      <c r="J44" s="4"/>
      <c r="K44" s="4">
        <v>223</v>
      </c>
      <c r="L44" s="4">
        <v>9</v>
      </c>
      <c r="M44" s="4">
        <v>3</v>
      </c>
      <c r="N44" s="4" t="s">
        <v>5</v>
      </c>
      <c r="O44" s="4">
        <v>0</v>
      </c>
      <c r="P44" s="4"/>
      <c r="Q44" s="4"/>
      <c r="R44" s="4"/>
      <c r="S44" s="4"/>
      <c r="T44" s="4"/>
      <c r="U44" s="4"/>
      <c r="V44" s="4"/>
      <c r="W44" s="4"/>
    </row>
    <row r="45" spans="1:206">
      <c r="A45" s="4">
        <v>50</v>
      </c>
      <c r="B45" s="4">
        <v>0</v>
      </c>
      <c r="C45" s="4">
        <v>0</v>
      </c>
      <c r="D45" s="4">
        <v>1</v>
      </c>
      <c r="E45" s="4">
        <v>229</v>
      </c>
      <c r="F45" s="4">
        <f>ROUND(Source!AZ34,O45)</f>
        <v>55744</v>
      </c>
      <c r="G45" s="4" t="s">
        <v>79</v>
      </c>
      <c r="H45" s="4" t="s">
        <v>80</v>
      </c>
      <c r="I45" s="4"/>
      <c r="J45" s="4"/>
      <c r="K45" s="4">
        <v>229</v>
      </c>
      <c r="L45" s="4">
        <v>10</v>
      </c>
      <c r="M45" s="4">
        <v>3</v>
      </c>
      <c r="N45" s="4" t="s">
        <v>5</v>
      </c>
      <c r="O45" s="4">
        <v>0</v>
      </c>
      <c r="P45" s="4"/>
      <c r="Q45" s="4"/>
      <c r="R45" s="4"/>
      <c r="S45" s="4"/>
      <c r="T45" s="4"/>
      <c r="U45" s="4"/>
      <c r="V45" s="4"/>
      <c r="W45" s="4"/>
    </row>
    <row r="46" spans="1:206">
      <c r="A46" s="4">
        <v>50</v>
      </c>
      <c r="B46" s="4">
        <v>1</v>
      </c>
      <c r="C46" s="4">
        <v>0</v>
      </c>
      <c r="D46" s="4">
        <v>1</v>
      </c>
      <c r="E46" s="4">
        <v>203</v>
      </c>
      <c r="F46" s="4">
        <f>ROUND(Source!Q34,O46)</f>
        <v>1796</v>
      </c>
      <c r="G46" s="4" t="s">
        <v>81</v>
      </c>
      <c r="H46" s="4" t="s">
        <v>82</v>
      </c>
      <c r="I46" s="4"/>
      <c r="J46" s="4"/>
      <c r="K46" s="4">
        <v>203</v>
      </c>
      <c r="L46" s="4">
        <v>11</v>
      </c>
      <c r="M46" s="4">
        <v>0</v>
      </c>
      <c r="N46" s="4" t="s">
        <v>5</v>
      </c>
      <c r="O46" s="4">
        <v>0</v>
      </c>
      <c r="P46" s="4"/>
      <c r="Q46" s="4"/>
      <c r="R46" s="4"/>
      <c r="S46" s="4"/>
      <c r="T46" s="4"/>
      <c r="U46" s="4"/>
      <c r="V46" s="4"/>
      <c r="W46" s="4"/>
    </row>
    <row r="47" spans="1:206">
      <c r="A47" s="4">
        <v>50</v>
      </c>
      <c r="B47" s="4">
        <v>0</v>
      </c>
      <c r="C47" s="4">
        <v>0</v>
      </c>
      <c r="D47" s="4">
        <v>1</v>
      </c>
      <c r="E47" s="4">
        <v>231</v>
      </c>
      <c r="F47" s="4">
        <f>ROUND(Source!BB34,O47)</f>
        <v>0</v>
      </c>
      <c r="G47" s="4" t="s">
        <v>83</v>
      </c>
      <c r="H47" s="4" t="s">
        <v>84</v>
      </c>
      <c r="I47" s="4"/>
      <c r="J47" s="4"/>
      <c r="K47" s="4">
        <v>231</v>
      </c>
      <c r="L47" s="4">
        <v>12</v>
      </c>
      <c r="M47" s="4">
        <v>3</v>
      </c>
      <c r="N47" s="4" t="s">
        <v>5</v>
      </c>
      <c r="O47" s="4">
        <v>0</v>
      </c>
      <c r="P47" s="4"/>
      <c r="Q47" s="4"/>
      <c r="R47" s="4"/>
      <c r="S47" s="4"/>
      <c r="T47" s="4"/>
      <c r="U47" s="4"/>
      <c r="V47" s="4"/>
      <c r="W47" s="4"/>
    </row>
    <row r="48" spans="1:206">
      <c r="A48" s="4">
        <v>50</v>
      </c>
      <c r="B48" s="4">
        <v>1</v>
      </c>
      <c r="C48" s="4">
        <v>0</v>
      </c>
      <c r="D48" s="4">
        <v>1</v>
      </c>
      <c r="E48" s="4">
        <v>204</v>
      </c>
      <c r="F48" s="4">
        <f>ROUND(Source!R34,O48)</f>
        <v>158</v>
      </c>
      <c r="G48" s="4" t="s">
        <v>85</v>
      </c>
      <c r="H48" s="4" t="s">
        <v>86</v>
      </c>
      <c r="I48" s="4"/>
      <c r="J48" s="4"/>
      <c r="K48" s="4">
        <v>204</v>
      </c>
      <c r="L48" s="4">
        <v>13</v>
      </c>
      <c r="M48" s="4">
        <v>0</v>
      </c>
      <c r="N48" s="4" t="s">
        <v>5</v>
      </c>
      <c r="O48" s="4">
        <v>0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1</v>
      </c>
      <c r="C49" s="4">
        <v>0</v>
      </c>
      <c r="D49" s="4">
        <v>1</v>
      </c>
      <c r="E49" s="4">
        <v>205</v>
      </c>
      <c r="F49" s="4">
        <f>ROUND(Source!S34,O49)</f>
        <v>1475</v>
      </c>
      <c r="G49" s="4" t="s">
        <v>87</v>
      </c>
      <c r="H49" s="4" t="s">
        <v>88</v>
      </c>
      <c r="I49" s="4"/>
      <c r="J49" s="4"/>
      <c r="K49" s="4">
        <v>205</v>
      </c>
      <c r="L49" s="4">
        <v>14</v>
      </c>
      <c r="M49" s="4">
        <v>0</v>
      </c>
      <c r="N49" s="4" t="s">
        <v>5</v>
      </c>
      <c r="O49" s="4">
        <v>0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232</v>
      </c>
      <c r="F50" s="4">
        <f>ROUND(Source!BC34,O50)</f>
        <v>0</v>
      </c>
      <c r="G50" s="4" t="s">
        <v>89</v>
      </c>
      <c r="H50" s="4" t="s">
        <v>90</v>
      </c>
      <c r="I50" s="4"/>
      <c r="J50" s="4"/>
      <c r="K50" s="4">
        <v>232</v>
      </c>
      <c r="L50" s="4">
        <v>15</v>
      </c>
      <c r="M50" s="4">
        <v>3</v>
      </c>
      <c r="N50" s="4" t="s">
        <v>5</v>
      </c>
      <c r="O50" s="4">
        <v>0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1</v>
      </c>
      <c r="C51" s="4">
        <v>0</v>
      </c>
      <c r="D51" s="4">
        <v>1</v>
      </c>
      <c r="E51" s="4">
        <v>214</v>
      </c>
      <c r="F51" s="4">
        <f>ROUND(Source!AS34,O51)</f>
        <v>0</v>
      </c>
      <c r="G51" s="4" t="s">
        <v>91</v>
      </c>
      <c r="H51" s="4" t="s">
        <v>92</v>
      </c>
      <c r="I51" s="4"/>
      <c r="J51" s="4"/>
      <c r="K51" s="4">
        <v>214</v>
      </c>
      <c r="L51" s="4">
        <v>16</v>
      </c>
      <c r="M51" s="4">
        <v>0</v>
      </c>
      <c r="N51" s="4" t="s">
        <v>5</v>
      </c>
      <c r="O51" s="4">
        <v>0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1</v>
      </c>
      <c r="C52" s="4">
        <v>0</v>
      </c>
      <c r="D52" s="4">
        <v>1</v>
      </c>
      <c r="E52" s="4">
        <v>215</v>
      </c>
      <c r="F52" s="4">
        <f>ROUND(Source!AT34,O52)</f>
        <v>3603</v>
      </c>
      <c r="G52" s="4" t="s">
        <v>93</v>
      </c>
      <c r="H52" s="4" t="s">
        <v>94</v>
      </c>
      <c r="I52" s="4"/>
      <c r="J52" s="4"/>
      <c r="K52" s="4">
        <v>215</v>
      </c>
      <c r="L52" s="4">
        <v>17</v>
      </c>
      <c r="M52" s="4">
        <v>0</v>
      </c>
      <c r="N52" s="4" t="s">
        <v>5</v>
      </c>
      <c r="O52" s="4">
        <v>0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1</v>
      </c>
      <c r="C53" s="4">
        <v>0</v>
      </c>
      <c r="D53" s="4">
        <v>1</v>
      </c>
      <c r="E53" s="4">
        <v>217</v>
      </c>
      <c r="F53" s="4">
        <f>ROUND(Source!AU34,O53)</f>
        <v>1949</v>
      </c>
      <c r="G53" s="4" t="s">
        <v>95</v>
      </c>
      <c r="H53" s="4" t="s">
        <v>96</v>
      </c>
      <c r="I53" s="4"/>
      <c r="J53" s="4"/>
      <c r="K53" s="4">
        <v>217</v>
      </c>
      <c r="L53" s="4">
        <v>18</v>
      </c>
      <c r="M53" s="4">
        <v>0</v>
      </c>
      <c r="N53" s="4" t="s">
        <v>5</v>
      </c>
      <c r="O53" s="4">
        <v>0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230</v>
      </c>
      <c r="F54" s="4">
        <f>ROUND(Source!BA34,O54)</f>
        <v>0</v>
      </c>
      <c r="G54" s="4" t="s">
        <v>97</v>
      </c>
      <c r="H54" s="4" t="s">
        <v>98</v>
      </c>
      <c r="I54" s="4"/>
      <c r="J54" s="4"/>
      <c r="K54" s="4">
        <v>230</v>
      </c>
      <c r="L54" s="4">
        <v>19</v>
      </c>
      <c r="M54" s="4">
        <v>3</v>
      </c>
      <c r="N54" s="4" t="s">
        <v>5</v>
      </c>
      <c r="O54" s="4">
        <v>0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206</v>
      </c>
      <c r="F55" s="4">
        <f>ROUND(Source!T34,O55)</f>
        <v>0</v>
      </c>
      <c r="G55" s="4" t="s">
        <v>99</v>
      </c>
      <c r="H55" s="4" t="s">
        <v>100</v>
      </c>
      <c r="I55" s="4"/>
      <c r="J55" s="4"/>
      <c r="K55" s="4">
        <v>206</v>
      </c>
      <c r="L55" s="4">
        <v>20</v>
      </c>
      <c r="M55" s="4">
        <v>3</v>
      </c>
      <c r="N55" s="4" t="s">
        <v>5</v>
      </c>
      <c r="O55" s="4">
        <v>0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1</v>
      </c>
      <c r="C56" s="4">
        <v>0</v>
      </c>
      <c r="D56" s="4">
        <v>1</v>
      </c>
      <c r="E56" s="4">
        <v>207</v>
      </c>
      <c r="F56" s="4">
        <f>ROUND(Source!U34,O56)</f>
        <v>134.31</v>
      </c>
      <c r="G56" s="4" t="s">
        <v>101</v>
      </c>
      <c r="H56" s="4" t="s">
        <v>102</v>
      </c>
      <c r="I56" s="4"/>
      <c r="J56" s="4"/>
      <c r="K56" s="4">
        <v>207</v>
      </c>
      <c r="L56" s="4">
        <v>21</v>
      </c>
      <c r="M56" s="4">
        <v>0</v>
      </c>
      <c r="N56" s="4" t="s">
        <v>5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1</v>
      </c>
      <c r="C57" s="4">
        <v>0</v>
      </c>
      <c r="D57" s="4">
        <v>1</v>
      </c>
      <c r="E57" s="4">
        <v>208</v>
      </c>
      <c r="F57" s="4">
        <f>ROUND(Source!V34,O57)</f>
        <v>12.32</v>
      </c>
      <c r="G57" s="4" t="s">
        <v>103</v>
      </c>
      <c r="H57" s="4" t="s">
        <v>104</v>
      </c>
      <c r="I57" s="4"/>
      <c r="J57" s="4"/>
      <c r="K57" s="4">
        <v>208</v>
      </c>
      <c r="L57" s="4">
        <v>22</v>
      </c>
      <c r="M57" s="4">
        <v>0</v>
      </c>
      <c r="N57" s="4" t="s">
        <v>5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209</v>
      </c>
      <c r="F58" s="4">
        <f>ROUND(Source!W34,O58)</f>
        <v>0</v>
      </c>
      <c r="G58" s="4" t="s">
        <v>105</v>
      </c>
      <c r="H58" s="4" t="s">
        <v>106</v>
      </c>
      <c r="I58" s="4"/>
      <c r="J58" s="4"/>
      <c r="K58" s="4">
        <v>209</v>
      </c>
      <c r="L58" s="4">
        <v>23</v>
      </c>
      <c r="M58" s="4">
        <v>3</v>
      </c>
      <c r="N58" s="4" t="s">
        <v>5</v>
      </c>
      <c r="O58" s="4">
        <v>0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1</v>
      </c>
      <c r="C59" s="4">
        <v>0</v>
      </c>
      <c r="D59" s="4">
        <v>1</v>
      </c>
      <c r="E59" s="4">
        <v>210</v>
      </c>
      <c r="F59" s="4">
        <f>ROUND(Source!X34,O59)</f>
        <v>1181</v>
      </c>
      <c r="G59" s="4" t="s">
        <v>107</v>
      </c>
      <c r="H59" s="4" t="s">
        <v>108</v>
      </c>
      <c r="I59" s="4"/>
      <c r="J59" s="4"/>
      <c r="K59" s="4">
        <v>210</v>
      </c>
      <c r="L59" s="4">
        <v>24</v>
      </c>
      <c r="M59" s="4">
        <v>0</v>
      </c>
      <c r="N59" s="4" t="s">
        <v>5</v>
      </c>
      <c r="O59" s="4">
        <v>0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1</v>
      </c>
      <c r="C60" s="4">
        <v>0</v>
      </c>
      <c r="D60" s="4">
        <v>1</v>
      </c>
      <c r="E60" s="4">
        <v>211</v>
      </c>
      <c r="F60" s="4">
        <f>ROUND(Source!Y34,O60)</f>
        <v>795</v>
      </c>
      <c r="G60" s="4" t="s">
        <v>109</v>
      </c>
      <c r="H60" s="4" t="s">
        <v>110</v>
      </c>
      <c r="I60" s="4"/>
      <c r="J60" s="4"/>
      <c r="K60" s="4">
        <v>211</v>
      </c>
      <c r="L60" s="4">
        <v>25</v>
      </c>
      <c r="M60" s="4">
        <v>0</v>
      </c>
      <c r="N60" s="4" t="s">
        <v>5</v>
      </c>
      <c r="O60" s="4">
        <v>0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1</v>
      </c>
      <c r="C61" s="4">
        <v>0</v>
      </c>
      <c r="D61" s="4">
        <v>1</v>
      </c>
      <c r="E61" s="4">
        <v>224</v>
      </c>
      <c r="F61" s="4">
        <f>ROUND(Source!AR34,O61)</f>
        <v>61296</v>
      </c>
      <c r="G61" s="4" t="s">
        <v>111</v>
      </c>
      <c r="H61" s="4" t="s">
        <v>112</v>
      </c>
      <c r="I61" s="4"/>
      <c r="J61" s="4"/>
      <c r="K61" s="4">
        <v>224</v>
      </c>
      <c r="L61" s="4">
        <v>26</v>
      </c>
      <c r="M61" s="4">
        <v>0</v>
      </c>
      <c r="N61" s="4" t="s">
        <v>5</v>
      </c>
      <c r="O61" s="4">
        <v>0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1</v>
      </c>
      <c r="C62" s="4">
        <v>0</v>
      </c>
      <c r="D62" s="4">
        <v>2</v>
      </c>
      <c r="E62" s="4">
        <v>0</v>
      </c>
      <c r="F62" s="4">
        <f>ROUND((F61-F53-F43)*7.13,O62)</f>
        <v>25689.39</v>
      </c>
      <c r="G62" s="4" t="s">
        <v>13</v>
      </c>
      <c r="H62" s="4" t="s">
        <v>113</v>
      </c>
      <c r="I62" s="4"/>
      <c r="J62" s="4"/>
      <c r="K62" s="4">
        <v>212</v>
      </c>
      <c r="L62" s="4">
        <v>27</v>
      </c>
      <c r="M62" s="4">
        <v>0</v>
      </c>
      <c r="N62" s="4" t="s">
        <v>5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1</v>
      </c>
      <c r="C63" s="4">
        <v>0</v>
      </c>
      <c r="D63" s="4">
        <v>2</v>
      </c>
      <c r="E63" s="4">
        <v>0</v>
      </c>
      <c r="F63" s="4">
        <f>ROUND(F43*4.64,O63)</f>
        <v>258652.16</v>
      </c>
      <c r="G63" s="4" t="s">
        <v>21</v>
      </c>
      <c r="H63" s="4" t="s">
        <v>114</v>
      </c>
      <c r="I63" s="4"/>
      <c r="J63" s="4"/>
      <c r="K63" s="4">
        <v>212</v>
      </c>
      <c r="L63" s="4">
        <v>28</v>
      </c>
      <c r="M63" s="4">
        <v>0</v>
      </c>
      <c r="N63" s="4" t="s">
        <v>5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1</v>
      </c>
      <c r="C64" s="4">
        <v>0</v>
      </c>
      <c r="D64" s="4">
        <v>2</v>
      </c>
      <c r="E64" s="4">
        <v>0</v>
      </c>
      <c r="F64" s="4">
        <f>ROUND(F53*2.96,O64)</f>
        <v>5769.04</v>
      </c>
      <c r="G64" s="4" t="s">
        <v>28</v>
      </c>
      <c r="H64" s="4" t="s">
        <v>115</v>
      </c>
      <c r="I64" s="4"/>
      <c r="J64" s="4"/>
      <c r="K64" s="4">
        <v>212</v>
      </c>
      <c r="L64" s="4">
        <v>29</v>
      </c>
      <c r="M64" s="4">
        <v>0</v>
      </c>
      <c r="N64" s="4" t="s">
        <v>5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1</v>
      </c>
      <c r="C65" s="4">
        <v>0</v>
      </c>
      <c r="D65" s="4">
        <v>2</v>
      </c>
      <c r="E65" s="4">
        <v>0</v>
      </c>
      <c r="F65" s="4">
        <f>ROUND(F64+F63+F62,O65)</f>
        <v>290110.59000000003</v>
      </c>
      <c r="G65" s="4" t="s">
        <v>41</v>
      </c>
      <c r="H65" s="4" t="s">
        <v>116</v>
      </c>
      <c r="I65" s="4"/>
      <c r="J65" s="4"/>
      <c r="K65" s="4">
        <v>212</v>
      </c>
      <c r="L65" s="4">
        <v>32</v>
      </c>
      <c r="M65" s="4">
        <v>0</v>
      </c>
      <c r="N65" s="4" t="s">
        <v>5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1</v>
      </c>
      <c r="C66" s="4">
        <v>0</v>
      </c>
      <c r="D66" s="4">
        <v>2</v>
      </c>
      <c r="E66" s="4">
        <v>0</v>
      </c>
      <c r="F66" s="4">
        <f>ROUND(F65*18/100,O66)</f>
        <v>52219.91</v>
      </c>
      <c r="G66" s="4" t="s">
        <v>45</v>
      </c>
      <c r="H66" s="4" t="s">
        <v>117</v>
      </c>
      <c r="I66" s="4"/>
      <c r="J66" s="4"/>
      <c r="K66" s="4">
        <v>212</v>
      </c>
      <c r="L66" s="4">
        <v>33</v>
      </c>
      <c r="M66" s="4">
        <v>0</v>
      </c>
      <c r="N66" s="4" t="s">
        <v>5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1</v>
      </c>
      <c r="C67" s="4">
        <v>0</v>
      </c>
      <c r="D67" s="4">
        <v>2</v>
      </c>
      <c r="E67" s="4">
        <v>0</v>
      </c>
      <c r="F67" s="4">
        <f>ROUND(F66+F65,O67)</f>
        <v>342330.5</v>
      </c>
      <c r="G67" s="4" t="s">
        <v>49</v>
      </c>
      <c r="H67" s="4" t="s">
        <v>118</v>
      </c>
      <c r="I67" s="4"/>
      <c r="J67" s="4"/>
      <c r="K67" s="4">
        <v>212</v>
      </c>
      <c r="L67" s="4">
        <v>34</v>
      </c>
      <c r="M67" s="4">
        <v>0</v>
      </c>
      <c r="N67" s="4" t="s">
        <v>5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9" spans="1:206">
      <c r="A69" s="2">
        <v>51</v>
      </c>
      <c r="B69" s="2">
        <f>B12</f>
        <v>133</v>
      </c>
      <c r="C69" s="2">
        <f>A12</f>
        <v>1</v>
      </c>
      <c r="D69" s="2">
        <f>ROW(A12)</f>
        <v>12</v>
      </c>
      <c r="E69" s="2"/>
      <c r="F69" s="2" t="str">
        <f>IF(F12&lt;&gt;"",F12,"")</f>
        <v>Новый объект_(Копия)</v>
      </c>
      <c r="G69" s="2" t="str">
        <f>IF(G12&lt;&gt;"",G12,"")</f>
        <v>Монтаж крана мостового с талью г/п 2 т</v>
      </c>
      <c r="H69" s="2">
        <v>0</v>
      </c>
      <c r="I69" s="2"/>
      <c r="J69" s="2"/>
      <c r="K69" s="2"/>
      <c r="L69" s="2"/>
      <c r="M69" s="2"/>
      <c r="N69" s="2"/>
      <c r="O69" s="2">
        <f t="shared" ref="O69:T69" si="55">ROUND(O34,0)</f>
        <v>59320</v>
      </c>
      <c r="P69" s="2">
        <f t="shared" si="55"/>
        <v>56049</v>
      </c>
      <c r="Q69" s="2">
        <f t="shared" si="55"/>
        <v>1796</v>
      </c>
      <c r="R69" s="2">
        <f t="shared" si="55"/>
        <v>158</v>
      </c>
      <c r="S69" s="2">
        <f t="shared" si="55"/>
        <v>1475</v>
      </c>
      <c r="T69" s="2">
        <f t="shared" si="55"/>
        <v>0</v>
      </c>
      <c r="U69" s="2">
        <f>U34</f>
        <v>134.30680000000001</v>
      </c>
      <c r="V69" s="2">
        <f>V34</f>
        <v>12.320399999999999</v>
      </c>
      <c r="W69" s="2">
        <f>ROUND(W34,0)</f>
        <v>0</v>
      </c>
      <c r="X69" s="2">
        <f>ROUND(X34,0)</f>
        <v>1181</v>
      </c>
      <c r="Y69" s="2">
        <f>ROUND(Y34,0)</f>
        <v>795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>
        <f t="shared" ref="AO69:BC69" si="56">ROUND(AO34,0)</f>
        <v>0</v>
      </c>
      <c r="AP69" s="2">
        <f t="shared" si="56"/>
        <v>55744</v>
      </c>
      <c r="AQ69" s="2">
        <f t="shared" si="56"/>
        <v>0</v>
      </c>
      <c r="AR69" s="2">
        <f t="shared" si="56"/>
        <v>61296</v>
      </c>
      <c r="AS69" s="2">
        <f t="shared" si="56"/>
        <v>0</v>
      </c>
      <c r="AT69" s="2">
        <f t="shared" si="56"/>
        <v>3603</v>
      </c>
      <c r="AU69" s="2">
        <f t="shared" si="56"/>
        <v>1949</v>
      </c>
      <c r="AV69" s="2">
        <f t="shared" si="56"/>
        <v>56049</v>
      </c>
      <c r="AW69" s="2">
        <f t="shared" si="56"/>
        <v>305</v>
      </c>
      <c r="AX69" s="2">
        <f t="shared" si="56"/>
        <v>0</v>
      </c>
      <c r="AY69" s="2">
        <f t="shared" si="56"/>
        <v>305</v>
      </c>
      <c r="AZ69" s="2">
        <f t="shared" si="56"/>
        <v>55744</v>
      </c>
      <c r="BA69" s="2">
        <f t="shared" si="56"/>
        <v>0</v>
      </c>
      <c r="BB69" s="2">
        <f t="shared" si="56"/>
        <v>0</v>
      </c>
      <c r="BC69" s="2">
        <f t="shared" si="56"/>
        <v>0</v>
      </c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>
        <v>0</v>
      </c>
    </row>
    <row r="71" spans="1:206">
      <c r="A71" s="4">
        <v>50</v>
      </c>
      <c r="B71" s="4">
        <v>1</v>
      </c>
      <c r="C71" s="4">
        <v>0</v>
      </c>
      <c r="D71" s="4">
        <v>1</v>
      </c>
      <c r="E71" s="4">
        <v>201</v>
      </c>
      <c r="F71" s="4">
        <f>ROUND(Source!O69,O71)</f>
        <v>59320</v>
      </c>
      <c r="G71" s="4" t="s">
        <v>61</v>
      </c>
      <c r="H71" s="4" t="s">
        <v>62</v>
      </c>
      <c r="I71" s="4"/>
      <c r="J71" s="4"/>
      <c r="K71" s="4">
        <v>201</v>
      </c>
      <c r="L71" s="4">
        <v>1</v>
      </c>
      <c r="M71" s="4">
        <v>0</v>
      </c>
      <c r="N71" s="4" t="s">
        <v>5</v>
      </c>
      <c r="O71" s="4">
        <v>0</v>
      </c>
      <c r="P71" s="4"/>
      <c r="Q71" s="4"/>
      <c r="R71" s="4"/>
      <c r="S71" s="4"/>
      <c r="T71" s="4"/>
      <c r="U71" s="4"/>
      <c r="V71" s="4"/>
      <c r="W71" s="4"/>
    </row>
    <row r="72" spans="1:206">
      <c r="A72" s="4">
        <v>50</v>
      </c>
      <c r="B72" s="4">
        <v>1</v>
      </c>
      <c r="C72" s="4">
        <v>0</v>
      </c>
      <c r="D72" s="4">
        <v>1</v>
      </c>
      <c r="E72" s="4">
        <v>202</v>
      </c>
      <c r="F72" s="4">
        <f>ROUND(Source!P69,O72)</f>
        <v>56049</v>
      </c>
      <c r="G72" s="4" t="s">
        <v>63</v>
      </c>
      <c r="H72" s="4" t="s">
        <v>64</v>
      </c>
      <c r="I72" s="4"/>
      <c r="J72" s="4"/>
      <c r="K72" s="4">
        <v>202</v>
      </c>
      <c r="L72" s="4">
        <v>2</v>
      </c>
      <c r="M72" s="4">
        <v>0</v>
      </c>
      <c r="N72" s="4" t="s">
        <v>5</v>
      </c>
      <c r="O72" s="4">
        <v>0</v>
      </c>
      <c r="P72" s="4"/>
      <c r="Q72" s="4"/>
      <c r="R72" s="4"/>
      <c r="S72" s="4"/>
      <c r="T72" s="4"/>
      <c r="U72" s="4"/>
      <c r="V72" s="4"/>
      <c r="W72" s="4"/>
    </row>
    <row r="73" spans="1:206">
      <c r="A73" s="4">
        <v>50</v>
      </c>
      <c r="B73" s="4">
        <v>0</v>
      </c>
      <c r="C73" s="4">
        <v>0</v>
      </c>
      <c r="D73" s="4">
        <v>1</v>
      </c>
      <c r="E73" s="4">
        <v>222</v>
      </c>
      <c r="F73" s="4">
        <f>ROUND(Source!AO69,O73)</f>
        <v>0</v>
      </c>
      <c r="G73" s="4" t="s">
        <v>65</v>
      </c>
      <c r="H73" s="4" t="s">
        <v>66</v>
      </c>
      <c r="I73" s="4"/>
      <c r="J73" s="4"/>
      <c r="K73" s="4">
        <v>222</v>
      </c>
      <c r="L73" s="4">
        <v>3</v>
      </c>
      <c r="M73" s="4">
        <v>3</v>
      </c>
      <c r="N73" s="4" t="s">
        <v>5</v>
      </c>
      <c r="O73" s="4">
        <v>0</v>
      </c>
      <c r="P73" s="4"/>
      <c r="Q73" s="4"/>
      <c r="R73" s="4"/>
      <c r="S73" s="4"/>
      <c r="T73" s="4"/>
      <c r="U73" s="4"/>
      <c r="V73" s="4"/>
      <c r="W73" s="4"/>
    </row>
    <row r="74" spans="1:206">
      <c r="A74" s="4">
        <v>50</v>
      </c>
      <c r="B74" s="4">
        <v>0</v>
      </c>
      <c r="C74" s="4">
        <v>0</v>
      </c>
      <c r="D74" s="4">
        <v>1</v>
      </c>
      <c r="E74" s="4">
        <v>225</v>
      </c>
      <c r="F74" s="4">
        <f>ROUND(Source!AV69,O74)</f>
        <v>56049</v>
      </c>
      <c r="G74" s="4" t="s">
        <v>67</v>
      </c>
      <c r="H74" s="4" t="s">
        <v>68</v>
      </c>
      <c r="I74" s="4"/>
      <c r="J74" s="4"/>
      <c r="K74" s="4">
        <v>225</v>
      </c>
      <c r="L74" s="4">
        <v>4</v>
      </c>
      <c r="M74" s="4">
        <v>3</v>
      </c>
      <c r="N74" s="4" t="s">
        <v>5</v>
      </c>
      <c r="O74" s="4">
        <v>0</v>
      </c>
      <c r="P74" s="4"/>
      <c r="Q74" s="4"/>
      <c r="R74" s="4"/>
      <c r="S74" s="4"/>
      <c r="T74" s="4"/>
      <c r="U74" s="4"/>
      <c r="V74" s="4"/>
      <c r="W74" s="4"/>
    </row>
    <row r="75" spans="1:206">
      <c r="A75" s="4">
        <v>50</v>
      </c>
      <c r="B75" s="4">
        <v>1</v>
      </c>
      <c r="C75" s="4">
        <v>0</v>
      </c>
      <c r="D75" s="4">
        <v>1</v>
      </c>
      <c r="E75" s="4">
        <v>226</v>
      </c>
      <c r="F75" s="4">
        <f>ROUND(Source!AW69,O75)</f>
        <v>305</v>
      </c>
      <c r="G75" s="4" t="s">
        <v>69</v>
      </c>
      <c r="H75" s="4" t="s">
        <v>70</v>
      </c>
      <c r="I75" s="4"/>
      <c r="J75" s="4"/>
      <c r="K75" s="4">
        <v>226</v>
      </c>
      <c r="L75" s="4">
        <v>5</v>
      </c>
      <c r="M75" s="4">
        <v>1</v>
      </c>
      <c r="N75" s="4" t="s">
        <v>5</v>
      </c>
      <c r="O75" s="4">
        <v>0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227</v>
      </c>
      <c r="F76" s="4">
        <f>ROUND(Source!AX69,O76)</f>
        <v>0</v>
      </c>
      <c r="G76" s="4" t="s">
        <v>71</v>
      </c>
      <c r="H76" s="4" t="s">
        <v>72</v>
      </c>
      <c r="I76" s="4"/>
      <c r="J76" s="4"/>
      <c r="K76" s="4">
        <v>227</v>
      </c>
      <c r="L76" s="4">
        <v>6</v>
      </c>
      <c r="M76" s="4">
        <v>3</v>
      </c>
      <c r="N76" s="4" t="s">
        <v>5</v>
      </c>
      <c r="O76" s="4">
        <v>0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228</v>
      </c>
      <c r="F77" s="4">
        <f>ROUND(Source!AY69,O77)</f>
        <v>305</v>
      </c>
      <c r="G77" s="4" t="s">
        <v>73</v>
      </c>
      <c r="H77" s="4" t="s">
        <v>74</v>
      </c>
      <c r="I77" s="4"/>
      <c r="J77" s="4"/>
      <c r="K77" s="4">
        <v>228</v>
      </c>
      <c r="L77" s="4">
        <v>7</v>
      </c>
      <c r="M77" s="4">
        <v>3</v>
      </c>
      <c r="N77" s="4" t="s">
        <v>5</v>
      </c>
      <c r="O77" s="4">
        <v>0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1</v>
      </c>
      <c r="C78" s="4">
        <v>0</v>
      </c>
      <c r="D78" s="4">
        <v>1</v>
      </c>
      <c r="E78" s="4">
        <v>216</v>
      </c>
      <c r="F78" s="4">
        <f>ROUND(Source!AP69,O78)</f>
        <v>55744</v>
      </c>
      <c r="G78" s="4" t="s">
        <v>75</v>
      </c>
      <c r="H78" s="4" t="s">
        <v>76</v>
      </c>
      <c r="I78" s="4"/>
      <c r="J78" s="4"/>
      <c r="K78" s="4">
        <v>216</v>
      </c>
      <c r="L78" s="4">
        <v>8</v>
      </c>
      <c r="M78" s="4">
        <v>1</v>
      </c>
      <c r="N78" s="4" t="s">
        <v>5</v>
      </c>
      <c r="O78" s="4">
        <v>0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223</v>
      </c>
      <c r="F79" s="4">
        <f>ROUND(Source!AQ69,O79)</f>
        <v>0</v>
      </c>
      <c r="G79" s="4" t="s">
        <v>77</v>
      </c>
      <c r="H79" s="4" t="s">
        <v>78</v>
      </c>
      <c r="I79" s="4"/>
      <c r="J79" s="4"/>
      <c r="K79" s="4">
        <v>223</v>
      </c>
      <c r="L79" s="4">
        <v>9</v>
      </c>
      <c r="M79" s="4">
        <v>3</v>
      </c>
      <c r="N79" s="4" t="s">
        <v>5</v>
      </c>
      <c r="O79" s="4">
        <v>0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229</v>
      </c>
      <c r="F80" s="4">
        <f>ROUND(Source!AZ69,O80)</f>
        <v>55744</v>
      </c>
      <c r="G80" s="4" t="s">
        <v>79</v>
      </c>
      <c r="H80" s="4" t="s">
        <v>80</v>
      </c>
      <c r="I80" s="4"/>
      <c r="J80" s="4"/>
      <c r="K80" s="4">
        <v>229</v>
      </c>
      <c r="L80" s="4">
        <v>10</v>
      </c>
      <c r="M80" s="4">
        <v>3</v>
      </c>
      <c r="N80" s="4" t="s">
        <v>5</v>
      </c>
      <c r="O80" s="4">
        <v>0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1</v>
      </c>
      <c r="C81" s="4">
        <v>0</v>
      </c>
      <c r="D81" s="4">
        <v>1</v>
      </c>
      <c r="E81" s="4">
        <v>203</v>
      </c>
      <c r="F81" s="4">
        <f>ROUND(Source!Q69,O81)</f>
        <v>1796</v>
      </c>
      <c r="G81" s="4" t="s">
        <v>81</v>
      </c>
      <c r="H81" s="4" t="s">
        <v>82</v>
      </c>
      <c r="I81" s="4"/>
      <c r="J81" s="4"/>
      <c r="K81" s="4">
        <v>203</v>
      </c>
      <c r="L81" s="4">
        <v>11</v>
      </c>
      <c r="M81" s="4">
        <v>0</v>
      </c>
      <c r="N81" s="4" t="s">
        <v>5</v>
      </c>
      <c r="O81" s="4">
        <v>0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231</v>
      </c>
      <c r="F82" s="4">
        <f>ROUND(Source!BB69,O82)</f>
        <v>0</v>
      </c>
      <c r="G82" s="4" t="s">
        <v>83</v>
      </c>
      <c r="H82" s="4" t="s">
        <v>84</v>
      </c>
      <c r="I82" s="4"/>
      <c r="J82" s="4"/>
      <c r="K82" s="4">
        <v>231</v>
      </c>
      <c r="L82" s="4">
        <v>12</v>
      </c>
      <c r="M82" s="4">
        <v>3</v>
      </c>
      <c r="N82" s="4" t="s">
        <v>5</v>
      </c>
      <c r="O82" s="4">
        <v>0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1</v>
      </c>
      <c r="C83" s="4">
        <v>0</v>
      </c>
      <c r="D83" s="4">
        <v>1</v>
      </c>
      <c r="E83" s="4">
        <v>204</v>
      </c>
      <c r="F83" s="4">
        <f>ROUND(Source!R69,O83)</f>
        <v>158</v>
      </c>
      <c r="G83" s="4" t="s">
        <v>85</v>
      </c>
      <c r="H83" s="4" t="s">
        <v>86</v>
      </c>
      <c r="I83" s="4"/>
      <c r="J83" s="4"/>
      <c r="K83" s="4">
        <v>204</v>
      </c>
      <c r="L83" s="4">
        <v>13</v>
      </c>
      <c r="M83" s="4">
        <v>0</v>
      </c>
      <c r="N83" s="4" t="s">
        <v>5</v>
      </c>
      <c r="O83" s="4">
        <v>0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1</v>
      </c>
      <c r="C84" s="4">
        <v>0</v>
      </c>
      <c r="D84" s="4">
        <v>1</v>
      </c>
      <c r="E84" s="4">
        <v>205</v>
      </c>
      <c r="F84" s="4">
        <f>ROUND(Source!S69,O84)</f>
        <v>1475</v>
      </c>
      <c r="G84" s="4" t="s">
        <v>87</v>
      </c>
      <c r="H84" s="4" t="s">
        <v>88</v>
      </c>
      <c r="I84" s="4"/>
      <c r="J84" s="4"/>
      <c r="K84" s="4">
        <v>205</v>
      </c>
      <c r="L84" s="4">
        <v>14</v>
      </c>
      <c r="M84" s="4">
        <v>0</v>
      </c>
      <c r="N84" s="4" t="s">
        <v>5</v>
      </c>
      <c r="O84" s="4">
        <v>0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232</v>
      </c>
      <c r="F85" s="4">
        <f>ROUND(Source!BC69,O85)</f>
        <v>0</v>
      </c>
      <c r="G85" s="4" t="s">
        <v>89</v>
      </c>
      <c r="H85" s="4" t="s">
        <v>90</v>
      </c>
      <c r="I85" s="4"/>
      <c r="J85" s="4"/>
      <c r="K85" s="4">
        <v>232</v>
      </c>
      <c r="L85" s="4">
        <v>15</v>
      </c>
      <c r="M85" s="4">
        <v>3</v>
      </c>
      <c r="N85" s="4" t="s">
        <v>5</v>
      </c>
      <c r="O85" s="4">
        <v>0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1</v>
      </c>
      <c r="C86" s="4">
        <v>0</v>
      </c>
      <c r="D86" s="4">
        <v>1</v>
      </c>
      <c r="E86" s="4">
        <v>214</v>
      </c>
      <c r="F86" s="4">
        <f>ROUND(Source!AS69,O86)</f>
        <v>0</v>
      </c>
      <c r="G86" s="4" t="s">
        <v>91</v>
      </c>
      <c r="H86" s="4" t="s">
        <v>92</v>
      </c>
      <c r="I86" s="4"/>
      <c r="J86" s="4"/>
      <c r="K86" s="4">
        <v>214</v>
      </c>
      <c r="L86" s="4">
        <v>16</v>
      </c>
      <c r="M86" s="4">
        <v>0</v>
      </c>
      <c r="N86" s="4" t="s">
        <v>5</v>
      </c>
      <c r="O86" s="4">
        <v>0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1</v>
      </c>
      <c r="C87" s="4">
        <v>0</v>
      </c>
      <c r="D87" s="4">
        <v>1</v>
      </c>
      <c r="E87" s="4">
        <v>215</v>
      </c>
      <c r="F87" s="4">
        <f>ROUND(Source!AT69,O87)</f>
        <v>3603</v>
      </c>
      <c r="G87" s="4" t="s">
        <v>93</v>
      </c>
      <c r="H87" s="4" t="s">
        <v>94</v>
      </c>
      <c r="I87" s="4"/>
      <c r="J87" s="4"/>
      <c r="K87" s="4">
        <v>215</v>
      </c>
      <c r="L87" s="4">
        <v>17</v>
      </c>
      <c r="M87" s="4">
        <v>0</v>
      </c>
      <c r="N87" s="4" t="s">
        <v>5</v>
      </c>
      <c r="O87" s="4">
        <v>0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1</v>
      </c>
      <c r="C88" s="4">
        <v>0</v>
      </c>
      <c r="D88" s="4">
        <v>1</v>
      </c>
      <c r="E88" s="4">
        <v>217</v>
      </c>
      <c r="F88" s="4">
        <f>ROUND(Source!AU69,O88)</f>
        <v>1949</v>
      </c>
      <c r="G88" s="4" t="s">
        <v>95</v>
      </c>
      <c r="H88" s="4" t="s">
        <v>96</v>
      </c>
      <c r="I88" s="4"/>
      <c r="J88" s="4"/>
      <c r="K88" s="4">
        <v>217</v>
      </c>
      <c r="L88" s="4">
        <v>18</v>
      </c>
      <c r="M88" s="4">
        <v>0</v>
      </c>
      <c r="N88" s="4" t="s">
        <v>5</v>
      </c>
      <c r="O88" s="4">
        <v>0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230</v>
      </c>
      <c r="F89" s="4">
        <f>ROUND(Source!BA69,O89)</f>
        <v>0</v>
      </c>
      <c r="G89" s="4" t="s">
        <v>97</v>
      </c>
      <c r="H89" s="4" t="s">
        <v>98</v>
      </c>
      <c r="I89" s="4"/>
      <c r="J89" s="4"/>
      <c r="K89" s="4">
        <v>230</v>
      </c>
      <c r="L89" s="4">
        <v>19</v>
      </c>
      <c r="M89" s="4">
        <v>3</v>
      </c>
      <c r="N89" s="4" t="s">
        <v>5</v>
      </c>
      <c r="O89" s="4">
        <v>0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206</v>
      </c>
      <c r="F90" s="4">
        <f>ROUND(Source!T69,O90)</f>
        <v>0</v>
      </c>
      <c r="G90" s="4" t="s">
        <v>99</v>
      </c>
      <c r="H90" s="4" t="s">
        <v>100</v>
      </c>
      <c r="I90" s="4"/>
      <c r="J90" s="4"/>
      <c r="K90" s="4">
        <v>206</v>
      </c>
      <c r="L90" s="4">
        <v>20</v>
      </c>
      <c r="M90" s="4">
        <v>3</v>
      </c>
      <c r="N90" s="4" t="s">
        <v>5</v>
      </c>
      <c r="O90" s="4">
        <v>0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1</v>
      </c>
      <c r="C91" s="4">
        <v>0</v>
      </c>
      <c r="D91" s="4">
        <v>1</v>
      </c>
      <c r="E91" s="4">
        <v>207</v>
      </c>
      <c r="F91" s="4">
        <f>ROUND(Source!U69,O91)</f>
        <v>134.31</v>
      </c>
      <c r="G91" s="4" t="s">
        <v>101</v>
      </c>
      <c r="H91" s="4" t="s">
        <v>102</v>
      </c>
      <c r="I91" s="4"/>
      <c r="J91" s="4"/>
      <c r="K91" s="4">
        <v>207</v>
      </c>
      <c r="L91" s="4">
        <v>21</v>
      </c>
      <c r="M91" s="4">
        <v>0</v>
      </c>
      <c r="N91" s="4" t="s">
        <v>5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1</v>
      </c>
      <c r="C92" s="4">
        <v>0</v>
      </c>
      <c r="D92" s="4">
        <v>1</v>
      </c>
      <c r="E92" s="4">
        <v>208</v>
      </c>
      <c r="F92" s="4">
        <f>ROUND(Source!V69,O92)</f>
        <v>12.32</v>
      </c>
      <c r="G92" s="4" t="s">
        <v>103</v>
      </c>
      <c r="H92" s="4" t="s">
        <v>104</v>
      </c>
      <c r="I92" s="4"/>
      <c r="J92" s="4"/>
      <c r="K92" s="4">
        <v>208</v>
      </c>
      <c r="L92" s="4">
        <v>22</v>
      </c>
      <c r="M92" s="4">
        <v>0</v>
      </c>
      <c r="N92" s="4" t="s">
        <v>5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209</v>
      </c>
      <c r="F93" s="4">
        <f>ROUND(Source!W69,O93)</f>
        <v>0</v>
      </c>
      <c r="G93" s="4" t="s">
        <v>105</v>
      </c>
      <c r="H93" s="4" t="s">
        <v>106</v>
      </c>
      <c r="I93" s="4"/>
      <c r="J93" s="4"/>
      <c r="K93" s="4">
        <v>209</v>
      </c>
      <c r="L93" s="4">
        <v>23</v>
      </c>
      <c r="M93" s="4">
        <v>3</v>
      </c>
      <c r="N93" s="4" t="s">
        <v>5</v>
      </c>
      <c r="O93" s="4">
        <v>0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1</v>
      </c>
      <c r="C94" s="4">
        <v>0</v>
      </c>
      <c r="D94" s="4">
        <v>1</v>
      </c>
      <c r="E94" s="4">
        <v>210</v>
      </c>
      <c r="F94" s="4">
        <f>ROUND(Source!X69,O94)</f>
        <v>1181</v>
      </c>
      <c r="G94" s="4" t="s">
        <v>107</v>
      </c>
      <c r="H94" s="4" t="s">
        <v>108</v>
      </c>
      <c r="I94" s="4"/>
      <c r="J94" s="4"/>
      <c r="K94" s="4">
        <v>210</v>
      </c>
      <c r="L94" s="4">
        <v>24</v>
      </c>
      <c r="M94" s="4">
        <v>0</v>
      </c>
      <c r="N94" s="4" t="s">
        <v>5</v>
      </c>
      <c r="O94" s="4">
        <v>0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1</v>
      </c>
      <c r="C95" s="4">
        <v>0</v>
      </c>
      <c r="D95" s="4">
        <v>1</v>
      </c>
      <c r="E95" s="4">
        <v>211</v>
      </c>
      <c r="F95" s="4">
        <f>ROUND(Source!Y69,O95)</f>
        <v>795</v>
      </c>
      <c r="G95" s="4" t="s">
        <v>109</v>
      </c>
      <c r="H95" s="4" t="s">
        <v>110</v>
      </c>
      <c r="I95" s="4"/>
      <c r="J95" s="4"/>
      <c r="K95" s="4">
        <v>211</v>
      </c>
      <c r="L95" s="4">
        <v>25</v>
      </c>
      <c r="M95" s="4">
        <v>0</v>
      </c>
      <c r="N95" s="4" t="s">
        <v>5</v>
      </c>
      <c r="O95" s="4">
        <v>0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1</v>
      </c>
      <c r="C96" s="4">
        <v>0</v>
      </c>
      <c r="D96" s="4">
        <v>1</v>
      </c>
      <c r="E96" s="4">
        <v>224</v>
      </c>
      <c r="F96" s="4">
        <f>ROUND(Source!AR69,O96)</f>
        <v>61296</v>
      </c>
      <c r="G96" s="4" t="s">
        <v>111</v>
      </c>
      <c r="H96" s="4" t="s">
        <v>112</v>
      </c>
      <c r="I96" s="4"/>
      <c r="J96" s="4"/>
      <c r="K96" s="4">
        <v>224</v>
      </c>
      <c r="L96" s="4">
        <v>26</v>
      </c>
      <c r="M96" s="4">
        <v>0</v>
      </c>
      <c r="N96" s="4" t="s">
        <v>5</v>
      </c>
      <c r="O96" s="4">
        <v>0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1</v>
      </c>
      <c r="C97" s="4">
        <v>0</v>
      </c>
      <c r="D97" s="4">
        <v>2</v>
      </c>
      <c r="E97" s="4">
        <v>0</v>
      </c>
      <c r="F97" s="4">
        <f>ROUND((F96-F88-F78)*7.13,O97)</f>
        <v>25689.39</v>
      </c>
      <c r="G97" s="4" t="s">
        <v>13</v>
      </c>
      <c r="H97" s="4" t="s">
        <v>113</v>
      </c>
      <c r="I97" s="4"/>
      <c r="J97" s="4"/>
      <c r="K97" s="4">
        <v>212</v>
      </c>
      <c r="L97" s="4">
        <v>27</v>
      </c>
      <c r="M97" s="4">
        <v>0</v>
      </c>
      <c r="N97" s="4" t="s">
        <v>5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1</v>
      </c>
      <c r="C98" s="4">
        <v>0</v>
      </c>
      <c r="D98" s="4">
        <v>2</v>
      </c>
      <c r="E98" s="4">
        <v>0</v>
      </c>
      <c r="F98" s="4">
        <f>ROUND(F78*4.64,O98)</f>
        <v>258652.16</v>
      </c>
      <c r="G98" s="4" t="s">
        <v>21</v>
      </c>
      <c r="H98" s="4" t="s">
        <v>114</v>
      </c>
      <c r="I98" s="4"/>
      <c r="J98" s="4"/>
      <c r="K98" s="4">
        <v>212</v>
      </c>
      <c r="L98" s="4">
        <v>28</v>
      </c>
      <c r="M98" s="4">
        <v>0</v>
      </c>
      <c r="N98" s="4" t="s">
        <v>5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1</v>
      </c>
      <c r="C99" s="4">
        <v>0</v>
      </c>
      <c r="D99" s="4">
        <v>2</v>
      </c>
      <c r="E99" s="4">
        <v>0</v>
      </c>
      <c r="F99" s="4">
        <f>ROUND(F88*2.96,O99)</f>
        <v>5769.04</v>
      </c>
      <c r="G99" s="4" t="s">
        <v>28</v>
      </c>
      <c r="H99" s="4" t="s">
        <v>115</v>
      </c>
      <c r="I99" s="4"/>
      <c r="J99" s="4"/>
      <c r="K99" s="4">
        <v>212</v>
      </c>
      <c r="L99" s="4">
        <v>29</v>
      </c>
      <c r="M99" s="4">
        <v>0</v>
      </c>
      <c r="N99" s="4" t="s">
        <v>5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>
      <c r="A100" s="4">
        <v>50</v>
      </c>
      <c r="B100" s="4">
        <v>1</v>
      </c>
      <c r="C100" s="4">
        <v>0</v>
      </c>
      <c r="D100" s="4">
        <v>2</v>
      </c>
      <c r="E100" s="4">
        <v>0</v>
      </c>
      <c r="F100" s="4">
        <f>ROUND(F99+F98+F97,O100)</f>
        <v>290110.59000000003</v>
      </c>
      <c r="G100" s="4" t="s">
        <v>41</v>
      </c>
      <c r="H100" s="4" t="s">
        <v>116</v>
      </c>
      <c r="I100" s="4"/>
      <c r="J100" s="4"/>
      <c r="K100" s="4">
        <v>212</v>
      </c>
      <c r="L100" s="4">
        <v>32</v>
      </c>
      <c r="M100" s="4">
        <v>0</v>
      </c>
      <c r="N100" s="4" t="s">
        <v>5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>
      <c r="A101" s="4">
        <v>50</v>
      </c>
      <c r="B101" s="4">
        <v>1</v>
      </c>
      <c r="C101" s="4">
        <v>0</v>
      </c>
      <c r="D101" s="4">
        <v>2</v>
      </c>
      <c r="E101" s="4">
        <v>0</v>
      </c>
      <c r="F101" s="4">
        <f>ROUND(F100*18/100,O101)</f>
        <v>52219.91</v>
      </c>
      <c r="G101" s="4" t="s">
        <v>45</v>
      </c>
      <c r="H101" s="4" t="s">
        <v>117</v>
      </c>
      <c r="I101" s="4"/>
      <c r="J101" s="4"/>
      <c r="K101" s="4">
        <v>212</v>
      </c>
      <c r="L101" s="4">
        <v>33</v>
      </c>
      <c r="M101" s="4">
        <v>0</v>
      </c>
      <c r="N101" s="4" t="s">
        <v>5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>
      <c r="A102" s="4">
        <v>50</v>
      </c>
      <c r="B102" s="4">
        <v>1</v>
      </c>
      <c r="C102" s="4">
        <v>0</v>
      </c>
      <c r="D102" s="4">
        <v>2</v>
      </c>
      <c r="E102" s="4">
        <v>0</v>
      </c>
      <c r="F102" s="4">
        <f>ROUND(F101+F100,O102)</f>
        <v>342330.5</v>
      </c>
      <c r="G102" s="4" t="s">
        <v>49</v>
      </c>
      <c r="H102" s="4" t="s">
        <v>118</v>
      </c>
      <c r="I102" s="4"/>
      <c r="J102" s="4"/>
      <c r="K102" s="4">
        <v>212</v>
      </c>
      <c r="L102" s="4">
        <v>34</v>
      </c>
      <c r="M102" s="4">
        <v>0</v>
      </c>
      <c r="N102" s="4" t="s">
        <v>5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5" spans="1:23">
      <c r="A105">
        <v>70</v>
      </c>
      <c r="B105">
        <v>1</v>
      </c>
      <c r="D105">
        <v>1</v>
      </c>
      <c r="E105" t="s">
        <v>119</v>
      </c>
      <c r="F105" t="s">
        <v>120</v>
      </c>
      <c r="G105">
        <v>1</v>
      </c>
      <c r="H105">
        <v>0</v>
      </c>
      <c r="I105" t="s">
        <v>5</v>
      </c>
      <c r="J105">
        <v>1</v>
      </c>
      <c r="K105">
        <v>0</v>
      </c>
      <c r="L105" t="s">
        <v>5</v>
      </c>
      <c r="M105" t="s">
        <v>5</v>
      </c>
      <c r="N105">
        <v>0</v>
      </c>
    </row>
    <row r="106" spans="1:23">
      <c r="A106">
        <v>70</v>
      </c>
      <c r="B106">
        <v>1</v>
      </c>
      <c r="D106">
        <v>2</v>
      </c>
      <c r="E106" t="s">
        <v>121</v>
      </c>
      <c r="F106" t="s">
        <v>122</v>
      </c>
      <c r="G106">
        <v>0</v>
      </c>
      <c r="H106">
        <v>0</v>
      </c>
      <c r="I106" t="s">
        <v>5</v>
      </c>
      <c r="J106">
        <v>1</v>
      </c>
      <c r="K106">
        <v>0</v>
      </c>
      <c r="L106" t="s">
        <v>5</v>
      </c>
      <c r="M106" t="s">
        <v>5</v>
      </c>
      <c r="N106">
        <v>0</v>
      </c>
    </row>
    <row r="107" spans="1:23">
      <c r="A107">
        <v>70</v>
      </c>
      <c r="B107">
        <v>1</v>
      </c>
      <c r="D107">
        <v>3</v>
      </c>
      <c r="E107" t="s">
        <v>123</v>
      </c>
      <c r="F107" t="s">
        <v>124</v>
      </c>
      <c r="G107">
        <v>0</v>
      </c>
      <c r="H107">
        <v>0</v>
      </c>
      <c r="I107" t="s">
        <v>5</v>
      </c>
      <c r="J107">
        <v>1</v>
      </c>
      <c r="K107">
        <v>0</v>
      </c>
      <c r="L107" t="s">
        <v>5</v>
      </c>
      <c r="M107" t="s">
        <v>5</v>
      </c>
      <c r="N107">
        <v>0</v>
      </c>
    </row>
    <row r="108" spans="1:23">
      <c r="A108">
        <v>70</v>
      </c>
      <c r="B108">
        <v>1</v>
      </c>
      <c r="D108">
        <v>4</v>
      </c>
      <c r="E108" t="s">
        <v>125</v>
      </c>
      <c r="F108" t="s">
        <v>126</v>
      </c>
      <c r="G108">
        <v>0</v>
      </c>
      <c r="H108">
        <v>0</v>
      </c>
      <c r="I108" t="s">
        <v>127</v>
      </c>
      <c r="J108">
        <v>0</v>
      </c>
      <c r="K108">
        <v>0</v>
      </c>
      <c r="L108" t="s">
        <v>5</v>
      </c>
      <c r="M108" t="s">
        <v>5</v>
      </c>
      <c r="N108">
        <v>0</v>
      </c>
    </row>
    <row r="109" spans="1:23">
      <c r="A109">
        <v>70</v>
      </c>
      <c r="B109">
        <v>1</v>
      </c>
      <c r="D109">
        <v>5</v>
      </c>
      <c r="E109" t="s">
        <v>128</v>
      </c>
      <c r="F109" t="s">
        <v>129</v>
      </c>
      <c r="G109">
        <v>0</v>
      </c>
      <c r="H109">
        <v>0</v>
      </c>
      <c r="I109" t="s">
        <v>130</v>
      </c>
      <c r="J109">
        <v>0</v>
      </c>
      <c r="K109">
        <v>0</v>
      </c>
      <c r="L109" t="s">
        <v>5</v>
      </c>
      <c r="M109" t="s">
        <v>5</v>
      </c>
      <c r="N109">
        <v>0</v>
      </c>
    </row>
    <row r="110" spans="1:23">
      <c r="A110">
        <v>70</v>
      </c>
      <c r="B110">
        <v>1</v>
      </c>
      <c r="D110">
        <v>6</v>
      </c>
      <c r="E110" t="s">
        <v>131</v>
      </c>
      <c r="F110" t="s">
        <v>132</v>
      </c>
      <c r="G110">
        <v>0</v>
      </c>
      <c r="H110">
        <v>0</v>
      </c>
      <c r="I110" t="s">
        <v>133</v>
      </c>
      <c r="J110">
        <v>0</v>
      </c>
      <c r="K110">
        <v>0</v>
      </c>
      <c r="L110" t="s">
        <v>5</v>
      </c>
      <c r="M110" t="s">
        <v>5</v>
      </c>
      <c r="N110">
        <v>0</v>
      </c>
    </row>
    <row r="111" spans="1:23">
      <c r="A111">
        <v>70</v>
      </c>
      <c r="B111">
        <v>1</v>
      </c>
      <c r="D111">
        <v>7</v>
      </c>
      <c r="E111" t="s">
        <v>134</v>
      </c>
      <c r="F111" t="s">
        <v>135</v>
      </c>
      <c r="G111">
        <v>0</v>
      </c>
      <c r="H111">
        <v>0</v>
      </c>
      <c r="I111" t="s">
        <v>5</v>
      </c>
      <c r="J111">
        <v>0</v>
      </c>
      <c r="K111">
        <v>0</v>
      </c>
      <c r="L111" t="s">
        <v>5</v>
      </c>
      <c r="M111" t="s">
        <v>5</v>
      </c>
      <c r="N111">
        <v>0</v>
      </c>
    </row>
    <row r="112" spans="1:23">
      <c r="A112">
        <v>70</v>
      </c>
      <c r="B112">
        <v>1</v>
      </c>
      <c r="D112">
        <v>8</v>
      </c>
      <c r="E112" t="s">
        <v>136</v>
      </c>
      <c r="F112" t="s">
        <v>137</v>
      </c>
      <c r="G112">
        <v>0</v>
      </c>
      <c r="H112">
        <v>0</v>
      </c>
      <c r="I112" t="s">
        <v>138</v>
      </c>
      <c r="J112">
        <v>0</v>
      </c>
      <c r="K112">
        <v>0</v>
      </c>
      <c r="L112" t="s">
        <v>5</v>
      </c>
      <c r="M112" t="s">
        <v>5</v>
      </c>
      <c r="N112">
        <v>0</v>
      </c>
    </row>
    <row r="113" spans="1:14">
      <c r="A113">
        <v>70</v>
      </c>
      <c r="B113">
        <v>1</v>
      </c>
      <c r="D113">
        <v>9</v>
      </c>
      <c r="E113" t="s">
        <v>139</v>
      </c>
      <c r="F113" t="s">
        <v>140</v>
      </c>
      <c r="G113">
        <v>0</v>
      </c>
      <c r="H113">
        <v>0</v>
      </c>
      <c r="I113" t="s">
        <v>141</v>
      </c>
      <c r="J113">
        <v>0</v>
      </c>
      <c r="K113">
        <v>0</v>
      </c>
      <c r="L113" t="s">
        <v>5</v>
      </c>
      <c r="M113" t="s">
        <v>5</v>
      </c>
      <c r="N113">
        <v>0</v>
      </c>
    </row>
    <row r="114" spans="1:14">
      <c r="A114">
        <v>70</v>
      </c>
      <c r="B114">
        <v>1</v>
      </c>
      <c r="D114">
        <v>10</v>
      </c>
      <c r="E114" t="s">
        <v>142</v>
      </c>
      <c r="F114" t="s">
        <v>143</v>
      </c>
      <c r="G114">
        <v>0</v>
      </c>
      <c r="H114">
        <v>0</v>
      </c>
      <c r="I114" t="s">
        <v>144</v>
      </c>
      <c r="J114">
        <v>0</v>
      </c>
      <c r="K114">
        <v>0</v>
      </c>
      <c r="L114" t="s">
        <v>5</v>
      </c>
      <c r="M114" t="s">
        <v>5</v>
      </c>
      <c r="N114">
        <v>0</v>
      </c>
    </row>
    <row r="115" spans="1:14">
      <c r="A115">
        <v>70</v>
      </c>
      <c r="B115">
        <v>1</v>
      </c>
      <c r="D115">
        <v>11</v>
      </c>
      <c r="E115" t="s">
        <v>145</v>
      </c>
      <c r="F115" t="s">
        <v>146</v>
      </c>
      <c r="G115">
        <v>0</v>
      </c>
      <c r="H115">
        <v>0</v>
      </c>
      <c r="I115" t="s">
        <v>147</v>
      </c>
      <c r="J115">
        <v>0</v>
      </c>
      <c r="K115">
        <v>0</v>
      </c>
      <c r="L115" t="s">
        <v>5</v>
      </c>
      <c r="M115" t="s">
        <v>5</v>
      </c>
      <c r="N115">
        <v>0</v>
      </c>
    </row>
    <row r="116" spans="1:14">
      <c r="A116">
        <v>70</v>
      </c>
      <c r="B116">
        <v>1</v>
      </c>
      <c r="D116">
        <v>12</v>
      </c>
      <c r="E116" t="s">
        <v>148</v>
      </c>
      <c r="F116" t="s">
        <v>149</v>
      </c>
      <c r="G116">
        <v>0</v>
      </c>
      <c r="H116">
        <v>0</v>
      </c>
      <c r="I116" t="s">
        <v>5</v>
      </c>
      <c r="J116">
        <v>0</v>
      </c>
      <c r="K116">
        <v>0</v>
      </c>
      <c r="L116" t="s">
        <v>5</v>
      </c>
      <c r="M116" t="s">
        <v>5</v>
      </c>
      <c r="N116">
        <v>0</v>
      </c>
    </row>
    <row r="117" spans="1:14">
      <c r="A117">
        <v>70</v>
      </c>
      <c r="B117">
        <v>1</v>
      </c>
      <c r="D117">
        <v>1</v>
      </c>
      <c r="E117" t="s">
        <v>150</v>
      </c>
      <c r="F117" t="s">
        <v>151</v>
      </c>
      <c r="G117">
        <v>0.9</v>
      </c>
      <c r="H117">
        <v>1</v>
      </c>
      <c r="I117" t="s">
        <v>152</v>
      </c>
      <c r="J117">
        <v>0</v>
      </c>
      <c r="K117">
        <v>0</v>
      </c>
      <c r="L117" t="s">
        <v>5</v>
      </c>
      <c r="M117" t="s">
        <v>5</v>
      </c>
      <c r="N117">
        <v>0</v>
      </c>
    </row>
    <row r="118" spans="1:14">
      <c r="A118">
        <v>70</v>
      </c>
      <c r="B118">
        <v>1</v>
      </c>
      <c r="D118">
        <v>2</v>
      </c>
      <c r="E118" t="s">
        <v>153</v>
      </c>
      <c r="F118" t="s">
        <v>154</v>
      </c>
      <c r="G118">
        <v>0.85</v>
      </c>
      <c r="H118">
        <v>1</v>
      </c>
      <c r="I118" t="s">
        <v>155</v>
      </c>
      <c r="J118">
        <v>0</v>
      </c>
      <c r="K118">
        <v>0</v>
      </c>
      <c r="L118" t="s">
        <v>5</v>
      </c>
      <c r="M118" t="s">
        <v>5</v>
      </c>
      <c r="N118">
        <v>0</v>
      </c>
    </row>
    <row r="119" spans="1:14">
      <c r="A119">
        <v>70</v>
      </c>
      <c r="B119">
        <v>1</v>
      </c>
      <c r="D119">
        <v>3</v>
      </c>
      <c r="E119" t="s">
        <v>156</v>
      </c>
      <c r="F119" t="s">
        <v>157</v>
      </c>
      <c r="G119">
        <v>1</v>
      </c>
      <c r="H119">
        <v>0.85</v>
      </c>
      <c r="I119" t="s">
        <v>158</v>
      </c>
      <c r="J119">
        <v>0</v>
      </c>
      <c r="K119">
        <v>0</v>
      </c>
      <c r="L119" t="s">
        <v>5</v>
      </c>
      <c r="M119" t="s">
        <v>5</v>
      </c>
      <c r="N119">
        <v>0</v>
      </c>
    </row>
    <row r="120" spans="1:14">
      <c r="A120">
        <v>70</v>
      </c>
      <c r="B120">
        <v>1</v>
      </c>
      <c r="D120">
        <v>4</v>
      </c>
      <c r="E120" t="s">
        <v>159</v>
      </c>
      <c r="F120" t="s">
        <v>160</v>
      </c>
      <c r="G120">
        <v>1</v>
      </c>
      <c r="H120">
        <v>0</v>
      </c>
      <c r="I120" t="s">
        <v>5</v>
      </c>
      <c r="J120">
        <v>0</v>
      </c>
      <c r="K120">
        <v>0</v>
      </c>
      <c r="L120" t="s">
        <v>5</v>
      </c>
      <c r="M120" t="s">
        <v>5</v>
      </c>
      <c r="N120">
        <v>0</v>
      </c>
    </row>
    <row r="121" spans="1:14">
      <c r="A121">
        <v>70</v>
      </c>
      <c r="B121">
        <v>1</v>
      </c>
      <c r="D121">
        <v>5</v>
      </c>
      <c r="E121" t="s">
        <v>161</v>
      </c>
      <c r="F121" t="s">
        <v>162</v>
      </c>
      <c r="G121">
        <v>1</v>
      </c>
      <c r="H121">
        <v>0.8</v>
      </c>
      <c r="I121" t="s">
        <v>163</v>
      </c>
      <c r="J121">
        <v>0</v>
      </c>
      <c r="K121">
        <v>0</v>
      </c>
      <c r="L121" t="s">
        <v>5</v>
      </c>
      <c r="M121" t="s">
        <v>5</v>
      </c>
      <c r="N121">
        <v>0</v>
      </c>
    </row>
    <row r="122" spans="1:14">
      <c r="A122">
        <v>70</v>
      </c>
      <c r="B122">
        <v>1</v>
      </c>
      <c r="D122">
        <v>6</v>
      </c>
      <c r="E122" t="s">
        <v>164</v>
      </c>
      <c r="F122" t="s">
        <v>165</v>
      </c>
      <c r="G122">
        <v>1</v>
      </c>
      <c r="H122">
        <v>0</v>
      </c>
      <c r="I122" t="s">
        <v>5</v>
      </c>
      <c r="J122">
        <v>0</v>
      </c>
      <c r="K122">
        <v>0</v>
      </c>
      <c r="L122" t="s">
        <v>5</v>
      </c>
      <c r="M122" t="s">
        <v>5</v>
      </c>
      <c r="N122">
        <v>0</v>
      </c>
    </row>
    <row r="123" spans="1:14">
      <c r="A123">
        <v>70</v>
      </c>
      <c r="B123">
        <v>1</v>
      </c>
      <c r="D123">
        <v>7</v>
      </c>
      <c r="E123" t="s">
        <v>166</v>
      </c>
      <c r="F123" t="s">
        <v>167</v>
      </c>
      <c r="G123">
        <v>1</v>
      </c>
      <c r="H123">
        <v>0</v>
      </c>
      <c r="I123" t="s">
        <v>5</v>
      </c>
      <c r="J123">
        <v>0</v>
      </c>
      <c r="K123">
        <v>0</v>
      </c>
      <c r="L123" t="s">
        <v>5</v>
      </c>
      <c r="M123" t="s">
        <v>5</v>
      </c>
      <c r="N123">
        <v>0</v>
      </c>
    </row>
    <row r="124" spans="1:14">
      <c r="A124">
        <v>70</v>
      </c>
      <c r="B124">
        <v>1</v>
      </c>
      <c r="D124">
        <v>8</v>
      </c>
      <c r="E124" t="s">
        <v>168</v>
      </c>
      <c r="F124" t="s">
        <v>169</v>
      </c>
      <c r="G124">
        <v>0.7</v>
      </c>
      <c r="H124">
        <v>0</v>
      </c>
      <c r="I124" t="s">
        <v>5</v>
      </c>
      <c r="J124">
        <v>0</v>
      </c>
      <c r="K124">
        <v>0</v>
      </c>
      <c r="L124" t="s">
        <v>5</v>
      </c>
      <c r="M124" t="s">
        <v>5</v>
      </c>
      <c r="N124">
        <v>0</v>
      </c>
    </row>
    <row r="125" spans="1:14">
      <c r="A125">
        <v>70</v>
      </c>
      <c r="B125">
        <v>1</v>
      </c>
      <c r="D125">
        <v>9</v>
      </c>
      <c r="E125" t="s">
        <v>170</v>
      </c>
      <c r="F125" t="s">
        <v>171</v>
      </c>
      <c r="G125">
        <v>0.9</v>
      </c>
      <c r="H125">
        <v>0</v>
      </c>
      <c r="I125" t="s">
        <v>5</v>
      </c>
      <c r="J125">
        <v>0</v>
      </c>
      <c r="K125">
        <v>0</v>
      </c>
      <c r="L125" t="s">
        <v>5</v>
      </c>
      <c r="M125" t="s">
        <v>5</v>
      </c>
      <c r="N125">
        <v>0</v>
      </c>
    </row>
    <row r="126" spans="1:14">
      <c r="A126">
        <v>70</v>
      </c>
      <c r="B126">
        <v>1</v>
      </c>
      <c r="D126">
        <v>10</v>
      </c>
      <c r="E126" t="s">
        <v>172</v>
      </c>
      <c r="F126" t="s">
        <v>173</v>
      </c>
      <c r="G126">
        <v>0.6</v>
      </c>
      <c r="H126">
        <v>0</v>
      </c>
      <c r="I126" t="s">
        <v>5</v>
      </c>
      <c r="J126">
        <v>0</v>
      </c>
      <c r="K126">
        <v>0</v>
      </c>
      <c r="L126" t="s">
        <v>5</v>
      </c>
      <c r="M126" t="s">
        <v>5</v>
      </c>
      <c r="N126">
        <v>0</v>
      </c>
    </row>
    <row r="127" spans="1:14">
      <c r="A127">
        <v>70</v>
      </c>
      <c r="B127">
        <v>1</v>
      </c>
      <c r="D127">
        <v>11</v>
      </c>
      <c r="E127" t="s">
        <v>174</v>
      </c>
      <c r="F127" t="s">
        <v>175</v>
      </c>
      <c r="G127">
        <v>1.2</v>
      </c>
      <c r="H127">
        <v>0</v>
      </c>
      <c r="I127" t="s">
        <v>5</v>
      </c>
      <c r="J127">
        <v>0</v>
      </c>
      <c r="K127">
        <v>0</v>
      </c>
      <c r="L127" t="s">
        <v>5</v>
      </c>
      <c r="M127" t="s">
        <v>5</v>
      </c>
      <c r="N127">
        <v>0</v>
      </c>
    </row>
    <row r="128" spans="1:14">
      <c r="A128">
        <v>70</v>
      </c>
      <c r="B128">
        <v>1</v>
      </c>
      <c r="D128">
        <v>12</v>
      </c>
      <c r="E128" t="s">
        <v>176</v>
      </c>
      <c r="F128" t="s">
        <v>177</v>
      </c>
      <c r="G128">
        <v>0</v>
      </c>
      <c r="H128">
        <v>0</v>
      </c>
      <c r="I128" t="s">
        <v>5</v>
      </c>
      <c r="J128">
        <v>0</v>
      </c>
      <c r="K128">
        <v>0</v>
      </c>
      <c r="L128" t="s">
        <v>5</v>
      </c>
      <c r="M128" t="s">
        <v>5</v>
      </c>
      <c r="N128">
        <v>0</v>
      </c>
    </row>
    <row r="129" spans="1:15">
      <c r="A129">
        <v>70</v>
      </c>
      <c r="B129">
        <v>1</v>
      </c>
      <c r="D129">
        <v>13</v>
      </c>
      <c r="E129" t="s">
        <v>178</v>
      </c>
      <c r="F129" t="s">
        <v>179</v>
      </c>
      <c r="G129">
        <v>1</v>
      </c>
      <c r="H129">
        <v>0</v>
      </c>
      <c r="I129" t="s">
        <v>5</v>
      </c>
      <c r="J129">
        <v>0</v>
      </c>
      <c r="K129">
        <v>0</v>
      </c>
      <c r="L129" t="s">
        <v>5</v>
      </c>
      <c r="M129" t="s">
        <v>5</v>
      </c>
      <c r="N129">
        <v>0</v>
      </c>
    </row>
    <row r="131" spans="1:15">
      <c r="A131">
        <v>-1</v>
      </c>
    </row>
    <row r="133" spans="1:15">
      <c r="A133" s="3">
        <v>75</v>
      </c>
      <c r="B133" s="3" t="s">
        <v>180</v>
      </c>
      <c r="C133" s="3">
        <v>2000</v>
      </c>
      <c r="D133" s="3">
        <v>0</v>
      </c>
      <c r="E133" s="3">
        <v>1</v>
      </c>
      <c r="F133" s="3">
        <v>0</v>
      </c>
      <c r="G133" s="3">
        <v>0</v>
      </c>
      <c r="H133" s="3">
        <v>1</v>
      </c>
      <c r="I133" s="3">
        <v>0</v>
      </c>
      <c r="J133" s="3">
        <v>1</v>
      </c>
      <c r="K133" s="3">
        <v>0</v>
      </c>
      <c r="L133" s="3">
        <v>0</v>
      </c>
      <c r="M133" s="3">
        <v>0</v>
      </c>
      <c r="N133" s="3">
        <v>31859403</v>
      </c>
      <c r="O133" s="3">
        <v>1</v>
      </c>
    </row>
    <row r="137" spans="1:15">
      <c r="A137">
        <v>65</v>
      </c>
      <c r="C137">
        <v>1</v>
      </c>
      <c r="D137">
        <v>0</v>
      </c>
      <c r="E137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6"/>
  <sheetViews>
    <sheetView workbookViewId="0">
      <selection activeCell="J2" sqref="J2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181</v>
      </c>
      <c r="F1">
        <v>0</v>
      </c>
      <c r="G1">
        <v>0</v>
      </c>
      <c r="H1">
        <v>0</v>
      </c>
      <c r="I1" t="s">
        <v>2</v>
      </c>
      <c r="K1">
        <v>1</v>
      </c>
      <c r="L1">
        <v>37929</v>
      </c>
      <c r="M1">
        <v>10</v>
      </c>
    </row>
    <row r="12" spans="1:133">
      <c r="A12" s="1">
        <v>1</v>
      </c>
      <c r="B12" s="1">
        <v>56</v>
      </c>
      <c r="C12" s="1">
        <v>0</v>
      </c>
      <c r="D12" s="1"/>
      <c r="E12" s="1">
        <v>0</v>
      </c>
      <c r="F12" s="1" t="s">
        <v>3</v>
      </c>
      <c r="G12" s="1" t="s">
        <v>4</v>
      </c>
      <c r="H12" s="1" t="s">
        <v>5</v>
      </c>
      <c r="I12" s="1">
        <v>0</v>
      </c>
      <c r="J12" s="1" t="s">
        <v>6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5</v>
      </c>
      <c r="V12" s="1">
        <v>0</v>
      </c>
      <c r="W12" s="1" t="s">
        <v>5</v>
      </c>
      <c r="X12" s="1" t="s">
        <v>5</v>
      </c>
      <c r="Y12" s="1" t="s">
        <v>5</v>
      </c>
      <c r="Z12" s="1" t="s">
        <v>5</v>
      </c>
      <c r="AA12" s="1" t="s">
        <v>5</v>
      </c>
      <c r="AB12" s="1" t="s">
        <v>5</v>
      </c>
      <c r="AC12" s="1" t="s">
        <v>5</v>
      </c>
      <c r="AD12" s="1" t="s">
        <v>5</v>
      </c>
      <c r="AE12" s="1" t="s">
        <v>5</v>
      </c>
      <c r="AF12" s="1" t="s">
        <v>5</v>
      </c>
      <c r="AG12" s="1" t="s">
        <v>5</v>
      </c>
      <c r="AH12" s="1" t="s">
        <v>5</v>
      </c>
      <c r="AI12" s="1" t="s">
        <v>5</v>
      </c>
      <c r="AJ12" s="1" t="s">
        <v>5</v>
      </c>
      <c r="AK12" s="1"/>
      <c r="AL12" s="1" t="s">
        <v>5</v>
      </c>
      <c r="AM12" s="1" t="s">
        <v>5</v>
      </c>
      <c r="AN12" s="1" t="s">
        <v>5</v>
      </c>
      <c r="AO12" s="1"/>
      <c r="AP12" s="1" t="s">
        <v>5</v>
      </c>
      <c r="AQ12" s="1" t="s">
        <v>5</v>
      </c>
      <c r="AR12" s="1" t="s">
        <v>5</v>
      </c>
      <c r="AS12" s="1"/>
      <c r="AT12" s="1"/>
      <c r="AU12" s="1"/>
      <c r="AV12" s="1"/>
      <c r="AW12" s="1"/>
      <c r="AX12" s="1" t="s">
        <v>5</v>
      </c>
      <c r="AY12" s="1" t="s">
        <v>5</v>
      </c>
      <c r="AZ12" s="1" t="s">
        <v>5</v>
      </c>
      <c r="BA12" s="1"/>
      <c r="BB12" s="1"/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1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9</v>
      </c>
      <c r="BZ12" s="1" t="s">
        <v>10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11</v>
      </c>
      <c r="CF12" s="1">
        <v>0</v>
      </c>
      <c r="CG12" s="1">
        <v>0</v>
      </c>
      <c r="CH12" s="1">
        <v>8</v>
      </c>
      <c r="CI12" s="1" t="s">
        <v>5</v>
      </c>
      <c r="CJ12" s="1" t="s">
        <v>5</v>
      </c>
      <c r="CK12" s="1">
        <v>2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31859403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5">
        <v>3</v>
      </c>
      <c r="B16" s="5">
        <v>1</v>
      </c>
      <c r="C16" s="5" t="s">
        <v>12</v>
      </c>
      <c r="D16" s="5" t="s">
        <v>12</v>
      </c>
      <c r="E16" s="6">
        <f>(Source!F51)/1000</f>
        <v>0</v>
      </c>
      <c r="F16" s="6">
        <f>(Source!F52)/1000</f>
        <v>3.6030000000000002</v>
      </c>
      <c r="G16" s="6">
        <f>(Source!F43)/1000</f>
        <v>55.744</v>
      </c>
      <c r="H16" s="6">
        <f>(Source!F53)/1000+(Source!F54)/1000</f>
        <v>1.9490000000000001</v>
      </c>
      <c r="I16" s="6">
        <f>E16+F16+G16+H16</f>
        <v>61.295999999999999</v>
      </c>
      <c r="J16" s="6">
        <f>(Source!F49)/1000</f>
        <v>1.4750000000000001</v>
      </c>
      <c r="AI16" s="5">
        <v>0</v>
      </c>
      <c r="AJ16" s="5">
        <v>0</v>
      </c>
      <c r="AK16" s="5" t="s">
        <v>5</v>
      </c>
      <c r="AL16" s="5" t="s">
        <v>5</v>
      </c>
      <c r="AM16" s="5" t="s">
        <v>5</v>
      </c>
      <c r="AN16" s="5">
        <v>0</v>
      </c>
      <c r="AO16" s="5" t="s">
        <v>5</v>
      </c>
      <c r="AP16" s="5" t="s">
        <v>5</v>
      </c>
      <c r="AT16" s="6">
        <v>59320</v>
      </c>
      <c r="AU16" s="6">
        <v>56049</v>
      </c>
      <c r="AV16" s="6">
        <v>0</v>
      </c>
      <c r="AW16" s="6">
        <v>55744</v>
      </c>
      <c r="AX16" s="6">
        <v>0</v>
      </c>
      <c r="AY16" s="6">
        <v>1796</v>
      </c>
      <c r="AZ16" s="6">
        <v>158</v>
      </c>
      <c r="BA16" s="6">
        <v>1475</v>
      </c>
      <c r="BB16" s="6">
        <v>0</v>
      </c>
      <c r="BC16" s="6">
        <v>3603</v>
      </c>
      <c r="BD16" s="6">
        <v>1949</v>
      </c>
      <c r="BE16" s="6">
        <v>0</v>
      </c>
      <c r="BF16" s="6">
        <v>134.31</v>
      </c>
      <c r="BG16" s="6">
        <v>12.32</v>
      </c>
      <c r="BH16" s="6">
        <v>0</v>
      </c>
      <c r="BI16" s="6">
        <v>1181</v>
      </c>
      <c r="BJ16" s="6">
        <v>795</v>
      </c>
      <c r="BK16" s="6">
        <v>61296</v>
      </c>
    </row>
    <row r="18" spans="1:19">
      <c r="A18">
        <v>51</v>
      </c>
      <c r="E18" s="7">
        <f>SUMIF(A16:A17,3,E16:E17)</f>
        <v>0</v>
      </c>
      <c r="F18" s="7">
        <f>SUMIF(A16:A17,3,F16:F17)</f>
        <v>3.6030000000000002</v>
      </c>
      <c r="G18" s="7">
        <f>SUMIF(A16:A17,3,G16:G17)</f>
        <v>55.744</v>
      </c>
      <c r="H18" s="7">
        <f>SUMIF(A16:A17,3,H16:H17)</f>
        <v>1.9490000000000001</v>
      </c>
      <c r="I18" s="7">
        <f>SUMIF(A16:A17,3,I16:I17)</f>
        <v>61.295999999999999</v>
      </c>
      <c r="J18" s="7">
        <f>SUMIF(A16:A17,3,J16:J17)</f>
        <v>1.4750000000000001</v>
      </c>
      <c r="K18" s="7"/>
      <c r="L18" s="7"/>
      <c r="M18" s="7"/>
      <c r="N18" s="7"/>
      <c r="O18" s="7"/>
      <c r="P18" s="7"/>
      <c r="Q18" s="7"/>
      <c r="R18" s="7"/>
      <c r="S18" s="7"/>
    </row>
    <row r="20" spans="1:19">
      <c r="A20" s="4">
        <v>50</v>
      </c>
      <c r="B20" s="4">
        <v>1</v>
      </c>
      <c r="C20" s="4">
        <v>0</v>
      </c>
      <c r="D20" s="4">
        <v>1</v>
      </c>
      <c r="E20" s="4">
        <v>201</v>
      </c>
      <c r="F20" s="4">
        <v>59320</v>
      </c>
      <c r="G20" s="4" t="s">
        <v>61</v>
      </c>
      <c r="H20" s="4" t="s">
        <v>62</v>
      </c>
      <c r="I20" s="4"/>
      <c r="J20" s="4"/>
      <c r="K20" s="4">
        <v>201</v>
      </c>
      <c r="L20" s="4">
        <v>1</v>
      </c>
      <c r="M20" s="4">
        <v>0</v>
      </c>
      <c r="N20" s="4" t="s">
        <v>5</v>
      </c>
      <c r="O20" s="4">
        <v>0</v>
      </c>
      <c r="P20" s="4"/>
    </row>
    <row r="21" spans="1:19">
      <c r="A21" s="4">
        <v>50</v>
      </c>
      <c r="B21" s="4">
        <v>1</v>
      </c>
      <c r="C21" s="4">
        <v>0</v>
      </c>
      <c r="D21" s="4">
        <v>1</v>
      </c>
      <c r="E21" s="4">
        <v>202</v>
      </c>
      <c r="F21" s="4">
        <v>56049</v>
      </c>
      <c r="G21" s="4" t="s">
        <v>63</v>
      </c>
      <c r="H21" s="4" t="s">
        <v>64</v>
      </c>
      <c r="I21" s="4"/>
      <c r="J21" s="4"/>
      <c r="K21" s="4">
        <v>202</v>
      </c>
      <c r="L21" s="4">
        <v>2</v>
      </c>
      <c r="M21" s="4">
        <v>0</v>
      </c>
      <c r="N21" s="4" t="s">
        <v>5</v>
      </c>
      <c r="O21" s="4">
        <v>0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65</v>
      </c>
      <c r="H22" s="4" t="s">
        <v>66</v>
      </c>
      <c r="I22" s="4"/>
      <c r="J22" s="4"/>
      <c r="K22" s="4">
        <v>222</v>
      </c>
      <c r="L22" s="4">
        <v>3</v>
      </c>
      <c r="M22" s="4">
        <v>3</v>
      </c>
      <c r="N22" s="4" t="s">
        <v>5</v>
      </c>
      <c r="O22" s="4">
        <v>0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56049</v>
      </c>
      <c r="G23" s="4" t="s">
        <v>67</v>
      </c>
      <c r="H23" s="4" t="s">
        <v>68</v>
      </c>
      <c r="I23" s="4"/>
      <c r="J23" s="4"/>
      <c r="K23" s="4">
        <v>225</v>
      </c>
      <c r="L23" s="4">
        <v>4</v>
      </c>
      <c r="M23" s="4">
        <v>3</v>
      </c>
      <c r="N23" s="4" t="s">
        <v>5</v>
      </c>
      <c r="O23" s="4">
        <v>0</v>
      </c>
      <c r="P23" s="4"/>
    </row>
    <row r="24" spans="1:19">
      <c r="A24" s="4">
        <v>50</v>
      </c>
      <c r="B24" s="4">
        <f>IF(SourceObSm!F24&lt;&gt;0,1,0)</f>
        <v>1</v>
      </c>
      <c r="C24" s="4">
        <v>0</v>
      </c>
      <c r="D24" s="4">
        <v>1</v>
      </c>
      <c r="E24" s="4">
        <v>226</v>
      </c>
      <c r="F24" s="4">
        <v>305</v>
      </c>
      <c r="G24" s="4" t="s">
        <v>69</v>
      </c>
      <c r="H24" s="4" t="s">
        <v>70</v>
      </c>
      <c r="I24" s="4"/>
      <c r="J24" s="4"/>
      <c r="K24" s="4">
        <v>226</v>
      </c>
      <c r="L24" s="4">
        <v>5</v>
      </c>
      <c r="M24" s="4">
        <v>1</v>
      </c>
      <c r="N24" s="4" t="s">
        <v>5</v>
      </c>
      <c r="O24" s="4">
        <v>0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71</v>
      </c>
      <c r="H25" s="4" t="s">
        <v>72</v>
      </c>
      <c r="I25" s="4"/>
      <c r="J25" s="4"/>
      <c r="K25" s="4">
        <v>227</v>
      </c>
      <c r="L25" s="4">
        <v>6</v>
      </c>
      <c r="M25" s="4">
        <v>3</v>
      </c>
      <c r="N25" s="4" t="s">
        <v>5</v>
      </c>
      <c r="O25" s="4">
        <v>0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305</v>
      </c>
      <c r="G26" s="4" t="s">
        <v>73</v>
      </c>
      <c r="H26" s="4" t="s">
        <v>74</v>
      </c>
      <c r="I26" s="4"/>
      <c r="J26" s="4"/>
      <c r="K26" s="4">
        <v>228</v>
      </c>
      <c r="L26" s="4">
        <v>7</v>
      </c>
      <c r="M26" s="4">
        <v>3</v>
      </c>
      <c r="N26" s="4" t="s">
        <v>5</v>
      </c>
      <c r="O26" s="4">
        <v>0</v>
      </c>
      <c r="P26" s="4"/>
    </row>
    <row r="27" spans="1:19">
      <c r="A27" s="4">
        <v>50</v>
      </c>
      <c r="B27" s="4">
        <f>IF(SourceObSm!F27&lt;&gt;0,1,0)</f>
        <v>1</v>
      </c>
      <c r="C27" s="4">
        <v>0</v>
      </c>
      <c r="D27" s="4">
        <v>1</v>
      </c>
      <c r="E27" s="4">
        <v>216</v>
      </c>
      <c r="F27" s="4">
        <v>55744</v>
      </c>
      <c r="G27" s="4" t="s">
        <v>75</v>
      </c>
      <c r="H27" s="4" t="s">
        <v>76</v>
      </c>
      <c r="I27" s="4"/>
      <c r="J27" s="4"/>
      <c r="K27" s="4">
        <v>216</v>
      </c>
      <c r="L27" s="4">
        <v>8</v>
      </c>
      <c r="M27" s="4">
        <v>1</v>
      </c>
      <c r="N27" s="4" t="s">
        <v>5</v>
      </c>
      <c r="O27" s="4">
        <v>0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77</v>
      </c>
      <c r="H28" s="4" t="s">
        <v>78</v>
      </c>
      <c r="I28" s="4"/>
      <c r="J28" s="4"/>
      <c r="K28" s="4">
        <v>223</v>
      </c>
      <c r="L28" s="4">
        <v>9</v>
      </c>
      <c r="M28" s="4">
        <v>3</v>
      </c>
      <c r="N28" s="4" t="s">
        <v>5</v>
      </c>
      <c r="O28" s="4">
        <v>0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55744</v>
      </c>
      <c r="G29" s="4" t="s">
        <v>79</v>
      </c>
      <c r="H29" s="4" t="s">
        <v>80</v>
      </c>
      <c r="I29" s="4"/>
      <c r="J29" s="4"/>
      <c r="K29" s="4">
        <v>229</v>
      </c>
      <c r="L29" s="4">
        <v>10</v>
      </c>
      <c r="M29" s="4">
        <v>3</v>
      </c>
      <c r="N29" s="4" t="s">
        <v>5</v>
      </c>
      <c r="O29" s="4">
        <v>0</v>
      </c>
      <c r="P29" s="4"/>
    </row>
    <row r="30" spans="1:19">
      <c r="A30" s="4">
        <v>50</v>
      </c>
      <c r="B30" s="4">
        <v>1</v>
      </c>
      <c r="C30" s="4">
        <v>0</v>
      </c>
      <c r="D30" s="4">
        <v>1</v>
      </c>
      <c r="E30" s="4">
        <v>203</v>
      </c>
      <c r="F30" s="4">
        <v>1796</v>
      </c>
      <c r="G30" s="4" t="s">
        <v>81</v>
      </c>
      <c r="H30" s="4" t="s">
        <v>82</v>
      </c>
      <c r="I30" s="4"/>
      <c r="J30" s="4"/>
      <c r="K30" s="4">
        <v>203</v>
      </c>
      <c r="L30" s="4">
        <v>11</v>
      </c>
      <c r="M30" s="4">
        <v>0</v>
      </c>
      <c r="N30" s="4" t="s">
        <v>5</v>
      </c>
      <c r="O30" s="4">
        <v>0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83</v>
      </c>
      <c r="H31" s="4" t="s">
        <v>84</v>
      </c>
      <c r="I31" s="4"/>
      <c r="J31" s="4"/>
      <c r="K31" s="4">
        <v>231</v>
      </c>
      <c r="L31" s="4">
        <v>12</v>
      </c>
      <c r="M31" s="4">
        <v>3</v>
      </c>
      <c r="N31" s="4" t="s">
        <v>5</v>
      </c>
      <c r="O31" s="4">
        <v>0</v>
      </c>
      <c r="P31" s="4"/>
    </row>
    <row r="32" spans="1:19">
      <c r="A32" s="4">
        <v>50</v>
      </c>
      <c r="B32" s="4">
        <v>1</v>
      </c>
      <c r="C32" s="4">
        <v>0</v>
      </c>
      <c r="D32" s="4">
        <v>1</v>
      </c>
      <c r="E32" s="4">
        <v>204</v>
      </c>
      <c r="F32" s="4">
        <v>158</v>
      </c>
      <c r="G32" s="4" t="s">
        <v>85</v>
      </c>
      <c r="H32" s="4" t="s">
        <v>86</v>
      </c>
      <c r="I32" s="4"/>
      <c r="J32" s="4"/>
      <c r="K32" s="4">
        <v>204</v>
      </c>
      <c r="L32" s="4">
        <v>13</v>
      </c>
      <c r="M32" s="4">
        <v>0</v>
      </c>
      <c r="N32" s="4" t="s">
        <v>5</v>
      </c>
      <c r="O32" s="4">
        <v>0</v>
      </c>
      <c r="P32" s="4"/>
    </row>
    <row r="33" spans="1:16">
      <c r="A33" s="4">
        <v>50</v>
      </c>
      <c r="B33" s="4">
        <v>1</v>
      </c>
      <c r="C33" s="4">
        <v>0</v>
      </c>
      <c r="D33" s="4">
        <v>1</v>
      </c>
      <c r="E33" s="4">
        <v>205</v>
      </c>
      <c r="F33" s="4">
        <v>1475</v>
      </c>
      <c r="G33" s="4" t="s">
        <v>87</v>
      </c>
      <c r="H33" s="4" t="s">
        <v>88</v>
      </c>
      <c r="I33" s="4"/>
      <c r="J33" s="4"/>
      <c r="K33" s="4">
        <v>205</v>
      </c>
      <c r="L33" s="4">
        <v>14</v>
      </c>
      <c r="M33" s="4">
        <v>0</v>
      </c>
      <c r="N33" s="4" t="s">
        <v>5</v>
      </c>
      <c r="O33" s="4">
        <v>0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89</v>
      </c>
      <c r="H34" s="4" t="s">
        <v>90</v>
      </c>
      <c r="I34" s="4"/>
      <c r="J34" s="4"/>
      <c r="K34" s="4">
        <v>232</v>
      </c>
      <c r="L34" s="4">
        <v>15</v>
      </c>
      <c r="M34" s="4">
        <v>3</v>
      </c>
      <c r="N34" s="4" t="s">
        <v>5</v>
      </c>
      <c r="O34" s="4">
        <v>0</v>
      </c>
      <c r="P34" s="4"/>
    </row>
    <row r="35" spans="1:16">
      <c r="A35" s="4">
        <v>50</v>
      </c>
      <c r="B35" s="4">
        <v>1</v>
      </c>
      <c r="C35" s="4">
        <v>0</v>
      </c>
      <c r="D35" s="4">
        <v>1</v>
      </c>
      <c r="E35" s="4">
        <v>214</v>
      </c>
      <c r="F35" s="4">
        <v>0</v>
      </c>
      <c r="G35" s="4" t="s">
        <v>91</v>
      </c>
      <c r="H35" s="4" t="s">
        <v>92</v>
      </c>
      <c r="I35" s="4"/>
      <c r="J35" s="4"/>
      <c r="K35" s="4">
        <v>214</v>
      </c>
      <c r="L35" s="4">
        <v>16</v>
      </c>
      <c r="M35" s="4">
        <v>0</v>
      </c>
      <c r="N35" s="4" t="s">
        <v>5</v>
      </c>
      <c r="O35" s="4">
        <v>0</v>
      </c>
      <c r="P35" s="4"/>
    </row>
    <row r="36" spans="1:16">
      <c r="A36" s="4">
        <v>50</v>
      </c>
      <c r="B36" s="4">
        <v>1</v>
      </c>
      <c r="C36" s="4">
        <v>0</v>
      </c>
      <c r="D36" s="4">
        <v>1</v>
      </c>
      <c r="E36" s="4">
        <v>215</v>
      </c>
      <c r="F36" s="4">
        <v>3603</v>
      </c>
      <c r="G36" s="4" t="s">
        <v>93</v>
      </c>
      <c r="H36" s="4" t="s">
        <v>94</v>
      </c>
      <c r="I36" s="4"/>
      <c r="J36" s="4"/>
      <c r="K36" s="4">
        <v>215</v>
      </c>
      <c r="L36" s="4">
        <v>17</v>
      </c>
      <c r="M36" s="4">
        <v>0</v>
      </c>
      <c r="N36" s="4" t="s">
        <v>5</v>
      </c>
      <c r="O36" s="4">
        <v>0</v>
      </c>
      <c r="P36" s="4"/>
    </row>
    <row r="37" spans="1:16">
      <c r="A37" s="4">
        <v>50</v>
      </c>
      <c r="B37" s="4">
        <v>1</v>
      </c>
      <c r="C37" s="4">
        <v>0</v>
      </c>
      <c r="D37" s="4">
        <v>1</v>
      </c>
      <c r="E37" s="4">
        <v>217</v>
      </c>
      <c r="F37" s="4">
        <v>1949</v>
      </c>
      <c r="G37" s="4" t="s">
        <v>95</v>
      </c>
      <c r="H37" s="4" t="s">
        <v>96</v>
      </c>
      <c r="I37" s="4"/>
      <c r="J37" s="4"/>
      <c r="K37" s="4">
        <v>217</v>
      </c>
      <c r="L37" s="4">
        <v>18</v>
      </c>
      <c r="M37" s="4">
        <v>0</v>
      </c>
      <c r="N37" s="4" t="s">
        <v>5</v>
      </c>
      <c r="O37" s="4">
        <v>0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97</v>
      </c>
      <c r="H38" s="4" t="s">
        <v>98</v>
      </c>
      <c r="I38" s="4"/>
      <c r="J38" s="4"/>
      <c r="K38" s="4">
        <v>230</v>
      </c>
      <c r="L38" s="4">
        <v>19</v>
      </c>
      <c r="M38" s="4">
        <v>3</v>
      </c>
      <c r="N38" s="4" t="s">
        <v>5</v>
      </c>
      <c r="O38" s="4">
        <v>0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99</v>
      </c>
      <c r="H39" s="4" t="s">
        <v>100</v>
      </c>
      <c r="I39" s="4"/>
      <c r="J39" s="4"/>
      <c r="K39" s="4">
        <v>206</v>
      </c>
      <c r="L39" s="4">
        <v>20</v>
      </c>
      <c r="M39" s="4">
        <v>3</v>
      </c>
      <c r="N39" s="4" t="s">
        <v>5</v>
      </c>
      <c r="O39" s="4">
        <v>0</v>
      </c>
      <c r="P39" s="4"/>
    </row>
    <row r="40" spans="1:16">
      <c r="A40" s="4">
        <v>50</v>
      </c>
      <c r="B40" s="4">
        <v>1</v>
      </c>
      <c r="C40" s="4">
        <v>0</v>
      </c>
      <c r="D40" s="4">
        <v>1</v>
      </c>
      <c r="E40" s="4">
        <v>207</v>
      </c>
      <c r="F40" s="4">
        <v>134.31</v>
      </c>
      <c r="G40" s="4" t="s">
        <v>101</v>
      </c>
      <c r="H40" s="4" t="s">
        <v>102</v>
      </c>
      <c r="I40" s="4"/>
      <c r="J40" s="4"/>
      <c r="K40" s="4">
        <v>207</v>
      </c>
      <c r="L40" s="4">
        <v>21</v>
      </c>
      <c r="M40" s="4">
        <v>0</v>
      </c>
      <c r="N40" s="4" t="s">
        <v>5</v>
      </c>
      <c r="O40" s="4">
        <v>2</v>
      </c>
      <c r="P40" s="4"/>
    </row>
    <row r="41" spans="1:16">
      <c r="A41" s="4">
        <v>50</v>
      </c>
      <c r="B41" s="4">
        <v>1</v>
      </c>
      <c r="C41" s="4">
        <v>0</v>
      </c>
      <c r="D41" s="4">
        <v>1</v>
      </c>
      <c r="E41" s="4">
        <v>208</v>
      </c>
      <c r="F41" s="4">
        <v>12.32</v>
      </c>
      <c r="G41" s="4" t="s">
        <v>103</v>
      </c>
      <c r="H41" s="4" t="s">
        <v>104</v>
      </c>
      <c r="I41" s="4"/>
      <c r="J41" s="4"/>
      <c r="K41" s="4">
        <v>208</v>
      </c>
      <c r="L41" s="4">
        <v>22</v>
      </c>
      <c r="M41" s="4">
        <v>0</v>
      </c>
      <c r="N41" s="4" t="s">
        <v>5</v>
      </c>
      <c r="O41" s="4">
        <v>2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105</v>
      </c>
      <c r="H42" s="4" t="s">
        <v>106</v>
      </c>
      <c r="I42" s="4"/>
      <c r="J42" s="4"/>
      <c r="K42" s="4">
        <v>209</v>
      </c>
      <c r="L42" s="4">
        <v>23</v>
      </c>
      <c r="M42" s="4">
        <v>3</v>
      </c>
      <c r="N42" s="4" t="s">
        <v>5</v>
      </c>
      <c r="O42" s="4">
        <v>0</v>
      </c>
      <c r="P42" s="4"/>
    </row>
    <row r="43" spans="1:16">
      <c r="A43" s="4">
        <v>50</v>
      </c>
      <c r="B43" s="4">
        <v>1</v>
      </c>
      <c r="C43" s="4">
        <v>0</v>
      </c>
      <c r="D43" s="4">
        <v>1</v>
      </c>
      <c r="E43" s="4">
        <v>210</v>
      </c>
      <c r="F43" s="4">
        <v>1181</v>
      </c>
      <c r="G43" s="4" t="s">
        <v>107</v>
      </c>
      <c r="H43" s="4" t="s">
        <v>108</v>
      </c>
      <c r="I43" s="4"/>
      <c r="J43" s="4"/>
      <c r="K43" s="4">
        <v>210</v>
      </c>
      <c r="L43" s="4">
        <v>24</v>
      </c>
      <c r="M43" s="4">
        <v>0</v>
      </c>
      <c r="N43" s="4" t="s">
        <v>5</v>
      </c>
      <c r="O43" s="4">
        <v>0</v>
      </c>
      <c r="P43" s="4"/>
    </row>
    <row r="44" spans="1:16">
      <c r="A44" s="4">
        <v>50</v>
      </c>
      <c r="B44" s="4">
        <v>1</v>
      </c>
      <c r="C44" s="4">
        <v>0</v>
      </c>
      <c r="D44" s="4">
        <v>1</v>
      </c>
      <c r="E44" s="4">
        <v>211</v>
      </c>
      <c r="F44" s="4">
        <v>795</v>
      </c>
      <c r="G44" s="4" t="s">
        <v>109</v>
      </c>
      <c r="H44" s="4" t="s">
        <v>110</v>
      </c>
      <c r="I44" s="4"/>
      <c r="J44" s="4"/>
      <c r="K44" s="4">
        <v>211</v>
      </c>
      <c r="L44" s="4">
        <v>25</v>
      </c>
      <c r="M44" s="4">
        <v>0</v>
      </c>
      <c r="N44" s="4" t="s">
        <v>5</v>
      </c>
      <c r="O44" s="4">
        <v>0</v>
      </c>
      <c r="P44" s="4"/>
    </row>
    <row r="45" spans="1:16">
      <c r="A45" s="4">
        <v>50</v>
      </c>
      <c r="B45" s="4">
        <v>1</v>
      </c>
      <c r="C45" s="4">
        <v>0</v>
      </c>
      <c r="D45" s="4">
        <v>1</v>
      </c>
      <c r="E45" s="4">
        <v>224</v>
      </c>
      <c r="F45" s="4">
        <v>61296</v>
      </c>
      <c r="G45" s="4" t="s">
        <v>111</v>
      </c>
      <c r="H45" s="4" t="s">
        <v>112</v>
      </c>
      <c r="I45" s="4"/>
      <c r="J45" s="4"/>
      <c r="K45" s="4">
        <v>224</v>
      </c>
      <c r="L45" s="4">
        <v>26</v>
      </c>
      <c r="M45" s="4">
        <v>0</v>
      </c>
      <c r="N45" s="4" t="s">
        <v>5</v>
      </c>
      <c r="O45" s="4">
        <v>0</v>
      </c>
      <c r="P45" s="4"/>
    </row>
    <row r="46" spans="1:16">
      <c r="A46" s="4">
        <v>50</v>
      </c>
      <c r="B46" s="4">
        <v>1</v>
      </c>
      <c r="C46" s="4">
        <v>0</v>
      </c>
      <c r="D46" s="4">
        <v>2</v>
      </c>
      <c r="E46" s="4">
        <v>0</v>
      </c>
      <c r="F46" s="4">
        <v>25689.39</v>
      </c>
      <c r="G46" s="4" t="s">
        <v>13</v>
      </c>
      <c r="H46" s="4" t="s">
        <v>113</v>
      </c>
      <c r="I46" s="4"/>
      <c r="J46" s="4"/>
      <c r="K46" s="4">
        <v>212</v>
      </c>
      <c r="L46" s="4">
        <v>27</v>
      </c>
      <c r="M46" s="4">
        <v>0</v>
      </c>
      <c r="N46" s="4" t="s">
        <v>5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258652.16</v>
      </c>
      <c r="G47" s="4" t="s">
        <v>21</v>
      </c>
      <c r="H47" s="4" t="s">
        <v>114</v>
      </c>
      <c r="I47" s="4"/>
      <c r="J47" s="4"/>
      <c r="K47" s="4">
        <v>212</v>
      </c>
      <c r="L47" s="4">
        <v>28</v>
      </c>
      <c r="M47" s="4">
        <v>0</v>
      </c>
      <c r="N47" s="4" t="s">
        <v>5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5769.04</v>
      </c>
      <c r="G48" s="4" t="s">
        <v>28</v>
      </c>
      <c r="H48" s="4" t="s">
        <v>115</v>
      </c>
      <c r="I48" s="4"/>
      <c r="J48" s="4"/>
      <c r="K48" s="4">
        <v>212</v>
      </c>
      <c r="L48" s="4">
        <v>29</v>
      </c>
      <c r="M48" s="4">
        <v>0</v>
      </c>
      <c r="N48" s="4" t="s">
        <v>5</v>
      </c>
      <c r="O48" s="4">
        <v>2</v>
      </c>
      <c r="P48" s="4"/>
    </row>
    <row r="49" spans="1:16">
      <c r="A49" s="4">
        <v>50</v>
      </c>
      <c r="B49" s="4">
        <v>1</v>
      </c>
      <c r="C49" s="4">
        <v>0</v>
      </c>
      <c r="D49" s="4">
        <v>2</v>
      </c>
      <c r="E49" s="4">
        <v>0</v>
      </c>
      <c r="F49" s="4">
        <v>290110.59000000003</v>
      </c>
      <c r="G49" s="4" t="s">
        <v>41</v>
      </c>
      <c r="H49" s="4" t="s">
        <v>116</v>
      </c>
      <c r="I49" s="4"/>
      <c r="J49" s="4"/>
      <c r="K49" s="4">
        <v>212</v>
      </c>
      <c r="L49" s="4">
        <v>32</v>
      </c>
      <c r="M49" s="4">
        <v>0</v>
      </c>
      <c r="N49" s="4" t="s">
        <v>5</v>
      </c>
      <c r="O49" s="4">
        <v>2</v>
      </c>
      <c r="P49" s="4"/>
    </row>
    <row r="50" spans="1:16">
      <c r="A50" s="4">
        <v>50</v>
      </c>
      <c r="B50" s="4">
        <v>1</v>
      </c>
      <c r="C50" s="4">
        <v>0</v>
      </c>
      <c r="D50" s="4">
        <v>2</v>
      </c>
      <c r="E50" s="4">
        <v>0</v>
      </c>
      <c r="F50" s="4">
        <v>52219.91</v>
      </c>
      <c r="G50" s="4" t="s">
        <v>45</v>
      </c>
      <c r="H50" s="4" t="s">
        <v>117</v>
      </c>
      <c r="I50" s="4"/>
      <c r="J50" s="4"/>
      <c r="K50" s="4">
        <v>212</v>
      </c>
      <c r="L50" s="4">
        <v>33</v>
      </c>
      <c r="M50" s="4">
        <v>0</v>
      </c>
      <c r="N50" s="4" t="s">
        <v>5</v>
      </c>
      <c r="O50" s="4">
        <v>2</v>
      </c>
      <c r="P50" s="4"/>
    </row>
    <row r="51" spans="1:16">
      <c r="A51" s="4">
        <v>50</v>
      </c>
      <c r="B51" s="4">
        <v>1</v>
      </c>
      <c r="C51" s="4">
        <v>0</v>
      </c>
      <c r="D51" s="4">
        <v>2</v>
      </c>
      <c r="E51" s="4">
        <v>0</v>
      </c>
      <c r="F51" s="4">
        <v>342330.5</v>
      </c>
      <c r="G51" s="4" t="s">
        <v>49</v>
      </c>
      <c r="H51" s="4" t="s">
        <v>118</v>
      </c>
      <c r="I51" s="4"/>
      <c r="J51" s="4"/>
      <c r="K51" s="4">
        <v>212</v>
      </c>
      <c r="L51" s="4">
        <v>34</v>
      </c>
      <c r="M51" s="4">
        <v>0</v>
      </c>
      <c r="N51" s="4" t="s">
        <v>5</v>
      </c>
      <c r="O51" s="4">
        <v>2</v>
      </c>
      <c r="P51" s="4"/>
    </row>
    <row r="53" spans="1:16">
      <c r="A53">
        <v>-1</v>
      </c>
    </row>
    <row r="56" spans="1:16">
      <c r="A56" s="3">
        <v>75</v>
      </c>
      <c r="B56" s="3" t="s">
        <v>180</v>
      </c>
      <c r="C56" s="3">
        <v>2000</v>
      </c>
      <c r="D56" s="3">
        <v>0</v>
      </c>
      <c r="E56" s="3">
        <v>1</v>
      </c>
      <c r="F56" s="3">
        <v>0</v>
      </c>
      <c r="G56" s="3">
        <v>0</v>
      </c>
      <c r="H56" s="3">
        <v>1</v>
      </c>
      <c r="I56" s="3">
        <v>0</v>
      </c>
      <c r="J56" s="3">
        <v>1</v>
      </c>
      <c r="K56" s="3">
        <v>0</v>
      </c>
      <c r="L56" s="3">
        <v>0</v>
      </c>
      <c r="M56" s="3">
        <v>0</v>
      </c>
      <c r="N56" s="3">
        <v>31859403</v>
      </c>
      <c r="O56" s="3">
        <v>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B64"/>
  <sheetViews>
    <sheetView workbookViewId="0"/>
  </sheetViews>
  <sheetFormatPr defaultColWidth="9.140625" defaultRowHeight="12.75"/>
  <cols>
    <col min="1" max="256" width="9.140625" customWidth="1"/>
  </cols>
  <sheetData>
    <row r="1" spans="1:106">
      <c r="A1">
        <f>ROW(Source!A24)</f>
        <v>24</v>
      </c>
      <c r="B1">
        <v>31859403</v>
      </c>
      <c r="C1">
        <v>31859659</v>
      </c>
      <c r="D1">
        <v>29047034</v>
      </c>
      <c r="E1">
        <v>1</v>
      </c>
      <c r="F1">
        <v>1</v>
      </c>
      <c r="G1">
        <v>1</v>
      </c>
      <c r="H1">
        <v>1</v>
      </c>
      <c r="I1" t="s">
        <v>182</v>
      </c>
      <c r="J1" t="s">
        <v>5</v>
      </c>
      <c r="K1" t="s">
        <v>183</v>
      </c>
      <c r="L1">
        <v>1191</v>
      </c>
      <c r="N1">
        <v>1013</v>
      </c>
      <c r="O1" t="s">
        <v>184</v>
      </c>
      <c r="P1" t="s">
        <v>184</v>
      </c>
      <c r="Q1">
        <v>1</v>
      </c>
      <c r="W1">
        <v>0</v>
      </c>
      <c r="X1">
        <v>1069510174</v>
      </c>
      <c r="Y1">
        <v>48.5</v>
      </c>
      <c r="AA1">
        <v>0</v>
      </c>
      <c r="AB1">
        <v>0</v>
      </c>
      <c r="AC1">
        <v>0</v>
      </c>
      <c r="AD1">
        <v>9.6199999999999992</v>
      </c>
      <c r="AE1">
        <v>0</v>
      </c>
      <c r="AF1">
        <v>0</v>
      </c>
      <c r="AG1">
        <v>0</v>
      </c>
      <c r="AH1">
        <v>9.6199999999999992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5</v>
      </c>
      <c r="AT1">
        <v>48.5</v>
      </c>
      <c r="AU1" t="s">
        <v>5</v>
      </c>
      <c r="AV1">
        <v>1</v>
      </c>
      <c r="AW1">
        <v>2</v>
      </c>
      <c r="AX1">
        <v>31859675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44.620000000000005</v>
      </c>
      <c r="CY1">
        <f>AD1</f>
        <v>9.6199999999999992</v>
      </c>
      <c r="CZ1">
        <f>AH1</f>
        <v>9.6199999999999992</v>
      </c>
      <c r="DA1">
        <f>AL1</f>
        <v>1</v>
      </c>
      <c r="DB1">
        <v>0</v>
      </c>
    </row>
    <row r="2" spans="1:106">
      <c r="A2">
        <f>ROW(Source!A24)</f>
        <v>24</v>
      </c>
      <c r="B2">
        <v>31859403</v>
      </c>
      <c r="C2">
        <v>31859659</v>
      </c>
      <c r="D2">
        <v>29040875</v>
      </c>
      <c r="E2">
        <v>1</v>
      </c>
      <c r="F2">
        <v>1</v>
      </c>
      <c r="G2">
        <v>1</v>
      </c>
      <c r="H2">
        <v>1</v>
      </c>
      <c r="I2" t="s">
        <v>185</v>
      </c>
      <c r="J2" t="s">
        <v>5</v>
      </c>
      <c r="K2" t="s">
        <v>186</v>
      </c>
      <c r="L2">
        <v>1191</v>
      </c>
      <c r="N2">
        <v>1013</v>
      </c>
      <c r="O2" t="s">
        <v>184</v>
      </c>
      <c r="P2" t="s">
        <v>184</v>
      </c>
      <c r="Q2">
        <v>1</v>
      </c>
      <c r="W2">
        <v>0</v>
      </c>
      <c r="X2">
        <v>-1417349443</v>
      </c>
      <c r="Y2">
        <v>11.45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5</v>
      </c>
      <c r="AT2">
        <v>11.45</v>
      </c>
      <c r="AU2" t="s">
        <v>5</v>
      </c>
      <c r="AV2">
        <v>2</v>
      </c>
      <c r="AW2">
        <v>2</v>
      </c>
      <c r="AX2">
        <v>31859676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10.533999999999999</v>
      </c>
      <c r="CY2">
        <f>AD2</f>
        <v>0</v>
      </c>
      <c r="CZ2">
        <f>AH2</f>
        <v>0</v>
      </c>
      <c r="DA2">
        <f>AL2</f>
        <v>1</v>
      </c>
      <c r="DB2">
        <v>0</v>
      </c>
    </row>
    <row r="3" spans="1:106">
      <c r="A3">
        <f>ROW(Source!A24)</f>
        <v>24</v>
      </c>
      <c r="B3">
        <v>31859403</v>
      </c>
      <c r="C3">
        <v>31859659</v>
      </c>
      <c r="D3">
        <v>28857944</v>
      </c>
      <c r="E3">
        <v>1</v>
      </c>
      <c r="F3">
        <v>1</v>
      </c>
      <c r="G3">
        <v>1</v>
      </c>
      <c r="H3">
        <v>2</v>
      </c>
      <c r="I3" t="s">
        <v>187</v>
      </c>
      <c r="J3" t="s">
        <v>188</v>
      </c>
      <c r="K3" t="s">
        <v>189</v>
      </c>
      <c r="L3">
        <v>1368</v>
      </c>
      <c r="N3">
        <v>1011</v>
      </c>
      <c r="O3" t="s">
        <v>190</v>
      </c>
      <c r="P3" t="s">
        <v>190</v>
      </c>
      <c r="Q3">
        <v>1</v>
      </c>
      <c r="W3">
        <v>0</v>
      </c>
      <c r="X3">
        <v>-1779488503</v>
      </c>
      <c r="Y3">
        <v>4.87</v>
      </c>
      <c r="AA3">
        <v>0</v>
      </c>
      <c r="AB3">
        <v>290.01</v>
      </c>
      <c r="AC3">
        <v>25.1</v>
      </c>
      <c r="AD3">
        <v>0</v>
      </c>
      <c r="AE3">
        <v>0</v>
      </c>
      <c r="AF3">
        <v>290.01</v>
      </c>
      <c r="AG3">
        <v>25.1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5</v>
      </c>
      <c r="AT3">
        <v>4.87</v>
      </c>
      <c r="AU3" t="s">
        <v>5</v>
      </c>
      <c r="AV3">
        <v>0</v>
      </c>
      <c r="AW3">
        <v>2</v>
      </c>
      <c r="AX3">
        <v>31859677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4.4804000000000004</v>
      </c>
      <c r="CY3">
        <f>AB3</f>
        <v>290.01</v>
      </c>
      <c r="CZ3">
        <f>AF3</f>
        <v>290.01</v>
      </c>
      <c r="DA3">
        <f>AJ3</f>
        <v>1</v>
      </c>
      <c r="DB3">
        <v>0</v>
      </c>
    </row>
    <row r="4" spans="1:106">
      <c r="A4">
        <f>ROW(Source!A24)</f>
        <v>24</v>
      </c>
      <c r="B4">
        <v>31859403</v>
      </c>
      <c r="C4">
        <v>31859659</v>
      </c>
      <c r="D4">
        <v>28858121</v>
      </c>
      <c r="E4">
        <v>1</v>
      </c>
      <c r="F4">
        <v>1</v>
      </c>
      <c r="G4">
        <v>1</v>
      </c>
      <c r="H4">
        <v>2</v>
      </c>
      <c r="I4" t="s">
        <v>191</v>
      </c>
      <c r="J4" t="s">
        <v>192</v>
      </c>
      <c r="K4" t="s">
        <v>193</v>
      </c>
      <c r="L4">
        <v>1368</v>
      </c>
      <c r="N4">
        <v>1011</v>
      </c>
      <c r="O4" t="s">
        <v>190</v>
      </c>
      <c r="P4" t="s">
        <v>190</v>
      </c>
      <c r="Q4">
        <v>1</v>
      </c>
      <c r="W4">
        <v>0</v>
      </c>
      <c r="X4">
        <v>-1985289705</v>
      </c>
      <c r="Y4">
        <v>3.3</v>
      </c>
      <c r="AA4">
        <v>0</v>
      </c>
      <c r="AB4">
        <v>6.66</v>
      </c>
      <c r="AC4">
        <v>0</v>
      </c>
      <c r="AD4">
        <v>0</v>
      </c>
      <c r="AE4">
        <v>0</v>
      </c>
      <c r="AF4">
        <v>6.66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5</v>
      </c>
      <c r="AT4">
        <v>3.3</v>
      </c>
      <c r="AU4" t="s">
        <v>5</v>
      </c>
      <c r="AV4">
        <v>0</v>
      </c>
      <c r="AW4">
        <v>2</v>
      </c>
      <c r="AX4">
        <v>31859678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3.036</v>
      </c>
      <c r="CY4">
        <f>AB4</f>
        <v>6.66</v>
      </c>
      <c r="CZ4">
        <f>AF4</f>
        <v>6.66</v>
      </c>
      <c r="DA4">
        <f>AJ4</f>
        <v>1</v>
      </c>
      <c r="DB4">
        <v>0</v>
      </c>
    </row>
    <row r="5" spans="1:106">
      <c r="A5">
        <f>ROW(Source!A24)</f>
        <v>24</v>
      </c>
      <c r="B5">
        <v>31859403</v>
      </c>
      <c r="C5">
        <v>31859659</v>
      </c>
      <c r="D5">
        <v>28858262</v>
      </c>
      <c r="E5">
        <v>1</v>
      </c>
      <c r="F5">
        <v>1</v>
      </c>
      <c r="G5">
        <v>1</v>
      </c>
      <c r="H5">
        <v>2</v>
      </c>
      <c r="I5" t="s">
        <v>194</v>
      </c>
      <c r="J5" t="s">
        <v>195</v>
      </c>
      <c r="K5" t="s">
        <v>196</v>
      </c>
      <c r="L5">
        <v>1368</v>
      </c>
      <c r="N5">
        <v>1011</v>
      </c>
      <c r="O5" t="s">
        <v>190</v>
      </c>
      <c r="P5" t="s">
        <v>190</v>
      </c>
      <c r="Q5">
        <v>1</v>
      </c>
      <c r="W5">
        <v>0</v>
      </c>
      <c r="X5">
        <v>1599745326</v>
      </c>
      <c r="Y5">
        <v>1.38</v>
      </c>
      <c r="AA5">
        <v>0</v>
      </c>
      <c r="AB5">
        <v>142.69999999999999</v>
      </c>
      <c r="AC5">
        <v>13.5</v>
      </c>
      <c r="AD5">
        <v>0</v>
      </c>
      <c r="AE5">
        <v>0</v>
      </c>
      <c r="AF5">
        <v>142.69999999999999</v>
      </c>
      <c r="AG5">
        <v>13.5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5</v>
      </c>
      <c r="AT5">
        <v>1.38</v>
      </c>
      <c r="AU5" t="s">
        <v>5</v>
      </c>
      <c r="AV5">
        <v>0</v>
      </c>
      <c r="AW5">
        <v>2</v>
      </c>
      <c r="AX5">
        <v>31859679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1.2696000000000001</v>
      </c>
      <c r="CY5">
        <f>AB5</f>
        <v>142.69999999999999</v>
      </c>
      <c r="CZ5">
        <f>AF5</f>
        <v>142.69999999999999</v>
      </c>
      <c r="DA5">
        <f>AJ5</f>
        <v>1</v>
      </c>
      <c r="DB5">
        <v>0</v>
      </c>
    </row>
    <row r="6" spans="1:106">
      <c r="A6">
        <f>ROW(Source!A24)</f>
        <v>24</v>
      </c>
      <c r="B6">
        <v>31859403</v>
      </c>
      <c r="C6">
        <v>31859659</v>
      </c>
      <c r="D6">
        <v>28859327</v>
      </c>
      <c r="E6">
        <v>1</v>
      </c>
      <c r="F6">
        <v>1</v>
      </c>
      <c r="G6">
        <v>1</v>
      </c>
      <c r="H6">
        <v>2</v>
      </c>
      <c r="I6" t="s">
        <v>197</v>
      </c>
      <c r="J6" t="s">
        <v>198</v>
      </c>
      <c r="K6" t="s">
        <v>199</v>
      </c>
      <c r="L6">
        <v>1368</v>
      </c>
      <c r="N6">
        <v>1011</v>
      </c>
      <c r="O6" t="s">
        <v>190</v>
      </c>
      <c r="P6" t="s">
        <v>190</v>
      </c>
      <c r="Q6">
        <v>1</v>
      </c>
      <c r="W6">
        <v>0</v>
      </c>
      <c r="X6">
        <v>-397077665</v>
      </c>
      <c r="Y6">
        <v>0.33</v>
      </c>
      <c r="AA6">
        <v>0</v>
      </c>
      <c r="AB6">
        <v>92.94</v>
      </c>
      <c r="AC6">
        <v>13.5</v>
      </c>
      <c r="AD6">
        <v>0</v>
      </c>
      <c r="AE6">
        <v>0</v>
      </c>
      <c r="AF6">
        <v>92.94</v>
      </c>
      <c r="AG6">
        <v>13.5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5</v>
      </c>
      <c r="AT6">
        <v>0.33</v>
      </c>
      <c r="AU6" t="s">
        <v>5</v>
      </c>
      <c r="AV6">
        <v>0</v>
      </c>
      <c r="AW6">
        <v>2</v>
      </c>
      <c r="AX6">
        <v>31859680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0.30360000000000004</v>
      </c>
      <c r="CY6">
        <f>AB6</f>
        <v>92.94</v>
      </c>
      <c r="CZ6">
        <f>AF6</f>
        <v>92.94</v>
      </c>
      <c r="DA6">
        <f>AJ6</f>
        <v>1</v>
      </c>
      <c r="DB6">
        <v>0</v>
      </c>
    </row>
    <row r="7" spans="1:106">
      <c r="A7">
        <f>ROW(Source!A24)</f>
        <v>24</v>
      </c>
      <c r="B7">
        <v>31859403</v>
      </c>
      <c r="C7">
        <v>31859659</v>
      </c>
      <c r="D7">
        <v>28859628</v>
      </c>
      <c r="E7">
        <v>1</v>
      </c>
      <c r="F7">
        <v>1</v>
      </c>
      <c r="G7">
        <v>1</v>
      </c>
      <c r="H7">
        <v>2</v>
      </c>
      <c r="I7" t="s">
        <v>200</v>
      </c>
      <c r="J7" t="s">
        <v>201</v>
      </c>
      <c r="K7" t="s">
        <v>202</v>
      </c>
      <c r="L7">
        <v>1368</v>
      </c>
      <c r="N7">
        <v>1011</v>
      </c>
      <c r="O7" t="s">
        <v>190</v>
      </c>
      <c r="P7" t="s">
        <v>190</v>
      </c>
      <c r="Q7">
        <v>1</v>
      </c>
      <c r="W7">
        <v>0</v>
      </c>
      <c r="X7">
        <v>-353815937</v>
      </c>
      <c r="Y7">
        <v>1.75</v>
      </c>
      <c r="AA7">
        <v>0</v>
      </c>
      <c r="AB7">
        <v>8.1</v>
      </c>
      <c r="AC7">
        <v>0</v>
      </c>
      <c r="AD7">
        <v>0</v>
      </c>
      <c r="AE7">
        <v>0</v>
      </c>
      <c r="AF7">
        <v>8.1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5</v>
      </c>
      <c r="AT7">
        <v>1.75</v>
      </c>
      <c r="AU7" t="s">
        <v>5</v>
      </c>
      <c r="AV7">
        <v>0</v>
      </c>
      <c r="AW7">
        <v>2</v>
      </c>
      <c r="AX7">
        <v>31859681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1.61</v>
      </c>
      <c r="CY7">
        <f>AB7</f>
        <v>8.1</v>
      </c>
      <c r="CZ7">
        <f>AF7</f>
        <v>8.1</v>
      </c>
      <c r="DA7">
        <f>AJ7</f>
        <v>1</v>
      </c>
      <c r="DB7">
        <v>0</v>
      </c>
    </row>
    <row r="8" spans="1:106">
      <c r="A8">
        <f>ROW(Source!A24)</f>
        <v>24</v>
      </c>
      <c r="B8">
        <v>31859403</v>
      </c>
      <c r="C8">
        <v>31859659</v>
      </c>
      <c r="D8">
        <v>28777594</v>
      </c>
      <c r="E8">
        <v>1</v>
      </c>
      <c r="F8">
        <v>1</v>
      </c>
      <c r="G8">
        <v>1</v>
      </c>
      <c r="H8">
        <v>3</v>
      </c>
      <c r="I8" t="s">
        <v>203</v>
      </c>
      <c r="J8" t="s">
        <v>204</v>
      </c>
      <c r="K8" t="s">
        <v>205</v>
      </c>
      <c r="L8">
        <v>1383</v>
      </c>
      <c r="N8">
        <v>1013</v>
      </c>
      <c r="O8" t="s">
        <v>206</v>
      </c>
      <c r="P8" t="s">
        <v>206</v>
      </c>
      <c r="Q8">
        <v>1</v>
      </c>
      <c r="W8">
        <v>0</v>
      </c>
      <c r="X8">
        <v>-1379976516</v>
      </c>
      <c r="Y8">
        <v>38.700000000000003</v>
      </c>
      <c r="AA8">
        <v>0.4</v>
      </c>
      <c r="AB8">
        <v>0</v>
      </c>
      <c r="AC8">
        <v>0</v>
      </c>
      <c r="AD8">
        <v>0</v>
      </c>
      <c r="AE8">
        <v>0.4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5</v>
      </c>
      <c r="AT8">
        <v>38.700000000000003</v>
      </c>
      <c r="AU8" t="s">
        <v>5</v>
      </c>
      <c r="AV8">
        <v>0</v>
      </c>
      <c r="AW8">
        <v>2</v>
      </c>
      <c r="AX8">
        <v>31859682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Y8*Source!I24</f>
        <v>35.604000000000006</v>
      </c>
      <c r="CY8">
        <f t="shared" ref="CY8:CY14" si="0">AA8</f>
        <v>0.4</v>
      </c>
      <c r="CZ8">
        <f t="shared" ref="CZ8:CZ14" si="1">AE8</f>
        <v>0.4</v>
      </c>
      <c r="DA8">
        <f t="shared" ref="DA8:DA14" si="2">AI8</f>
        <v>1</v>
      </c>
      <c r="DB8">
        <v>0</v>
      </c>
    </row>
    <row r="9" spans="1:106">
      <c r="A9">
        <f>ROW(Source!A24)</f>
        <v>24</v>
      </c>
      <c r="B9">
        <v>31859403</v>
      </c>
      <c r="C9">
        <v>31859659</v>
      </c>
      <c r="D9">
        <v>28779042</v>
      </c>
      <c r="E9">
        <v>1</v>
      </c>
      <c r="F9">
        <v>1</v>
      </c>
      <c r="G9">
        <v>1</v>
      </c>
      <c r="H9">
        <v>3</v>
      </c>
      <c r="I9" t="s">
        <v>207</v>
      </c>
      <c r="J9" t="s">
        <v>208</v>
      </c>
      <c r="K9" t="s">
        <v>209</v>
      </c>
      <c r="L9">
        <v>1348</v>
      </c>
      <c r="N9">
        <v>1009</v>
      </c>
      <c r="O9" t="s">
        <v>16</v>
      </c>
      <c r="P9" t="s">
        <v>16</v>
      </c>
      <c r="Q9">
        <v>1000</v>
      </c>
      <c r="W9">
        <v>0</v>
      </c>
      <c r="X9">
        <v>-1207018266</v>
      </c>
      <c r="Y9">
        <v>2.3900000000000002E-3</v>
      </c>
      <c r="AA9">
        <v>10578</v>
      </c>
      <c r="AB9">
        <v>0</v>
      </c>
      <c r="AC9">
        <v>0</v>
      </c>
      <c r="AD9">
        <v>0</v>
      </c>
      <c r="AE9">
        <v>10578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5</v>
      </c>
      <c r="AT9">
        <v>2.3900000000000002E-3</v>
      </c>
      <c r="AU9" t="s">
        <v>5</v>
      </c>
      <c r="AV9">
        <v>0</v>
      </c>
      <c r="AW9">
        <v>2</v>
      </c>
      <c r="AX9">
        <v>31859683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Y9*Source!I24</f>
        <v>2.1988000000000003E-3</v>
      </c>
      <c r="CY9">
        <f t="shared" si="0"/>
        <v>10578</v>
      </c>
      <c r="CZ9">
        <f t="shared" si="1"/>
        <v>10578</v>
      </c>
      <c r="DA9">
        <f t="shared" si="2"/>
        <v>1</v>
      </c>
      <c r="DB9">
        <v>0</v>
      </c>
    </row>
    <row r="10" spans="1:106">
      <c r="A10">
        <f>ROW(Source!A24)</f>
        <v>24</v>
      </c>
      <c r="B10">
        <v>31859403</v>
      </c>
      <c r="C10">
        <v>31859659</v>
      </c>
      <c r="D10">
        <v>28799074</v>
      </c>
      <c r="E10">
        <v>1</v>
      </c>
      <c r="F10">
        <v>1</v>
      </c>
      <c r="G10">
        <v>1</v>
      </c>
      <c r="H10">
        <v>3</v>
      </c>
      <c r="I10" t="s">
        <v>210</v>
      </c>
      <c r="J10" t="s">
        <v>211</v>
      </c>
      <c r="K10" t="s">
        <v>212</v>
      </c>
      <c r="L10">
        <v>1348</v>
      </c>
      <c r="N10">
        <v>1009</v>
      </c>
      <c r="O10" t="s">
        <v>16</v>
      </c>
      <c r="P10" t="s">
        <v>16</v>
      </c>
      <c r="Q10">
        <v>1000</v>
      </c>
      <c r="W10">
        <v>0</v>
      </c>
      <c r="X10">
        <v>-623732575</v>
      </c>
      <c r="Y10">
        <v>0.01</v>
      </c>
      <c r="AA10">
        <v>7441</v>
      </c>
      <c r="AB10">
        <v>0</v>
      </c>
      <c r="AC10">
        <v>0</v>
      </c>
      <c r="AD10">
        <v>0</v>
      </c>
      <c r="AE10">
        <v>7441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5</v>
      </c>
      <c r="AT10">
        <v>0.01</v>
      </c>
      <c r="AU10" t="s">
        <v>5</v>
      </c>
      <c r="AV10">
        <v>0</v>
      </c>
      <c r="AW10">
        <v>2</v>
      </c>
      <c r="AX10">
        <v>31859684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Y10*Source!I24</f>
        <v>9.1999999999999998E-3</v>
      </c>
      <c r="CY10">
        <f t="shared" si="0"/>
        <v>7441</v>
      </c>
      <c r="CZ10">
        <f t="shared" si="1"/>
        <v>7441</v>
      </c>
      <c r="DA10">
        <f t="shared" si="2"/>
        <v>1</v>
      </c>
      <c r="DB10">
        <v>0</v>
      </c>
    </row>
    <row r="11" spans="1:106">
      <c r="A11">
        <f>ROW(Source!A24)</f>
        <v>24</v>
      </c>
      <c r="B11">
        <v>31859403</v>
      </c>
      <c r="C11">
        <v>31859659</v>
      </c>
      <c r="D11">
        <v>28800087</v>
      </c>
      <c r="E11">
        <v>1</v>
      </c>
      <c r="F11">
        <v>1</v>
      </c>
      <c r="G11">
        <v>1</v>
      </c>
      <c r="H11">
        <v>3</v>
      </c>
      <c r="I11" t="s">
        <v>213</v>
      </c>
      <c r="J11" t="s">
        <v>214</v>
      </c>
      <c r="K11" t="s">
        <v>215</v>
      </c>
      <c r="L11">
        <v>1346</v>
      </c>
      <c r="N11">
        <v>1009</v>
      </c>
      <c r="O11" t="s">
        <v>216</v>
      </c>
      <c r="P11" t="s">
        <v>216</v>
      </c>
      <c r="Q11">
        <v>1</v>
      </c>
      <c r="W11">
        <v>0</v>
      </c>
      <c r="X11">
        <v>-211984368</v>
      </c>
      <c r="Y11">
        <v>0.12</v>
      </c>
      <c r="AA11">
        <v>15.14</v>
      </c>
      <c r="AB11">
        <v>0</v>
      </c>
      <c r="AC11">
        <v>0</v>
      </c>
      <c r="AD11">
        <v>0</v>
      </c>
      <c r="AE11">
        <v>15.14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5</v>
      </c>
      <c r="AT11">
        <v>0.12</v>
      </c>
      <c r="AU11" t="s">
        <v>5</v>
      </c>
      <c r="AV11">
        <v>0</v>
      </c>
      <c r="AW11">
        <v>2</v>
      </c>
      <c r="AX11">
        <v>31859685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Y11*Source!I24</f>
        <v>0.1104</v>
      </c>
      <c r="CY11">
        <f t="shared" si="0"/>
        <v>15.14</v>
      </c>
      <c r="CZ11">
        <f t="shared" si="1"/>
        <v>15.14</v>
      </c>
      <c r="DA11">
        <f t="shared" si="2"/>
        <v>1</v>
      </c>
      <c r="DB11">
        <v>0</v>
      </c>
    </row>
    <row r="12" spans="1:106">
      <c r="A12">
        <f>ROW(Source!A24)</f>
        <v>24</v>
      </c>
      <c r="B12">
        <v>31859403</v>
      </c>
      <c r="C12">
        <v>31859659</v>
      </c>
      <c r="D12">
        <v>28802171</v>
      </c>
      <c r="E12">
        <v>1</v>
      </c>
      <c r="F12">
        <v>1</v>
      </c>
      <c r="G12">
        <v>1</v>
      </c>
      <c r="H12">
        <v>3</v>
      </c>
      <c r="I12" t="s">
        <v>217</v>
      </c>
      <c r="J12" t="s">
        <v>218</v>
      </c>
      <c r="K12" t="s">
        <v>219</v>
      </c>
      <c r="L12">
        <v>1348</v>
      </c>
      <c r="N12">
        <v>1009</v>
      </c>
      <c r="O12" t="s">
        <v>16</v>
      </c>
      <c r="P12" t="s">
        <v>16</v>
      </c>
      <c r="Q12">
        <v>1000</v>
      </c>
      <c r="W12">
        <v>0</v>
      </c>
      <c r="X12">
        <v>-1259073202</v>
      </c>
      <c r="Y12">
        <v>7.0000000000000001E-3</v>
      </c>
      <c r="AA12">
        <v>5798.2</v>
      </c>
      <c r="AB12">
        <v>0</v>
      </c>
      <c r="AC12">
        <v>0</v>
      </c>
      <c r="AD12">
        <v>0</v>
      </c>
      <c r="AE12">
        <v>5798.2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5</v>
      </c>
      <c r="AT12">
        <v>7.0000000000000001E-3</v>
      </c>
      <c r="AU12" t="s">
        <v>5</v>
      </c>
      <c r="AV12">
        <v>0</v>
      </c>
      <c r="AW12">
        <v>2</v>
      </c>
      <c r="AX12">
        <v>31859686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Y12*Source!I24</f>
        <v>6.4400000000000004E-3</v>
      </c>
      <c r="CY12">
        <f t="shared" si="0"/>
        <v>5798.2</v>
      </c>
      <c r="CZ12">
        <f t="shared" si="1"/>
        <v>5798.2</v>
      </c>
      <c r="DA12">
        <f t="shared" si="2"/>
        <v>1</v>
      </c>
      <c r="DB12">
        <v>0</v>
      </c>
    </row>
    <row r="13" spans="1:106">
      <c r="A13">
        <f>ROW(Source!A24)</f>
        <v>24</v>
      </c>
      <c r="B13">
        <v>31859403</v>
      </c>
      <c r="C13">
        <v>31859659</v>
      </c>
      <c r="D13">
        <v>28845981</v>
      </c>
      <c r="E13">
        <v>1</v>
      </c>
      <c r="F13">
        <v>1</v>
      </c>
      <c r="G13">
        <v>1</v>
      </c>
      <c r="H13">
        <v>3</v>
      </c>
      <c r="I13" t="s">
        <v>220</v>
      </c>
      <c r="J13" t="s">
        <v>221</v>
      </c>
      <c r="K13" t="s">
        <v>222</v>
      </c>
      <c r="L13">
        <v>1354</v>
      </c>
      <c r="N13">
        <v>1010</v>
      </c>
      <c r="O13" t="s">
        <v>223</v>
      </c>
      <c r="P13" t="s">
        <v>223</v>
      </c>
      <c r="Q13">
        <v>1</v>
      </c>
      <c r="W13">
        <v>0</v>
      </c>
      <c r="X13">
        <v>1424622382</v>
      </c>
      <c r="Y13">
        <v>0.12</v>
      </c>
      <c r="AA13">
        <v>266.67</v>
      </c>
      <c r="AB13">
        <v>0</v>
      </c>
      <c r="AC13">
        <v>0</v>
      </c>
      <c r="AD13">
        <v>0</v>
      </c>
      <c r="AE13">
        <v>266.67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5</v>
      </c>
      <c r="AT13">
        <v>0.12</v>
      </c>
      <c r="AU13" t="s">
        <v>5</v>
      </c>
      <c r="AV13">
        <v>0</v>
      </c>
      <c r="AW13">
        <v>2</v>
      </c>
      <c r="AX13">
        <v>31859687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Y13*Source!I24</f>
        <v>0.1104</v>
      </c>
      <c r="CY13">
        <f t="shared" si="0"/>
        <v>266.67</v>
      </c>
      <c r="CZ13">
        <f t="shared" si="1"/>
        <v>266.67</v>
      </c>
      <c r="DA13">
        <f t="shared" si="2"/>
        <v>1</v>
      </c>
      <c r="DB13">
        <v>0</v>
      </c>
    </row>
    <row r="14" spans="1:106">
      <c r="A14">
        <f>ROW(Source!A24)</f>
        <v>24</v>
      </c>
      <c r="B14">
        <v>31859403</v>
      </c>
      <c r="C14">
        <v>31859659</v>
      </c>
      <c r="D14">
        <v>28774850</v>
      </c>
      <c r="E14">
        <v>17</v>
      </c>
      <c r="F14">
        <v>1</v>
      </c>
      <c r="G14">
        <v>1</v>
      </c>
      <c r="H14">
        <v>3</v>
      </c>
      <c r="I14" t="s">
        <v>224</v>
      </c>
      <c r="J14" t="s">
        <v>5</v>
      </c>
      <c r="K14" t="s">
        <v>225</v>
      </c>
      <c r="L14">
        <v>1374</v>
      </c>
      <c r="N14">
        <v>1013</v>
      </c>
      <c r="O14" t="s">
        <v>226</v>
      </c>
      <c r="P14" t="s">
        <v>226</v>
      </c>
      <c r="Q14">
        <v>1</v>
      </c>
      <c r="W14">
        <v>0</v>
      </c>
      <c r="X14">
        <v>-1731369543</v>
      </c>
      <c r="Y14">
        <v>9.33</v>
      </c>
      <c r="AA14">
        <v>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5</v>
      </c>
      <c r="AT14">
        <v>9.33</v>
      </c>
      <c r="AU14" t="s">
        <v>5</v>
      </c>
      <c r="AV14">
        <v>0</v>
      </c>
      <c r="AW14">
        <v>2</v>
      </c>
      <c r="AX14">
        <v>31859689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Y14*Source!I24</f>
        <v>8.5836000000000006</v>
      </c>
      <c r="CY14">
        <f t="shared" si="0"/>
        <v>1</v>
      </c>
      <c r="CZ14">
        <f t="shared" si="1"/>
        <v>1</v>
      </c>
      <c r="DA14">
        <f t="shared" si="2"/>
        <v>1</v>
      </c>
      <c r="DB14">
        <v>0</v>
      </c>
    </row>
    <row r="15" spans="1:106">
      <c r="A15">
        <f>ROW(Source!A27)</f>
        <v>27</v>
      </c>
      <c r="B15">
        <v>31859403</v>
      </c>
      <c r="C15">
        <v>31859958</v>
      </c>
      <c r="D15">
        <v>29056778</v>
      </c>
      <c r="E15">
        <v>1</v>
      </c>
      <c r="F15">
        <v>1</v>
      </c>
      <c r="G15">
        <v>1</v>
      </c>
      <c r="H15">
        <v>1</v>
      </c>
      <c r="I15" t="s">
        <v>227</v>
      </c>
      <c r="J15" t="s">
        <v>5</v>
      </c>
      <c r="K15" t="s">
        <v>228</v>
      </c>
      <c r="L15">
        <v>1191</v>
      </c>
      <c r="N15">
        <v>1013</v>
      </c>
      <c r="O15" t="s">
        <v>184</v>
      </c>
      <c r="P15" t="s">
        <v>184</v>
      </c>
      <c r="Q15">
        <v>1</v>
      </c>
      <c r="W15">
        <v>0</v>
      </c>
      <c r="X15">
        <v>912892513</v>
      </c>
      <c r="Y15">
        <v>1.21</v>
      </c>
      <c r="AA15">
        <v>0</v>
      </c>
      <c r="AB15">
        <v>0</v>
      </c>
      <c r="AC15">
        <v>0</v>
      </c>
      <c r="AD15">
        <v>9.92</v>
      </c>
      <c r="AE15">
        <v>0</v>
      </c>
      <c r="AF15">
        <v>0</v>
      </c>
      <c r="AG15">
        <v>0</v>
      </c>
      <c r="AH15">
        <v>9.92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5</v>
      </c>
      <c r="AT15">
        <v>1.21</v>
      </c>
      <c r="AU15" t="s">
        <v>5</v>
      </c>
      <c r="AV15">
        <v>1</v>
      </c>
      <c r="AW15">
        <v>2</v>
      </c>
      <c r="AX15">
        <v>31859969</v>
      </c>
      <c r="AY15">
        <v>1</v>
      </c>
      <c r="AZ15">
        <v>0</v>
      </c>
      <c r="BA15">
        <v>16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Y15*Source!I27</f>
        <v>2.42</v>
      </c>
      <c r="CY15">
        <f>AD15</f>
        <v>9.92</v>
      </c>
      <c r="CZ15">
        <f>AH15</f>
        <v>9.92</v>
      </c>
      <c r="DA15">
        <f>AL15</f>
        <v>1</v>
      </c>
      <c r="DB15">
        <v>0</v>
      </c>
    </row>
    <row r="16" spans="1:106">
      <c r="A16">
        <f>ROW(Source!A27)</f>
        <v>27</v>
      </c>
      <c r="B16">
        <v>31859403</v>
      </c>
      <c r="C16">
        <v>31859958</v>
      </c>
      <c r="D16">
        <v>28859628</v>
      </c>
      <c r="E16">
        <v>1</v>
      </c>
      <c r="F16">
        <v>1</v>
      </c>
      <c r="G16">
        <v>1</v>
      </c>
      <c r="H16">
        <v>2</v>
      </c>
      <c r="I16" t="s">
        <v>200</v>
      </c>
      <c r="J16" t="s">
        <v>201</v>
      </c>
      <c r="K16" t="s">
        <v>202</v>
      </c>
      <c r="L16">
        <v>1368</v>
      </c>
      <c r="N16">
        <v>1011</v>
      </c>
      <c r="O16" t="s">
        <v>190</v>
      </c>
      <c r="P16" t="s">
        <v>190</v>
      </c>
      <c r="Q16">
        <v>1</v>
      </c>
      <c r="W16">
        <v>0</v>
      </c>
      <c r="X16">
        <v>-353815937</v>
      </c>
      <c r="Y16">
        <v>0.09</v>
      </c>
      <c r="AA16">
        <v>0</v>
      </c>
      <c r="AB16">
        <v>8.1</v>
      </c>
      <c r="AC16">
        <v>0</v>
      </c>
      <c r="AD16">
        <v>0</v>
      </c>
      <c r="AE16">
        <v>0</v>
      </c>
      <c r="AF16">
        <v>8.1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5</v>
      </c>
      <c r="AT16">
        <v>0.09</v>
      </c>
      <c r="AU16" t="s">
        <v>5</v>
      </c>
      <c r="AV16">
        <v>0</v>
      </c>
      <c r="AW16">
        <v>2</v>
      </c>
      <c r="AX16">
        <v>31859970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Y16*Source!I27</f>
        <v>0.18</v>
      </c>
      <c r="CY16">
        <f>AB16</f>
        <v>8.1</v>
      </c>
      <c r="CZ16">
        <f>AF16</f>
        <v>8.1</v>
      </c>
      <c r="DA16">
        <f>AJ16</f>
        <v>1</v>
      </c>
      <c r="DB16">
        <v>0</v>
      </c>
    </row>
    <row r="17" spans="1:106">
      <c r="A17">
        <f>ROW(Source!A27)</f>
        <v>27</v>
      </c>
      <c r="B17">
        <v>31859403</v>
      </c>
      <c r="C17">
        <v>31859958</v>
      </c>
      <c r="D17">
        <v>28860296</v>
      </c>
      <c r="E17">
        <v>1</v>
      </c>
      <c r="F17">
        <v>1</v>
      </c>
      <c r="G17">
        <v>1</v>
      </c>
      <c r="H17">
        <v>2</v>
      </c>
      <c r="I17" t="s">
        <v>229</v>
      </c>
      <c r="J17" t="s">
        <v>230</v>
      </c>
      <c r="K17" t="s">
        <v>231</v>
      </c>
      <c r="L17">
        <v>1368</v>
      </c>
      <c r="N17">
        <v>1011</v>
      </c>
      <c r="O17" t="s">
        <v>190</v>
      </c>
      <c r="P17" t="s">
        <v>190</v>
      </c>
      <c r="Q17">
        <v>1</v>
      </c>
      <c r="W17">
        <v>0</v>
      </c>
      <c r="X17">
        <v>-995250510</v>
      </c>
      <c r="Y17">
        <v>0.11</v>
      </c>
      <c r="AA17">
        <v>0</v>
      </c>
      <c r="AB17">
        <v>1.1100000000000001</v>
      </c>
      <c r="AC17">
        <v>0</v>
      </c>
      <c r="AD17">
        <v>0</v>
      </c>
      <c r="AE17">
        <v>0</v>
      </c>
      <c r="AF17">
        <v>1.1100000000000001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5</v>
      </c>
      <c r="AT17">
        <v>0.11</v>
      </c>
      <c r="AU17" t="s">
        <v>5</v>
      </c>
      <c r="AV17">
        <v>0</v>
      </c>
      <c r="AW17">
        <v>2</v>
      </c>
      <c r="AX17">
        <v>31859971</v>
      </c>
      <c r="AY17">
        <v>1</v>
      </c>
      <c r="AZ17">
        <v>0</v>
      </c>
      <c r="BA17">
        <v>18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Y17*Source!I27</f>
        <v>0.22</v>
      </c>
      <c r="CY17">
        <f>AB17</f>
        <v>1.1100000000000001</v>
      </c>
      <c r="CZ17">
        <f>AF17</f>
        <v>1.1100000000000001</v>
      </c>
      <c r="DA17">
        <f>AJ17</f>
        <v>1</v>
      </c>
      <c r="DB17">
        <v>0</v>
      </c>
    </row>
    <row r="18" spans="1:106">
      <c r="A18">
        <f>ROW(Source!A27)</f>
        <v>27</v>
      </c>
      <c r="B18">
        <v>31859403</v>
      </c>
      <c r="C18">
        <v>31859958</v>
      </c>
      <c r="D18">
        <v>28775886</v>
      </c>
      <c r="E18">
        <v>1</v>
      </c>
      <c r="F18">
        <v>1</v>
      </c>
      <c r="G18">
        <v>1</v>
      </c>
      <c r="H18">
        <v>3</v>
      </c>
      <c r="I18" t="s">
        <v>232</v>
      </c>
      <c r="J18" t="s">
        <v>233</v>
      </c>
      <c r="K18" t="s">
        <v>234</v>
      </c>
      <c r="L18">
        <v>1348</v>
      </c>
      <c r="N18">
        <v>1009</v>
      </c>
      <c r="O18" t="s">
        <v>16</v>
      </c>
      <c r="P18" t="s">
        <v>16</v>
      </c>
      <c r="Q18">
        <v>1000</v>
      </c>
      <c r="W18">
        <v>0</v>
      </c>
      <c r="X18">
        <v>1652104570</v>
      </c>
      <c r="Y18">
        <v>3.1E-4</v>
      </c>
      <c r="AA18">
        <v>17500</v>
      </c>
      <c r="AB18">
        <v>0</v>
      </c>
      <c r="AC18">
        <v>0</v>
      </c>
      <c r="AD18">
        <v>0</v>
      </c>
      <c r="AE18">
        <v>17500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5</v>
      </c>
      <c r="AT18">
        <v>3.1E-4</v>
      </c>
      <c r="AU18" t="s">
        <v>5</v>
      </c>
      <c r="AV18">
        <v>0</v>
      </c>
      <c r="AW18">
        <v>2</v>
      </c>
      <c r="AX18">
        <v>31859972</v>
      </c>
      <c r="AY18">
        <v>1</v>
      </c>
      <c r="AZ18">
        <v>0</v>
      </c>
      <c r="BA18">
        <v>19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Y18*Source!I27</f>
        <v>6.2E-4</v>
      </c>
      <c r="CY18">
        <f t="shared" ref="CY18:CY24" si="3">AA18</f>
        <v>17500</v>
      </c>
      <c r="CZ18">
        <f t="shared" ref="CZ18:CZ24" si="4">AE18</f>
        <v>17500</v>
      </c>
      <c r="DA18">
        <f t="shared" ref="DA18:DA24" si="5">AI18</f>
        <v>1</v>
      </c>
      <c r="DB18">
        <v>0</v>
      </c>
    </row>
    <row r="19" spans="1:106">
      <c r="A19">
        <f>ROW(Source!A27)</f>
        <v>27</v>
      </c>
      <c r="B19">
        <v>31859403</v>
      </c>
      <c r="C19">
        <v>31859958</v>
      </c>
      <c r="D19">
        <v>28777560</v>
      </c>
      <c r="E19">
        <v>1</v>
      </c>
      <c r="F19">
        <v>1</v>
      </c>
      <c r="G19">
        <v>1</v>
      </c>
      <c r="H19">
        <v>3</v>
      </c>
      <c r="I19" t="s">
        <v>235</v>
      </c>
      <c r="J19" t="s">
        <v>236</v>
      </c>
      <c r="K19" t="s">
        <v>237</v>
      </c>
      <c r="L19">
        <v>1346</v>
      </c>
      <c r="N19">
        <v>1009</v>
      </c>
      <c r="O19" t="s">
        <v>216</v>
      </c>
      <c r="P19" t="s">
        <v>216</v>
      </c>
      <c r="Q19">
        <v>1</v>
      </c>
      <c r="W19">
        <v>0</v>
      </c>
      <c r="X19">
        <v>56922527</v>
      </c>
      <c r="Y19">
        <v>0.8</v>
      </c>
      <c r="AA19">
        <v>11.5</v>
      </c>
      <c r="AB19">
        <v>0</v>
      </c>
      <c r="AC19">
        <v>0</v>
      </c>
      <c r="AD19">
        <v>0</v>
      </c>
      <c r="AE19">
        <v>11.5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5</v>
      </c>
      <c r="AT19">
        <v>0.8</v>
      </c>
      <c r="AU19" t="s">
        <v>5</v>
      </c>
      <c r="AV19">
        <v>0</v>
      </c>
      <c r="AW19">
        <v>2</v>
      </c>
      <c r="AX19">
        <v>31859973</v>
      </c>
      <c r="AY19">
        <v>1</v>
      </c>
      <c r="AZ19">
        <v>0</v>
      </c>
      <c r="BA19">
        <v>20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Y19*Source!I27</f>
        <v>1.6</v>
      </c>
      <c r="CY19">
        <f t="shared" si="3"/>
        <v>11.5</v>
      </c>
      <c r="CZ19">
        <f t="shared" si="4"/>
        <v>11.5</v>
      </c>
      <c r="DA19">
        <f t="shared" si="5"/>
        <v>1</v>
      </c>
      <c r="DB19">
        <v>0</v>
      </c>
    </row>
    <row r="20" spans="1:106">
      <c r="A20">
        <f>ROW(Source!A27)</f>
        <v>27</v>
      </c>
      <c r="B20">
        <v>31859403</v>
      </c>
      <c r="C20">
        <v>31859958</v>
      </c>
      <c r="D20">
        <v>28777879</v>
      </c>
      <c r="E20">
        <v>1</v>
      </c>
      <c r="F20">
        <v>1</v>
      </c>
      <c r="G20">
        <v>1</v>
      </c>
      <c r="H20">
        <v>3</v>
      </c>
      <c r="I20" t="s">
        <v>238</v>
      </c>
      <c r="J20" t="s">
        <v>239</v>
      </c>
      <c r="K20" t="s">
        <v>240</v>
      </c>
      <c r="L20">
        <v>1346</v>
      </c>
      <c r="N20">
        <v>1009</v>
      </c>
      <c r="O20" t="s">
        <v>216</v>
      </c>
      <c r="P20" t="s">
        <v>216</v>
      </c>
      <c r="Q20">
        <v>1</v>
      </c>
      <c r="W20">
        <v>0</v>
      </c>
      <c r="X20">
        <v>-1088866022</v>
      </c>
      <c r="Y20">
        <v>4.0000000000000001E-3</v>
      </c>
      <c r="AA20">
        <v>30.4</v>
      </c>
      <c r="AB20">
        <v>0</v>
      </c>
      <c r="AC20">
        <v>0</v>
      </c>
      <c r="AD20">
        <v>0</v>
      </c>
      <c r="AE20">
        <v>30.4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5</v>
      </c>
      <c r="AT20">
        <v>4.0000000000000001E-3</v>
      </c>
      <c r="AU20" t="s">
        <v>5</v>
      </c>
      <c r="AV20">
        <v>0</v>
      </c>
      <c r="AW20">
        <v>2</v>
      </c>
      <c r="AX20">
        <v>31859974</v>
      </c>
      <c r="AY20">
        <v>1</v>
      </c>
      <c r="AZ20">
        <v>0</v>
      </c>
      <c r="BA20">
        <v>21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Y20*Source!I27</f>
        <v>8.0000000000000002E-3</v>
      </c>
      <c r="CY20">
        <f t="shared" si="3"/>
        <v>30.4</v>
      </c>
      <c r="CZ20">
        <f t="shared" si="4"/>
        <v>30.4</v>
      </c>
      <c r="DA20">
        <f t="shared" si="5"/>
        <v>1</v>
      </c>
      <c r="DB20">
        <v>0</v>
      </c>
    </row>
    <row r="21" spans="1:106">
      <c r="A21">
        <f>ROW(Source!A27)</f>
        <v>27</v>
      </c>
      <c r="B21">
        <v>31859403</v>
      </c>
      <c r="C21">
        <v>31859958</v>
      </c>
      <c r="D21">
        <v>28779043</v>
      </c>
      <c r="E21">
        <v>1</v>
      </c>
      <c r="F21">
        <v>1</v>
      </c>
      <c r="G21">
        <v>1</v>
      </c>
      <c r="H21">
        <v>3</v>
      </c>
      <c r="I21" t="s">
        <v>241</v>
      </c>
      <c r="J21" t="s">
        <v>242</v>
      </c>
      <c r="K21" t="s">
        <v>209</v>
      </c>
      <c r="L21">
        <v>1346</v>
      </c>
      <c r="N21">
        <v>1009</v>
      </c>
      <c r="O21" t="s">
        <v>216</v>
      </c>
      <c r="P21" t="s">
        <v>216</v>
      </c>
      <c r="Q21">
        <v>1</v>
      </c>
      <c r="W21">
        <v>0</v>
      </c>
      <c r="X21">
        <v>586013393</v>
      </c>
      <c r="Y21">
        <v>0.08</v>
      </c>
      <c r="AA21">
        <v>10.57</v>
      </c>
      <c r="AB21">
        <v>0</v>
      </c>
      <c r="AC21">
        <v>0</v>
      </c>
      <c r="AD21">
        <v>0</v>
      </c>
      <c r="AE21">
        <v>10.57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5</v>
      </c>
      <c r="AT21">
        <v>0.08</v>
      </c>
      <c r="AU21" t="s">
        <v>5</v>
      </c>
      <c r="AV21">
        <v>0</v>
      </c>
      <c r="AW21">
        <v>2</v>
      </c>
      <c r="AX21">
        <v>31859975</v>
      </c>
      <c r="AY21">
        <v>1</v>
      </c>
      <c r="AZ21">
        <v>0</v>
      </c>
      <c r="BA21">
        <v>22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Y21*Source!I27</f>
        <v>0.16</v>
      </c>
      <c r="CY21">
        <f t="shared" si="3"/>
        <v>10.57</v>
      </c>
      <c r="CZ21">
        <f t="shared" si="4"/>
        <v>10.57</v>
      </c>
      <c r="DA21">
        <f t="shared" si="5"/>
        <v>1</v>
      </c>
      <c r="DB21">
        <v>0</v>
      </c>
    </row>
    <row r="22" spans="1:106">
      <c r="A22">
        <f>ROW(Source!A27)</f>
        <v>27</v>
      </c>
      <c r="B22">
        <v>31859403</v>
      </c>
      <c r="C22">
        <v>31859958</v>
      </c>
      <c r="D22">
        <v>28814102</v>
      </c>
      <c r="E22">
        <v>1</v>
      </c>
      <c r="F22">
        <v>1</v>
      </c>
      <c r="G22">
        <v>1</v>
      </c>
      <c r="H22">
        <v>3</v>
      </c>
      <c r="I22" t="s">
        <v>243</v>
      </c>
      <c r="J22" t="s">
        <v>244</v>
      </c>
      <c r="K22" t="s">
        <v>245</v>
      </c>
      <c r="L22">
        <v>1346</v>
      </c>
      <c r="N22">
        <v>1009</v>
      </c>
      <c r="O22" t="s">
        <v>216</v>
      </c>
      <c r="P22" t="s">
        <v>216</v>
      </c>
      <c r="Q22">
        <v>1</v>
      </c>
      <c r="W22">
        <v>0</v>
      </c>
      <c r="X22">
        <v>210558753</v>
      </c>
      <c r="Y22">
        <v>0.01</v>
      </c>
      <c r="AA22">
        <v>28.6</v>
      </c>
      <c r="AB22">
        <v>0</v>
      </c>
      <c r="AC22">
        <v>0</v>
      </c>
      <c r="AD22">
        <v>0</v>
      </c>
      <c r="AE22">
        <v>28.6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5</v>
      </c>
      <c r="AT22">
        <v>0.01</v>
      </c>
      <c r="AU22" t="s">
        <v>5</v>
      </c>
      <c r="AV22">
        <v>0</v>
      </c>
      <c r="AW22">
        <v>2</v>
      </c>
      <c r="AX22">
        <v>31859976</v>
      </c>
      <c r="AY22">
        <v>1</v>
      </c>
      <c r="AZ22">
        <v>0</v>
      </c>
      <c r="BA22">
        <v>23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Y22*Source!I27</f>
        <v>0.02</v>
      </c>
      <c r="CY22">
        <f t="shared" si="3"/>
        <v>28.6</v>
      </c>
      <c r="CZ22">
        <f t="shared" si="4"/>
        <v>28.6</v>
      </c>
      <c r="DA22">
        <f t="shared" si="5"/>
        <v>1</v>
      </c>
      <c r="DB22">
        <v>0</v>
      </c>
    </row>
    <row r="23" spans="1:106">
      <c r="A23">
        <f>ROW(Source!A27)</f>
        <v>27</v>
      </c>
      <c r="B23">
        <v>31859403</v>
      </c>
      <c r="C23">
        <v>31859958</v>
      </c>
      <c r="D23">
        <v>28827730</v>
      </c>
      <c r="E23">
        <v>1</v>
      </c>
      <c r="F23">
        <v>1</v>
      </c>
      <c r="G23">
        <v>1</v>
      </c>
      <c r="H23">
        <v>3</v>
      </c>
      <c r="I23" t="s">
        <v>246</v>
      </c>
      <c r="J23" t="s">
        <v>247</v>
      </c>
      <c r="K23" t="s">
        <v>248</v>
      </c>
      <c r="L23">
        <v>1358</v>
      </c>
      <c r="N23">
        <v>1010</v>
      </c>
      <c r="O23" t="s">
        <v>249</v>
      </c>
      <c r="P23" t="s">
        <v>249</v>
      </c>
      <c r="Q23">
        <v>10</v>
      </c>
      <c r="W23">
        <v>0</v>
      </c>
      <c r="X23">
        <v>1386890308</v>
      </c>
      <c r="Y23">
        <v>0.1</v>
      </c>
      <c r="AA23">
        <v>39</v>
      </c>
      <c r="AB23">
        <v>0</v>
      </c>
      <c r="AC23">
        <v>0</v>
      </c>
      <c r="AD23">
        <v>0</v>
      </c>
      <c r="AE23">
        <v>39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5</v>
      </c>
      <c r="AT23">
        <v>0.1</v>
      </c>
      <c r="AU23" t="s">
        <v>5</v>
      </c>
      <c r="AV23">
        <v>0</v>
      </c>
      <c r="AW23">
        <v>2</v>
      </c>
      <c r="AX23">
        <v>31859977</v>
      </c>
      <c r="AY23">
        <v>1</v>
      </c>
      <c r="AZ23">
        <v>0</v>
      </c>
      <c r="BA23">
        <v>24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Y23*Source!I27</f>
        <v>0.2</v>
      </c>
      <c r="CY23">
        <f t="shared" si="3"/>
        <v>39</v>
      </c>
      <c r="CZ23">
        <f t="shared" si="4"/>
        <v>39</v>
      </c>
      <c r="DA23">
        <f t="shared" si="5"/>
        <v>1</v>
      </c>
      <c r="DB23">
        <v>0</v>
      </c>
    </row>
    <row r="24" spans="1:106">
      <c r="A24">
        <f>ROW(Source!A27)</f>
        <v>27</v>
      </c>
      <c r="B24">
        <v>31859403</v>
      </c>
      <c r="C24">
        <v>31859958</v>
      </c>
      <c r="D24">
        <v>28774850</v>
      </c>
      <c r="E24">
        <v>17</v>
      </c>
      <c r="F24">
        <v>1</v>
      </c>
      <c r="G24">
        <v>1</v>
      </c>
      <c r="H24">
        <v>3</v>
      </c>
      <c r="I24" t="s">
        <v>224</v>
      </c>
      <c r="J24" t="s">
        <v>5</v>
      </c>
      <c r="K24" t="s">
        <v>225</v>
      </c>
      <c r="L24">
        <v>1374</v>
      </c>
      <c r="N24">
        <v>1013</v>
      </c>
      <c r="O24" t="s">
        <v>226</v>
      </c>
      <c r="P24" t="s">
        <v>226</v>
      </c>
      <c r="Q24">
        <v>1</v>
      </c>
      <c r="W24">
        <v>0</v>
      </c>
      <c r="X24">
        <v>-1731369543</v>
      </c>
      <c r="Y24">
        <v>0.24</v>
      </c>
      <c r="AA24">
        <v>1</v>
      </c>
      <c r="AB24">
        <v>0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5</v>
      </c>
      <c r="AT24">
        <v>0.24</v>
      </c>
      <c r="AU24" t="s">
        <v>5</v>
      </c>
      <c r="AV24">
        <v>0</v>
      </c>
      <c r="AW24">
        <v>2</v>
      </c>
      <c r="AX24">
        <v>31859978</v>
      </c>
      <c r="AY24">
        <v>1</v>
      </c>
      <c r="AZ24">
        <v>0</v>
      </c>
      <c r="BA24">
        <v>25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Y24*Source!I27</f>
        <v>0.48</v>
      </c>
      <c r="CY24">
        <f t="shared" si="3"/>
        <v>1</v>
      </c>
      <c r="CZ24">
        <f t="shared" si="4"/>
        <v>1</v>
      </c>
      <c r="DA24">
        <f t="shared" si="5"/>
        <v>1</v>
      </c>
      <c r="DB24">
        <v>0</v>
      </c>
    </row>
    <row r="25" spans="1:106">
      <c r="A25">
        <f>ROW(Source!A28)</f>
        <v>28</v>
      </c>
      <c r="B25">
        <v>31859403</v>
      </c>
      <c r="C25">
        <v>31859693</v>
      </c>
      <c r="D25">
        <v>29040877</v>
      </c>
      <c r="E25">
        <v>1</v>
      </c>
      <c r="F25">
        <v>1</v>
      </c>
      <c r="G25">
        <v>1</v>
      </c>
      <c r="H25">
        <v>1</v>
      </c>
      <c r="I25" t="s">
        <v>250</v>
      </c>
      <c r="J25" t="s">
        <v>5</v>
      </c>
      <c r="K25" t="s">
        <v>251</v>
      </c>
      <c r="L25">
        <v>1191</v>
      </c>
      <c r="N25">
        <v>1013</v>
      </c>
      <c r="O25" t="s">
        <v>184</v>
      </c>
      <c r="P25" t="s">
        <v>184</v>
      </c>
      <c r="Q25">
        <v>1</v>
      </c>
      <c r="W25">
        <v>0</v>
      </c>
      <c r="X25">
        <v>-1081351934</v>
      </c>
      <c r="Y25">
        <v>2.75</v>
      </c>
      <c r="AA25">
        <v>0</v>
      </c>
      <c r="AB25">
        <v>0</v>
      </c>
      <c r="AC25">
        <v>0</v>
      </c>
      <c r="AD25">
        <v>9.4</v>
      </c>
      <c r="AE25">
        <v>0</v>
      </c>
      <c r="AF25">
        <v>0</v>
      </c>
      <c r="AG25">
        <v>0</v>
      </c>
      <c r="AH25">
        <v>9.4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5</v>
      </c>
      <c r="AT25">
        <v>2.75</v>
      </c>
      <c r="AU25" t="s">
        <v>5</v>
      </c>
      <c r="AV25">
        <v>1</v>
      </c>
      <c r="AW25">
        <v>2</v>
      </c>
      <c r="AX25">
        <v>31859703</v>
      </c>
      <c r="AY25">
        <v>1</v>
      </c>
      <c r="AZ25">
        <v>0</v>
      </c>
      <c r="BA25">
        <v>26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Y25*Source!I28</f>
        <v>2.75</v>
      </c>
      <c r="CY25">
        <f>AD25</f>
        <v>9.4</v>
      </c>
      <c r="CZ25">
        <f>AH25</f>
        <v>9.4</v>
      </c>
      <c r="DA25">
        <f>AL25</f>
        <v>1</v>
      </c>
      <c r="DB25">
        <v>0</v>
      </c>
    </row>
    <row r="26" spans="1:106">
      <c r="A26">
        <f>ROW(Source!A28)</f>
        <v>28</v>
      </c>
      <c r="B26">
        <v>31859403</v>
      </c>
      <c r="C26">
        <v>31859693</v>
      </c>
      <c r="D26">
        <v>28775828</v>
      </c>
      <c r="E26">
        <v>1</v>
      </c>
      <c r="F26">
        <v>1</v>
      </c>
      <c r="G26">
        <v>1</v>
      </c>
      <c r="H26">
        <v>3</v>
      </c>
      <c r="I26" t="s">
        <v>252</v>
      </c>
      <c r="J26" t="s">
        <v>253</v>
      </c>
      <c r="K26" t="s">
        <v>254</v>
      </c>
      <c r="L26">
        <v>1346</v>
      </c>
      <c r="N26">
        <v>1009</v>
      </c>
      <c r="O26" t="s">
        <v>216</v>
      </c>
      <c r="P26" t="s">
        <v>216</v>
      </c>
      <c r="Q26">
        <v>1</v>
      </c>
      <c r="W26">
        <v>0</v>
      </c>
      <c r="X26">
        <v>618806536</v>
      </c>
      <c r="Y26">
        <v>0.02</v>
      </c>
      <c r="AA26">
        <v>44.97</v>
      </c>
      <c r="AB26">
        <v>0</v>
      </c>
      <c r="AC26">
        <v>0</v>
      </c>
      <c r="AD26">
        <v>0</v>
      </c>
      <c r="AE26">
        <v>44.97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5</v>
      </c>
      <c r="AT26">
        <v>0.02</v>
      </c>
      <c r="AU26" t="s">
        <v>5</v>
      </c>
      <c r="AV26">
        <v>0</v>
      </c>
      <c r="AW26">
        <v>2</v>
      </c>
      <c r="AX26">
        <v>31859704</v>
      </c>
      <c r="AY26">
        <v>1</v>
      </c>
      <c r="AZ26">
        <v>0</v>
      </c>
      <c r="BA26">
        <v>27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Y26*Source!I28</f>
        <v>0.02</v>
      </c>
      <c r="CY26">
        <f t="shared" ref="CY26:CY33" si="6">AA26</f>
        <v>44.97</v>
      </c>
      <c r="CZ26">
        <f t="shared" ref="CZ26:CZ33" si="7">AE26</f>
        <v>44.97</v>
      </c>
      <c r="DA26">
        <f t="shared" ref="DA26:DA33" si="8">AI26</f>
        <v>1</v>
      </c>
      <c r="DB26">
        <v>0</v>
      </c>
    </row>
    <row r="27" spans="1:106">
      <c r="A27">
        <f>ROW(Source!A28)</f>
        <v>28</v>
      </c>
      <c r="B27">
        <v>31859403</v>
      </c>
      <c r="C27">
        <v>31859693</v>
      </c>
      <c r="D27">
        <v>28777560</v>
      </c>
      <c r="E27">
        <v>1</v>
      </c>
      <c r="F27">
        <v>1</v>
      </c>
      <c r="G27">
        <v>1</v>
      </c>
      <c r="H27">
        <v>3</v>
      </c>
      <c r="I27" t="s">
        <v>235</v>
      </c>
      <c r="J27" t="s">
        <v>236</v>
      </c>
      <c r="K27" t="s">
        <v>237</v>
      </c>
      <c r="L27">
        <v>1346</v>
      </c>
      <c r="N27">
        <v>1009</v>
      </c>
      <c r="O27" t="s">
        <v>216</v>
      </c>
      <c r="P27" t="s">
        <v>216</v>
      </c>
      <c r="Q27">
        <v>1</v>
      </c>
      <c r="W27">
        <v>0</v>
      </c>
      <c r="X27">
        <v>56922527</v>
      </c>
      <c r="Y27">
        <v>4.0000000000000001E-3</v>
      </c>
      <c r="AA27">
        <v>11.5</v>
      </c>
      <c r="AB27">
        <v>0</v>
      </c>
      <c r="AC27">
        <v>0</v>
      </c>
      <c r="AD27">
        <v>0</v>
      </c>
      <c r="AE27">
        <v>11.5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5</v>
      </c>
      <c r="AT27">
        <v>4.0000000000000001E-3</v>
      </c>
      <c r="AU27" t="s">
        <v>5</v>
      </c>
      <c r="AV27">
        <v>0</v>
      </c>
      <c r="AW27">
        <v>2</v>
      </c>
      <c r="AX27">
        <v>31859705</v>
      </c>
      <c r="AY27">
        <v>1</v>
      </c>
      <c r="AZ27">
        <v>0</v>
      </c>
      <c r="BA27">
        <v>28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Y27*Source!I28</f>
        <v>4.0000000000000001E-3</v>
      </c>
      <c r="CY27">
        <f t="shared" si="6"/>
        <v>11.5</v>
      </c>
      <c r="CZ27">
        <f t="shared" si="7"/>
        <v>11.5</v>
      </c>
      <c r="DA27">
        <f t="shared" si="8"/>
        <v>1</v>
      </c>
      <c r="DB27">
        <v>0</v>
      </c>
    </row>
    <row r="28" spans="1:106">
      <c r="A28">
        <f>ROW(Source!A28)</f>
        <v>28</v>
      </c>
      <c r="B28">
        <v>31859403</v>
      </c>
      <c r="C28">
        <v>31859693</v>
      </c>
      <c r="D28">
        <v>28777879</v>
      </c>
      <c r="E28">
        <v>1</v>
      </c>
      <c r="F28">
        <v>1</v>
      </c>
      <c r="G28">
        <v>1</v>
      </c>
      <c r="H28">
        <v>3</v>
      </c>
      <c r="I28" t="s">
        <v>238</v>
      </c>
      <c r="J28" t="s">
        <v>239</v>
      </c>
      <c r="K28" t="s">
        <v>240</v>
      </c>
      <c r="L28">
        <v>1346</v>
      </c>
      <c r="N28">
        <v>1009</v>
      </c>
      <c r="O28" t="s">
        <v>216</v>
      </c>
      <c r="P28" t="s">
        <v>216</v>
      </c>
      <c r="Q28">
        <v>1</v>
      </c>
      <c r="W28">
        <v>0</v>
      </c>
      <c r="X28">
        <v>-1088866022</v>
      </c>
      <c r="Y28">
        <v>0.04</v>
      </c>
      <c r="AA28">
        <v>30.4</v>
      </c>
      <c r="AB28">
        <v>0</v>
      </c>
      <c r="AC28">
        <v>0</v>
      </c>
      <c r="AD28">
        <v>0</v>
      </c>
      <c r="AE28">
        <v>30.4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5</v>
      </c>
      <c r="AT28">
        <v>0.04</v>
      </c>
      <c r="AU28" t="s">
        <v>5</v>
      </c>
      <c r="AV28">
        <v>0</v>
      </c>
      <c r="AW28">
        <v>2</v>
      </c>
      <c r="AX28">
        <v>31859706</v>
      </c>
      <c r="AY28">
        <v>1</v>
      </c>
      <c r="AZ28">
        <v>0</v>
      </c>
      <c r="BA28">
        <v>29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Y28*Source!I28</f>
        <v>0.04</v>
      </c>
      <c r="CY28">
        <f t="shared" si="6"/>
        <v>30.4</v>
      </c>
      <c r="CZ28">
        <f t="shared" si="7"/>
        <v>30.4</v>
      </c>
      <c r="DA28">
        <f t="shared" si="8"/>
        <v>1</v>
      </c>
      <c r="DB28">
        <v>0</v>
      </c>
    </row>
    <row r="29" spans="1:106">
      <c r="A29">
        <f>ROW(Source!A28)</f>
        <v>28</v>
      </c>
      <c r="B29">
        <v>31859403</v>
      </c>
      <c r="C29">
        <v>31859693</v>
      </c>
      <c r="D29">
        <v>28781285</v>
      </c>
      <c r="E29">
        <v>1</v>
      </c>
      <c r="F29">
        <v>1</v>
      </c>
      <c r="G29">
        <v>1</v>
      </c>
      <c r="H29">
        <v>3</v>
      </c>
      <c r="I29" t="s">
        <v>255</v>
      </c>
      <c r="J29" t="s">
        <v>256</v>
      </c>
      <c r="K29" t="s">
        <v>257</v>
      </c>
      <c r="L29">
        <v>1346</v>
      </c>
      <c r="N29">
        <v>1009</v>
      </c>
      <c r="O29" t="s">
        <v>216</v>
      </c>
      <c r="P29" t="s">
        <v>216</v>
      </c>
      <c r="Q29">
        <v>1</v>
      </c>
      <c r="W29">
        <v>0</v>
      </c>
      <c r="X29">
        <v>-856710481</v>
      </c>
      <c r="Y29">
        <v>2E-3</v>
      </c>
      <c r="AA29">
        <v>133.05000000000001</v>
      </c>
      <c r="AB29">
        <v>0</v>
      </c>
      <c r="AC29">
        <v>0</v>
      </c>
      <c r="AD29">
        <v>0</v>
      </c>
      <c r="AE29">
        <v>133.05000000000001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5</v>
      </c>
      <c r="AT29">
        <v>2E-3</v>
      </c>
      <c r="AU29" t="s">
        <v>5</v>
      </c>
      <c r="AV29">
        <v>0</v>
      </c>
      <c r="AW29">
        <v>2</v>
      </c>
      <c r="AX29">
        <v>31859707</v>
      </c>
      <c r="AY29">
        <v>1</v>
      </c>
      <c r="AZ29">
        <v>0</v>
      </c>
      <c r="BA29">
        <v>30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Y29*Source!I28</f>
        <v>2E-3</v>
      </c>
      <c r="CY29">
        <f t="shared" si="6"/>
        <v>133.05000000000001</v>
      </c>
      <c r="CZ29">
        <f t="shared" si="7"/>
        <v>133.05000000000001</v>
      </c>
      <c r="DA29">
        <f t="shared" si="8"/>
        <v>1</v>
      </c>
      <c r="DB29">
        <v>0</v>
      </c>
    </row>
    <row r="30" spans="1:106">
      <c r="A30">
        <f>ROW(Source!A28)</f>
        <v>28</v>
      </c>
      <c r="B30">
        <v>31859403</v>
      </c>
      <c r="C30">
        <v>31859693</v>
      </c>
      <c r="D30">
        <v>28814102</v>
      </c>
      <c r="E30">
        <v>1</v>
      </c>
      <c r="F30">
        <v>1</v>
      </c>
      <c r="G30">
        <v>1</v>
      </c>
      <c r="H30">
        <v>3</v>
      </c>
      <c r="I30" t="s">
        <v>243</v>
      </c>
      <c r="J30" t="s">
        <v>244</v>
      </c>
      <c r="K30" t="s">
        <v>245</v>
      </c>
      <c r="L30">
        <v>1346</v>
      </c>
      <c r="N30">
        <v>1009</v>
      </c>
      <c r="O30" t="s">
        <v>216</v>
      </c>
      <c r="P30" t="s">
        <v>216</v>
      </c>
      <c r="Q30">
        <v>1</v>
      </c>
      <c r="W30">
        <v>0</v>
      </c>
      <c r="X30">
        <v>210558753</v>
      </c>
      <c r="Y30">
        <v>0.03</v>
      </c>
      <c r="AA30">
        <v>28.6</v>
      </c>
      <c r="AB30">
        <v>0</v>
      </c>
      <c r="AC30">
        <v>0</v>
      </c>
      <c r="AD30">
        <v>0</v>
      </c>
      <c r="AE30">
        <v>28.6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5</v>
      </c>
      <c r="AT30">
        <v>0.03</v>
      </c>
      <c r="AU30" t="s">
        <v>5</v>
      </c>
      <c r="AV30">
        <v>0</v>
      </c>
      <c r="AW30">
        <v>2</v>
      </c>
      <c r="AX30">
        <v>31859708</v>
      </c>
      <c r="AY30">
        <v>1</v>
      </c>
      <c r="AZ30">
        <v>0</v>
      </c>
      <c r="BA30">
        <v>31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Y30*Source!I28</f>
        <v>0.03</v>
      </c>
      <c r="CY30">
        <f t="shared" si="6"/>
        <v>28.6</v>
      </c>
      <c r="CZ30">
        <f t="shared" si="7"/>
        <v>28.6</v>
      </c>
      <c r="DA30">
        <f t="shared" si="8"/>
        <v>1</v>
      </c>
      <c r="DB30">
        <v>0</v>
      </c>
    </row>
    <row r="31" spans="1:106">
      <c r="A31">
        <f>ROW(Source!A28)</f>
        <v>28</v>
      </c>
      <c r="B31">
        <v>31859403</v>
      </c>
      <c r="C31">
        <v>31859693</v>
      </c>
      <c r="D31">
        <v>28814255</v>
      </c>
      <c r="E31">
        <v>1</v>
      </c>
      <c r="F31">
        <v>1</v>
      </c>
      <c r="G31">
        <v>1</v>
      </c>
      <c r="H31">
        <v>3</v>
      </c>
      <c r="I31" t="s">
        <v>258</v>
      </c>
      <c r="J31" t="s">
        <v>259</v>
      </c>
      <c r="K31" t="s">
        <v>260</v>
      </c>
      <c r="L31">
        <v>1346</v>
      </c>
      <c r="N31">
        <v>1009</v>
      </c>
      <c r="O31" t="s">
        <v>216</v>
      </c>
      <c r="P31" t="s">
        <v>216</v>
      </c>
      <c r="Q31">
        <v>1</v>
      </c>
      <c r="W31">
        <v>0</v>
      </c>
      <c r="X31">
        <v>-1274984028</v>
      </c>
      <c r="Y31">
        <v>0.02</v>
      </c>
      <c r="AA31">
        <v>35.630000000000003</v>
      </c>
      <c r="AB31">
        <v>0</v>
      </c>
      <c r="AC31">
        <v>0</v>
      </c>
      <c r="AD31">
        <v>0</v>
      </c>
      <c r="AE31">
        <v>35.630000000000003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5</v>
      </c>
      <c r="AT31">
        <v>0.02</v>
      </c>
      <c r="AU31" t="s">
        <v>5</v>
      </c>
      <c r="AV31">
        <v>0</v>
      </c>
      <c r="AW31">
        <v>2</v>
      </c>
      <c r="AX31">
        <v>31859709</v>
      </c>
      <c r="AY31">
        <v>1</v>
      </c>
      <c r="AZ31">
        <v>0</v>
      </c>
      <c r="BA31">
        <v>32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Y31*Source!I28</f>
        <v>0.02</v>
      </c>
      <c r="CY31">
        <f t="shared" si="6"/>
        <v>35.630000000000003</v>
      </c>
      <c r="CZ31">
        <f t="shared" si="7"/>
        <v>35.630000000000003</v>
      </c>
      <c r="DA31">
        <f t="shared" si="8"/>
        <v>1</v>
      </c>
      <c r="DB31">
        <v>0</v>
      </c>
    </row>
    <row r="32" spans="1:106">
      <c r="A32">
        <f>ROW(Source!A28)</f>
        <v>28</v>
      </c>
      <c r="B32">
        <v>31859403</v>
      </c>
      <c r="C32">
        <v>31859693</v>
      </c>
      <c r="D32">
        <v>28846582</v>
      </c>
      <c r="E32">
        <v>1</v>
      </c>
      <c r="F32">
        <v>1</v>
      </c>
      <c r="G32">
        <v>1</v>
      </c>
      <c r="H32">
        <v>3</v>
      </c>
      <c r="I32" t="s">
        <v>261</v>
      </c>
      <c r="J32" t="s">
        <v>262</v>
      </c>
      <c r="K32" t="s">
        <v>263</v>
      </c>
      <c r="L32">
        <v>1355</v>
      </c>
      <c r="N32">
        <v>1010</v>
      </c>
      <c r="O32" t="s">
        <v>264</v>
      </c>
      <c r="P32" t="s">
        <v>264</v>
      </c>
      <c r="Q32">
        <v>100</v>
      </c>
      <c r="W32">
        <v>0</v>
      </c>
      <c r="X32">
        <v>877733957</v>
      </c>
      <c r="Y32">
        <v>0.02</v>
      </c>
      <c r="AA32">
        <v>63</v>
      </c>
      <c r="AB32">
        <v>0</v>
      </c>
      <c r="AC32">
        <v>0</v>
      </c>
      <c r="AD32">
        <v>0</v>
      </c>
      <c r="AE32">
        <v>63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5</v>
      </c>
      <c r="AT32">
        <v>0.02</v>
      </c>
      <c r="AU32" t="s">
        <v>5</v>
      </c>
      <c r="AV32">
        <v>0</v>
      </c>
      <c r="AW32">
        <v>2</v>
      </c>
      <c r="AX32">
        <v>31859710</v>
      </c>
      <c r="AY32">
        <v>1</v>
      </c>
      <c r="AZ32">
        <v>0</v>
      </c>
      <c r="BA32">
        <v>33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Y32*Source!I28</f>
        <v>0.02</v>
      </c>
      <c r="CY32">
        <f t="shared" si="6"/>
        <v>63</v>
      </c>
      <c r="CZ32">
        <f t="shared" si="7"/>
        <v>63</v>
      </c>
      <c r="DA32">
        <f t="shared" si="8"/>
        <v>1</v>
      </c>
      <c r="DB32">
        <v>0</v>
      </c>
    </row>
    <row r="33" spans="1:106">
      <c r="A33">
        <f>ROW(Source!A28)</f>
        <v>28</v>
      </c>
      <c r="B33">
        <v>31859403</v>
      </c>
      <c r="C33">
        <v>31859693</v>
      </c>
      <c r="D33">
        <v>28774850</v>
      </c>
      <c r="E33">
        <v>17</v>
      </c>
      <c r="F33">
        <v>1</v>
      </c>
      <c r="G33">
        <v>1</v>
      </c>
      <c r="H33">
        <v>3</v>
      </c>
      <c r="I33" t="s">
        <v>224</v>
      </c>
      <c r="J33" t="s">
        <v>5</v>
      </c>
      <c r="K33" t="s">
        <v>225</v>
      </c>
      <c r="L33">
        <v>1374</v>
      </c>
      <c r="N33">
        <v>1013</v>
      </c>
      <c r="O33" t="s">
        <v>226</v>
      </c>
      <c r="P33" t="s">
        <v>226</v>
      </c>
      <c r="Q33">
        <v>1</v>
      </c>
      <c r="W33">
        <v>0</v>
      </c>
      <c r="X33">
        <v>-1731369543</v>
      </c>
      <c r="Y33">
        <v>0.52</v>
      </c>
      <c r="AA33">
        <v>1</v>
      </c>
      <c r="AB33">
        <v>0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5</v>
      </c>
      <c r="AT33">
        <v>0.52</v>
      </c>
      <c r="AU33" t="s">
        <v>5</v>
      </c>
      <c r="AV33">
        <v>0</v>
      </c>
      <c r="AW33">
        <v>2</v>
      </c>
      <c r="AX33">
        <v>31859711</v>
      </c>
      <c r="AY33">
        <v>1</v>
      </c>
      <c r="AZ33">
        <v>0</v>
      </c>
      <c r="BA33">
        <v>34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Y33*Source!I28</f>
        <v>0.52</v>
      </c>
      <c r="CY33">
        <f t="shared" si="6"/>
        <v>1</v>
      </c>
      <c r="CZ33">
        <f t="shared" si="7"/>
        <v>1</v>
      </c>
      <c r="DA33">
        <f t="shared" si="8"/>
        <v>1</v>
      </c>
      <c r="DB33">
        <v>0</v>
      </c>
    </row>
    <row r="34" spans="1:106">
      <c r="A34">
        <f>ROW(Source!A29)</f>
        <v>29</v>
      </c>
      <c r="B34">
        <v>31859403</v>
      </c>
      <c r="C34">
        <v>31859712</v>
      </c>
      <c r="D34">
        <v>29048439</v>
      </c>
      <c r="E34">
        <v>1</v>
      </c>
      <c r="F34">
        <v>1</v>
      </c>
      <c r="G34">
        <v>1</v>
      </c>
      <c r="H34">
        <v>1</v>
      </c>
      <c r="I34" t="s">
        <v>265</v>
      </c>
      <c r="J34" t="s">
        <v>5</v>
      </c>
      <c r="K34" t="s">
        <v>266</v>
      </c>
      <c r="L34">
        <v>1191</v>
      </c>
      <c r="N34">
        <v>1013</v>
      </c>
      <c r="O34" t="s">
        <v>184</v>
      </c>
      <c r="P34" t="s">
        <v>184</v>
      </c>
      <c r="Q34">
        <v>1</v>
      </c>
      <c r="W34">
        <v>0</v>
      </c>
      <c r="X34">
        <v>1145761654</v>
      </c>
      <c r="Y34">
        <v>1.18</v>
      </c>
      <c r="AA34">
        <v>0</v>
      </c>
      <c r="AB34">
        <v>0</v>
      </c>
      <c r="AC34">
        <v>0</v>
      </c>
      <c r="AD34">
        <v>10.65</v>
      </c>
      <c r="AE34">
        <v>0</v>
      </c>
      <c r="AF34">
        <v>0</v>
      </c>
      <c r="AG34">
        <v>0</v>
      </c>
      <c r="AH34">
        <v>10.65</v>
      </c>
      <c r="AI34">
        <v>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5</v>
      </c>
      <c r="AT34">
        <v>1.18</v>
      </c>
      <c r="AU34" t="s">
        <v>5</v>
      </c>
      <c r="AV34">
        <v>1</v>
      </c>
      <c r="AW34">
        <v>2</v>
      </c>
      <c r="AX34">
        <v>31859723</v>
      </c>
      <c r="AY34">
        <v>1</v>
      </c>
      <c r="AZ34">
        <v>0</v>
      </c>
      <c r="BA34">
        <v>35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Y34*Source!I29</f>
        <v>1.18</v>
      </c>
      <c r="CY34">
        <f>AD34</f>
        <v>10.65</v>
      </c>
      <c r="CZ34">
        <f>AH34</f>
        <v>10.65</v>
      </c>
      <c r="DA34">
        <f>AL34</f>
        <v>1</v>
      </c>
      <c r="DB34">
        <v>0</v>
      </c>
    </row>
    <row r="35" spans="1:106">
      <c r="A35">
        <f>ROW(Source!A29)</f>
        <v>29</v>
      </c>
      <c r="B35">
        <v>31859403</v>
      </c>
      <c r="C35">
        <v>31859712</v>
      </c>
      <c r="D35">
        <v>28860296</v>
      </c>
      <c r="E35">
        <v>1</v>
      </c>
      <c r="F35">
        <v>1</v>
      </c>
      <c r="G35">
        <v>1</v>
      </c>
      <c r="H35">
        <v>2</v>
      </c>
      <c r="I35" t="s">
        <v>229</v>
      </c>
      <c r="J35" t="s">
        <v>230</v>
      </c>
      <c r="K35" t="s">
        <v>231</v>
      </c>
      <c r="L35">
        <v>1368</v>
      </c>
      <c r="N35">
        <v>1011</v>
      </c>
      <c r="O35" t="s">
        <v>190</v>
      </c>
      <c r="P35" t="s">
        <v>190</v>
      </c>
      <c r="Q35">
        <v>1</v>
      </c>
      <c r="W35">
        <v>0</v>
      </c>
      <c r="X35">
        <v>-995250510</v>
      </c>
      <c r="Y35">
        <v>0.1</v>
      </c>
      <c r="AA35">
        <v>0</v>
      </c>
      <c r="AB35">
        <v>1.1100000000000001</v>
      </c>
      <c r="AC35">
        <v>0</v>
      </c>
      <c r="AD35">
        <v>0</v>
      </c>
      <c r="AE35">
        <v>0</v>
      </c>
      <c r="AF35">
        <v>1.1100000000000001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5</v>
      </c>
      <c r="AT35">
        <v>0.1</v>
      </c>
      <c r="AU35" t="s">
        <v>5</v>
      </c>
      <c r="AV35">
        <v>0</v>
      </c>
      <c r="AW35">
        <v>2</v>
      </c>
      <c r="AX35">
        <v>31859724</v>
      </c>
      <c r="AY35">
        <v>1</v>
      </c>
      <c r="AZ35">
        <v>0</v>
      </c>
      <c r="BA35">
        <v>36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Y35*Source!I29</f>
        <v>0.1</v>
      </c>
      <c r="CY35">
        <f>AB35</f>
        <v>1.1100000000000001</v>
      </c>
      <c r="CZ35">
        <f>AF35</f>
        <v>1.1100000000000001</v>
      </c>
      <c r="DA35">
        <f>AJ35</f>
        <v>1</v>
      </c>
      <c r="DB35">
        <v>0</v>
      </c>
    </row>
    <row r="36" spans="1:106">
      <c r="A36">
        <f>ROW(Source!A29)</f>
        <v>29</v>
      </c>
      <c r="B36">
        <v>31859403</v>
      </c>
      <c r="C36">
        <v>31859712</v>
      </c>
      <c r="D36">
        <v>28775828</v>
      </c>
      <c r="E36">
        <v>1</v>
      </c>
      <c r="F36">
        <v>1</v>
      </c>
      <c r="G36">
        <v>1</v>
      </c>
      <c r="H36">
        <v>3</v>
      </c>
      <c r="I36" t="s">
        <v>252</v>
      </c>
      <c r="J36" t="s">
        <v>253</v>
      </c>
      <c r="K36" t="s">
        <v>254</v>
      </c>
      <c r="L36">
        <v>1346</v>
      </c>
      <c r="N36">
        <v>1009</v>
      </c>
      <c r="O36" t="s">
        <v>216</v>
      </c>
      <c r="P36" t="s">
        <v>216</v>
      </c>
      <c r="Q36">
        <v>1</v>
      </c>
      <c r="W36">
        <v>0</v>
      </c>
      <c r="X36">
        <v>618806536</v>
      </c>
      <c r="Y36">
        <v>5.0000000000000001E-3</v>
      </c>
      <c r="AA36">
        <v>44.97</v>
      </c>
      <c r="AB36">
        <v>0</v>
      </c>
      <c r="AC36">
        <v>0</v>
      </c>
      <c r="AD36">
        <v>0</v>
      </c>
      <c r="AE36">
        <v>44.97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5</v>
      </c>
      <c r="AT36">
        <v>5.0000000000000001E-3</v>
      </c>
      <c r="AU36" t="s">
        <v>5</v>
      </c>
      <c r="AV36">
        <v>0</v>
      </c>
      <c r="AW36">
        <v>2</v>
      </c>
      <c r="AX36">
        <v>31859725</v>
      </c>
      <c r="AY36">
        <v>1</v>
      </c>
      <c r="AZ36">
        <v>0</v>
      </c>
      <c r="BA36">
        <v>37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Y36*Source!I29</f>
        <v>5.0000000000000001E-3</v>
      </c>
      <c r="CY36">
        <f t="shared" ref="CY36:CY43" si="9">AA36</f>
        <v>44.97</v>
      </c>
      <c r="CZ36">
        <f t="shared" ref="CZ36:CZ43" si="10">AE36</f>
        <v>44.97</v>
      </c>
      <c r="DA36">
        <f t="shared" ref="DA36:DA43" si="11">AI36</f>
        <v>1</v>
      </c>
      <c r="DB36">
        <v>0</v>
      </c>
    </row>
    <row r="37" spans="1:106">
      <c r="A37">
        <f>ROW(Source!A29)</f>
        <v>29</v>
      </c>
      <c r="B37">
        <v>31859403</v>
      </c>
      <c r="C37">
        <v>31859712</v>
      </c>
      <c r="D37">
        <v>28777560</v>
      </c>
      <c r="E37">
        <v>1</v>
      </c>
      <c r="F37">
        <v>1</v>
      </c>
      <c r="G37">
        <v>1</v>
      </c>
      <c r="H37">
        <v>3</v>
      </c>
      <c r="I37" t="s">
        <v>235</v>
      </c>
      <c r="J37" t="s">
        <v>236</v>
      </c>
      <c r="K37" t="s">
        <v>237</v>
      </c>
      <c r="L37">
        <v>1346</v>
      </c>
      <c r="N37">
        <v>1009</v>
      </c>
      <c r="O37" t="s">
        <v>216</v>
      </c>
      <c r="P37" t="s">
        <v>216</v>
      </c>
      <c r="Q37">
        <v>1</v>
      </c>
      <c r="W37">
        <v>0</v>
      </c>
      <c r="X37">
        <v>56922527</v>
      </c>
      <c r="Y37">
        <v>2E-3</v>
      </c>
      <c r="AA37">
        <v>11.5</v>
      </c>
      <c r="AB37">
        <v>0</v>
      </c>
      <c r="AC37">
        <v>0</v>
      </c>
      <c r="AD37">
        <v>0</v>
      </c>
      <c r="AE37">
        <v>11.5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5</v>
      </c>
      <c r="AT37">
        <v>2E-3</v>
      </c>
      <c r="AU37" t="s">
        <v>5</v>
      </c>
      <c r="AV37">
        <v>0</v>
      </c>
      <c r="AW37">
        <v>2</v>
      </c>
      <c r="AX37">
        <v>31859726</v>
      </c>
      <c r="AY37">
        <v>1</v>
      </c>
      <c r="AZ37">
        <v>0</v>
      </c>
      <c r="BA37">
        <v>38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Y37*Source!I29</f>
        <v>2E-3</v>
      </c>
      <c r="CY37">
        <f t="shared" si="9"/>
        <v>11.5</v>
      </c>
      <c r="CZ37">
        <f t="shared" si="10"/>
        <v>11.5</v>
      </c>
      <c r="DA37">
        <f t="shared" si="11"/>
        <v>1</v>
      </c>
      <c r="DB37">
        <v>0</v>
      </c>
    </row>
    <row r="38" spans="1:106">
      <c r="A38">
        <f>ROW(Source!A29)</f>
        <v>29</v>
      </c>
      <c r="B38">
        <v>31859403</v>
      </c>
      <c r="C38">
        <v>31859712</v>
      </c>
      <c r="D38">
        <v>28777879</v>
      </c>
      <c r="E38">
        <v>1</v>
      </c>
      <c r="F38">
        <v>1</v>
      </c>
      <c r="G38">
        <v>1</v>
      </c>
      <c r="H38">
        <v>3</v>
      </c>
      <c r="I38" t="s">
        <v>238</v>
      </c>
      <c r="J38" t="s">
        <v>239</v>
      </c>
      <c r="K38" t="s">
        <v>240</v>
      </c>
      <c r="L38">
        <v>1346</v>
      </c>
      <c r="N38">
        <v>1009</v>
      </c>
      <c r="O38" t="s">
        <v>216</v>
      </c>
      <c r="P38" t="s">
        <v>216</v>
      </c>
      <c r="Q38">
        <v>1</v>
      </c>
      <c r="W38">
        <v>0</v>
      </c>
      <c r="X38">
        <v>-1088866022</v>
      </c>
      <c r="Y38">
        <v>0.02</v>
      </c>
      <c r="AA38">
        <v>30.4</v>
      </c>
      <c r="AB38">
        <v>0</v>
      </c>
      <c r="AC38">
        <v>0</v>
      </c>
      <c r="AD38">
        <v>0</v>
      </c>
      <c r="AE38">
        <v>30.4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5</v>
      </c>
      <c r="AT38">
        <v>0.02</v>
      </c>
      <c r="AU38" t="s">
        <v>5</v>
      </c>
      <c r="AV38">
        <v>0</v>
      </c>
      <c r="AW38">
        <v>2</v>
      </c>
      <c r="AX38">
        <v>31859727</v>
      </c>
      <c r="AY38">
        <v>1</v>
      </c>
      <c r="AZ38">
        <v>0</v>
      </c>
      <c r="BA38">
        <v>39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Y38*Source!I29</f>
        <v>0.02</v>
      </c>
      <c r="CY38">
        <f t="shared" si="9"/>
        <v>30.4</v>
      </c>
      <c r="CZ38">
        <f t="shared" si="10"/>
        <v>30.4</v>
      </c>
      <c r="DA38">
        <f t="shared" si="11"/>
        <v>1</v>
      </c>
      <c r="DB38">
        <v>0</v>
      </c>
    </row>
    <row r="39" spans="1:106">
      <c r="A39">
        <f>ROW(Source!A29)</f>
        <v>29</v>
      </c>
      <c r="B39">
        <v>31859403</v>
      </c>
      <c r="C39">
        <v>31859712</v>
      </c>
      <c r="D39">
        <v>28780233</v>
      </c>
      <c r="E39">
        <v>1</v>
      </c>
      <c r="F39">
        <v>1</v>
      </c>
      <c r="G39">
        <v>1</v>
      </c>
      <c r="H39">
        <v>3</v>
      </c>
      <c r="I39" t="s">
        <v>267</v>
      </c>
      <c r="J39" t="s">
        <v>268</v>
      </c>
      <c r="K39" t="s">
        <v>269</v>
      </c>
      <c r="L39">
        <v>1346</v>
      </c>
      <c r="N39">
        <v>1009</v>
      </c>
      <c r="O39" t="s">
        <v>216</v>
      </c>
      <c r="P39" t="s">
        <v>216</v>
      </c>
      <c r="Q39">
        <v>1</v>
      </c>
      <c r="W39">
        <v>0</v>
      </c>
      <c r="X39">
        <v>103900845</v>
      </c>
      <c r="Y39">
        <v>0.24</v>
      </c>
      <c r="AA39">
        <v>9.0399999999999991</v>
      </c>
      <c r="AB39">
        <v>0</v>
      </c>
      <c r="AC39">
        <v>0</v>
      </c>
      <c r="AD39">
        <v>0</v>
      </c>
      <c r="AE39">
        <v>9.0399999999999991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5</v>
      </c>
      <c r="AT39">
        <v>0.24</v>
      </c>
      <c r="AU39" t="s">
        <v>5</v>
      </c>
      <c r="AV39">
        <v>0</v>
      </c>
      <c r="AW39">
        <v>2</v>
      </c>
      <c r="AX39">
        <v>31859728</v>
      </c>
      <c r="AY39">
        <v>1</v>
      </c>
      <c r="AZ39">
        <v>0</v>
      </c>
      <c r="BA39">
        <v>40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Y39*Source!I29</f>
        <v>0.24</v>
      </c>
      <c r="CY39">
        <f t="shared" si="9"/>
        <v>9.0399999999999991</v>
      </c>
      <c r="CZ39">
        <f t="shared" si="10"/>
        <v>9.0399999999999991</v>
      </c>
      <c r="DA39">
        <f t="shared" si="11"/>
        <v>1</v>
      </c>
      <c r="DB39">
        <v>0</v>
      </c>
    </row>
    <row r="40" spans="1:106">
      <c r="A40">
        <f>ROW(Source!A29)</f>
        <v>29</v>
      </c>
      <c r="B40">
        <v>31859403</v>
      </c>
      <c r="C40">
        <v>31859712</v>
      </c>
      <c r="D40">
        <v>28781285</v>
      </c>
      <c r="E40">
        <v>1</v>
      </c>
      <c r="F40">
        <v>1</v>
      </c>
      <c r="G40">
        <v>1</v>
      </c>
      <c r="H40">
        <v>3</v>
      </c>
      <c r="I40" t="s">
        <v>255</v>
      </c>
      <c r="J40" t="s">
        <v>256</v>
      </c>
      <c r="K40" t="s">
        <v>257</v>
      </c>
      <c r="L40">
        <v>1346</v>
      </c>
      <c r="N40">
        <v>1009</v>
      </c>
      <c r="O40" t="s">
        <v>216</v>
      </c>
      <c r="P40" t="s">
        <v>216</v>
      </c>
      <c r="Q40">
        <v>1</v>
      </c>
      <c r="W40">
        <v>0</v>
      </c>
      <c r="X40">
        <v>-856710481</v>
      </c>
      <c r="Y40">
        <v>1E-3</v>
      </c>
      <c r="AA40">
        <v>133.05000000000001</v>
      </c>
      <c r="AB40">
        <v>0</v>
      </c>
      <c r="AC40">
        <v>0</v>
      </c>
      <c r="AD40">
        <v>0</v>
      </c>
      <c r="AE40">
        <v>133.05000000000001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5</v>
      </c>
      <c r="AT40">
        <v>1E-3</v>
      </c>
      <c r="AU40" t="s">
        <v>5</v>
      </c>
      <c r="AV40">
        <v>0</v>
      </c>
      <c r="AW40">
        <v>2</v>
      </c>
      <c r="AX40">
        <v>31859729</v>
      </c>
      <c r="AY40">
        <v>1</v>
      </c>
      <c r="AZ40">
        <v>0</v>
      </c>
      <c r="BA40">
        <v>41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Y40*Source!I29</f>
        <v>1E-3</v>
      </c>
      <c r="CY40">
        <f t="shared" si="9"/>
        <v>133.05000000000001</v>
      </c>
      <c r="CZ40">
        <f t="shared" si="10"/>
        <v>133.05000000000001</v>
      </c>
      <c r="DA40">
        <f t="shared" si="11"/>
        <v>1</v>
      </c>
      <c r="DB40">
        <v>0</v>
      </c>
    </row>
    <row r="41" spans="1:106">
      <c r="A41">
        <f>ROW(Source!A29)</f>
        <v>29</v>
      </c>
      <c r="B41">
        <v>31859403</v>
      </c>
      <c r="C41">
        <v>31859712</v>
      </c>
      <c r="D41">
        <v>28814102</v>
      </c>
      <c r="E41">
        <v>1</v>
      </c>
      <c r="F41">
        <v>1</v>
      </c>
      <c r="G41">
        <v>1</v>
      </c>
      <c r="H41">
        <v>3</v>
      </c>
      <c r="I41" t="s">
        <v>243</v>
      </c>
      <c r="J41" t="s">
        <v>244</v>
      </c>
      <c r="K41" t="s">
        <v>245</v>
      </c>
      <c r="L41">
        <v>1346</v>
      </c>
      <c r="N41">
        <v>1009</v>
      </c>
      <c r="O41" t="s">
        <v>216</v>
      </c>
      <c r="P41" t="s">
        <v>216</v>
      </c>
      <c r="Q41">
        <v>1</v>
      </c>
      <c r="W41">
        <v>0</v>
      </c>
      <c r="X41">
        <v>210558753</v>
      </c>
      <c r="Y41">
        <v>7.0000000000000007E-2</v>
      </c>
      <c r="AA41">
        <v>28.6</v>
      </c>
      <c r="AB41">
        <v>0</v>
      </c>
      <c r="AC41">
        <v>0</v>
      </c>
      <c r="AD41">
        <v>0</v>
      </c>
      <c r="AE41">
        <v>28.6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5</v>
      </c>
      <c r="AT41">
        <v>7.0000000000000007E-2</v>
      </c>
      <c r="AU41" t="s">
        <v>5</v>
      </c>
      <c r="AV41">
        <v>0</v>
      </c>
      <c r="AW41">
        <v>2</v>
      </c>
      <c r="AX41">
        <v>31859730</v>
      </c>
      <c r="AY41">
        <v>1</v>
      </c>
      <c r="AZ41">
        <v>0</v>
      </c>
      <c r="BA41">
        <v>42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Y41*Source!I29</f>
        <v>7.0000000000000007E-2</v>
      </c>
      <c r="CY41">
        <f t="shared" si="9"/>
        <v>28.6</v>
      </c>
      <c r="CZ41">
        <f t="shared" si="10"/>
        <v>28.6</v>
      </c>
      <c r="DA41">
        <f t="shared" si="11"/>
        <v>1</v>
      </c>
      <c r="DB41">
        <v>0</v>
      </c>
    </row>
    <row r="42" spans="1:106">
      <c r="A42">
        <f>ROW(Source!A29)</f>
        <v>29</v>
      </c>
      <c r="B42">
        <v>31859403</v>
      </c>
      <c r="C42">
        <v>31859712</v>
      </c>
      <c r="D42">
        <v>28814255</v>
      </c>
      <c r="E42">
        <v>1</v>
      </c>
      <c r="F42">
        <v>1</v>
      </c>
      <c r="G42">
        <v>1</v>
      </c>
      <c r="H42">
        <v>3</v>
      </c>
      <c r="I42" t="s">
        <v>258</v>
      </c>
      <c r="J42" t="s">
        <v>259</v>
      </c>
      <c r="K42" t="s">
        <v>260</v>
      </c>
      <c r="L42">
        <v>1346</v>
      </c>
      <c r="N42">
        <v>1009</v>
      </c>
      <c r="O42" t="s">
        <v>216</v>
      </c>
      <c r="P42" t="s">
        <v>216</v>
      </c>
      <c r="Q42">
        <v>1</v>
      </c>
      <c r="W42">
        <v>0</v>
      </c>
      <c r="X42">
        <v>-1274984028</v>
      </c>
      <c r="Y42">
        <v>0.01</v>
      </c>
      <c r="AA42">
        <v>35.630000000000003</v>
      </c>
      <c r="AB42">
        <v>0</v>
      </c>
      <c r="AC42">
        <v>0</v>
      </c>
      <c r="AD42">
        <v>0</v>
      </c>
      <c r="AE42">
        <v>35.630000000000003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5</v>
      </c>
      <c r="AT42">
        <v>0.01</v>
      </c>
      <c r="AU42" t="s">
        <v>5</v>
      </c>
      <c r="AV42">
        <v>0</v>
      </c>
      <c r="AW42">
        <v>2</v>
      </c>
      <c r="AX42">
        <v>31859731</v>
      </c>
      <c r="AY42">
        <v>1</v>
      </c>
      <c r="AZ42">
        <v>0</v>
      </c>
      <c r="BA42">
        <v>43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Y42*Source!I29</f>
        <v>0.01</v>
      </c>
      <c r="CY42">
        <f t="shared" si="9"/>
        <v>35.630000000000003</v>
      </c>
      <c r="CZ42">
        <f t="shared" si="10"/>
        <v>35.630000000000003</v>
      </c>
      <c r="DA42">
        <f t="shared" si="11"/>
        <v>1</v>
      </c>
      <c r="DB42">
        <v>0</v>
      </c>
    </row>
    <row r="43" spans="1:106">
      <c r="A43">
        <f>ROW(Source!A29)</f>
        <v>29</v>
      </c>
      <c r="B43">
        <v>31859403</v>
      </c>
      <c r="C43">
        <v>31859712</v>
      </c>
      <c r="D43">
        <v>28774850</v>
      </c>
      <c r="E43">
        <v>17</v>
      </c>
      <c r="F43">
        <v>1</v>
      </c>
      <c r="G43">
        <v>1</v>
      </c>
      <c r="H43">
        <v>3</v>
      </c>
      <c r="I43" t="s">
        <v>224</v>
      </c>
      <c r="J43" t="s">
        <v>5</v>
      </c>
      <c r="K43" t="s">
        <v>225</v>
      </c>
      <c r="L43">
        <v>1374</v>
      </c>
      <c r="N43">
        <v>1013</v>
      </c>
      <c r="O43" t="s">
        <v>226</v>
      </c>
      <c r="P43" t="s">
        <v>226</v>
      </c>
      <c r="Q43">
        <v>1</v>
      </c>
      <c r="W43">
        <v>0</v>
      </c>
      <c r="X43">
        <v>-1731369543</v>
      </c>
      <c r="Y43">
        <v>0.25</v>
      </c>
      <c r="AA43">
        <v>1</v>
      </c>
      <c r="AB43">
        <v>0</v>
      </c>
      <c r="AC43">
        <v>0</v>
      </c>
      <c r="AD43">
        <v>0</v>
      </c>
      <c r="AE43">
        <v>1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5</v>
      </c>
      <c r="AT43">
        <v>0.25</v>
      </c>
      <c r="AU43" t="s">
        <v>5</v>
      </c>
      <c r="AV43">
        <v>0</v>
      </c>
      <c r="AW43">
        <v>2</v>
      </c>
      <c r="AX43">
        <v>31859732</v>
      </c>
      <c r="AY43">
        <v>1</v>
      </c>
      <c r="AZ43">
        <v>0</v>
      </c>
      <c r="BA43">
        <v>44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Y43*Source!I29</f>
        <v>0.25</v>
      </c>
      <c r="CY43">
        <f t="shared" si="9"/>
        <v>1</v>
      </c>
      <c r="CZ43">
        <f t="shared" si="10"/>
        <v>1</v>
      </c>
      <c r="DA43">
        <f t="shared" si="11"/>
        <v>1</v>
      </c>
      <c r="DB43">
        <v>0</v>
      </c>
    </row>
    <row r="44" spans="1:106">
      <c r="A44">
        <f>ROW(Source!A30)</f>
        <v>30</v>
      </c>
      <c r="B44">
        <v>31859403</v>
      </c>
      <c r="C44">
        <v>31859733</v>
      </c>
      <c r="D44">
        <v>29056778</v>
      </c>
      <c r="E44">
        <v>1</v>
      </c>
      <c r="F44">
        <v>1</v>
      </c>
      <c r="G44">
        <v>1</v>
      </c>
      <c r="H44">
        <v>1</v>
      </c>
      <c r="I44" t="s">
        <v>227</v>
      </c>
      <c r="J44" t="s">
        <v>5</v>
      </c>
      <c r="K44" t="s">
        <v>228</v>
      </c>
      <c r="L44">
        <v>1191</v>
      </c>
      <c r="N44">
        <v>1013</v>
      </c>
      <c r="O44" t="s">
        <v>184</v>
      </c>
      <c r="P44" t="s">
        <v>184</v>
      </c>
      <c r="Q44">
        <v>1</v>
      </c>
      <c r="W44">
        <v>0</v>
      </c>
      <c r="X44">
        <v>912892513</v>
      </c>
      <c r="Y44">
        <v>1.1399999999999999</v>
      </c>
      <c r="AA44">
        <v>0</v>
      </c>
      <c r="AB44">
        <v>0</v>
      </c>
      <c r="AC44">
        <v>0</v>
      </c>
      <c r="AD44">
        <v>9.92</v>
      </c>
      <c r="AE44">
        <v>0</v>
      </c>
      <c r="AF44">
        <v>0</v>
      </c>
      <c r="AG44">
        <v>0</v>
      </c>
      <c r="AH44">
        <v>9.92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5</v>
      </c>
      <c r="AT44">
        <v>1.1399999999999999</v>
      </c>
      <c r="AU44" t="s">
        <v>5</v>
      </c>
      <c r="AV44">
        <v>1</v>
      </c>
      <c r="AW44">
        <v>2</v>
      </c>
      <c r="AX44">
        <v>31859740</v>
      </c>
      <c r="AY44">
        <v>1</v>
      </c>
      <c r="AZ44">
        <v>0</v>
      </c>
      <c r="BA44">
        <v>45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Y44*Source!I30</f>
        <v>1.1399999999999999</v>
      </c>
      <c r="CY44">
        <f>AD44</f>
        <v>9.92</v>
      </c>
      <c r="CZ44">
        <f>AH44</f>
        <v>9.92</v>
      </c>
      <c r="DA44">
        <f>AL44</f>
        <v>1</v>
      </c>
      <c r="DB44">
        <v>0</v>
      </c>
    </row>
    <row r="45" spans="1:106">
      <c r="A45">
        <f>ROW(Source!A30)</f>
        <v>30</v>
      </c>
      <c r="B45">
        <v>31859403</v>
      </c>
      <c r="C45">
        <v>31859733</v>
      </c>
      <c r="D45">
        <v>29040875</v>
      </c>
      <c r="E45">
        <v>1</v>
      </c>
      <c r="F45">
        <v>1</v>
      </c>
      <c r="G45">
        <v>1</v>
      </c>
      <c r="H45">
        <v>1</v>
      </c>
      <c r="I45" t="s">
        <v>185</v>
      </c>
      <c r="J45" t="s">
        <v>5</v>
      </c>
      <c r="K45" t="s">
        <v>186</v>
      </c>
      <c r="L45">
        <v>1191</v>
      </c>
      <c r="N45">
        <v>1013</v>
      </c>
      <c r="O45" t="s">
        <v>184</v>
      </c>
      <c r="P45" t="s">
        <v>184</v>
      </c>
      <c r="Q45">
        <v>1</v>
      </c>
      <c r="W45">
        <v>0</v>
      </c>
      <c r="X45">
        <v>-1417349443</v>
      </c>
      <c r="Y45">
        <v>0.02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5</v>
      </c>
      <c r="AT45">
        <v>0.02</v>
      </c>
      <c r="AU45" t="s">
        <v>5</v>
      </c>
      <c r="AV45">
        <v>2</v>
      </c>
      <c r="AW45">
        <v>2</v>
      </c>
      <c r="AX45">
        <v>31859741</v>
      </c>
      <c r="AY45">
        <v>1</v>
      </c>
      <c r="AZ45">
        <v>0</v>
      </c>
      <c r="BA45">
        <v>46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Y45*Source!I30</f>
        <v>0.02</v>
      </c>
      <c r="CY45">
        <f>AD45</f>
        <v>0</v>
      </c>
      <c r="CZ45">
        <f>AH45</f>
        <v>0</v>
      </c>
      <c r="DA45">
        <f>AL45</f>
        <v>1</v>
      </c>
      <c r="DB45">
        <v>0</v>
      </c>
    </row>
    <row r="46" spans="1:106">
      <c r="A46">
        <f>ROW(Source!A30)</f>
        <v>30</v>
      </c>
      <c r="B46">
        <v>31859403</v>
      </c>
      <c r="C46">
        <v>31859733</v>
      </c>
      <c r="D46">
        <v>28857928</v>
      </c>
      <c r="E46">
        <v>1</v>
      </c>
      <c r="F46">
        <v>1</v>
      </c>
      <c r="G46">
        <v>1</v>
      </c>
      <c r="H46">
        <v>2</v>
      </c>
      <c r="I46" t="s">
        <v>270</v>
      </c>
      <c r="J46" t="s">
        <v>271</v>
      </c>
      <c r="K46" t="s">
        <v>272</v>
      </c>
      <c r="L46">
        <v>1368</v>
      </c>
      <c r="N46">
        <v>1011</v>
      </c>
      <c r="O46" t="s">
        <v>190</v>
      </c>
      <c r="P46" t="s">
        <v>190</v>
      </c>
      <c r="Q46">
        <v>1</v>
      </c>
      <c r="W46">
        <v>0</v>
      </c>
      <c r="X46">
        <v>-1718674368</v>
      </c>
      <c r="Y46">
        <v>0.01</v>
      </c>
      <c r="AA46">
        <v>0</v>
      </c>
      <c r="AB46">
        <v>111.99</v>
      </c>
      <c r="AC46">
        <v>13.5</v>
      </c>
      <c r="AD46">
        <v>0</v>
      </c>
      <c r="AE46">
        <v>0</v>
      </c>
      <c r="AF46">
        <v>111.99</v>
      </c>
      <c r="AG46">
        <v>13.5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5</v>
      </c>
      <c r="AT46">
        <v>0.01</v>
      </c>
      <c r="AU46" t="s">
        <v>5</v>
      </c>
      <c r="AV46">
        <v>0</v>
      </c>
      <c r="AW46">
        <v>2</v>
      </c>
      <c r="AX46">
        <v>31859742</v>
      </c>
      <c r="AY46">
        <v>1</v>
      </c>
      <c r="AZ46">
        <v>0</v>
      </c>
      <c r="BA46">
        <v>47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Y46*Source!I30</f>
        <v>0.01</v>
      </c>
      <c r="CY46">
        <f>AB46</f>
        <v>111.99</v>
      </c>
      <c r="CZ46">
        <f>AF46</f>
        <v>111.99</v>
      </c>
      <c r="DA46">
        <f>AJ46</f>
        <v>1</v>
      </c>
      <c r="DB46">
        <v>0</v>
      </c>
    </row>
    <row r="47" spans="1:106">
      <c r="A47">
        <f>ROW(Source!A30)</f>
        <v>30</v>
      </c>
      <c r="B47">
        <v>31859403</v>
      </c>
      <c r="C47">
        <v>31859733</v>
      </c>
      <c r="D47">
        <v>28859324</v>
      </c>
      <c r="E47">
        <v>1</v>
      </c>
      <c r="F47">
        <v>1</v>
      </c>
      <c r="G47">
        <v>1</v>
      </c>
      <c r="H47">
        <v>2</v>
      </c>
      <c r="I47" t="s">
        <v>273</v>
      </c>
      <c r="J47" t="s">
        <v>274</v>
      </c>
      <c r="K47" t="s">
        <v>275</v>
      </c>
      <c r="L47">
        <v>1368</v>
      </c>
      <c r="N47">
        <v>1011</v>
      </c>
      <c r="O47" t="s">
        <v>190</v>
      </c>
      <c r="P47" t="s">
        <v>190</v>
      </c>
      <c r="Q47">
        <v>1</v>
      </c>
      <c r="W47">
        <v>0</v>
      </c>
      <c r="X47">
        <v>1372534845</v>
      </c>
      <c r="Y47">
        <v>0.01</v>
      </c>
      <c r="AA47">
        <v>0</v>
      </c>
      <c r="AB47">
        <v>65.709999999999994</v>
      </c>
      <c r="AC47">
        <v>11.6</v>
      </c>
      <c r="AD47">
        <v>0</v>
      </c>
      <c r="AE47">
        <v>0</v>
      </c>
      <c r="AF47">
        <v>65.709999999999994</v>
      </c>
      <c r="AG47">
        <v>11.6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5</v>
      </c>
      <c r="AT47">
        <v>0.01</v>
      </c>
      <c r="AU47" t="s">
        <v>5</v>
      </c>
      <c r="AV47">
        <v>0</v>
      </c>
      <c r="AW47">
        <v>2</v>
      </c>
      <c r="AX47">
        <v>31859743</v>
      </c>
      <c r="AY47">
        <v>1</v>
      </c>
      <c r="AZ47">
        <v>0</v>
      </c>
      <c r="BA47">
        <v>48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Y47*Source!I30</f>
        <v>0.01</v>
      </c>
      <c r="CY47">
        <f>AB47</f>
        <v>65.709999999999994</v>
      </c>
      <c r="CZ47">
        <f>AF47</f>
        <v>65.709999999999994</v>
      </c>
      <c r="DA47">
        <f>AJ47</f>
        <v>1</v>
      </c>
      <c r="DB47">
        <v>0</v>
      </c>
    </row>
    <row r="48" spans="1:106">
      <c r="A48">
        <f>ROW(Source!A30)</f>
        <v>30</v>
      </c>
      <c r="B48">
        <v>31859403</v>
      </c>
      <c r="C48">
        <v>31859733</v>
      </c>
      <c r="D48">
        <v>28780365</v>
      </c>
      <c r="E48">
        <v>1</v>
      </c>
      <c r="F48">
        <v>1</v>
      </c>
      <c r="G48">
        <v>1</v>
      </c>
      <c r="H48">
        <v>3</v>
      </c>
      <c r="I48" t="s">
        <v>276</v>
      </c>
      <c r="J48" t="s">
        <v>277</v>
      </c>
      <c r="K48" t="s">
        <v>278</v>
      </c>
      <c r="L48">
        <v>1355</v>
      </c>
      <c r="N48">
        <v>1010</v>
      </c>
      <c r="O48" t="s">
        <v>264</v>
      </c>
      <c r="P48" t="s">
        <v>264</v>
      </c>
      <c r="Q48">
        <v>100</v>
      </c>
      <c r="W48">
        <v>0</v>
      </c>
      <c r="X48">
        <v>1794244060</v>
      </c>
      <c r="Y48">
        <v>0.04</v>
      </c>
      <c r="AA48">
        <v>86</v>
      </c>
      <c r="AB48">
        <v>0</v>
      </c>
      <c r="AC48">
        <v>0</v>
      </c>
      <c r="AD48">
        <v>0</v>
      </c>
      <c r="AE48">
        <v>86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5</v>
      </c>
      <c r="AT48">
        <v>0.04</v>
      </c>
      <c r="AU48" t="s">
        <v>5</v>
      </c>
      <c r="AV48">
        <v>0</v>
      </c>
      <c r="AW48">
        <v>2</v>
      </c>
      <c r="AX48">
        <v>31859744</v>
      </c>
      <c r="AY48">
        <v>1</v>
      </c>
      <c r="AZ48">
        <v>0</v>
      </c>
      <c r="BA48">
        <v>49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Y48*Source!I30</f>
        <v>0.04</v>
      </c>
      <c r="CY48">
        <f>AA48</f>
        <v>86</v>
      </c>
      <c r="CZ48">
        <f>AE48</f>
        <v>86</v>
      </c>
      <c r="DA48">
        <f>AI48</f>
        <v>1</v>
      </c>
      <c r="DB48">
        <v>0</v>
      </c>
    </row>
    <row r="49" spans="1:106">
      <c r="A49">
        <f>ROW(Source!A30)</f>
        <v>30</v>
      </c>
      <c r="B49">
        <v>31859403</v>
      </c>
      <c r="C49">
        <v>31859733</v>
      </c>
      <c r="D49">
        <v>28774850</v>
      </c>
      <c r="E49">
        <v>17</v>
      </c>
      <c r="F49">
        <v>1</v>
      </c>
      <c r="G49">
        <v>1</v>
      </c>
      <c r="H49">
        <v>3</v>
      </c>
      <c r="I49" t="s">
        <v>224</v>
      </c>
      <c r="J49" t="s">
        <v>5</v>
      </c>
      <c r="K49" t="s">
        <v>225</v>
      </c>
      <c r="L49">
        <v>1374</v>
      </c>
      <c r="N49">
        <v>1013</v>
      </c>
      <c r="O49" t="s">
        <v>226</v>
      </c>
      <c r="P49" t="s">
        <v>226</v>
      </c>
      <c r="Q49">
        <v>1</v>
      </c>
      <c r="W49">
        <v>0</v>
      </c>
      <c r="X49">
        <v>-1731369543</v>
      </c>
      <c r="Y49">
        <v>0.23</v>
      </c>
      <c r="AA49">
        <v>1</v>
      </c>
      <c r="AB49">
        <v>0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5</v>
      </c>
      <c r="AT49">
        <v>0.23</v>
      </c>
      <c r="AU49" t="s">
        <v>5</v>
      </c>
      <c r="AV49">
        <v>0</v>
      </c>
      <c r="AW49">
        <v>2</v>
      </c>
      <c r="AX49">
        <v>31859745</v>
      </c>
      <c r="AY49">
        <v>1</v>
      </c>
      <c r="AZ49">
        <v>0</v>
      </c>
      <c r="BA49">
        <v>50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Y49*Source!I30</f>
        <v>0.23</v>
      </c>
      <c r="CY49">
        <f>AA49</f>
        <v>1</v>
      </c>
      <c r="CZ49">
        <f>AE49</f>
        <v>1</v>
      </c>
      <c r="DA49">
        <f>AI49</f>
        <v>1</v>
      </c>
      <c r="DB49">
        <v>0</v>
      </c>
    </row>
    <row r="50" spans="1:106">
      <c r="A50">
        <f>ROW(Source!A31)</f>
        <v>31</v>
      </c>
      <c r="B50">
        <v>31859403</v>
      </c>
      <c r="C50">
        <v>31859773</v>
      </c>
      <c r="D50">
        <v>29047034</v>
      </c>
      <c r="E50">
        <v>1</v>
      </c>
      <c r="F50">
        <v>1</v>
      </c>
      <c r="G50">
        <v>1</v>
      </c>
      <c r="H50">
        <v>1</v>
      </c>
      <c r="I50" t="s">
        <v>182</v>
      </c>
      <c r="J50" t="s">
        <v>5</v>
      </c>
      <c r="K50" t="s">
        <v>183</v>
      </c>
      <c r="L50">
        <v>1191</v>
      </c>
      <c r="N50">
        <v>1013</v>
      </c>
      <c r="O50" t="s">
        <v>184</v>
      </c>
      <c r="P50" t="s">
        <v>184</v>
      </c>
      <c r="Q50">
        <v>1</v>
      </c>
      <c r="W50">
        <v>0</v>
      </c>
      <c r="X50">
        <v>1069510174</v>
      </c>
      <c r="Y50">
        <v>13.73</v>
      </c>
      <c r="AA50">
        <v>0</v>
      </c>
      <c r="AB50">
        <v>0</v>
      </c>
      <c r="AC50">
        <v>0</v>
      </c>
      <c r="AD50">
        <v>9.6199999999999992</v>
      </c>
      <c r="AE50">
        <v>0</v>
      </c>
      <c r="AF50">
        <v>0</v>
      </c>
      <c r="AG50">
        <v>0</v>
      </c>
      <c r="AH50">
        <v>9.6199999999999992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5</v>
      </c>
      <c r="AT50">
        <v>13.73</v>
      </c>
      <c r="AU50" t="s">
        <v>5</v>
      </c>
      <c r="AV50">
        <v>1</v>
      </c>
      <c r="AW50">
        <v>2</v>
      </c>
      <c r="AX50">
        <v>31859936</v>
      </c>
      <c r="AY50">
        <v>1</v>
      </c>
      <c r="AZ50">
        <v>0</v>
      </c>
      <c r="BA50">
        <v>51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Y50*Source!I31</f>
        <v>2.1968000000000001</v>
      </c>
      <c r="CY50">
        <f>AD50</f>
        <v>9.6199999999999992</v>
      </c>
      <c r="CZ50">
        <f>AH50</f>
        <v>9.6199999999999992</v>
      </c>
      <c r="DA50">
        <f>AL50</f>
        <v>1</v>
      </c>
      <c r="DB50">
        <v>0</v>
      </c>
    </row>
    <row r="51" spans="1:106">
      <c r="A51">
        <f>ROW(Source!A31)</f>
        <v>31</v>
      </c>
      <c r="B51">
        <v>31859403</v>
      </c>
      <c r="C51">
        <v>31859773</v>
      </c>
      <c r="D51">
        <v>29040875</v>
      </c>
      <c r="E51">
        <v>1</v>
      </c>
      <c r="F51">
        <v>1</v>
      </c>
      <c r="G51">
        <v>1</v>
      </c>
      <c r="H51">
        <v>1</v>
      </c>
      <c r="I51" t="s">
        <v>185</v>
      </c>
      <c r="J51" t="s">
        <v>5</v>
      </c>
      <c r="K51" t="s">
        <v>186</v>
      </c>
      <c r="L51">
        <v>1191</v>
      </c>
      <c r="N51">
        <v>1013</v>
      </c>
      <c r="O51" t="s">
        <v>184</v>
      </c>
      <c r="P51" t="s">
        <v>184</v>
      </c>
      <c r="Q51">
        <v>1</v>
      </c>
      <c r="W51">
        <v>0</v>
      </c>
      <c r="X51">
        <v>-1417349443</v>
      </c>
      <c r="Y51">
        <v>11.04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5</v>
      </c>
      <c r="AT51">
        <v>11.04</v>
      </c>
      <c r="AU51" t="s">
        <v>5</v>
      </c>
      <c r="AV51">
        <v>2</v>
      </c>
      <c r="AW51">
        <v>2</v>
      </c>
      <c r="AX51">
        <v>31859937</v>
      </c>
      <c r="AY51">
        <v>1</v>
      </c>
      <c r="AZ51">
        <v>0</v>
      </c>
      <c r="BA51">
        <v>52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Y51*Source!I31</f>
        <v>1.7664</v>
      </c>
      <c r="CY51">
        <f>AD51</f>
        <v>0</v>
      </c>
      <c r="CZ51">
        <f>AH51</f>
        <v>0</v>
      </c>
      <c r="DA51">
        <f>AL51</f>
        <v>1</v>
      </c>
      <c r="DB51">
        <v>0</v>
      </c>
    </row>
    <row r="52" spans="1:106">
      <c r="A52">
        <f>ROW(Source!A31)</f>
        <v>31</v>
      </c>
      <c r="B52">
        <v>31859403</v>
      </c>
      <c r="C52">
        <v>31859773</v>
      </c>
      <c r="D52">
        <v>28857928</v>
      </c>
      <c r="E52">
        <v>1</v>
      </c>
      <c r="F52">
        <v>1</v>
      </c>
      <c r="G52">
        <v>1</v>
      </c>
      <c r="H52">
        <v>2</v>
      </c>
      <c r="I52" t="s">
        <v>270</v>
      </c>
      <c r="J52" t="s">
        <v>271</v>
      </c>
      <c r="K52" t="s">
        <v>272</v>
      </c>
      <c r="L52">
        <v>1368</v>
      </c>
      <c r="N52">
        <v>1011</v>
      </c>
      <c r="O52" t="s">
        <v>190</v>
      </c>
      <c r="P52" t="s">
        <v>190</v>
      </c>
      <c r="Q52">
        <v>1</v>
      </c>
      <c r="W52">
        <v>0</v>
      </c>
      <c r="X52">
        <v>-1718674368</v>
      </c>
      <c r="Y52">
        <v>0.2</v>
      </c>
      <c r="AA52">
        <v>0</v>
      </c>
      <c r="AB52">
        <v>111.99</v>
      </c>
      <c r="AC52">
        <v>13.5</v>
      </c>
      <c r="AD52">
        <v>0</v>
      </c>
      <c r="AE52">
        <v>0</v>
      </c>
      <c r="AF52">
        <v>111.99</v>
      </c>
      <c r="AG52">
        <v>13.5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5</v>
      </c>
      <c r="AT52">
        <v>0.2</v>
      </c>
      <c r="AU52" t="s">
        <v>5</v>
      </c>
      <c r="AV52">
        <v>0</v>
      </c>
      <c r="AW52">
        <v>2</v>
      </c>
      <c r="AX52">
        <v>31859938</v>
      </c>
      <c r="AY52">
        <v>1</v>
      </c>
      <c r="AZ52">
        <v>0</v>
      </c>
      <c r="BA52">
        <v>53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Y52*Source!I31</f>
        <v>3.2000000000000001E-2</v>
      </c>
      <c r="CY52">
        <f>AB52</f>
        <v>111.99</v>
      </c>
      <c r="CZ52">
        <f>AF52</f>
        <v>111.99</v>
      </c>
      <c r="DA52">
        <f>AJ52</f>
        <v>1</v>
      </c>
      <c r="DB52">
        <v>0</v>
      </c>
    </row>
    <row r="53" spans="1:106">
      <c r="A53">
        <f>ROW(Source!A31)</f>
        <v>31</v>
      </c>
      <c r="B53">
        <v>31859403</v>
      </c>
      <c r="C53">
        <v>31859773</v>
      </c>
      <c r="D53">
        <v>28858062</v>
      </c>
      <c r="E53">
        <v>1</v>
      </c>
      <c r="F53">
        <v>1</v>
      </c>
      <c r="G53">
        <v>1</v>
      </c>
      <c r="H53">
        <v>2</v>
      </c>
      <c r="I53" t="s">
        <v>279</v>
      </c>
      <c r="J53" t="s">
        <v>280</v>
      </c>
      <c r="K53" t="s">
        <v>281</v>
      </c>
      <c r="L53">
        <v>1368</v>
      </c>
      <c r="N53">
        <v>1011</v>
      </c>
      <c r="O53" t="s">
        <v>190</v>
      </c>
      <c r="P53" t="s">
        <v>190</v>
      </c>
      <c r="Q53">
        <v>1</v>
      </c>
      <c r="W53">
        <v>0</v>
      </c>
      <c r="X53">
        <v>-1692889495</v>
      </c>
      <c r="Y53">
        <v>2.2000000000000002</v>
      </c>
      <c r="AA53">
        <v>0</v>
      </c>
      <c r="AB53">
        <v>0.9</v>
      </c>
      <c r="AC53">
        <v>0</v>
      </c>
      <c r="AD53">
        <v>0</v>
      </c>
      <c r="AE53">
        <v>0</v>
      </c>
      <c r="AF53">
        <v>0.9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5</v>
      </c>
      <c r="AT53">
        <v>2.2000000000000002</v>
      </c>
      <c r="AU53" t="s">
        <v>5</v>
      </c>
      <c r="AV53">
        <v>0</v>
      </c>
      <c r="AW53">
        <v>2</v>
      </c>
      <c r="AX53">
        <v>31859939</v>
      </c>
      <c r="AY53">
        <v>1</v>
      </c>
      <c r="AZ53">
        <v>0</v>
      </c>
      <c r="BA53">
        <v>54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Y53*Source!I31</f>
        <v>0.35200000000000004</v>
      </c>
      <c r="CY53">
        <f>AB53</f>
        <v>0.9</v>
      </c>
      <c r="CZ53">
        <f>AF53</f>
        <v>0.9</v>
      </c>
      <c r="DA53">
        <f>AJ53</f>
        <v>1</v>
      </c>
      <c r="DB53">
        <v>0</v>
      </c>
    </row>
    <row r="54" spans="1:106">
      <c r="A54">
        <f>ROW(Source!A31)</f>
        <v>31</v>
      </c>
      <c r="B54">
        <v>31859403</v>
      </c>
      <c r="C54">
        <v>31859773</v>
      </c>
      <c r="D54">
        <v>28858127</v>
      </c>
      <c r="E54">
        <v>1</v>
      </c>
      <c r="F54">
        <v>1</v>
      </c>
      <c r="G54">
        <v>1</v>
      </c>
      <c r="H54">
        <v>2</v>
      </c>
      <c r="I54" t="s">
        <v>282</v>
      </c>
      <c r="J54" t="s">
        <v>283</v>
      </c>
      <c r="K54" t="s">
        <v>284</v>
      </c>
      <c r="L54">
        <v>1368</v>
      </c>
      <c r="N54">
        <v>1011</v>
      </c>
      <c r="O54" t="s">
        <v>190</v>
      </c>
      <c r="P54" t="s">
        <v>190</v>
      </c>
      <c r="Q54">
        <v>1</v>
      </c>
      <c r="W54">
        <v>0</v>
      </c>
      <c r="X54">
        <v>941837819</v>
      </c>
      <c r="Y54">
        <v>2.2000000000000002</v>
      </c>
      <c r="AA54">
        <v>0</v>
      </c>
      <c r="AB54">
        <v>3.28</v>
      </c>
      <c r="AC54">
        <v>0</v>
      </c>
      <c r="AD54">
        <v>0</v>
      </c>
      <c r="AE54">
        <v>0</v>
      </c>
      <c r="AF54">
        <v>3.28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5</v>
      </c>
      <c r="AT54">
        <v>2.2000000000000002</v>
      </c>
      <c r="AU54" t="s">
        <v>5</v>
      </c>
      <c r="AV54">
        <v>0</v>
      </c>
      <c r="AW54">
        <v>2</v>
      </c>
      <c r="AX54">
        <v>31859940</v>
      </c>
      <c r="AY54">
        <v>1</v>
      </c>
      <c r="AZ54">
        <v>0</v>
      </c>
      <c r="BA54">
        <v>55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Y54*Source!I31</f>
        <v>0.35200000000000004</v>
      </c>
      <c r="CY54">
        <f>AB54</f>
        <v>3.28</v>
      </c>
      <c r="CZ54">
        <f>AF54</f>
        <v>3.28</v>
      </c>
      <c r="DA54">
        <f>AJ54</f>
        <v>1</v>
      </c>
      <c r="DB54">
        <v>0</v>
      </c>
    </row>
    <row r="55" spans="1:106">
      <c r="A55">
        <f>ROW(Source!A31)</f>
        <v>31</v>
      </c>
      <c r="B55">
        <v>31859403</v>
      </c>
      <c r="C55">
        <v>31859773</v>
      </c>
      <c r="D55">
        <v>28858262</v>
      </c>
      <c r="E55">
        <v>1</v>
      </c>
      <c r="F55">
        <v>1</v>
      </c>
      <c r="G55">
        <v>1</v>
      </c>
      <c r="H55">
        <v>2</v>
      </c>
      <c r="I55" t="s">
        <v>194</v>
      </c>
      <c r="J55" t="s">
        <v>195</v>
      </c>
      <c r="K55" t="s">
        <v>196</v>
      </c>
      <c r="L55">
        <v>1368</v>
      </c>
      <c r="N55">
        <v>1011</v>
      </c>
      <c r="O55" t="s">
        <v>190</v>
      </c>
      <c r="P55" t="s">
        <v>190</v>
      </c>
      <c r="Q55">
        <v>1</v>
      </c>
      <c r="W55">
        <v>0</v>
      </c>
      <c r="X55">
        <v>1599745326</v>
      </c>
      <c r="Y55">
        <v>10.64</v>
      </c>
      <c r="AA55">
        <v>0</v>
      </c>
      <c r="AB55">
        <v>142.69999999999999</v>
      </c>
      <c r="AC55">
        <v>13.5</v>
      </c>
      <c r="AD55">
        <v>0</v>
      </c>
      <c r="AE55">
        <v>0</v>
      </c>
      <c r="AF55">
        <v>142.69999999999999</v>
      </c>
      <c r="AG55">
        <v>13.5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5</v>
      </c>
      <c r="AT55">
        <v>10.64</v>
      </c>
      <c r="AU55" t="s">
        <v>5</v>
      </c>
      <c r="AV55">
        <v>0</v>
      </c>
      <c r="AW55">
        <v>2</v>
      </c>
      <c r="AX55">
        <v>31859941</v>
      </c>
      <c r="AY55">
        <v>1</v>
      </c>
      <c r="AZ55">
        <v>0</v>
      </c>
      <c r="BA55">
        <v>56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Y55*Source!I31</f>
        <v>1.7024000000000001</v>
      </c>
      <c r="CY55">
        <f>AB55</f>
        <v>142.69999999999999</v>
      </c>
      <c r="CZ55">
        <f>AF55</f>
        <v>142.69999999999999</v>
      </c>
      <c r="DA55">
        <f>AJ55</f>
        <v>1</v>
      </c>
      <c r="DB55">
        <v>0</v>
      </c>
    </row>
    <row r="56" spans="1:106">
      <c r="A56">
        <f>ROW(Source!A31)</f>
        <v>31</v>
      </c>
      <c r="B56">
        <v>31859403</v>
      </c>
      <c r="C56">
        <v>31859773</v>
      </c>
      <c r="D56">
        <v>28859324</v>
      </c>
      <c r="E56">
        <v>1</v>
      </c>
      <c r="F56">
        <v>1</v>
      </c>
      <c r="G56">
        <v>1</v>
      </c>
      <c r="H56">
        <v>2</v>
      </c>
      <c r="I56" t="s">
        <v>273</v>
      </c>
      <c r="J56" t="s">
        <v>274</v>
      </c>
      <c r="K56" t="s">
        <v>275</v>
      </c>
      <c r="L56">
        <v>1368</v>
      </c>
      <c r="N56">
        <v>1011</v>
      </c>
      <c r="O56" t="s">
        <v>190</v>
      </c>
      <c r="P56" t="s">
        <v>190</v>
      </c>
      <c r="Q56">
        <v>1</v>
      </c>
      <c r="W56">
        <v>0</v>
      </c>
      <c r="X56">
        <v>1372534845</v>
      </c>
      <c r="Y56">
        <v>0.2</v>
      </c>
      <c r="AA56">
        <v>0</v>
      </c>
      <c r="AB56">
        <v>65.709999999999994</v>
      </c>
      <c r="AC56">
        <v>11.6</v>
      </c>
      <c r="AD56">
        <v>0</v>
      </c>
      <c r="AE56">
        <v>0</v>
      </c>
      <c r="AF56">
        <v>65.709999999999994</v>
      </c>
      <c r="AG56">
        <v>11.6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5</v>
      </c>
      <c r="AT56">
        <v>0.2</v>
      </c>
      <c r="AU56" t="s">
        <v>5</v>
      </c>
      <c r="AV56">
        <v>0</v>
      </c>
      <c r="AW56">
        <v>2</v>
      </c>
      <c r="AX56">
        <v>31859942</v>
      </c>
      <c r="AY56">
        <v>1</v>
      </c>
      <c r="AZ56">
        <v>0</v>
      </c>
      <c r="BA56">
        <v>57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Y56*Source!I31</f>
        <v>3.2000000000000001E-2</v>
      </c>
      <c r="CY56">
        <f>AB56</f>
        <v>65.709999999999994</v>
      </c>
      <c r="CZ56">
        <f>AF56</f>
        <v>65.709999999999994</v>
      </c>
      <c r="DA56">
        <f>AJ56</f>
        <v>1</v>
      </c>
      <c r="DB56">
        <v>0</v>
      </c>
    </row>
    <row r="57" spans="1:106">
      <c r="A57">
        <f>ROW(Source!A31)</f>
        <v>31</v>
      </c>
      <c r="B57">
        <v>31859403</v>
      </c>
      <c r="C57">
        <v>31859773</v>
      </c>
      <c r="D57">
        <v>28777891</v>
      </c>
      <c r="E57">
        <v>1</v>
      </c>
      <c r="F57">
        <v>1</v>
      </c>
      <c r="G57">
        <v>1</v>
      </c>
      <c r="H57">
        <v>3</v>
      </c>
      <c r="I57" t="s">
        <v>285</v>
      </c>
      <c r="J57" t="s">
        <v>286</v>
      </c>
      <c r="K57" t="s">
        <v>287</v>
      </c>
      <c r="L57">
        <v>1308</v>
      </c>
      <c r="N57">
        <v>1003</v>
      </c>
      <c r="O57" t="s">
        <v>52</v>
      </c>
      <c r="P57" t="s">
        <v>52</v>
      </c>
      <c r="Q57">
        <v>100</v>
      </c>
      <c r="W57">
        <v>0</v>
      </c>
      <c r="X57">
        <v>568244124</v>
      </c>
      <c r="Y57">
        <v>4.7999999999999996E-3</v>
      </c>
      <c r="AA57">
        <v>120</v>
      </c>
      <c r="AB57">
        <v>0</v>
      </c>
      <c r="AC57">
        <v>0</v>
      </c>
      <c r="AD57">
        <v>0</v>
      </c>
      <c r="AE57">
        <v>120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5</v>
      </c>
      <c r="AT57">
        <v>4.7999999999999996E-3</v>
      </c>
      <c r="AU57" t="s">
        <v>5</v>
      </c>
      <c r="AV57">
        <v>0</v>
      </c>
      <c r="AW57">
        <v>2</v>
      </c>
      <c r="AX57">
        <v>31859943</v>
      </c>
      <c r="AY57">
        <v>1</v>
      </c>
      <c r="AZ57">
        <v>0</v>
      </c>
      <c r="BA57">
        <v>58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Y57*Source!I31</f>
        <v>7.6799999999999991E-4</v>
      </c>
      <c r="CY57">
        <f t="shared" ref="CY57:CY62" si="12">AA57</f>
        <v>120</v>
      </c>
      <c r="CZ57">
        <f t="shared" ref="CZ57:CZ62" si="13">AE57</f>
        <v>120</v>
      </c>
      <c r="DA57">
        <f t="shared" ref="DA57:DA62" si="14">AI57</f>
        <v>1</v>
      </c>
      <c r="DB57">
        <v>0</v>
      </c>
    </row>
    <row r="58" spans="1:106">
      <c r="A58">
        <f>ROW(Source!A31)</f>
        <v>31</v>
      </c>
      <c r="B58">
        <v>31859403</v>
      </c>
      <c r="C58">
        <v>31859773</v>
      </c>
      <c r="D58">
        <v>28808734</v>
      </c>
      <c r="E58">
        <v>1</v>
      </c>
      <c r="F58">
        <v>1</v>
      </c>
      <c r="G58">
        <v>1</v>
      </c>
      <c r="H58">
        <v>3</v>
      </c>
      <c r="I58" t="s">
        <v>288</v>
      </c>
      <c r="J58" t="s">
        <v>289</v>
      </c>
      <c r="K58" t="s">
        <v>290</v>
      </c>
      <c r="L58">
        <v>1327</v>
      </c>
      <c r="N58">
        <v>1005</v>
      </c>
      <c r="O58" t="s">
        <v>291</v>
      </c>
      <c r="P58" t="s">
        <v>291</v>
      </c>
      <c r="Q58">
        <v>1</v>
      </c>
      <c r="W58">
        <v>0</v>
      </c>
      <c r="X58">
        <v>1398680772</v>
      </c>
      <c r="Y58">
        <v>0.21</v>
      </c>
      <c r="AA58">
        <v>6.22</v>
      </c>
      <c r="AB58">
        <v>0</v>
      </c>
      <c r="AC58">
        <v>0</v>
      </c>
      <c r="AD58">
        <v>0</v>
      </c>
      <c r="AE58">
        <v>6.22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5</v>
      </c>
      <c r="AT58">
        <v>0.21</v>
      </c>
      <c r="AU58" t="s">
        <v>5</v>
      </c>
      <c r="AV58">
        <v>0</v>
      </c>
      <c r="AW58">
        <v>2</v>
      </c>
      <c r="AX58">
        <v>31859944</v>
      </c>
      <c r="AY58">
        <v>1</v>
      </c>
      <c r="AZ58">
        <v>0</v>
      </c>
      <c r="BA58">
        <v>59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Y58*Source!I31</f>
        <v>3.3599999999999998E-2</v>
      </c>
      <c r="CY58">
        <f t="shared" si="12"/>
        <v>6.22</v>
      </c>
      <c r="CZ58">
        <f t="shared" si="13"/>
        <v>6.22</v>
      </c>
      <c r="DA58">
        <f t="shared" si="14"/>
        <v>1</v>
      </c>
      <c r="DB58">
        <v>0</v>
      </c>
    </row>
    <row r="59" spans="1:106">
      <c r="A59">
        <f>ROW(Source!A31)</f>
        <v>31</v>
      </c>
      <c r="B59">
        <v>31859403</v>
      </c>
      <c r="C59">
        <v>31859773</v>
      </c>
      <c r="D59">
        <v>28827580</v>
      </c>
      <c r="E59">
        <v>1</v>
      </c>
      <c r="F59">
        <v>1</v>
      </c>
      <c r="G59">
        <v>1</v>
      </c>
      <c r="H59">
        <v>3</v>
      </c>
      <c r="I59" t="s">
        <v>292</v>
      </c>
      <c r="J59" t="s">
        <v>293</v>
      </c>
      <c r="K59" t="s">
        <v>294</v>
      </c>
      <c r="L59">
        <v>1354</v>
      </c>
      <c r="N59">
        <v>1010</v>
      </c>
      <c r="O59" t="s">
        <v>223</v>
      </c>
      <c r="P59" t="s">
        <v>223</v>
      </c>
      <c r="Q59">
        <v>1</v>
      </c>
      <c r="W59">
        <v>0</v>
      </c>
      <c r="X59">
        <v>365674879</v>
      </c>
      <c r="Y59">
        <v>8</v>
      </c>
      <c r="AA59">
        <v>10.54</v>
      </c>
      <c r="AB59">
        <v>0</v>
      </c>
      <c r="AC59">
        <v>0</v>
      </c>
      <c r="AD59">
        <v>0</v>
      </c>
      <c r="AE59">
        <v>10.54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5</v>
      </c>
      <c r="AT59">
        <v>8</v>
      </c>
      <c r="AU59" t="s">
        <v>5</v>
      </c>
      <c r="AV59">
        <v>0</v>
      </c>
      <c r="AW59">
        <v>2</v>
      </c>
      <c r="AX59">
        <v>31859945</v>
      </c>
      <c r="AY59">
        <v>1</v>
      </c>
      <c r="AZ59">
        <v>0</v>
      </c>
      <c r="BA59">
        <v>60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Y59*Source!I31</f>
        <v>1.28</v>
      </c>
      <c r="CY59">
        <f t="shared" si="12"/>
        <v>10.54</v>
      </c>
      <c r="CZ59">
        <f t="shared" si="13"/>
        <v>10.54</v>
      </c>
      <c r="DA59">
        <f t="shared" si="14"/>
        <v>1</v>
      </c>
      <c r="DB59">
        <v>0</v>
      </c>
    </row>
    <row r="60" spans="1:106">
      <c r="A60">
        <f>ROW(Source!A31)</f>
        <v>31</v>
      </c>
      <c r="B60">
        <v>31859403</v>
      </c>
      <c r="C60">
        <v>31859773</v>
      </c>
      <c r="D60">
        <v>28827631</v>
      </c>
      <c r="E60">
        <v>1</v>
      </c>
      <c r="F60">
        <v>1</v>
      </c>
      <c r="G60">
        <v>1</v>
      </c>
      <c r="H60">
        <v>3</v>
      </c>
      <c r="I60" t="s">
        <v>295</v>
      </c>
      <c r="J60" t="s">
        <v>296</v>
      </c>
      <c r="K60" t="s">
        <v>297</v>
      </c>
      <c r="L60">
        <v>1355</v>
      </c>
      <c r="N60">
        <v>1010</v>
      </c>
      <c r="O60" t="s">
        <v>264</v>
      </c>
      <c r="P60" t="s">
        <v>264</v>
      </c>
      <c r="Q60">
        <v>100</v>
      </c>
      <c r="W60">
        <v>0</v>
      </c>
      <c r="X60">
        <v>649335927</v>
      </c>
      <c r="Y60">
        <v>0.08</v>
      </c>
      <c r="AA60">
        <v>3000</v>
      </c>
      <c r="AB60">
        <v>0</v>
      </c>
      <c r="AC60">
        <v>0</v>
      </c>
      <c r="AD60">
        <v>0</v>
      </c>
      <c r="AE60">
        <v>3000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5</v>
      </c>
      <c r="AT60">
        <v>0.08</v>
      </c>
      <c r="AU60" t="s">
        <v>5</v>
      </c>
      <c r="AV60">
        <v>0</v>
      </c>
      <c r="AW60">
        <v>2</v>
      </c>
      <c r="AX60">
        <v>31859946</v>
      </c>
      <c r="AY60">
        <v>1</v>
      </c>
      <c r="AZ60">
        <v>0</v>
      </c>
      <c r="BA60">
        <v>61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Y60*Source!I31</f>
        <v>1.2800000000000001E-2</v>
      </c>
      <c r="CY60">
        <f t="shared" si="12"/>
        <v>3000</v>
      </c>
      <c r="CZ60">
        <f t="shared" si="13"/>
        <v>3000</v>
      </c>
      <c r="DA60">
        <f t="shared" si="14"/>
        <v>1</v>
      </c>
      <c r="DB60">
        <v>0</v>
      </c>
    </row>
    <row r="61" spans="1:106">
      <c r="A61">
        <f>ROW(Source!A31)</f>
        <v>31</v>
      </c>
      <c r="B61">
        <v>31859403</v>
      </c>
      <c r="C61">
        <v>31859773</v>
      </c>
      <c r="D61">
        <v>28831571</v>
      </c>
      <c r="E61">
        <v>1</v>
      </c>
      <c r="F61">
        <v>1</v>
      </c>
      <c r="G61">
        <v>1</v>
      </c>
      <c r="H61">
        <v>3</v>
      </c>
      <c r="I61" t="s">
        <v>298</v>
      </c>
      <c r="J61" t="s">
        <v>299</v>
      </c>
      <c r="K61" t="s">
        <v>300</v>
      </c>
      <c r="L61">
        <v>1355</v>
      </c>
      <c r="N61">
        <v>1010</v>
      </c>
      <c r="O61" t="s">
        <v>264</v>
      </c>
      <c r="P61" t="s">
        <v>264</v>
      </c>
      <c r="Q61">
        <v>100</v>
      </c>
      <c r="W61">
        <v>0</v>
      </c>
      <c r="X61">
        <v>-1955385895</v>
      </c>
      <c r="Y61">
        <v>0.08</v>
      </c>
      <c r="AA61">
        <v>1776</v>
      </c>
      <c r="AB61">
        <v>0</v>
      </c>
      <c r="AC61">
        <v>0</v>
      </c>
      <c r="AD61">
        <v>0</v>
      </c>
      <c r="AE61">
        <v>1776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5</v>
      </c>
      <c r="AT61">
        <v>0.08</v>
      </c>
      <c r="AU61" t="s">
        <v>5</v>
      </c>
      <c r="AV61">
        <v>0</v>
      </c>
      <c r="AW61">
        <v>2</v>
      </c>
      <c r="AX61">
        <v>31859947</v>
      </c>
      <c r="AY61">
        <v>1</v>
      </c>
      <c r="AZ61">
        <v>0</v>
      </c>
      <c r="BA61">
        <v>62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Y61*Source!I31</f>
        <v>1.2800000000000001E-2</v>
      </c>
      <c r="CY61">
        <f t="shared" si="12"/>
        <v>1776</v>
      </c>
      <c r="CZ61">
        <f t="shared" si="13"/>
        <v>1776</v>
      </c>
      <c r="DA61">
        <f t="shared" si="14"/>
        <v>1</v>
      </c>
      <c r="DB61">
        <v>0</v>
      </c>
    </row>
    <row r="62" spans="1:106">
      <c r="A62">
        <f>ROW(Source!A31)</f>
        <v>31</v>
      </c>
      <c r="B62">
        <v>31859403</v>
      </c>
      <c r="C62">
        <v>31859773</v>
      </c>
      <c r="D62">
        <v>28774850</v>
      </c>
      <c r="E62">
        <v>17</v>
      </c>
      <c r="F62">
        <v>1</v>
      </c>
      <c r="G62">
        <v>1</v>
      </c>
      <c r="H62">
        <v>3</v>
      </c>
      <c r="I62" t="s">
        <v>224</v>
      </c>
      <c r="J62" t="s">
        <v>5</v>
      </c>
      <c r="K62" t="s">
        <v>225</v>
      </c>
      <c r="L62">
        <v>1374</v>
      </c>
      <c r="N62">
        <v>1013</v>
      </c>
      <c r="O62" t="s">
        <v>226</v>
      </c>
      <c r="P62" t="s">
        <v>226</v>
      </c>
      <c r="Q62">
        <v>1</v>
      </c>
      <c r="W62">
        <v>0</v>
      </c>
      <c r="X62">
        <v>-1731369543</v>
      </c>
      <c r="Y62">
        <v>2.64</v>
      </c>
      <c r="AA62">
        <v>1</v>
      </c>
      <c r="AB62">
        <v>0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5</v>
      </c>
      <c r="AT62">
        <v>2.64</v>
      </c>
      <c r="AU62" t="s">
        <v>5</v>
      </c>
      <c r="AV62">
        <v>0</v>
      </c>
      <c r="AW62">
        <v>2</v>
      </c>
      <c r="AX62">
        <v>31859948</v>
      </c>
      <c r="AY62">
        <v>1</v>
      </c>
      <c r="AZ62">
        <v>0</v>
      </c>
      <c r="BA62">
        <v>63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Y62*Source!I31</f>
        <v>0.42240000000000005</v>
      </c>
      <c r="CY62">
        <f t="shared" si="12"/>
        <v>1</v>
      </c>
      <c r="CZ62">
        <f t="shared" si="13"/>
        <v>1</v>
      </c>
      <c r="DA62">
        <f t="shared" si="14"/>
        <v>1</v>
      </c>
      <c r="DB62">
        <v>0</v>
      </c>
    </row>
    <row r="63" spans="1:106">
      <c r="A63">
        <f>ROW(Source!A32)</f>
        <v>32</v>
      </c>
      <c r="B63">
        <v>31859403</v>
      </c>
      <c r="C63">
        <v>31859800</v>
      </c>
      <c r="D63">
        <v>29496299</v>
      </c>
      <c r="E63">
        <v>1</v>
      </c>
      <c r="F63">
        <v>1</v>
      </c>
      <c r="G63">
        <v>1</v>
      </c>
      <c r="H63">
        <v>1</v>
      </c>
      <c r="I63" t="s">
        <v>301</v>
      </c>
      <c r="J63" t="s">
        <v>5</v>
      </c>
      <c r="K63" t="s">
        <v>302</v>
      </c>
      <c r="L63">
        <v>1191</v>
      </c>
      <c r="N63">
        <v>1013</v>
      </c>
      <c r="O63" t="s">
        <v>184</v>
      </c>
      <c r="P63" t="s">
        <v>184</v>
      </c>
      <c r="Q63">
        <v>1</v>
      </c>
      <c r="W63">
        <v>0</v>
      </c>
      <c r="X63">
        <v>1543759022</v>
      </c>
      <c r="Y63">
        <v>40</v>
      </c>
      <c r="AA63">
        <v>0</v>
      </c>
      <c r="AB63">
        <v>0</v>
      </c>
      <c r="AC63">
        <v>0</v>
      </c>
      <c r="AD63">
        <v>11.09</v>
      </c>
      <c r="AE63">
        <v>0</v>
      </c>
      <c r="AF63">
        <v>0</v>
      </c>
      <c r="AG63">
        <v>0</v>
      </c>
      <c r="AH63">
        <v>11.09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5</v>
      </c>
      <c r="AT63">
        <v>40</v>
      </c>
      <c r="AU63" t="s">
        <v>5</v>
      </c>
      <c r="AV63">
        <v>1</v>
      </c>
      <c r="AW63">
        <v>2</v>
      </c>
      <c r="AX63">
        <v>31859803</v>
      </c>
      <c r="AY63">
        <v>1</v>
      </c>
      <c r="AZ63">
        <v>0</v>
      </c>
      <c r="BA63">
        <v>64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Y63*Source!I32</f>
        <v>40</v>
      </c>
      <c r="CY63">
        <f>AD63</f>
        <v>11.09</v>
      </c>
      <c r="CZ63">
        <f>AH63</f>
        <v>11.09</v>
      </c>
      <c r="DA63">
        <f>AL63</f>
        <v>1</v>
      </c>
      <c r="DB63">
        <v>0</v>
      </c>
    </row>
    <row r="64" spans="1:106">
      <c r="A64">
        <f>ROW(Source!A32)</f>
        <v>32</v>
      </c>
      <c r="B64">
        <v>31859403</v>
      </c>
      <c r="C64">
        <v>31859800</v>
      </c>
      <c r="D64">
        <v>29491371</v>
      </c>
      <c r="E64">
        <v>1</v>
      </c>
      <c r="F64">
        <v>1</v>
      </c>
      <c r="G64">
        <v>1</v>
      </c>
      <c r="H64">
        <v>1</v>
      </c>
      <c r="I64" t="s">
        <v>303</v>
      </c>
      <c r="J64" t="s">
        <v>5</v>
      </c>
      <c r="K64" t="s">
        <v>304</v>
      </c>
      <c r="L64">
        <v>1191</v>
      </c>
      <c r="N64">
        <v>1013</v>
      </c>
      <c r="O64" t="s">
        <v>184</v>
      </c>
      <c r="P64" t="s">
        <v>184</v>
      </c>
      <c r="Q64">
        <v>1</v>
      </c>
      <c r="W64">
        <v>0</v>
      </c>
      <c r="X64">
        <v>848708738</v>
      </c>
      <c r="Y64">
        <v>40</v>
      </c>
      <c r="AA64">
        <v>0</v>
      </c>
      <c r="AB64">
        <v>0</v>
      </c>
      <c r="AC64">
        <v>0</v>
      </c>
      <c r="AD64">
        <v>12.69</v>
      </c>
      <c r="AE64">
        <v>0</v>
      </c>
      <c r="AF64">
        <v>0</v>
      </c>
      <c r="AG64">
        <v>0</v>
      </c>
      <c r="AH64">
        <v>12.69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5</v>
      </c>
      <c r="AT64">
        <v>40</v>
      </c>
      <c r="AU64" t="s">
        <v>5</v>
      </c>
      <c r="AV64">
        <v>1</v>
      </c>
      <c r="AW64">
        <v>2</v>
      </c>
      <c r="AX64">
        <v>31859804</v>
      </c>
      <c r="AY64">
        <v>1</v>
      </c>
      <c r="AZ64">
        <v>0</v>
      </c>
      <c r="BA64">
        <v>65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Y64*Source!I32</f>
        <v>40</v>
      </c>
      <c r="CY64">
        <f>AD64</f>
        <v>12.69</v>
      </c>
      <c r="CZ64">
        <f>AH64</f>
        <v>12.69</v>
      </c>
      <c r="DA64">
        <f>AL64</f>
        <v>1</v>
      </c>
      <c r="DB64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65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31859675</v>
      </c>
      <c r="C1">
        <v>31859659</v>
      </c>
      <c r="D1">
        <v>29047034</v>
      </c>
      <c r="E1">
        <v>1</v>
      </c>
      <c r="F1">
        <v>1</v>
      </c>
      <c r="G1">
        <v>1</v>
      </c>
      <c r="H1">
        <v>1</v>
      </c>
      <c r="I1" t="s">
        <v>182</v>
      </c>
      <c r="J1" t="s">
        <v>5</v>
      </c>
      <c r="K1" t="s">
        <v>183</v>
      </c>
      <c r="L1">
        <v>1191</v>
      </c>
      <c r="N1">
        <v>1013</v>
      </c>
      <c r="O1" t="s">
        <v>184</v>
      </c>
      <c r="P1" t="s">
        <v>184</v>
      </c>
      <c r="Q1">
        <v>1</v>
      </c>
      <c r="X1">
        <v>48.5</v>
      </c>
      <c r="Y1">
        <v>0</v>
      </c>
      <c r="Z1">
        <v>0</v>
      </c>
      <c r="AA1">
        <v>0</v>
      </c>
      <c r="AB1">
        <v>9.6199999999999992</v>
      </c>
      <c r="AC1">
        <v>0</v>
      </c>
      <c r="AD1">
        <v>1</v>
      </c>
      <c r="AE1">
        <v>1</v>
      </c>
      <c r="AF1" t="s">
        <v>5</v>
      </c>
      <c r="AG1">
        <v>48.5</v>
      </c>
      <c r="AH1">
        <v>2</v>
      </c>
      <c r="AI1">
        <v>31859660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31859676</v>
      </c>
      <c r="C2">
        <v>31859659</v>
      </c>
      <c r="D2">
        <v>29040875</v>
      </c>
      <c r="E2">
        <v>1</v>
      </c>
      <c r="F2">
        <v>1</v>
      </c>
      <c r="G2">
        <v>1</v>
      </c>
      <c r="H2">
        <v>1</v>
      </c>
      <c r="I2" t="s">
        <v>185</v>
      </c>
      <c r="J2" t="s">
        <v>5</v>
      </c>
      <c r="K2" t="s">
        <v>186</v>
      </c>
      <c r="L2">
        <v>1191</v>
      </c>
      <c r="N2">
        <v>1013</v>
      </c>
      <c r="O2" t="s">
        <v>184</v>
      </c>
      <c r="P2" t="s">
        <v>184</v>
      </c>
      <c r="Q2">
        <v>1</v>
      </c>
      <c r="X2">
        <v>11.45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5</v>
      </c>
      <c r="AG2">
        <v>11.45</v>
      </c>
      <c r="AH2">
        <v>2</v>
      </c>
      <c r="AI2">
        <v>31859661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31859677</v>
      </c>
      <c r="C3">
        <v>31859659</v>
      </c>
      <c r="D3">
        <v>28857944</v>
      </c>
      <c r="E3">
        <v>1</v>
      </c>
      <c r="F3">
        <v>1</v>
      </c>
      <c r="G3">
        <v>1</v>
      </c>
      <c r="H3">
        <v>2</v>
      </c>
      <c r="I3" t="s">
        <v>187</v>
      </c>
      <c r="J3" t="s">
        <v>188</v>
      </c>
      <c r="K3" t="s">
        <v>189</v>
      </c>
      <c r="L3">
        <v>1368</v>
      </c>
      <c r="N3">
        <v>1011</v>
      </c>
      <c r="O3" t="s">
        <v>190</v>
      </c>
      <c r="P3" t="s">
        <v>190</v>
      </c>
      <c r="Q3">
        <v>1</v>
      </c>
      <c r="X3">
        <v>4.87</v>
      </c>
      <c r="Y3">
        <v>0</v>
      </c>
      <c r="Z3">
        <v>290.01</v>
      </c>
      <c r="AA3">
        <v>25.1</v>
      </c>
      <c r="AB3">
        <v>0</v>
      </c>
      <c r="AC3">
        <v>0</v>
      </c>
      <c r="AD3">
        <v>1</v>
      </c>
      <c r="AE3">
        <v>0</v>
      </c>
      <c r="AF3" t="s">
        <v>5</v>
      </c>
      <c r="AG3">
        <v>4.87</v>
      </c>
      <c r="AH3">
        <v>2</v>
      </c>
      <c r="AI3">
        <v>31859662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31859678</v>
      </c>
      <c r="C4">
        <v>31859659</v>
      </c>
      <c r="D4">
        <v>28858121</v>
      </c>
      <c r="E4">
        <v>1</v>
      </c>
      <c r="F4">
        <v>1</v>
      </c>
      <c r="G4">
        <v>1</v>
      </c>
      <c r="H4">
        <v>2</v>
      </c>
      <c r="I4" t="s">
        <v>191</v>
      </c>
      <c r="J4" t="s">
        <v>192</v>
      </c>
      <c r="K4" t="s">
        <v>193</v>
      </c>
      <c r="L4">
        <v>1368</v>
      </c>
      <c r="N4">
        <v>1011</v>
      </c>
      <c r="O4" t="s">
        <v>190</v>
      </c>
      <c r="P4" t="s">
        <v>190</v>
      </c>
      <c r="Q4">
        <v>1</v>
      </c>
      <c r="X4">
        <v>3.3</v>
      </c>
      <c r="Y4">
        <v>0</v>
      </c>
      <c r="Z4">
        <v>6.66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5</v>
      </c>
      <c r="AG4">
        <v>3.3</v>
      </c>
      <c r="AH4">
        <v>2</v>
      </c>
      <c r="AI4">
        <v>31859663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31859679</v>
      </c>
      <c r="C5">
        <v>31859659</v>
      </c>
      <c r="D5">
        <v>28858262</v>
      </c>
      <c r="E5">
        <v>1</v>
      </c>
      <c r="F5">
        <v>1</v>
      </c>
      <c r="G5">
        <v>1</v>
      </c>
      <c r="H5">
        <v>2</v>
      </c>
      <c r="I5" t="s">
        <v>194</v>
      </c>
      <c r="J5" t="s">
        <v>195</v>
      </c>
      <c r="K5" t="s">
        <v>196</v>
      </c>
      <c r="L5">
        <v>1368</v>
      </c>
      <c r="N5">
        <v>1011</v>
      </c>
      <c r="O5" t="s">
        <v>190</v>
      </c>
      <c r="P5" t="s">
        <v>190</v>
      </c>
      <c r="Q5">
        <v>1</v>
      </c>
      <c r="X5">
        <v>1.38</v>
      </c>
      <c r="Y5">
        <v>0</v>
      </c>
      <c r="Z5">
        <v>142.69999999999999</v>
      </c>
      <c r="AA5">
        <v>13.5</v>
      </c>
      <c r="AB5">
        <v>0</v>
      </c>
      <c r="AC5">
        <v>0</v>
      </c>
      <c r="AD5">
        <v>1</v>
      </c>
      <c r="AE5">
        <v>0</v>
      </c>
      <c r="AF5" t="s">
        <v>5</v>
      </c>
      <c r="AG5">
        <v>1.38</v>
      </c>
      <c r="AH5">
        <v>2</v>
      </c>
      <c r="AI5">
        <v>31859664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31859680</v>
      </c>
      <c r="C6">
        <v>31859659</v>
      </c>
      <c r="D6">
        <v>28859327</v>
      </c>
      <c r="E6">
        <v>1</v>
      </c>
      <c r="F6">
        <v>1</v>
      </c>
      <c r="G6">
        <v>1</v>
      </c>
      <c r="H6">
        <v>2</v>
      </c>
      <c r="I6" t="s">
        <v>197</v>
      </c>
      <c r="J6" t="s">
        <v>198</v>
      </c>
      <c r="K6" t="s">
        <v>199</v>
      </c>
      <c r="L6">
        <v>1368</v>
      </c>
      <c r="N6">
        <v>1011</v>
      </c>
      <c r="O6" t="s">
        <v>190</v>
      </c>
      <c r="P6" t="s">
        <v>190</v>
      </c>
      <c r="Q6">
        <v>1</v>
      </c>
      <c r="X6">
        <v>0.33</v>
      </c>
      <c r="Y6">
        <v>0</v>
      </c>
      <c r="Z6">
        <v>92.94</v>
      </c>
      <c r="AA6">
        <v>13.5</v>
      </c>
      <c r="AB6">
        <v>0</v>
      </c>
      <c r="AC6">
        <v>0</v>
      </c>
      <c r="AD6">
        <v>1</v>
      </c>
      <c r="AE6">
        <v>0</v>
      </c>
      <c r="AF6" t="s">
        <v>5</v>
      </c>
      <c r="AG6">
        <v>0.33</v>
      </c>
      <c r="AH6">
        <v>2</v>
      </c>
      <c r="AI6">
        <v>31859665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ROW(Source!A24)</f>
        <v>24</v>
      </c>
      <c r="B7">
        <v>31859681</v>
      </c>
      <c r="C7">
        <v>31859659</v>
      </c>
      <c r="D7">
        <v>28859628</v>
      </c>
      <c r="E7">
        <v>1</v>
      </c>
      <c r="F7">
        <v>1</v>
      </c>
      <c r="G7">
        <v>1</v>
      </c>
      <c r="H7">
        <v>2</v>
      </c>
      <c r="I7" t="s">
        <v>200</v>
      </c>
      <c r="J7" t="s">
        <v>201</v>
      </c>
      <c r="K7" t="s">
        <v>202</v>
      </c>
      <c r="L7">
        <v>1368</v>
      </c>
      <c r="N7">
        <v>1011</v>
      </c>
      <c r="O7" t="s">
        <v>190</v>
      </c>
      <c r="P7" t="s">
        <v>190</v>
      </c>
      <c r="Q7">
        <v>1</v>
      </c>
      <c r="X7">
        <v>1.75</v>
      </c>
      <c r="Y7">
        <v>0</v>
      </c>
      <c r="Z7">
        <v>8.1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5</v>
      </c>
      <c r="AG7">
        <v>1.75</v>
      </c>
      <c r="AH7">
        <v>2</v>
      </c>
      <c r="AI7">
        <v>31859666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ROW(Source!A24)</f>
        <v>24</v>
      </c>
      <c r="B8">
        <v>31859682</v>
      </c>
      <c r="C8">
        <v>31859659</v>
      </c>
      <c r="D8">
        <v>28777594</v>
      </c>
      <c r="E8">
        <v>1</v>
      </c>
      <c r="F8">
        <v>1</v>
      </c>
      <c r="G8">
        <v>1</v>
      </c>
      <c r="H8">
        <v>3</v>
      </c>
      <c r="I8" t="s">
        <v>203</v>
      </c>
      <c r="J8" t="s">
        <v>204</v>
      </c>
      <c r="K8" t="s">
        <v>205</v>
      </c>
      <c r="L8">
        <v>1383</v>
      </c>
      <c r="N8">
        <v>1013</v>
      </c>
      <c r="O8" t="s">
        <v>206</v>
      </c>
      <c r="P8" t="s">
        <v>206</v>
      </c>
      <c r="Q8">
        <v>1</v>
      </c>
      <c r="X8">
        <v>38.700000000000003</v>
      </c>
      <c r="Y8">
        <v>0.4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5</v>
      </c>
      <c r="AG8">
        <v>38.700000000000003</v>
      </c>
      <c r="AH8">
        <v>2</v>
      </c>
      <c r="AI8">
        <v>31859667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ROW(Source!A24)</f>
        <v>24</v>
      </c>
      <c r="B9">
        <v>31859683</v>
      </c>
      <c r="C9">
        <v>31859659</v>
      </c>
      <c r="D9">
        <v>28779042</v>
      </c>
      <c r="E9">
        <v>1</v>
      </c>
      <c r="F9">
        <v>1</v>
      </c>
      <c r="G9">
        <v>1</v>
      </c>
      <c r="H9">
        <v>3</v>
      </c>
      <c r="I9" t="s">
        <v>207</v>
      </c>
      <c r="J9" t="s">
        <v>208</v>
      </c>
      <c r="K9" t="s">
        <v>209</v>
      </c>
      <c r="L9">
        <v>1348</v>
      </c>
      <c r="N9">
        <v>1009</v>
      </c>
      <c r="O9" t="s">
        <v>16</v>
      </c>
      <c r="P9" t="s">
        <v>16</v>
      </c>
      <c r="Q9">
        <v>1000</v>
      </c>
      <c r="X9">
        <v>2.3900000000000002E-3</v>
      </c>
      <c r="Y9">
        <v>10578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5</v>
      </c>
      <c r="AG9">
        <v>2.3900000000000002E-3</v>
      </c>
      <c r="AH9">
        <v>2</v>
      </c>
      <c r="AI9">
        <v>31859668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ROW(Source!A24)</f>
        <v>24</v>
      </c>
      <c r="B10">
        <v>31859684</v>
      </c>
      <c r="C10">
        <v>31859659</v>
      </c>
      <c r="D10">
        <v>28799074</v>
      </c>
      <c r="E10">
        <v>1</v>
      </c>
      <c r="F10">
        <v>1</v>
      </c>
      <c r="G10">
        <v>1</v>
      </c>
      <c r="H10">
        <v>3</v>
      </c>
      <c r="I10" t="s">
        <v>210</v>
      </c>
      <c r="J10" t="s">
        <v>211</v>
      </c>
      <c r="K10" t="s">
        <v>212</v>
      </c>
      <c r="L10">
        <v>1348</v>
      </c>
      <c r="N10">
        <v>1009</v>
      </c>
      <c r="O10" t="s">
        <v>16</v>
      </c>
      <c r="P10" t="s">
        <v>16</v>
      </c>
      <c r="Q10">
        <v>1000</v>
      </c>
      <c r="X10">
        <v>0.01</v>
      </c>
      <c r="Y10">
        <v>7441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5</v>
      </c>
      <c r="AG10">
        <v>0.01</v>
      </c>
      <c r="AH10">
        <v>2</v>
      </c>
      <c r="AI10">
        <v>31859669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ROW(Source!A24)</f>
        <v>24</v>
      </c>
      <c r="B11">
        <v>31859685</v>
      </c>
      <c r="C11">
        <v>31859659</v>
      </c>
      <c r="D11">
        <v>28800087</v>
      </c>
      <c r="E11">
        <v>1</v>
      </c>
      <c r="F11">
        <v>1</v>
      </c>
      <c r="G11">
        <v>1</v>
      </c>
      <c r="H11">
        <v>3</v>
      </c>
      <c r="I11" t="s">
        <v>213</v>
      </c>
      <c r="J11" t="s">
        <v>214</v>
      </c>
      <c r="K11" t="s">
        <v>215</v>
      </c>
      <c r="L11">
        <v>1346</v>
      </c>
      <c r="N11">
        <v>1009</v>
      </c>
      <c r="O11" t="s">
        <v>216</v>
      </c>
      <c r="P11" t="s">
        <v>216</v>
      </c>
      <c r="Q11">
        <v>1</v>
      </c>
      <c r="X11">
        <v>0.12</v>
      </c>
      <c r="Y11">
        <v>15.14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5</v>
      </c>
      <c r="AG11">
        <v>0.12</v>
      </c>
      <c r="AH11">
        <v>2</v>
      </c>
      <c r="AI11">
        <v>31859670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ROW(Source!A24)</f>
        <v>24</v>
      </c>
      <c r="B12">
        <v>31859686</v>
      </c>
      <c r="C12">
        <v>31859659</v>
      </c>
      <c r="D12">
        <v>28802171</v>
      </c>
      <c r="E12">
        <v>1</v>
      </c>
      <c r="F12">
        <v>1</v>
      </c>
      <c r="G12">
        <v>1</v>
      </c>
      <c r="H12">
        <v>3</v>
      </c>
      <c r="I12" t="s">
        <v>217</v>
      </c>
      <c r="J12" t="s">
        <v>218</v>
      </c>
      <c r="K12" t="s">
        <v>219</v>
      </c>
      <c r="L12">
        <v>1348</v>
      </c>
      <c r="N12">
        <v>1009</v>
      </c>
      <c r="O12" t="s">
        <v>16</v>
      </c>
      <c r="P12" t="s">
        <v>16</v>
      </c>
      <c r="Q12">
        <v>1000</v>
      </c>
      <c r="X12">
        <v>7.0000000000000001E-3</v>
      </c>
      <c r="Y12">
        <v>5798.2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5</v>
      </c>
      <c r="AG12">
        <v>7.0000000000000001E-3</v>
      </c>
      <c r="AH12">
        <v>2</v>
      </c>
      <c r="AI12">
        <v>31859671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ROW(Source!A24)</f>
        <v>24</v>
      </c>
      <c r="B13">
        <v>31859687</v>
      </c>
      <c r="C13">
        <v>31859659</v>
      </c>
      <c r="D13">
        <v>28845981</v>
      </c>
      <c r="E13">
        <v>1</v>
      </c>
      <c r="F13">
        <v>1</v>
      </c>
      <c r="G13">
        <v>1</v>
      </c>
      <c r="H13">
        <v>3</v>
      </c>
      <c r="I13" t="s">
        <v>220</v>
      </c>
      <c r="J13" t="s">
        <v>221</v>
      </c>
      <c r="K13" t="s">
        <v>222</v>
      </c>
      <c r="L13">
        <v>1354</v>
      </c>
      <c r="N13">
        <v>1010</v>
      </c>
      <c r="O13" t="s">
        <v>223</v>
      </c>
      <c r="P13" t="s">
        <v>223</v>
      </c>
      <c r="Q13">
        <v>1</v>
      </c>
      <c r="X13">
        <v>0.12</v>
      </c>
      <c r="Y13">
        <v>266.67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5</v>
      </c>
      <c r="AG13">
        <v>0.12</v>
      </c>
      <c r="AH13">
        <v>2</v>
      </c>
      <c r="AI13">
        <v>31859672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ROW(Source!A24)</f>
        <v>24</v>
      </c>
      <c r="B14">
        <v>31859688</v>
      </c>
      <c r="C14">
        <v>31859659</v>
      </c>
      <c r="D14">
        <v>28774851</v>
      </c>
      <c r="E14">
        <v>17</v>
      </c>
      <c r="F14">
        <v>1</v>
      </c>
      <c r="G14">
        <v>1</v>
      </c>
      <c r="H14">
        <v>3</v>
      </c>
      <c r="I14" t="s">
        <v>305</v>
      </c>
      <c r="J14" t="s">
        <v>5</v>
      </c>
      <c r="K14" t="s">
        <v>306</v>
      </c>
      <c r="L14">
        <v>1348</v>
      </c>
      <c r="N14">
        <v>1009</v>
      </c>
      <c r="O14" t="s">
        <v>16</v>
      </c>
      <c r="P14" t="s">
        <v>16</v>
      </c>
      <c r="Q14">
        <v>1000</v>
      </c>
      <c r="X14">
        <v>41.4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5</v>
      </c>
      <c r="AG14">
        <v>41.4</v>
      </c>
      <c r="AH14">
        <v>3</v>
      </c>
      <c r="AI14">
        <v>-1</v>
      </c>
      <c r="AJ14" t="s">
        <v>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ROW(Source!A24)</f>
        <v>24</v>
      </c>
      <c r="B15">
        <v>31859689</v>
      </c>
      <c r="C15">
        <v>31859659</v>
      </c>
      <c r="D15">
        <v>28774850</v>
      </c>
      <c r="E15">
        <v>17</v>
      </c>
      <c r="F15">
        <v>1</v>
      </c>
      <c r="G15">
        <v>1</v>
      </c>
      <c r="H15">
        <v>3</v>
      </c>
      <c r="I15" t="s">
        <v>224</v>
      </c>
      <c r="J15" t="s">
        <v>5</v>
      </c>
      <c r="K15" t="s">
        <v>225</v>
      </c>
      <c r="L15">
        <v>1374</v>
      </c>
      <c r="N15">
        <v>1013</v>
      </c>
      <c r="O15" t="s">
        <v>226</v>
      </c>
      <c r="P15" t="s">
        <v>226</v>
      </c>
      <c r="Q15">
        <v>1</v>
      </c>
      <c r="X15">
        <v>9.33</v>
      </c>
      <c r="Y15">
        <v>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5</v>
      </c>
      <c r="AG15">
        <v>9.33</v>
      </c>
      <c r="AH15">
        <v>2</v>
      </c>
      <c r="AI15">
        <v>31859674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ROW(Source!A27)</f>
        <v>27</v>
      </c>
      <c r="B16">
        <v>31859969</v>
      </c>
      <c r="C16">
        <v>31859958</v>
      </c>
      <c r="D16">
        <v>29056778</v>
      </c>
      <c r="E16">
        <v>1</v>
      </c>
      <c r="F16">
        <v>1</v>
      </c>
      <c r="G16">
        <v>1</v>
      </c>
      <c r="H16">
        <v>1</v>
      </c>
      <c r="I16" t="s">
        <v>227</v>
      </c>
      <c r="J16" t="s">
        <v>5</v>
      </c>
      <c r="K16" t="s">
        <v>228</v>
      </c>
      <c r="L16">
        <v>1191</v>
      </c>
      <c r="N16">
        <v>1013</v>
      </c>
      <c r="O16" t="s">
        <v>184</v>
      </c>
      <c r="P16" t="s">
        <v>184</v>
      </c>
      <c r="Q16">
        <v>1</v>
      </c>
      <c r="X16">
        <v>1.21</v>
      </c>
      <c r="Y16">
        <v>0</v>
      </c>
      <c r="Z16">
        <v>0</v>
      </c>
      <c r="AA16">
        <v>0</v>
      </c>
      <c r="AB16">
        <v>9.92</v>
      </c>
      <c r="AC16">
        <v>0</v>
      </c>
      <c r="AD16">
        <v>1</v>
      </c>
      <c r="AE16">
        <v>1</v>
      </c>
      <c r="AF16" t="s">
        <v>5</v>
      </c>
      <c r="AG16">
        <v>1.21</v>
      </c>
      <c r="AH16">
        <v>2</v>
      </c>
      <c r="AI16">
        <v>31859969</v>
      </c>
      <c r="AJ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ROW(Source!A27)</f>
        <v>27</v>
      </c>
      <c r="B17">
        <v>31859970</v>
      </c>
      <c r="C17">
        <v>31859958</v>
      </c>
      <c r="D17">
        <v>28859628</v>
      </c>
      <c r="E17">
        <v>1</v>
      </c>
      <c r="F17">
        <v>1</v>
      </c>
      <c r="G17">
        <v>1</v>
      </c>
      <c r="H17">
        <v>2</v>
      </c>
      <c r="I17" t="s">
        <v>200</v>
      </c>
      <c r="J17" t="s">
        <v>201</v>
      </c>
      <c r="K17" t="s">
        <v>202</v>
      </c>
      <c r="L17">
        <v>1368</v>
      </c>
      <c r="N17">
        <v>1011</v>
      </c>
      <c r="O17" t="s">
        <v>190</v>
      </c>
      <c r="P17" t="s">
        <v>190</v>
      </c>
      <c r="Q17">
        <v>1</v>
      </c>
      <c r="X17">
        <v>0.09</v>
      </c>
      <c r="Y17">
        <v>0</v>
      </c>
      <c r="Z17">
        <v>8.1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5</v>
      </c>
      <c r="AG17">
        <v>0.09</v>
      </c>
      <c r="AH17">
        <v>2</v>
      </c>
      <c r="AI17">
        <v>31859970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ROW(Source!A27)</f>
        <v>27</v>
      </c>
      <c r="B18">
        <v>31859971</v>
      </c>
      <c r="C18">
        <v>31859958</v>
      </c>
      <c r="D18">
        <v>28860296</v>
      </c>
      <c r="E18">
        <v>1</v>
      </c>
      <c r="F18">
        <v>1</v>
      </c>
      <c r="G18">
        <v>1</v>
      </c>
      <c r="H18">
        <v>2</v>
      </c>
      <c r="I18" t="s">
        <v>229</v>
      </c>
      <c r="J18" t="s">
        <v>230</v>
      </c>
      <c r="K18" t="s">
        <v>231</v>
      </c>
      <c r="L18">
        <v>1368</v>
      </c>
      <c r="N18">
        <v>1011</v>
      </c>
      <c r="O18" t="s">
        <v>190</v>
      </c>
      <c r="P18" t="s">
        <v>190</v>
      </c>
      <c r="Q18">
        <v>1</v>
      </c>
      <c r="X18">
        <v>0.11</v>
      </c>
      <c r="Y18">
        <v>0</v>
      </c>
      <c r="Z18">
        <v>1.1100000000000001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5</v>
      </c>
      <c r="AG18">
        <v>0.11</v>
      </c>
      <c r="AH18">
        <v>2</v>
      </c>
      <c r="AI18">
        <v>31859971</v>
      </c>
      <c r="AJ18">
        <v>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ROW(Source!A27)</f>
        <v>27</v>
      </c>
      <c r="B19">
        <v>31859972</v>
      </c>
      <c r="C19">
        <v>31859958</v>
      </c>
      <c r="D19">
        <v>28775886</v>
      </c>
      <c r="E19">
        <v>1</v>
      </c>
      <c r="F19">
        <v>1</v>
      </c>
      <c r="G19">
        <v>1</v>
      </c>
      <c r="H19">
        <v>3</v>
      </c>
      <c r="I19" t="s">
        <v>232</v>
      </c>
      <c r="J19" t="s">
        <v>233</v>
      </c>
      <c r="K19" t="s">
        <v>234</v>
      </c>
      <c r="L19">
        <v>1348</v>
      </c>
      <c r="N19">
        <v>1009</v>
      </c>
      <c r="O19" t="s">
        <v>16</v>
      </c>
      <c r="P19" t="s">
        <v>16</v>
      </c>
      <c r="Q19">
        <v>1000</v>
      </c>
      <c r="X19">
        <v>3.1E-4</v>
      </c>
      <c r="Y19">
        <v>17500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5</v>
      </c>
      <c r="AG19">
        <v>3.1E-4</v>
      </c>
      <c r="AH19">
        <v>2</v>
      </c>
      <c r="AI19">
        <v>31859972</v>
      </c>
      <c r="AJ19">
        <v>18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ROW(Source!A27)</f>
        <v>27</v>
      </c>
      <c r="B20">
        <v>31859973</v>
      </c>
      <c r="C20">
        <v>31859958</v>
      </c>
      <c r="D20">
        <v>28777560</v>
      </c>
      <c r="E20">
        <v>1</v>
      </c>
      <c r="F20">
        <v>1</v>
      </c>
      <c r="G20">
        <v>1</v>
      </c>
      <c r="H20">
        <v>3</v>
      </c>
      <c r="I20" t="s">
        <v>235</v>
      </c>
      <c r="J20" t="s">
        <v>236</v>
      </c>
      <c r="K20" t="s">
        <v>237</v>
      </c>
      <c r="L20">
        <v>1346</v>
      </c>
      <c r="N20">
        <v>1009</v>
      </c>
      <c r="O20" t="s">
        <v>216</v>
      </c>
      <c r="P20" t="s">
        <v>216</v>
      </c>
      <c r="Q20">
        <v>1</v>
      </c>
      <c r="X20">
        <v>0.8</v>
      </c>
      <c r="Y20">
        <v>11.5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5</v>
      </c>
      <c r="AG20">
        <v>0.8</v>
      </c>
      <c r="AH20">
        <v>2</v>
      </c>
      <c r="AI20">
        <v>31859973</v>
      </c>
      <c r="AJ20">
        <v>19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ROW(Source!A27)</f>
        <v>27</v>
      </c>
      <c r="B21">
        <v>31859974</v>
      </c>
      <c r="C21">
        <v>31859958</v>
      </c>
      <c r="D21">
        <v>28777879</v>
      </c>
      <c r="E21">
        <v>1</v>
      </c>
      <c r="F21">
        <v>1</v>
      </c>
      <c r="G21">
        <v>1</v>
      </c>
      <c r="H21">
        <v>3</v>
      </c>
      <c r="I21" t="s">
        <v>238</v>
      </c>
      <c r="J21" t="s">
        <v>239</v>
      </c>
      <c r="K21" t="s">
        <v>240</v>
      </c>
      <c r="L21">
        <v>1346</v>
      </c>
      <c r="N21">
        <v>1009</v>
      </c>
      <c r="O21" t="s">
        <v>216</v>
      </c>
      <c r="P21" t="s">
        <v>216</v>
      </c>
      <c r="Q21">
        <v>1</v>
      </c>
      <c r="X21">
        <v>4.0000000000000001E-3</v>
      </c>
      <c r="Y21">
        <v>30.4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5</v>
      </c>
      <c r="AG21">
        <v>4.0000000000000001E-3</v>
      </c>
      <c r="AH21">
        <v>2</v>
      </c>
      <c r="AI21">
        <v>31859974</v>
      </c>
      <c r="AJ21">
        <v>20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ROW(Source!A27)</f>
        <v>27</v>
      </c>
      <c r="B22">
        <v>31859975</v>
      </c>
      <c r="C22">
        <v>31859958</v>
      </c>
      <c r="D22">
        <v>28779043</v>
      </c>
      <c r="E22">
        <v>1</v>
      </c>
      <c r="F22">
        <v>1</v>
      </c>
      <c r="G22">
        <v>1</v>
      </c>
      <c r="H22">
        <v>3</v>
      </c>
      <c r="I22" t="s">
        <v>241</v>
      </c>
      <c r="J22" t="s">
        <v>242</v>
      </c>
      <c r="K22" t="s">
        <v>209</v>
      </c>
      <c r="L22">
        <v>1346</v>
      </c>
      <c r="N22">
        <v>1009</v>
      </c>
      <c r="O22" t="s">
        <v>216</v>
      </c>
      <c r="P22" t="s">
        <v>216</v>
      </c>
      <c r="Q22">
        <v>1</v>
      </c>
      <c r="X22">
        <v>0.08</v>
      </c>
      <c r="Y22">
        <v>10.57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5</v>
      </c>
      <c r="AG22">
        <v>0.08</v>
      </c>
      <c r="AH22">
        <v>2</v>
      </c>
      <c r="AI22">
        <v>31859975</v>
      </c>
      <c r="AJ22">
        <v>21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ROW(Source!A27)</f>
        <v>27</v>
      </c>
      <c r="B23">
        <v>31859976</v>
      </c>
      <c r="C23">
        <v>31859958</v>
      </c>
      <c r="D23">
        <v>28814102</v>
      </c>
      <c r="E23">
        <v>1</v>
      </c>
      <c r="F23">
        <v>1</v>
      </c>
      <c r="G23">
        <v>1</v>
      </c>
      <c r="H23">
        <v>3</v>
      </c>
      <c r="I23" t="s">
        <v>243</v>
      </c>
      <c r="J23" t="s">
        <v>244</v>
      </c>
      <c r="K23" t="s">
        <v>245</v>
      </c>
      <c r="L23">
        <v>1346</v>
      </c>
      <c r="N23">
        <v>1009</v>
      </c>
      <c r="O23" t="s">
        <v>216</v>
      </c>
      <c r="P23" t="s">
        <v>216</v>
      </c>
      <c r="Q23">
        <v>1</v>
      </c>
      <c r="X23">
        <v>0.01</v>
      </c>
      <c r="Y23">
        <v>28.6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5</v>
      </c>
      <c r="AG23">
        <v>0.01</v>
      </c>
      <c r="AH23">
        <v>2</v>
      </c>
      <c r="AI23">
        <v>31859976</v>
      </c>
      <c r="AJ23">
        <v>22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ROW(Source!A27)</f>
        <v>27</v>
      </c>
      <c r="B24">
        <v>31859977</v>
      </c>
      <c r="C24">
        <v>31859958</v>
      </c>
      <c r="D24">
        <v>28827730</v>
      </c>
      <c r="E24">
        <v>1</v>
      </c>
      <c r="F24">
        <v>1</v>
      </c>
      <c r="G24">
        <v>1</v>
      </c>
      <c r="H24">
        <v>3</v>
      </c>
      <c r="I24" t="s">
        <v>246</v>
      </c>
      <c r="J24" t="s">
        <v>247</v>
      </c>
      <c r="K24" t="s">
        <v>248</v>
      </c>
      <c r="L24">
        <v>1358</v>
      </c>
      <c r="N24">
        <v>1010</v>
      </c>
      <c r="O24" t="s">
        <v>249</v>
      </c>
      <c r="P24" t="s">
        <v>249</v>
      </c>
      <c r="Q24">
        <v>10</v>
      </c>
      <c r="X24">
        <v>0.1</v>
      </c>
      <c r="Y24">
        <v>39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5</v>
      </c>
      <c r="AG24">
        <v>0.1</v>
      </c>
      <c r="AH24">
        <v>2</v>
      </c>
      <c r="AI24">
        <v>31859977</v>
      </c>
      <c r="AJ24">
        <v>23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ROW(Source!A27)</f>
        <v>27</v>
      </c>
      <c r="B25">
        <v>31859978</v>
      </c>
      <c r="C25">
        <v>31859958</v>
      </c>
      <c r="D25">
        <v>28774850</v>
      </c>
      <c r="E25">
        <v>17</v>
      </c>
      <c r="F25">
        <v>1</v>
      </c>
      <c r="G25">
        <v>1</v>
      </c>
      <c r="H25">
        <v>3</v>
      </c>
      <c r="I25" t="s">
        <v>224</v>
      </c>
      <c r="J25" t="s">
        <v>5</v>
      </c>
      <c r="K25" t="s">
        <v>225</v>
      </c>
      <c r="L25">
        <v>1374</v>
      </c>
      <c r="N25">
        <v>1013</v>
      </c>
      <c r="O25" t="s">
        <v>226</v>
      </c>
      <c r="P25" t="s">
        <v>226</v>
      </c>
      <c r="Q25">
        <v>1</v>
      </c>
      <c r="X25">
        <v>0.24</v>
      </c>
      <c r="Y25">
        <v>1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5</v>
      </c>
      <c r="AG25">
        <v>0.24</v>
      </c>
      <c r="AH25">
        <v>2</v>
      </c>
      <c r="AI25">
        <v>31859978</v>
      </c>
      <c r="AJ25">
        <v>24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ROW(Source!A28)</f>
        <v>28</v>
      </c>
      <c r="B26">
        <v>31859703</v>
      </c>
      <c r="C26">
        <v>31859693</v>
      </c>
      <c r="D26">
        <v>29040877</v>
      </c>
      <c r="E26">
        <v>1</v>
      </c>
      <c r="F26">
        <v>1</v>
      </c>
      <c r="G26">
        <v>1</v>
      </c>
      <c r="H26">
        <v>1</v>
      </c>
      <c r="I26" t="s">
        <v>250</v>
      </c>
      <c r="J26" t="s">
        <v>5</v>
      </c>
      <c r="K26" t="s">
        <v>251</v>
      </c>
      <c r="L26">
        <v>1191</v>
      </c>
      <c r="N26">
        <v>1013</v>
      </c>
      <c r="O26" t="s">
        <v>184</v>
      </c>
      <c r="P26" t="s">
        <v>184</v>
      </c>
      <c r="Q26">
        <v>1</v>
      </c>
      <c r="X26">
        <v>2.75</v>
      </c>
      <c r="Y26">
        <v>0</v>
      </c>
      <c r="Z26">
        <v>0</v>
      </c>
      <c r="AA26">
        <v>0</v>
      </c>
      <c r="AB26">
        <v>9.4</v>
      </c>
      <c r="AC26">
        <v>0</v>
      </c>
      <c r="AD26">
        <v>1</v>
      </c>
      <c r="AE26">
        <v>1</v>
      </c>
      <c r="AF26" t="s">
        <v>5</v>
      </c>
      <c r="AG26">
        <v>2.75</v>
      </c>
      <c r="AH26">
        <v>2</v>
      </c>
      <c r="AI26">
        <v>31859694</v>
      </c>
      <c r="AJ26">
        <v>25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ROW(Source!A28)</f>
        <v>28</v>
      </c>
      <c r="B27">
        <v>31859704</v>
      </c>
      <c r="C27">
        <v>31859693</v>
      </c>
      <c r="D27">
        <v>28775828</v>
      </c>
      <c r="E27">
        <v>1</v>
      </c>
      <c r="F27">
        <v>1</v>
      </c>
      <c r="G27">
        <v>1</v>
      </c>
      <c r="H27">
        <v>3</v>
      </c>
      <c r="I27" t="s">
        <v>252</v>
      </c>
      <c r="J27" t="s">
        <v>253</v>
      </c>
      <c r="K27" t="s">
        <v>254</v>
      </c>
      <c r="L27">
        <v>1346</v>
      </c>
      <c r="N27">
        <v>1009</v>
      </c>
      <c r="O27" t="s">
        <v>216</v>
      </c>
      <c r="P27" t="s">
        <v>216</v>
      </c>
      <c r="Q27">
        <v>1</v>
      </c>
      <c r="X27">
        <v>0.02</v>
      </c>
      <c r="Y27">
        <v>44.97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5</v>
      </c>
      <c r="AG27">
        <v>0.02</v>
      </c>
      <c r="AH27">
        <v>2</v>
      </c>
      <c r="AI27">
        <v>31859695</v>
      </c>
      <c r="AJ27">
        <v>26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ROW(Source!A28)</f>
        <v>28</v>
      </c>
      <c r="B28">
        <v>31859705</v>
      </c>
      <c r="C28">
        <v>31859693</v>
      </c>
      <c r="D28">
        <v>28777560</v>
      </c>
      <c r="E28">
        <v>1</v>
      </c>
      <c r="F28">
        <v>1</v>
      </c>
      <c r="G28">
        <v>1</v>
      </c>
      <c r="H28">
        <v>3</v>
      </c>
      <c r="I28" t="s">
        <v>235</v>
      </c>
      <c r="J28" t="s">
        <v>236</v>
      </c>
      <c r="K28" t="s">
        <v>237</v>
      </c>
      <c r="L28">
        <v>1346</v>
      </c>
      <c r="N28">
        <v>1009</v>
      </c>
      <c r="O28" t="s">
        <v>216</v>
      </c>
      <c r="P28" t="s">
        <v>216</v>
      </c>
      <c r="Q28">
        <v>1</v>
      </c>
      <c r="X28">
        <v>4.0000000000000001E-3</v>
      </c>
      <c r="Y28">
        <v>11.5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5</v>
      </c>
      <c r="AG28">
        <v>4.0000000000000001E-3</v>
      </c>
      <c r="AH28">
        <v>2</v>
      </c>
      <c r="AI28">
        <v>31859696</v>
      </c>
      <c r="AJ28">
        <v>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ROW(Source!A28)</f>
        <v>28</v>
      </c>
      <c r="B29">
        <v>31859706</v>
      </c>
      <c r="C29">
        <v>31859693</v>
      </c>
      <c r="D29">
        <v>28777879</v>
      </c>
      <c r="E29">
        <v>1</v>
      </c>
      <c r="F29">
        <v>1</v>
      </c>
      <c r="G29">
        <v>1</v>
      </c>
      <c r="H29">
        <v>3</v>
      </c>
      <c r="I29" t="s">
        <v>238</v>
      </c>
      <c r="J29" t="s">
        <v>239</v>
      </c>
      <c r="K29" t="s">
        <v>240</v>
      </c>
      <c r="L29">
        <v>1346</v>
      </c>
      <c r="N29">
        <v>1009</v>
      </c>
      <c r="O29" t="s">
        <v>216</v>
      </c>
      <c r="P29" t="s">
        <v>216</v>
      </c>
      <c r="Q29">
        <v>1</v>
      </c>
      <c r="X29">
        <v>0.04</v>
      </c>
      <c r="Y29">
        <v>30.4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5</v>
      </c>
      <c r="AG29">
        <v>0.04</v>
      </c>
      <c r="AH29">
        <v>2</v>
      </c>
      <c r="AI29">
        <v>31859697</v>
      </c>
      <c r="AJ29">
        <v>28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ROW(Source!A28)</f>
        <v>28</v>
      </c>
      <c r="B30">
        <v>31859707</v>
      </c>
      <c r="C30">
        <v>31859693</v>
      </c>
      <c r="D30">
        <v>28781285</v>
      </c>
      <c r="E30">
        <v>1</v>
      </c>
      <c r="F30">
        <v>1</v>
      </c>
      <c r="G30">
        <v>1</v>
      </c>
      <c r="H30">
        <v>3</v>
      </c>
      <c r="I30" t="s">
        <v>255</v>
      </c>
      <c r="J30" t="s">
        <v>256</v>
      </c>
      <c r="K30" t="s">
        <v>257</v>
      </c>
      <c r="L30">
        <v>1346</v>
      </c>
      <c r="N30">
        <v>1009</v>
      </c>
      <c r="O30" t="s">
        <v>216</v>
      </c>
      <c r="P30" t="s">
        <v>216</v>
      </c>
      <c r="Q30">
        <v>1</v>
      </c>
      <c r="X30">
        <v>2E-3</v>
      </c>
      <c r="Y30">
        <v>133.05000000000001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5</v>
      </c>
      <c r="AG30">
        <v>2E-3</v>
      </c>
      <c r="AH30">
        <v>2</v>
      </c>
      <c r="AI30">
        <v>31859698</v>
      </c>
      <c r="AJ30">
        <v>29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ROW(Source!A28)</f>
        <v>28</v>
      </c>
      <c r="B31">
        <v>31859708</v>
      </c>
      <c r="C31">
        <v>31859693</v>
      </c>
      <c r="D31">
        <v>28814102</v>
      </c>
      <c r="E31">
        <v>1</v>
      </c>
      <c r="F31">
        <v>1</v>
      </c>
      <c r="G31">
        <v>1</v>
      </c>
      <c r="H31">
        <v>3</v>
      </c>
      <c r="I31" t="s">
        <v>243</v>
      </c>
      <c r="J31" t="s">
        <v>244</v>
      </c>
      <c r="K31" t="s">
        <v>245</v>
      </c>
      <c r="L31">
        <v>1346</v>
      </c>
      <c r="N31">
        <v>1009</v>
      </c>
      <c r="O31" t="s">
        <v>216</v>
      </c>
      <c r="P31" t="s">
        <v>216</v>
      </c>
      <c r="Q31">
        <v>1</v>
      </c>
      <c r="X31">
        <v>0.03</v>
      </c>
      <c r="Y31">
        <v>28.6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5</v>
      </c>
      <c r="AG31">
        <v>0.03</v>
      </c>
      <c r="AH31">
        <v>2</v>
      </c>
      <c r="AI31">
        <v>31859699</v>
      </c>
      <c r="AJ31">
        <v>30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ROW(Source!A28)</f>
        <v>28</v>
      </c>
      <c r="B32">
        <v>31859709</v>
      </c>
      <c r="C32">
        <v>31859693</v>
      </c>
      <c r="D32">
        <v>28814255</v>
      </c>
      <c r="E32">
        <v>1</v>
      </c>
      <c r="F32">
        <v>1</v>
      </c>
      <c r="G32">
        <v>1</v>
      </c>
      <c r="H32">
        <v>3</v>
      </c>
      <c r="I32" t="s">
        <v>258</v>
      </c>
      <c r="J32" t="s">
        <v>259</v>
      </c>
      <c r="K32" t="s">
        <v>260</v>
      </c>
      <c r="L32">
        <v>1346</v>
      </c>
      <c r="N32">
        <v>1009</v>
      </c>
      <c r="O32" t="s">
        <v>216</v>
      </c>
      <c r="P32" t="s">
        <v>216</v>
      </c>
      <c r="Q32">
        <v>1</v>
      </c>
      <c r="X32">
        <v>0.02</v>
      </c>
      <c r="Y32">
        <v>35.630000000000003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5</v>
      </c>
      <c r="AG32">
        <v>0.02</v>
      </c>
      <c r="AH32">
        <v>2</v>
      </c>
      <c r="AI32">
        <v>31859700</v>
      </c>
      <c r="AJ32">
        <v>31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ROW(Source!A28)</f>
        <v>28</v>
      </c>
      <c r="B33">
        <v>31859710</v>
      </c>
      <c r="C33">
        <v>31859693</v>
      </c>
      <c r="D33">
        <v>28846582</v>
      </c>
      <c r="E33">
        <v>1</v>
      </c>
      <c r="F33">
        <v>1</v>
      </c>
      <c r="G33">
        <v>1</v>
      </c>
      <c r="H33">
        <v>3</v>
      </c>
      <c r="I33" t="s">
        <v>261</v>
      </c>
      <c r="J33" t="s">
        <v>262</v>
      </c>
      <c r="K33" t="s">
        <v>263</v>
      </c>
      <c r="L33">
        <v>1355</v>
      </c>
      <c r="N33">
        <v>1010</v>
      </c>
      <c r="O33" t="s">
        <v>264</v>
      </c>
      <c r="P33" t="s">
        <v>264</v>
      </c>
      <c r="Q33">
        <v>100</v>
      </c>
      <c r="X33">
        <v>0.02</v>
      </c>
      <c r="Y33">
        <v>63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5</v>
      </c>
      <c r="AG33">
        <v>0.02</v>
      </c>
      <c r="AH33">
        <v>2</v>
      </c>
      <c r="AI33">
        <v>31859701</v>
      </c>
      <c r="AJ33">
        <v>32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ROW(Source!A28)</f>
        <v>28</v>
      </c>
      <c r="B34">
        <v>31859711</v>
      </c>
      <c r="C34">
        <v>31859693</v>
      </c>
      <c r="D34">
        <v>28774850</v>
      </c>
      <c r="E34">
        <v>17</v>
      </c>
      <c r="F34">
        <v>1</v>
      </c>
      <c r="G34">
        <v>1</v>
      </c>
      <c r="H34">
        <v>3</v>
      </c>
      <c r="I34" t="s">
        <v>224</v>
      </c>
      <c r="J34" t="s">
        <v>5</v>
      </c>
      <c r="K34" t="s">
        <v>225</v>
      </c>
      <c r="L34">
        <v>1374</v>
      </c>
      <c r="N34">
        <v>1013</v>
      </c>
      <c r="O34" t="s">
        <v>226</v>
      </c>
      <c r="P34" t="s">
        <v>226</v>
      </c>
      <c r="Q34">
        <v>1</v>
      </c>
      <c r="X34">
        <v>0.52</v>
      </c>
      <c r="Y34">
        <v>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5</v>
      </c>
      <c r="AG34">
        <v>0.52</v>
      </c>
      <c r="AH34">
        <v>2</v>
      </c>
      <c r="AI34">
        <v>31859702</v>
      </c>
      <c r="AJ34">
        <v>33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ROW(Source!A29)</f>
        <v>29</v>
      </c>
      <c r="B35">
        <v>31859723</v>
      </c>
      <c r="C35">
        <v>31859712</v>
      </c>
      <c r="D35">
        <v>29048439</v>
      </c>
      <c r="E35">
        <v>1</v>
      </c>
      <c r="F35">
        <v>1</v>
      </c>
      <c r="G35">
        <v>1</v>
      </c>
      <c r="H35">
        <v>1</v>
      </c>
      <c r="I35" t="s">
        <v>265</v>
      </c>
      <c r="J35" t="s">
        <v>5</v>
      </c>
      <c r="K35" t="s">
        <v>266</v>
      </c>
      <c r="L35">
        <v>1191</v>
      </c>
      <c r="N35">
        <v>1013</v>
      </c>
      <c r="O35" t="s">
        <v>184</v>
      </c>
      <c r="P35" t="s">
        <v>184</v>
      </c>
      <c r="Q35">
        <v>1</v>
      </c>
      <c r="X35">
        <v>1.18</v>
      </c>
      <c r="Y35">
        <v>0</v>
      </c>
      <c r="Z35">
        <v>0</v>
      </c>
      <c r="AA35">
        <v>0</v>
      </c>
      <c r="AB35">
        <v>10.65</v>
      </c>
      <c r="AC35">
        <v>0</v>
      </c>
      <c r="AD35">
        <v>1</v>
      </c>
      <c r="AE35">
        <v>1</v>
      </c>
      <c r="AF35" t="s">
        <v>5</v>
      </c>
      <c r="AG35">
        <v>1.18</v>
      </c>
      <c r="AH35">
        <v>2</v>
      </c>
      <c r="AI35">
        <v>31859713</v>
      </c>
      <c r="AJ35">
        <v>34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ROW(Source!A29)</f>
        <v>29</v>
      </c>
      <c r="B36">
        <v>31859724</v>
      </c>
      <c r="C36">
        <v>31859712</v>
      </c>
      <c r="D36">
        <v>28860296</v>
      </c>
      <c r="E36">
        <v>1</v>
      </c>
      <c r="F36">
        <v>1</v>
      </c>
      <c r="G36">
        <v>1</v>
      </c>
      <c r="H36">
        <v>2</v>
      </c>
      <c r="I36" t="s">
        <v>229</v>
      </c>
      <c r="J36" t="s">
        <v>230</v>
      </c>
      <c r="K36" t="s">
        <v>231</v>
      </c>
      <c r="L36">
        <v>1368</v>
      </c>
      <c r="N36">
        <v>1011</v>
      </c>
      <c r="O36" t="s">
        <v>190</v>
      </c>
      <c r="P36" t="s">
        <v>190</v>
      </c>
      <c r="Q36">
        <v>1</v>
      </c>
      <c r="X36">
        <v>0.1</v>
      </c>
      <c r="Y36">
        <v>0</v>
      </c>
      <c r="Z36">
        <v>1.1100000000000001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5</v>
      </c>
      <c r="AG36">
        <v>0.1</v>
      </c>
      <c r="AH36">
        <v>2</v>
      </c>
      <c r="AI36">
        <v>31859714</v>
      </c>
      <c r="AJ36">
        <v>35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ROW(Source!A29)</f>
        <v>29</v>
      </c>
      <c r="B37">
        <v>31859725</v>
      </c>
      <c r="C37">
        <v>31859712</v>
      </c>
      <c r="D37">
        <v>28775828</v>
      </c>
      <c r="E37">
        <v>1</v>
      </c>
      <c r="F37">
        <v>1</v>
      </c>
      <c r="G37">
        <v>1</v>
      </c>
      <c r="H37">
        <v>3</v>
      </c>
      <c r="I37" t="s">
        <v>252</v>
      </c>
      <c r="J37" t="s">
        <v>253</v>
      </c>
      <c r="K37" t="s">
        <v>254</v>
      </c>
      <c r="L37">
        <v>1346</v>
      </c>
      <c r="N37">
        <v>1009</v>
      </c>
      <c r="O37" t="s">
        <v>216</v>
      </c>
      <c r="P37" t="s">
        <v>216</v>
      </c>
      <c r="Q37">
        <v>1</v>
      </c>
      <c r="X37">
        <v>5.0000000000000001E-3</v>
      </c>
      <c r="Y37">
        <v>44.97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5</v>
      </c>
      <c r="AG37">
        <v>5.0000000000000001E-3</v>
      </c>
      <c r="AH37">
        <v>2</v>
      </c>
      <c r="AI37">
        <v>31859715</v>
      </c>
      <c r="AJ37">
        <v>36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ROW(Source!A29)</f>
        <v>29</v>
      </c>
      <c r="B38">
        <v>31859726</v>
      </c>
      <c r="C38">
        <v>31859712</v>
      </c>
      <c r="D38">
        <v>28777560</v>
      </c>
      <c r="E38">
        <v>1</v>
      </c>
      <c r="F38">
        <v>1</v>
      </c>
      <c r="G38">
        <v>1</v>
      </c>
      <c r="H38">
        <v>3</v>
      </c>
      <c r="I38" t="s">
        <v>235</v>
      </c>
      <c r="J38" t="s">
        <v>236</v>
      </c>
      <c r="K38" t="s">
        <v>237</v>
      </c>
      <c r="L38">
        <v>1346</v>
      </c>
      <c r="N38">
        <v>1009</v>
      </c>
      <c r="O38" t="s">
        <v>216</v>
      </c>
      <c r="P38" t="s">
        <v>216</v>
      </c>
      <c r="Q38">
        <v>1</v>
      </c>
      <c r="X38">
        <v>2E-3</v>
      </c>
      <c r="Y38">
        <v>11.5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5</v>
      </c>
      <c r="AG38">
        <v>2E-3</v>
      </c>
      <c r="AH38">
        <v>2</v>
      </c>
      <c r="AI38">
        <v>31859716</v>
      </c>
      <c r="AJ38">
        <v>37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ROW(Source!A29)</f>
        <v>29</v>
      </c>
      <c r="B39">
        <v>31859727</v>
      </c>
      <c r="C39">
        <v>31859712</v>
      </c>
      <c r="D39">
        <v>28777879</v>
      </c>
      <c r="E39">
        <v>1</v>
      </c>
      <c r="F39">
        <v>1</v>
      </c>
      <c r="G39">
        <v>1</v>
      </c>
      <c r="H39">
        <v>3</v>
      </c>
      <c r="I39" t="s">
        <v>238</v>
      </c>
      <c r="J39" t="s">
        <v>239</v>
      </c>
      <c r="K39" t="s">
        <v>240</v>
      </c>
      <c r="L39">
        <v>1346</v>
      </c>
      <c r="N39">
        <v>1009</v>
      </c>
      <c r="O39" t="s">
        <v>216</v>
      </c>
      <c r="P39" t="s">
        <v>216</v>
      </c>
      <c r="Q39">
        <v>1</v>
      </c>
      <c r="X39">
        <v>0.02</v>
      </c>
      <c r="Y39">
        <v>30.4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5</v>
      </c>
      <c r="AG39">
        <v>0.02</v>
      </c>
      <c r="AH39">
        <v>2</v>
      </c>
      <c r="AI39">
        <v>31859717</v>
      </c>
      <c r="AJ39">
        <v>38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ROW(Source!A29)</f>
        <v>29</v>
      </c>
      <c r="B40">
        <v>31859728</v>
      </c>
      <c r="C40">
        <v>31859712</v>
      </c>
      <c r="D40">
        <v>28780233</v>
      </c>
      <c r="E40">
        <v>1</v>
      </c>
      <c r="F40">
        <v>1</v>
      </c>
      <c r="G40">
        <v>1</v>
      </c>
      <c r="H40">
        <v>3</v>
      </c>
      <c r="I40" t="s">
        <v>267</v>
      </c>
      <c r="J40" t="s">
        <v>268</v>
      </c>
      <c r="K40" t="s">
        <v>269</v>
      </c>
      <c r="L40">
        <v>1346</v>
      </c>
      <c r="N40">
        <v>1009</v>
      </c>
      <c r="O40" t="s">
        <v>216</v>
      </c>
      <c r="P40" t="s">
        <v>216</v>
      </c>
      <c r="Q40">
        <v>1</v>
      </c>
      <c r="X40">
        <v>0.24</v>
      </c>
      <c r="Y40">
        <v>9.0399999999999991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5</v>
      </c>
      <c r="AG40">
        <v>0.24</v>
      </c>
      <c r="AH40">
        <v>2</v>
      </c>
      <c r="AI40">
        <v>31859718</v>
      </c>
      <c r="AJ40">
        <v>39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ROW(Source!A29)</f>
        <v>29</v>
      </c>
      <c r="B41">
        <v>31859729</v>
      </c>
      <c r="C41">
        <v>31859712</v>
      </c>
      <c r="D41">
        <v>28781285</v>
      </c>
      <c r="E41">
        <v>1</v>
      </c>
      <c r="F41">
        <v>1</v>
      </c>
      <c r="G41">
        <v>1</v>
      </c>
      <c r="H41">
        <v>3</v>
      </c>
      <c r="I41" t="s">
        <v>255</v>
      </c>
      <c r="J41" t="s">
        <v>256</v>
      </c>
      <c r="K41" t="s">
        <v>257</v>
      </c>
      <c r="L41">
        <v>1346</v>
      </c>
      <c r="N41">
        <v>1009</v>
      </c>
      <c r="O41" t="s">
        <v>216</v>
      </c>
      <c r="P41" t="s">
        <v>216</v>
      </c>
      <c r="Q41">
        <v>1</v>
      </c>
      <c r="X41">
        <v>1E-3</v>
      </c>
      <c r="Y41">
        <v>133.05000000000001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5</v>
      </c>
      <c r="AG41">
        <v>1E-3</v>
      </c>
      <c r="AH41">
        <v>2</v>
      </c>
      <c r="AI41">
        <v>31859719</v>
      </c>
      <c r="AJ41">
        <v>40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ROW(Source!A29)</f>
        <v>29</v>
      </c>
      <c r="B42">
        <v>31859730</v>
      </c>
      <c r="C42">
        <v>31859712</v>
      </c>
      <c r="D42">
        <v>28814102</v>
      </c>
      <c r="E42">
        <v>1</v>
      </c>
      <c r="F42">
        <v>1</v>
      </c>
      <c r="G42">
        <v>1</v>
      </c>
      <c r="H42">
        <v>3</v>
      </c>
      <c r="I42" t="s">
        <v>243</v>
      </c>
      <c r="J42" t="s">
        <v>244</v>
      </c>
      <c r="K42" t="s">
        <v>245</v>
      </c>
      <c r="L42">
        <v>1346</v>
      </c>
      <c r="N42">
        <v>1009</v>
      </c>
      <c r="O42" t="s">
        <v>216</v>
      </c>
      <c r="P42" t="s">
        <v>216</v>
      </c>
      <c r="Q42">
        <v>1</v>
      </c>
      <c r="X42">
        <v>7.0000000000000007E-2</v>
      </c>
      <c r="Y42">
        <v>28.6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5</v>
      </c>
      <c r="AG42">
        <v>7.0000000000000007E-2</v>
      </c>
      <c r="AH42">
        <v>2</v>
      </c>
      <c r="AI42">
        <v>31859720</v>
      </c>
      <c r="AJ42">
        <v>41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ROW(Source!A29)</f>
        <v>29</v>
      </c>
      <c r="B43">
        <v>31859731</v>
      </c>
      <c r="C43">
        <v>31859712</v>
      </c>
      <c r="D43">
        <v>28814255</v>
      </c>
      <c r="E43">
        <v>1</v>
      </c>
      <c r="F43">
        <v>1</v>
      </c>
      <c r="G43">
        <v>1</v>
      </c>
      <c r="H43">
        <v>3</v>
      </c>
      <c r="I43" t="s">
        <v>258</v>
      </c>
      <c r="J43" t="s">
        <v>259</v>
      </c>
      <c r="K43" t="s">
        <v>260</v>
      </c>
      <c r="L43">
        <v>1346</v>
      </c>
      <c r="N43">
        <v>1009</v>
      </c>
      <c r="O43" t="s">
        <v>216</v>
      </c>
      <c r="P43" t="s">
        <v>216</v>
      </c>
      <c r="Q43">
        <v>1</v>
      </c>
      <c r="X43">
        <v>0.01</v>
      </c>
      <c r="Y43">
        <v>35.630000000000003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5</v>
      </c>
      <c r="AG43">
        <v>0.01</v>
      </c>
      <c r="AH43">
        <v>2</v>
      </c>
      <c r="AI43">
        <v>31859721</v>
      </c>
      <c r="AJ43">
        <v>42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ROW(Source!A29)</f>
        <v>29</v>
      </c>
      <c r="B44">
        <v>31859732</v>
      </c>
      <c r="C44">
        <v>31859712</v>
      </c>
      <c r="D44">
        <v>28774850</v>
      </c>
      <c r="E44">
        <v>17</v>
      </c>
      <c r="F44">
        <v>1</v>
      </c>
      <c r="G44">
        <v>1</v>
      </c>
      <c r="H44">
        <v>3</v>
      </c>
      <c r="I44" t="s">
        <v>224</v>
      </c>
      <c r="J44" t="s">
        <v>5</v>
      </c>
      <c r="K44" t="s">
        <v>225</v>
      </c>
      <c r="L44">
        <v>1374</v>
      </c>
      <c r="N44">
        <v>1013</v>
      </c>
      <c r="O44" t="s">
        <v>226</v>
      </c>
      <c r="P44" t="s">
        <v>226</v>
      </c>
      <c r="Q44">
        <v>1</v>
      </c>
      <c r="X44">
        <v>0.25</v>
      </c>
      <c r="Y44">
        <v>1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5</v>
      </c>
      <c r="AG44">
        <v>0.25</v>
      </c>
      <c r="AH44">
        <v>2</v>
      </c>
      <c r="AI44">
        <v>31859722</v>
      </c>
      <c r="AJ44">
        <v>43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ROW(Source!A30)</f>
        <v>30</v>
      </c>
      <c r="B45">
        <v>31859740</v>
      </c>
      <c r="C45">
        <v>31859733</v>
      </c>
      <c r="D45">
        <v>29056778</v>
      </c>
      <c r="E45">
        <v>1</v>
      </c>
      <c r="F45">
        <v>1</v>
      </c>
      <c r="G45">
        <v>1</v>
      </c>
      <c r="H45">
        <v>1</v>
      </c>
      <c r="I45" t="s">
        <v>227</v>
      </c>
      <c r="J45" t="s">
        <v>5</v>
      </c>
      <c r="K45" t="s">
        <v>228</v>
      </c>
      <c r="L45">
        <v>1191</v>
      </c>
      <c r="N45">
        <v>1013</v>
      </c>
      <c r="O45" t="s">
        <v>184</v>
      </c>
      <c r="P45" t="s">
        <v>184</v>
      </c>
      <c r="Q45">
        <v>1</v>
      </c>
      <c r="X45">
        <v>1.1399999999999999</v>
      </c>
      <c r="Y45">
        <v>0</v>
      </c>
      <c r="Z45">
        <v>0</v>
      </c>
      <c r="AA45">
        <v>0</v>
      </c>
      <c r="AB45">
        <v>9.92</v>
      </c>
      <c r="AC45">
        <v>0</v>
      </c>
      <c r="AD45">
        <v>1</v>
      </c>
      <c r="AE45">
        <v>1</v>
      </c>
      <c r="AF45" t="s">
        <v>5</v>
      </c>
      <c r="AG45">
        <v>1.1399999999999999</v>
      </c>
      <c r="AH45">
        <v>2</v>
      </c>
      <c r="AI45">
        <v>31859734</v>
      </c>
      <c r="AJ45">
        <v>44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ROW(Source!A30)</f>
        <v>30</v>
      </c>
      <c r="B46">
        <v>31859741</v>
      </c>
      <c r="C46">
        <v>31859733</v>
      </c>
      <c r="D46">
        <v>29040875</v>
      </c>
      <c r="E46">
        <v>1</v>
      </c>
      <c r="F46">
        <v>1</v>
      </c>
      <c r="G46">
        <v>1</v>
      </c>
      <c r="H46">
        <v>1</v>
      </c>
      <c r="I46" t="s">
        <v>185</v>
      </c>
      <c r="J46" t="s">
        <v>5</v>
      </c>
      <c r="K46" t="s">
        <v>186</v>
      </c>
      <c r="L46">
        <v>1191</v>
      </c>
      <c r="N46">
        <v>1013</v>
      </c>
      <c r="O46" t="s">
        <v>184</v>
      </c>
      <c r="P46" t="s">
        <v>184</v>
      </c>
      <c r="Q46">
        <v>1</v>
      </c>
      <c r="X46">
        <v>0.02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5</v>
      </c>
      <c r="AG46">
        <v>0.02</v>
      </c>
      <c r="AH46">
        <v>2</v>
      </c>
      <c r="AI46">
        <v>31859735</v>
      </c>
      <c r="AJ46">
        <v>45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ROW(Source!A30)</f>
        <v>30</v>
      </c>
      <c r="B47">
        <v>31859742</v>
      </c>
      <c r="C47">
        <v>31859733</v>
      </c>
      <c r="D47">
        <v>28857928</v>
      </c>
      <c r="E47">
        <v>1</v>
      </c>
      <c r="F47">
        <v>1</v>
      </c>
      <c r="G47">
        <v>1</v>
      </c>
      <c r="H47">
        <v>2</v>
      </c>
      <c r="I47" t="s">
        <v>270</v>
      </c>
      <c r="J47" t="s">
        <v>271</v>
      </c>
      <c r="K47" t="s">
        <v>272</v>
      </c>
      <c r="L47">
        <v>1368</v>
      </c>
      <c r="N47">
        <v>1011</v>
      </c>
      <c r="O47" t="s">
        <v>190</v>
      </c>
      <c r="P47" t="s">
        <v>190</v>
      </c>
      <c r="Q47">
        <v>1</v>
      </c>
      <c r="X47">
        <v>0.01</v>
      </c>
      <c r="Y47">
        <v>0</v>
      </c>
      <c r="Z47">
        <v>111.99</v>
      </c>
      <c r="AA47">
        <v>13.5</v>
      </c>
      <c r="AB47">
        <v>0</v>
      </c>
      <c r="AC47">
        <v>0</v>
      </c>
      <c r="AD47">
        <v>1</v>
      </c>
      <c r="AE47">
        <v>0</v>
      </c>
      <c r="AF47" t="s">
        <v>5</v>
      </c>
      <c r="AG47">
        <v>0.01</v>
      </c>
      <c r="AH47">
        <v>2</v>
      </c>
      <c r="AI47">
        <v>31859736</v>
      </c>
      <c r="AJ47">
        <v>46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ROW(Source!A30)</f>
        <v>30</v>
      </c>
      <c r="B48">
        <v>31859743</v>
      </c>
      <c r="C48">
        <v>31859733</v>
      </c>
      <c r="D48">
        <v>28859324</v>
      </c>
      <c r="E48">
        <v>1</v>
      </c>
      <c r="F48">
        <v>1</v>
      </c>
      <c r="G48">
        <v>1</v>
      </c>
      <c r="H48">
        <v>2</v>
      </c>
      <c r="I48" t="s">
        <v>273</v>
      </c>
      <c r="J48" t="s">
        <v>274</v>
      </c>
      <c r="K48" t="s">
        <v>275</v>
      </c>
      <c r="L48">
        <v>1368</v>
      </c>
      <c r="N48">
        <v>1011</v>
      </c>
      <c r="O48" t="s">
        <v>190</v>
      </c>
      <c r="P48" t="s">
        <v>190</v>
      </c>
      <c r="Q48">
        <v>1</v>
      </c>
      <c r="X48">
        <v>0.01</v>
      </c>
      <c r="Y48">
        <v>0</v>
      </c>
      <c r="Z48">
        <v>65.709999999999994</v>
      </c>
      <c r="AA48">
        <v>11.6</v>
      </c>
      <c r="AB48">
        <v>0</v>
      </c>
      <c r="AC48">
        <v>0</v>
      </c>
      <c r="AD48">
        <v>1</v>
      </c>
      <c r="AE48">
        <v>0</v>
      </c>
      <c r="AF48" t="s">
        <v>5</v>
      </c>
      <c r="AG48">
        <v>0.01</v>
      </c>
      <c r="AH48">
        <v>2</v>
      </c>
      <c r="AI48">
        <v>31859737</v>
      </c>
      <c r="AJ48">
        <v>47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ROW(Source!A30)</f>
        <v>30</v>
      </c>
      <c r="B49">
        <v>31859744</v>
      </c>
      <c r="C49">
        <v>31859733</v>
      </c>
      <c r="D49">
        <v>28780365</v>
      </c>
      <c r="E49">
        <v>1</v>
      </c>
      <c r="F49">
        <v>1</v>
      </c>
      <c r="G49">
        <v>1</v>
      </c>
      <c r="H49">
        <v>3</v>
      </c>
      <c r="I49" t="s">
        <v>276</v>
      </c>
      <c r="J49" t="s">
        <v>277</v>
      </c>
      <c r="K49" t="s">
        <v>278</v>
      </c>
      <c r="L49">
        <v>1355</v>
      </c>
      <c r="N49">
        <v>1010</v>
      </c>
      <c r="O49" t="s">
        <v>264</v>
      </c>
      <c r="P49" t="s">
        <v>264</v>
      </c>
      <c r="Q49">
        <v>100</v>
      </c>
      <c r="X49">
        <v>0.04</v>
      </c>
      <c r="Y49">
        <v>86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5</v>
      </c>
      <c r="AG49">
        <v>0.04</v>
      </c>
      <c r="AH49">
        <v>2</v>
      </c>
      <c r="AI49">
        <v>31859738</v>
      </c>
      <c r="AJ49">
        <v>48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ROW(Source!A30)</f>
        <v>30</v>
      </c>
      <c r="B50">
        <v>31859745</v>
      </c>
      <c r="C50">
        <v>31859733</v>
      </c>
      <c r="D50">
        <v>28774850</v>
      </c>
      <c r="E50">
        <v>17</v>
      </c>
      <c r="F50">
        <v>1</v>
      </c>
      <c r="G50">
        <v>1</v>
      </c>
      <c r="H50">
        <v>3</v>
      </c>
      <c r="I50" t="s">
        <v>224</v>
      </c>
      <c r="J50" t="s">
        <v>5</v>
      </c>
      <c r="K50" t="s">
        <v>225</v>
      </c>
      <c r="L50">
        <v>1374</v>
      </c>
      <c r="N50">
        <v>1013</v>
      </c>
      <c r="O50" t="s">
        <v>226</v>
      </c>
      <c r="P50" t="s">
        <v>226</v>
      </c>
      <c r="Q50">
        <v>1</v>
      </c>
      <c r="X50">
        <v>0.23</v>
      </c>
      <c r="Y50">
        <v>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5</v>
      </c>
      <c r="AG50">
        <v>0.23</v>
      </c>
      <c r="AH50">
        <v>2</v>
      </c>
      <c r="AI50">
        <v>31859739</v>
      </c>
      <c r="AJ50">
        <v>49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ROW(Source!A31)</f>
        <v>31</v>
      </c>
      <c r="B51">
        <v>31859936</v>
      </c>
      <c r="C51">
        <v>31859773</v>
      </c>
      <c r="D51">
        <v>29047034</v>
      </c>
      <c r="E51">
        <v>1</v>
      </c>
      <c r="F51">
        <v>1</v>
      </c>
      <c r="G51">
        <v>1</v>
      </c>
      <c r="H51">
        <v>1</v>
      </c>
      <c r="I51" t="s">
        <v>182</v>
      </c>
      <c r="J51" t="s">
        <v>5</v>
      </c>
      <c r="K51" t="s">
        <v>183</v>
      </c>
      <c r="L51">
        <v>1191</v>
      </c>
      <c r="N51">
        <v>1013</v>
      </c>
      <c r="O51" t="s">
        <v>184</v>
      </c>
      <c r="P51" t="s">
        <v>184</v>
      </c>
      <c r="Q51">
        <v>1</v>
      </c>
      <c r="X51">
        <v>13.73</v>
      </c>
      <c r="Y51">
        <v>0</v>
      </c>
      <c r="Z51">
        <v>0</v>
      </c>
      <c r="AA51">
        <v>0</v>
      </c>
      <c r="AB51">
        <v>9.6199999999999992</v>
      </c>
      <c r="AC51">
        <v>0</v>
      </c>
      <c r="AD51">
        <v>1</v>
      </c>
      <c r="AE51">
        <v>1</v>
      </c>
      <c r="AF51" t="s">
        <v>5</v>
      </c>
      <c r="AG51">
        <v>13.73</v>
      </c>
      <c r="AH51">
        <v>2</v>
      </c>
      <c r="AI51">
        <v>31859936</v>
      </c>
      <c r="AJ51">
        <v>50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ROW(Source!A31)</f>
        <v>31</v>
      </c>
      <c r="B52">
        <v>31859937</v>
      </c>
      <c r="C52">
        <v>31859773</v>
      </c>
      <c r="D52">
        <v>29040875</v>
      </c>
      <c r="E52">
        <v>1</v>
      </c>
      <c r="F52">
        <v>1</v>
      </c>
      <c r="G52">
        <v>1</v>
      </c>
      <c r="H52">
        <v>1</v>
      </c>
      <c r="I52" t="s">
        <v>185</v>
      </c>
      <c r="J52" t="s">
        <v>5</v>
      </c>
      <c r="K52" t="s">
        <v>186</v>
      </c>
      <c r="L52">
        <v>1191</v>
      </c>
      <c r="N52">
        <v>1013</v>
      </c>
      <c r="O52" t="s">
        <v>184</v>
      </c>
      <c r="P52" t="s">
        <v>184</v>
      </c>
      <c r="Q52">
        <v>1</v>
      </c>
      <c r="X52">
        <v>11.04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2</v>
      </c>
      <c r="AF52" t="s">
        <v>5</v>
      </c>
      <c r="AG52">
        <v>11.04</v>
      </c>
      <c r="AH52">
        <v>2</v>
      </c>
      <c r="AI52">
        <v>31859937</v>
      </c>
      <c r="AJ52">
        <v>51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ROW(Source!A31)</f>
        <v>31</v>
      </c>
      <c r="B53">
        <v>31859938</v>
      </c>
      <c r="C53">
        <v>31859773</v>
      </c>
      <c r="D53">
        <v>28857928</v>
      </c>
      <c r="E53">
        <v>1</v>
      </c>
      <c r="F53">
        <v>1</v>
      </c>
      <c r="G53">
        <v>1</v>
      </c>
      <c r="H53">
        <v>2</v>
      </c>
      <c r="I53" t="s">
        <v>270</v>
      </c>
      <c r="J53" t="s">
        <v>271</v>
      </c>
      <c r="K53" t="s">
        <v>272</v>
      </c>
      <c r="L53">
        <v>1368</v>
      </c>
      <c r="N53">
        <v>1011</v>
      </c>
      <c r="O53" t="s">
        <v>190</v>
      </c>
      <c r="P53" t="s">
        <v>190</v>
      </c>
      <c r="Q53">
        <v>1</v>
      </c>
      <c r="X53">
        <v>0.2</v>
      </c>
      <c r="Y53">
        <v>0</v>
      </c>
      <c r="Z53">
        <v>111.99</v>
      </c>
      <c r="AA53">
        <v>13.5</v>
      </c>
      <c r="AB53">
        <v>0</v>
      </c>
      <c r="AC53">
        <v>0</v>
      </c>
      <c r="AD53">
        <v>1</v>
      </c>
      <c r="AE53">
        <v>0</v>
      </c>
      <c r="AF53" t="s">
        <v>5</v>
      </c>
      <c r="AG53">
        <v>0.2</v>
      </c>
      <c r="AH53">
        <v>2</v>
      </c>
      <c r="AI53">
        <v>31859938</v>
      </c>
      <c r="AJ53">
        <v>52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ROW(Source!A31)</f>
        <v>31</v>
      </c>
      <c r="B54">
        <v>31859939</v>
      </c>
      <c r="C54">
        <v>31859773</v>
      </c>
      <c r="D54">
        <v>28858062</v>
      </c>
      <c r="E54">
        <v>1</v>
      </c>
      <c r="F54">
        <v>1</v>
      </c>
      <c r="G54">
        <v>1</v>
      </c>
      <c r="H54">
        <v>2</v>
      </c>
      <c r="I54" t="s">
        <v>279</v>
      </c>
      <c r="J54" t="s">
        <v>280</v>
      </c>
      <c r="K54" t="s">
        <v>281</v>
      </c>
      <c r="L54">
        <v>1368</v>
      </c>
      <c r="N54">
        <v>1011</v>
      </c>
      <c r="O54" t="s">
        <v>190</v>
      </c>
      <c r="P54" t="s">
        <v>190</v>
      </c>
      <c r="Q54">
        <v>1</v>
      </c>
      <c r="X54">
        <v>2.2000000000000002</v>
      </c>
      <c r="Y54">
        <v>0</v>
      </c>
      <c r="Z54">
        <v>0.9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5</v>
      </c>
      <c r="AG54">
        <v>2.2000000000000002</v>
      </c>
      <c r="AH54">
        <v>2</v>
      </c>
      <c r="AI54">
        <v>31859939</v>
      </c>
      <c r="AJ54">
        <v>53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ROW(Source!A31)</f>
        <v>31</v>
      </c>
      <c r="B55">
        <v>31859940</v>
      </c>
      <c r="C55">
        <v>31859773</v>
      </c>
      <c r="D55">
        <v>28858127</v>
      </c>
      <c r="E55">
        <v>1</v>
      </c>
      <c r="F55">
        <v>1</v>
      </c>
      <c r="G55">
        <v>1</v>
      </c>
      <c r="H55">
        <v>2</v>
      </c>
      <c r="I55" t="s">
        <v>282</v>
      </c>
      <c r="J55" t="s">
        <v>283</v>
      </c>
      <c r="K55" t="s">
        <v>284</v>
      </c>
      <c r="L55">
        <v>1368</v>
      </c>
      <c r="N55">
        <v>1011</v>
      </c>
      <c r="O55" t="s">
        <v>190</v>
      </c>
      <c r="P55" t="s">
        <v>190</v>
      </c>
      <c r="Q55">
        <v>1</v>
      </c>
      <c r="X55">
        <v>2.2000000000000002</v>
      </c>
      <c r="Y55">
        <v>0</v>
      </c>
      <c r="Z55">
        <v>3.28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5</v>
      </c>
      <c r="AG55">
        <v>2.2000000000000002</v>
      </c>
      <c r="AH55">
        <v>2</v>
      </c>
      <c r="AI55">
        <v>31859940</v>
      </c>
      <c r="AJ55">
        <v>54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ROW(Source!A31)</f>
        <v>31</v>
      </c>
      <c r="B56">
        <v>31859941</v>
      </c>
      <c r="C56">
        <v>31859773</v>
      </c>
      <c r="D56">
        <v>28858262</v>
      </c>
      <c r="E56">
        <v>1</v>
      </c>
      <c r="F56">
        <v>1</v>
      </c>
      <c r="G56">
        <v>1</v>
      </c>
      <c r="H56">
        <v>2</v>
      </c>
      <c r="I56" t="s">
        <v>194</v>
      </c>
      <c r="J56" t="s">
        <v>195</v>
      </c>
      <c r="K56" t="s">
        <v>196</v>
      </c>
      <c r="L56">
        <v>1368</v>
      </c>
      <c r="N56">
        <v>1011</v>
      </c>
      <c r="O56" t="s">
        <v>190</v>
      </c>
      <c r="P56" t="s">
        <v>190</v>
      </c>
      <c r="Q56">
        <v>1</v>
      </c>
      <c r="X56">
        <v>10.64</v>
      </c>
      <c r="Y56">
        <v>0</v>
      </c>
      <c r="Z56">
        <v>142.69999999999999</v>
      </c>
      <c r="AA56">
        <v>13.5</v>
      </c>
      <c r="AB56">
        <v>0</v>
      </c>
      <c r="AC56">
        <v>0</v>
      </c>
      <c r="AD56">
        <v>1</v>
      </c>
      <c r="AE56">
        <v>0</v>
      </c>
      <c r="AF56" t="s">
        <v>5</v>
      </c>
      <c r="AG56">
        <v>10.64</v>
      </c>
      <c r="AH56">
        <v>2</v>
      </c>
      <c r="AI56">
        <v>31859941</v>
      </c>
      <c r="AJ56">
        <v>55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ROW(Source!A31)</f>
        <v>31</v>
      </c>
      <c r="B57">
        <v>31859942</v>
      </c>
      <c r="C57">
        <v>31859773</v>
      </c>
      <c r="D57">
        <v>28859324</v>
      </c>
      <c r="E57">
        <v>1</v>
      </c>
      <c r="F57">
        <v>1</v>
      </c>
      <c r="G57">
        <v>1</v>
      </c>
      <c r="H57">
        <v>2</v>
      </c>
      <c r="I57" t="s">
        <v>273</v>
      </c>
      <c r="J57" t="s">
        <v>274</v>
      </c>
      <c r="K57" t="s">
        <v>275</v>
      </c>
      <c r="L57">
        <v>1368</v>
      </c>
      <c r="N57">
        <v>1011</v>
      </c>
      <c r="O57" t="s">
        <v>190</v>
      </c>
      <c r="P57" t="s">
        <v>190</v>
      </c>
      <c r="Q57">
        <v>1</v>
      </c>
      <c r="X57">
        <v>0.2</v>
      </c>
      <c r="Y57">
        <v>0</v>
      </c>
      <c r="Z57">
        <v>65.709999999999994</v>
      </c>
      <c r="AA57">
        <v>11.6</v>
      </c>
      <c r="AB57">
        <v>0</v>
      </c>
      <c r="AC57">
        <v>0</v>
      </c>
      <c r="AD57">
        <v>1</v>
      </c>
      <c r="AE57">
        <v>0</v>
      </c>
      <c r="AF57" t="s">
        <v>5</v>
      </c>
      <c r="AG57">
        <v>0.2</v>
      </c>
      <c r="AH57">
        <v>2</v>
      </c>
      <c r="AI57">
        <v>31859942</v>
      </c>
      <c r="AJ57">
        <v>56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ROW(Source!A31)</f>
        <v>31</v>
      </c>
      <c r="B58">
        <v>31859943</v>
      </c>
      <c r="C58">
        <v>31859773</v>
      </c>
      <c r="D58">
        <v>28777891</v>
      </c>
      <c r="E58">
        <v>1</v>
      </c>
      <c r="F58">
        <v>1</v>
      </c>
      <c r="G58">
        <v>1</v>
      </c>
      <c r="H58">
        <v>3</v>
      </c>
      <c r="I58" t="s">
        <v>285</v>
      </c>
      <c r="J58" t="s">
        <v>286</v>
      </c>
      <c r="K58" t="s">
        <v>287</v>
      </c>
      <c r="L58">
        <v>1308</v>
      </c>
      <c r="N58">
        <v>1003</v>
      </c>
      <c r="O58" t="s">
        <v>52</v>
      </c>
      <c r="P58" t="s">
        <v>52</v>
      </c>
      <c r="Q58">
        <v>100</v>
      </c>
      <c r="X58">
        <v>4.7999999999999996E-3</v>
      </c>
      <c r="Y58">
        <v>120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5</v>
      </c>
      <c r="AG58">
        <v>4.7999999999999996E-3</v>
      </c>
      <c r="AH58">
        <v>2</v>
      </c>
      <c r="AI58">
        <v>31859943</v>
      </c>
      <c r="AJ58">
        <v>57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ROW(Source!A31)</f>
        <v>31</v>
      </c>
      <c r="B59">
        <v>31859944</v>
      </c>
      <c r="C59">
        <v>31859773</v>
      </c>
      <c r="D59">
        <v>28808734</v>
      </c>
      <c r="E59">
        <v>1</v>
      </c>
      <c r="F59">
        <v>1</v>
      </c>
      <c r="G59">
        <v>1</v>
      </c>
      <c r="H59">
        <v>3</v>
      </c>
      <c r="I59" t="s">
        <v>288</v>
      </c>
      <c r="J59" t="s">
        <v>289</v>
      </c>
      <c r="K59" t="s">
        <v>290</v>
      </c>
      <c r="L59">
        <v>1327</v>
      </c>
      <c r="N59">
        <v>1005</v>
      </c>
      <c r="O59" t="s">
        <v>291</v>
      </c>
      <c r="P59" t="s">
        <v>291</v>
      </c>
      <c r="Q59">
        <v>1</v>
      </c>
      <c r="X59">
        <v>0.21</v>
      </c>
      <c r="Y59">
        <v>6.22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5</v>
      </c>
      <c r="AG59">
        <v>0.21</v>
      </c>
      <c r="AH59">
        <v>2</v>
      </c>
      <c r="AI59">
        <v>31859944</v>
      </c>
      <c r="AJ59">
        <v>58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ROW(Source!A31)</f>
        <v>31</v>
      </c>
      <c r="B60">
        <v>31859945</v>
      </c>
      <c r="C60">
        <v>31859773</v>
      </c>
      <c r="D60">
        <v>28827580</v>
      </c>
      <c r="E60">
        <v>1</v>
      </c>
      <c r="F60">
        <v>1</v>
      </c>
      <c r="G60">
        <v>1</v>
      </c>
      <c r="H60">
        <v>3</v>
      </c>
      <c r="I60" t="s">
        <v>292</v>
      </c>
      <c r="J60" t="s">
        <v>293</v>
      </c>
      <c r="K60" t="s">
        <v>294</v>
      </c>
      <c r="L60">
        <v>1354</v>
      </c>
      <c r="N60">
        <v>1010</v>
      </c>
      <c r="O60" t="s">
        <v>223</v>
      </c>
      <c r="P60" t="s">
        <v>223</v>
      </c>
      <c r="Q60">
        <v>1</v>
      </c>
      <c r="X60">
        <v>8</v>
      </c>
      <c r="Y60">
        <v>10.54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5</v>
      </c>
      <c r="AG60">
        <v>8</v>
      </c>
      <c r="AH60">
        <v>2</v>
      </c>
      <c r="AI60">
        <v>31859945</v>
      </c>
      <c r="AJ60">
        <v>59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ROW(Source!A31)</f>
        <v>31</v>
      </c>
      <c r="B61">
        <v>31859946</v>
      </c>
      <c r="C61">
        <v>31859773</v>
      </c>
      <c r="D61">
        <v>28827631</v>
      </c>
      <c r="E61">
        <v>1</v>
      </c>
      <c r="F61">
        <v>1</v>
      </c>
      <c r="G61">
        <v>1</v>
      </c>
      <c r="H61">
        <v>3</v>
      </c>
      <c r="I61" t="s">
        <v>295</v>
      </c>
      <c r="J61" t="s">
        <v>296</v>
      </c>
      <c r="K61" t="s">
        <v>297</v>
      </c>
      <c r="L61">
        <v>1355</v>
      </c>
      <c r="N61">
        <v>1010</v>
      </c>
      <c r="O61" t="s">
        <v>264</v>
      </c>
      <c r="P61" t="s">
        <v>264</v>
      </c>
      <c r="Q61">
        <v>100</v>
      </c>
      <c r="X61">
        <v>0.08</v>
      </c>
      <c r="Y61">
        <v>3000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5</v>
      </c>
      <c r="AG61">
        <v>0.08</v>
      </c>
      <c r="AH61">
        <v>2</v>
      </c>
      <c r="AI61">
        <v>31859946</v>
      </c>
      <c r="AJ61">
        <v>60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ROW(Source!A31)</f>
        <v>31</v>
      </c>
      <c r="B62">
        <v>31859947</v>
      </c>
      <c r="C62">
        <v>31859773</v>
      </c>
      <c r="D62">
        <v>28831571</v>
      </c>
      <c r="E62">
        <v>1</v>
      </c>
      <c r="F62">
        <v>1</v>
      </c>
      <c r="G62">
        <v>1</v>
      </c>
      <c r="H62">
        <v>3</v>
      </c>
      <c r="I62" t="s">
        <v>298</v>
      </c>
      <c r="J62" t="s">
        <v>299</v>
      </c>
      <c r="K62" t="s">
        <v>300</v>
      </c>
      <c r="L62">
        <v>1355</v>
      </c>
      <c r="N62">
        <v>1010</v>
      </c>
      <c r="O62" t="s">
        <v>264</v>
      </c>
      <c r="P62" t="s">
        <v>264</v>
      </c>
      <c r="Q62">
        <v>100</v>
      </c>
      <c r="X62">
        <v>0.08</v>
      </c>
      <c r="Y62">
        <v>1776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5</v>
      </c>
      <c r="AG62">
        <v>0.08</v>
      </c>
      <c r="AH62">
        <v>2</v>
      </c>
      <c r="AI62">
        <v>31859947</v>
      </c>
      <c r="AJ62">
        <v>61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ROW(Source!A31)</f>
        <v>31</v>
      </c>
      <c r="B63">
        <v>31859948</v>
      </c>
      <c r="C63">
        <v>31859773</v>
      </c>
      <c r="D63">
        <v>28774850</v>
      </c>
      <c r="E63">
        <v>17</v>
      </c>
      <c r="F63">
        <v>1</v>
      </c>
      <c r="G63">
        <v>1</v>
      </c>
      <c r="H63">
        <v>3</v>
      </c>
      <c r="I63" t="s">
        <v>224</v>
      </c>
      <c r="J63" t="s">
        <v>5</v>
      </c>
      <c r="K63" t="s">
        <v>225</v>
      </c>
      <c r="L63">
        <v>1374</v>
      </c>
      <c r="N63">
        <v>1013</v>
      </c>
      <c r="O63" t="s">
        <v>226</v>
      </c>
      <c r="P63" t="s">
        <v>226</v>
      </c>
      <c r="Q63">
        <v>1</v>
      </c>
      <c r="X63">
        <v>2.64</v>
      </c>
      <c r="Y63">
        <v>1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5</v>
      </c>
      <c r="AG63">
        <v>2.64</v>
      </c>
      <c r="AH63">
        <v>2</v>
      </c>
      <c r="AI63">
        <v>31859948</v>
      </c>
      <c r="AJ63">
        <v>62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ROW(Source!A32)</f>
        <v>32</v>
      </c>
      <c r="B64">
        <v>31859803</v>
      </c>
      <c r="C64">
        <v>31859800</v>
      </c>
      <c r="D64">
        <v>29496299</v>
      </c>
      <c r="E64">
        <v>1</v>
      </c>
      <c r="F64">
        <v>1</v>
      </c>
      <c r="G64">
        <v>1</v>
      </c>
      <c r="H64">
        <v>1</v>
      </c>
      <c r="I64" t="s">
        <v>301</v>
      </c>
      <c r="J64" t="s">
        <v>5</v>
      </c>
      <c r="K64" t="s">
        <v>302</v>
      </c>
      <c r="L64">
        <v>1191</v>
      </c>
      <c r="N64">
        <v>1013</v>
      </c>
      <c r="O64" t="s">
        <v>184</v>
      </c>
      <c r="P64" t="s">
        <v>184</v>
      </c>
      <c r="Q64">
        <v>1</v>
      </c>
      <c r="X64">
        <v>40</v>
      </c>
      <c r="Y64">
        <v>0</v>
      </c>
      <c r="Z64">
        <v>0</v>
      </c>
      <c r="AA64">
        <v>0</v>
      </c>
      <c r="AB64">
        <v>11.09</v>
      </c>
      <c r="AC64">
        <v>0</v>
      </c>
      <c r="AD64">
        <v>1</v>
      </c>
      <c r="AE64">
        <v>1</v>
      </c>
      <c r="AF64" t="s">
        <v>5</v>
      </c>
      <c r="AG64">
        <v>40</v>
      </c>
      <c r="AH64">
        <v>2</v>
      </c>
      <c r="AI64">
        <v>31859801</v>
      </c>
      <c r="AJ64">
        <v>63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ROW(Source!A32)</f>
        <v>32</v>
      </c>
      <c r="B65">
        <v>31859804</v>
      </c>
      <c r="C65">
        <v>31859800</v>
      </c>
      <c r="D65">
        <v>29491371</v>
      </c>
      <c r="E65">
        <v>1</v>
      </c>
      <c r="F65">
        <v>1</v>
      </c>
      <c r="G65">
        <v>1</v>
      </c>
      <c r="H65">
        <v>1</v>
      </c>
      <c r="I65" t="s">
        <v>303</v>
      </c>
      <c r="J65" t="s">
        <v>5</v>
      </c>
      <c r="K65" t="s">
        <v>304</v>
      </c>
      <c r="L65">
        <v>1191</v>
      </c>
      <c r="N65">
        <v>1013</v>
      </c>
      <c r="O65" t="s">
        <v>184</v>
      </c>
      <c r="P65" t="s">
        <v>184</v>
      </c>
      <c r="Q65">
        <v>1</v>
      </c>
      <c r="X65">
        <v>40</v>
      </c>
      <c r="Y65">
        <v>0</v>
      </c>
      <c r="Z65">
        <v>0</v>
      </c>
      <c r="AA65">
        <v>0</v>
      </c>
      <c r="AB65">
        <v>12.69</v>
      </c>
      <c r="AC65">
        <v>0</v>
      </c>
      <c r="AD65">
        <v>1</v>
      </c>
      <c r="AE65">
        <v>1</v>
      </c>
      <c r="AF65" t="s">
        <v>5</v>
      </c>
      <c r="AG65">
        <v>40</v>
      </c>
      <c r="AH65">
        <v>2</v>
      </c>
      <c r="AI65">
        <v>31859802</v>
      </c>
      <c r="AJ65">
        <v>64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11 граф c НР и СП</vt:lpstr>
      <vt:lpstr>Source</vt:lpstr>
      <vt:lpstr>SourceObSm</vt:lpstr>
      <vt:lpstr>SmtRes</vt:lpstr>
      <vt:lpstr>EtalonRes</vt:lpstr>
      <vt:lpstr>'Смета 11 граф c НР и СП'!Заголовки_для_печати</vt:lpstr>
      <vt:lpstr>'Смета 11 граф c НР и 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BLACKCLASSIC</cp:lastModifiedBy>
  <dcterms:created xsi:type="dcterms:W3CDTF">2018-01-19T05:50:26Z</dcterms:created>
  <dcterms:modified xsi:type="dcterms:W3CDTF">2018-01-19T05:53:54Z</dcterms:modified>
</cp:coreProperties>
</file>