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C:\Users\demha\Desktop\"/>
    </mc:Choice>
  </mc:AlternateContent>
  <xr:revisionPtr revIDLastSave="0" documentId="13_ncr:1_{CCADB75A-F6F6-4D75-89DB-45EE0610E0D8}" xr6:coauthVersionLast="47" xr6:coauthVersionMax="47" xr10:uidLastSave="{00000000-0000-0000-0000-000000000000}"/>
  <bookViews>
    <workbookView xWindow="-120" yWindow="-120" windowWidth="29040" windowHeight="15840" xr2:uid="{00000000-000D-0000-FFFF-FFFF00000000}"/>
  </bookViews>
  <sheets>
    <sheet name="Пересчет сметной ст-ти" sheetId="2" r:id="rId1"/>
    <sheet name="Лист1" sheetId="1" r:id="rId2"/>
  </sheets>
  <externalReferences>
    <externalReference r:id="rId3"/>
  </externalReferences>
  <definedNames>
    <definedName name="_xlnm.Print_Area" localSheetId="0">'Пересчет сметной ст-ти'!$A$1:$K$58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A38" i="2" l="1"/>
  <c r="K38" i="2"/>
  <c r="C37" i="2"/>
  <c r="E37" i="2" s="1"/>
  <c r="C36" i="2"/>
  <c r="E36" i="2" s="1"/>
  <c r="K35" i="2"/>
  <c r="E35" i="2"/>
  <c r="D35" i="2"/>
  <c r="C35" i="2"/>
  <c r="K34" i="2"/>
  <c r="E34" i="2"/>
  <c r="D34" i="2"/>
  <c r="K33" i="2"/>
  <c r="E33" i="2"/>
  <c r="D33" i="2"/>
  <c r="K32" i="2"/>
  <c r="E32" i="2"/>
  <c r="D32" i="2"/>
  <c r="K31" i="2"/>
  <c r="E31" i="2"/>
  <c r="D31" i="2"/>
  <c r="C29" i="2"/>
  <c r="E28" i="2"/>
  <c r="D28" i="2"/>
  <c r="K27" i="2"/>
  <c r="K24" i="2" s="1"/>
  <c r="D27" i="2"/>
  <c r="E27" i="2" s="1"/>
  <c r="K26" i="2"/>
  <c r="E26" i="2"/>
  <c r="D26" i="2"/>
  <c r="K23" i="2"/>
  <c r="J22" i="2"/>
  <c r="E22" i="2"/>
  <c r="D22" i="2"/>
  <c r="D20" i="2" s="1"/>
  <c r="J21" i="2"/>
  <c r="J36" i="2" s="1"/>
  <c r="E21" i="2"/>
  <c r="D21" i="2"/>
  <c r="K21" i="2" s="1"/>
  <c r="C20" i="2"/>
  <c r="S19" i="2"/>
  <c r="R19" i="2"/>
  <c r="Q19" i="2"/>
  <c r="K19" i="2"/>
  <c r="O19" i="2" s="1"/>
  <c r="D19" i="2"/>
  <c r="C19" i="2"/>
  <c r="E19" i="2" s="1"/>
  <c r="S18" i="2"/>
  <c r="R18" i="2"/>
  <c r="Q18" i="2"/>
  <c r="K18" i="2"/>
  <c r="O18" i="2" s="1"/>
  <c r="E18" i="2"/>
  <c r="D18" i="2"/>
  <c r="M17" i="2"/>
  <c r="K17" i="2"/>
  <c r="O17" i="2" s="1"/>
  <c r="E17" i="2"/>
  <c r="D17" i="2"/>
  <c r="C17" i="2"/>
  <c r="C15" i="2" s="1"/>
  <c r="C13" i="2" s="1"/>
  <c r="M16" i="2"/>
  <c r="K16" i="2"/>
  <c r="K15" i="2" s="1"/>
  <c r="E16" i="2"/>
  <c r="D16" i="2"/>
  <c r="D15" i="2" s="1"/>
  <c r="F15" i="2"/>
  <c r="F37" i="2" s="1"/>
  <c r="E29" i="2" l="1"/>
  <c r="G26" i="2"/>
  <c r="G37" i="2"/>
  <c r="D13" i="2"/>
  <c r="C39" i="2"/>
  <c r="E15" i="2"/>
  <c r="E13" i="2" s="1"/>
  <c r="E20" i="2"/>
  <c r="F28" i="2"/>
  <c r="G28" i="2" s="1"/>
  <c r="F34" i="2"/>
  <c r="G34" i="2" s="1"/>
  <c r="F36" i="2"/>
  <c r="G36" i="2" s="1"/>
  <c r="F21" i="2"/>
  <c r="G21" i="2" s="1"/>
  <c r="F31" i="2"/>
  <c r="G31" i="2" s="1"/>
  <c r="D37" i="2"/>
  <c r="J37" i="2"/>
  <c r="F16" i="2"/>
  <c r="G16" i="2" s="1"/>
  <c r="F17" i="2"/>
  <c r="G17" i="2" s="1"/>
  <c r="K22" i="2"/>
  <c r="O16" i="2" s="1"/>
  <c r="F26" i="2"/>
  <c r="F32" i="2"/>
  <c r="G32" i="2" s="1"/>
  <c r="F35" i="2"/>
  <c r="G35" i="2" s="1"/>
  <c r="D36" i="2"/>
  <c r="K36" i="2" s="1"/>
  <c r="F18" i="2"/>
  <c r="G18" i="2" s="1"/>
  <c r="F19" i="2"/>
  <c r="G19" i="2" s="1"/>
  <c r="F22" i="2"/>
  <c r="G22" i="2" s="1"/>
  <c r="F23" i="2"/>
  <c r="G23" i="2" s="1"/>
  <c r="F27" i="2"/>
  <c r="G27" i="2" s="1"/>
  <c r="F33" i="2"/>
  <c r="G33" i="2" s="1"/>
  <c r="G15" i="2" l="1"/>
  <c r="G29" i="2"/>
  <c r="K29" i="2"/>
  <c r="K39" i="2" s="1"/>
  <c r="K20" i="2"/>
  <c r="K13" i="2" s="1"/>
  <c r="E39" i="2"/>
  <c r="K37" i="2"/>
  <c r="D29" i="2"/>
  <c r="D39" i="2" s="1"/>
  <c r="C41" i="2"/>
  <c r="C40" i="2"/>
  <c r="G24" i="2"/>
  <c r="G20" i="2"/>
  <c r="K40" i="2" l="1"/>
  <c r="K41" i="2" s="1"/>
  <c r="D40" i="2"/>
  <c r="D41" i="2" s="1"/>
  <c r="D44" i="2" s="1"/>
  <c r="E40" i="2"/>
  <c r="E41" i="2" s="1"/>
  <c r="G13" i="2"/>
  <c r="G39" i="2" s="1"/>
  <c r="G40" i="2" l="1"/>
  <c r="G41" i="2" s="1"/>
  <c r="E43" i="2"/>
  <c r="E44" i="2" s="1"/>
  <c r="K43" i="2"/>
  <c r="K44" i="2" s="1"/>
  <c r="G43" i="2" l="1"/>
  <c r="G44" i="2" s="1"/>
  <c r="G47" i="2" s="1"/>
</calcChain>
</file>

<file path=xl/sharedStrings.xml><?xml version="1.0" encoding="utf-8"?>
<sst xmlns="http://schemas.openxmlformats.org/spreadsheetml/2006/main" count="70" uniqueCount="66">
  <si>
    <t>Определение сметной стоимости работ, предусмотренных проектной документацией по объекту строительства, используемой при определении начальной (максимальной) цены контракта, для расчета коэффициента корректировки цены контракта, необходимость которой вызвана существенным возрастанием стоимости строительных ресурсов</t>
  </si>
  <si>
    <t>(наименование объекта)</t>
  </si>
  <si>
    <t>Уровень цен по утвержденной проектной документации, используемой при определении НМЦК</t>
  </si>
  <si>
    <t>3 кв 2020г</t>
  </si>
  <si>
    <t>Уровень цен выполнения Расчета</t>
  </si>
  <si>
    <t>1 кв 2022г</t>
  </si>
  <si>
    <t>№ п/п</t>
  </si>
  <si>
    <t>Вид работ/затрат</t>
  </si>
  <si>
    <t>Сметная стоимость работ по утвержденной проектной документации (ПД), используемой при определении НМЦК, тыс.руб.</t>
  </si>
  <si>
    <t>Индекс-дефлятор от даты определения Цнмцк до даты Расчета
(Идеф)</t>
  </si>
  <si>
    <t>Сметная стоимость работ по утвержденной ПД, приведенная индексом-дефлятором к уровню цен выполнения Расчета,
тыс.руб.
(Цнмцк х Идеф)</t>
  </si>
  <si>
    <r>
      <t xml:space="preserve">Индекс 
Минстроя России, действующий на дату выполнения Расчета* 
</t>
    </r>
    <r>
      <rPr>
        <sz val="11"/>
        <rFont val="Times New Roman"/>
        <family val="1"/>
        <charset val="204"/>
      </rPr>
      <t>(для позиций по п. 1.1, п. 2.1 и п. 3)</t>
    </r>
    <r>
      <rPr>
        <b/>
        <sz val="11"/>
        <rFont val="Times New Roman"/>
        <family val="1"/>
        <charset val="204"/>
      </rPr>
      <t xml:space="preserve"> Индекс-дефлятор 2 (для позиций по п. 1.2, п. 2.2 и п. 3)</t>
    </r>
  </si>
  <si>
    <t>Пересчитанная сметная стоимость работ в уровне цен выполнения Расчета, 
тыс.руб.
(Цнов)</t>
  </si>
  <si>
    <t>в базисном уровне цен на 01.01.2000</t>
  </si>
  <si>
    <t>в текущем уровне цен по утвержденной ПД 
1 кв. 2019
(Цнмцк)</t>
  </si>
  <si>
    <t>в текущем уровне цен по утвержденной ПД 
3 кв. 2020 на дату первого опубликованного индекса  по виду объекта "Автомобильные дороги"
(Цнмцк)**</t>
  </si>
  <si>
    <t>СМР</t>
  </si>
  <si>
    <t>Прочие</t>
  </si>
  <si>
    <t>7 =5 х 6</t>
  </si>
  <si>
    <t>Строительно-монтажные работы</t>
  </si>
  <si>
    <t>в том числе</t>
  </si>
  <si>
    <t>1.1</t>
  </si>
  <si>
    <t>Строительно-монтажные работы без учета материалов, включенных в сметную документацию с обоснованием "прайс-лист"</t>
  </si>
  <si>
    <t>глава 1 (ЛС 01-02 ЛС01-03)</t>
  </si>
  <si>
    <t>глава 2</t>
  </si>
  <si>
    <t>глава 8</t>
  </si>
  <si>
    <t>глава 9</t>
  </si>
  <si>
    <t>1.2</t>
  </si>
  <si>
    <t>Материалы, включенные в сметную документацию с обоснованием "прайс-лист" и для которых не требуется проведение конъюнктурного анализа</t>
  </si>
  <si>
    <t>глава 1</t>
  </si>
  <si>
    <t>1.3</t>
  </si>
  <si>
    <t>Материалы, включенные в сметную документацию с обоснованием "прайс-лист" и для которых требуется проведение конъюнктурного анализа</t>
  </si>
  <si>
    <t>Оборудование</t>
  </si>
  <si>
    <t>2.1</t>
  </si>
  <si>
    <t>Оборудование без учета оборудования, включенного в сметную документацию с обоснованием "прайс-лист"</t>
  </si>
  <si>
    <t>2.2</t>
  </si>
  <si>
    <t>Оборудование, включенное в сметную документацию с обоснованием "прайс-лист" и для которого не требуется проведение конъюнктурного анализа</t>
  </si>
  <si>
    <t>2.3</t>
  </si>
  <si>
    <t>Оборудование, включенное в сметную документацию с обоснованием "прайс-лист" и для которого требуется проведение конъюнктурного анализа</t>
  </si>
  <si>
    <t>Прочие работы и затраты</t>
  </si>
  <si>
    <t>3.1</t>
  </si>
  <si>
    <t>Восстановление и закрепление трассы  (ЛС 01-01)</t>
  </si>
  <si>
    <t>3.2</t>
  </si>
  <si>
    <t>Авторский надзор</t>
  </si>
  <si>
    <t>3.3</t>
  </si>
  <si>
    <t>Проектная документация</t>
  </si>
  <si>
    <t>3.4</t>
  </si>
  <si>
    <t>Рабочая документация</t>
  </si>
  <si>
    <t>3.5</t>
  </si>
  <si>
    <t>Изыскательские работы</t>
  </si>
  <si>
    <t>3.6</t>
  </si>
  <si>
    <t>Проведение экспертизы проектной документации</t>
  </si>
  <si>
    <t>3.7</t>
  </si>
  <si>
    <t xml:space="preserve">Проведение экспертизы  на достоверность определения сметной стоимости строительства </t>
  </si>
  <si>
    <t>3.8</t>
  </si>
  <si>
    <t>Проведение повторной проверки достоверности определения сметной стоимости</t>
  </si>
  <si>
    <t>ИТОГО</t>
  </si>
  <si>
    <t>Непредвиденные работы и затраты - 3%</t>
  </si>
  <si>
    <t>ИТОГО С НЕПРЕДВИДЕННЫМИ РАБОТАМИ И ЗАТРАТАМИ</t>
  </si>
  <si>
    <t>НДС 18% (для ранее оплаченных работ)</t>
  </si>
  <si>
    <t>НДС20%</t>
  </si>
  <si>
    <t>ВСЕГО С НДС:</t>
  </si>
  <si>
    <t>*пересчет выполнен с применением индексов изменения сметной стоимости, рекомендованных письмами Минстроя России от 07.02.2022 №4153-ИФ/09, от 22.03.2022 №11596-ИФ/09 и от 29.04.2022 №19372-ИФ/09</t>
  </si>
  <si>
    <t>**расчет Цнмцк выполнен на дату первого опубликованного индекса  по виду объекта "Автомобильные дороги" в уровне цен 3 квартала 2020г с применением индексов изменения сметной стоимости, рекомендованных письмами Минстроя России от 18.08.2020 №32427-ИФ/09, от 02.11.2020 №44016-ИФ/09, от 12.11.2020 №45484-ИФ/09</t>
  </si>
  <si>
    <t>Справочно Ккор =</t>
  </si>
  <si>
    <t xml:space="preserve">Составил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</si>
</sst>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_₽"/>
    <numFmt numFmtId="165" formatCode="#,##0.000\ _₽"/>
    <numFmt numFmtId="166" formatCode="0.000"/>
    <numFmt numFmtId="167" formatCode="#,##0.0"/>
    <numFmt numFmtId="168" formatCode="#,##0.0000"/>
  </numFmts>
  <fonts count="12" x14ac:knownFonts="1">
    <font>
      <sz val="11"/>
      <color theme="1"/>
      <name val="Calibri"/>
      <family val="2"/>
      <scheme val="minor"/>
    </font>
    <font>
      <sz val="10"/>
      <name val="Arial Cyr"/>
      <charset val="204"/>
    </font>
    <font>
      <sz val="11"/>
      <color theme="1"/>
      <name val="Times New Roman"/>
      <family val="1"/>
      <charset val="204"/>
    </font>
    <font>
      <b/>
      <sz val="12"/>
      <color theme="1"/>
      <name val="Times New Roman"/>
      <family val="1"/>
      <charset val="204"/>
    </font>
    <font>
      <b/>
      <sz val="11"/>
      <name val="Times New Roman"/>
      <family val="1"/>
      <charset val="204"/>
    </font>
    <font>
      <b/>
      <sz val="14"/>
      <color theme="1"/>
      <name val="Times New Roman"/>
      <family val="1"/>
      <charset val="204"/>
    </font>
    <font>
      <sz val="11"/>
      <name val="Times New Roman"/>
      <family val="1"/>
      <charset val="204"/>
    </font>
    <font>
      <b/>
      <sz val="11"/>
      <color theme="1"/>
      <name val="Times New Roman"/>
      <family val="1"/>
      <charset val="204"/>
    </font>
    <font>
      <sz val="11"/>
      <color rgb="FFFF0000"/>
      <name val="Times New Roman"/>
      <family val="1"/>
      <charset val="204"/>
    </font>
    <font>
      <b/>
      <sz val="12"/>
      <name val="Times New Roman"/>
      <family val="1"/>
      <charset val="204"/>
    </font>
    <font>
      <sz val="12"/>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theme="0" tint="-4.9989318521683403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0" fontId="1" fillId="0" borderId="0"/>
  </cellStyleXfs>
  <cellXfs count="93">
    <xf numFmtId="0" fontId="0" fillId="0" borderId="0" xfId="0"/>
    <xf numFmtId="0" fontId="2" fillId="0" borderId="0" xfId="1" applyFont="1" applyAlignment="1">
      <alignment horizontal="right" vertical="center" wrapText="1"/>
    </xf>
    <xf numFmtId="0" fontId="3" fillId="0" borderId="0" xfId="1" applyFont="1" applyAlignment="1">
      <alignment horizontal="center" vertical="center" wrapText="1"/>
    </xf>
    <xf numFmtId="0" fontId="2" fillId="0" borderId="0" xfId="1" applyFont="1"/>
    <xf numFmtId="10" fontId="2" fillId="0" borderId="0" xfId="1" applyNumberFormat="1" applyFont="1"/>
    <xf numFmtId="0" fontId="3" fillId="0" borderId="0" xfId="1" applyFont="1" applyAlignment="1">
      <alignment horizontal="center" vertical="center" wrapText="1"/>
    </xf>
    <xf numFmtId="0" fontId="4" fillId="0" borderId="1" xfId="1" applyFont="1" applyBorder="1" applyAlignment="1">
      <alignment horizontal="center" vertical="center" wrapText="1"/>
    </xf>
    <xf numFmtId="0" fontId="2" fillId="0" borderId="2" xfId="1" applyFont="1" applyBorder="1" applyAlignment="1">
      <alignment horizontal="center" vertical="center" wrapText="1"/>
    </xf>
    <xf numFmtId="0" fontId="5" fillId="0" borderId="0" xfId="1" applyFont="1" applyAlignment="1">
      <alignment horizontal="center" vertical="center" wrapText="1"/>
    </xf>
    <xf numFmtId="0" fontId="2" fillId="0" borderId="0" xfId="1" applyFont="1" applyAlignment="1">
      <alignment horizontal="left" vertical="center" wrapText="1"/>
    </xf>
    <xf numFmtId="0" fontId="6" fillId="0" borderId="0" xfId="1" applyFont="1"/>
    <xf numFmtId="0" fontId="2" fillId="0" borderId="0" xfId="1" applyFont="1" applyAlignment="1">
      <alignment horizontal="left"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5" xfId="1" applyFont="1" applyBorder="1" applyAlignment="1">
      <alignment horizontal="center" vertical="center" wrapText="1"/>
    </xf>
    <xf numFmtId="0" fontId="4" fillId="0" borderId="6" xfId="1" applyFont="1" applyBorder="1" applyAlignment="1">
      <alignment horizontal="center" vertical="center" wrapText="1"/>
    </xf>
    <xf numFmtId="0" fontId="4" fillId="2" borderId="7"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2" fillId="3" borderId="0" xfId="1" applyFont="1" applyFill="1"/>
    <xf numFmtId="10" fontId="2" fillId="3" borderId="0" xfId="1" applyNumberFormat="1" applyFont="1" applyFill="1"/>
    <xf numFmtId="0" fontId="2" fillId="3" borderId="0" xfId="1" applyFont="1" applyFill="1" applyAlignment="1">
      <alignment horizontal="center" vertical="center" wrapText="1"/>
    </xf>
    <xf numFmtId="0" fontId="2" fillId="0" borderId="0" xfId="1" applyFont="1" applyAlignment="1">
      <alignment horizontal="center" vertical="center" wrapText="1"/>
    </xf>
    <xf numFmtId="0" fontId="4" fillId="0" borderId="9" xfId="1" applyFont="1" applyBorder="1" applyAlignment="1">
      <alignment horizontal="center" vertical="center" wrapText="1"/>
    </xf>
    <xf numFmtId="14" fontId="4" fillId="0" borderId="3" xfId="1" applyNumberFormat="1" applyFont="1" applyBorder="1" applyAlignment="1">
      <alignment horizontal="center" vertical="center" wrapText="1"/>
    </xf>
    <xf numFmtId="0" fontId="4" fillId="2" borderId="10" xfId="1" applyFont="1" applyFill="1" applyBorder="1" applyAlignment="1">
      <alignment horizontal="center" vertical="center" wrapText="1"/>
    </xf>
    <xf numFmtId="0" fontId="4" fillId="2" borderId="11" xfId="1" applyFont="1" applyFill="1" applyBorder="1" applyAlignment="1">
      <alignment horizontal="center" vertical="center" wrapText="1"/>
    </xf>
    <xf numFmtId="0" fontId="4" fillId="2" borderId="9" xfId="1" applyFont="1" applyFill="1" applyBorder="1" applyAlignment="1">
      <alignment horizontal="center" vertical="center" wrapText="1"/>
    </xf>
    <xf numFmtId="0" fontId="4" fillId="0" borderId="12" xfId="1" applyFont="1" applyBorder="1" applyAlignment="1">
      <alignment horizontal="center" vertical="center" wrapText="1"/>
    </xf>
    <xf numFmtId="14" fontId="4" fillId="0" borderId="12" xfId="1" applyNumberFormat="1" applyFont="1" applyBorder="1" applyAlignment="1">
      <alignment horizontal="center" vertical="center" wrapText="1"/>
    </xf>
    <xf numFmtId="0" fontId="4" fillId="2" borderId="13" xfId="1" applyFont="1" applyFill="1" applyBorder="1" applyAlignment="1">
      <alignment horizontal="center" vertical="center" wrapText="1"/>
    </xf>
    <xf numFmtId="0" fontId="4" fillId="2" borderId="12" xfId="1" applyFont="1" applyFill="1" applyBorder="1" applyAlignment="1">
      <alignment horizontal="center" vertical="center" wrapText="1"/>
    </xf>
    <xf numFmtId="0" fontId="4" fillId="0" borderId="14" xfId="1" applyFont="1" applyBorder="1" applyAlignment="1">
      <alignment horizontal="center" vertical="center" wrapText="1"/>
    </xf>
    <xf numFmtId="0" fontId="4" fillId="2" borderId="15"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4" xfId="1" applyFont="1" applyFill="1" applyBorder="1" applyAlignment="1">
      <alignment horizontal="center" vertical="center" wrapText="1"/>
    </xf>
    <xf numFmtId="0" fontId="7" fillId="0" borderId="12" xfId="1" applyFont="1" applyBorder="1" applyAlignment="1">
      <alignment horizontal="center" vertical="center"/>
    </xf>
    <xf numFmtId="0" fontId="7" fillId="0" borderId="12" xfId="1" applyFont="1" applyBorder="1" applyAlignment="1">
      <alignment horizontal="left" vertical="center"/>
    </xf>
    <xf numFmtId="164" fontId="7" fillId="0" borderId="12" xfId="1" applyNumberFormat="1" applyFont="1" applyBorder="1" applyAlignment="1">
      <alignment horizontal="center" vertical="center" wrapText="1"/>
    </xf>
    <xf numFmtId="165" fontId="7" fillId="0" borderId="12" xfId="1" applyNumberFormat="1" applyFont="1" applyBorder="1" applyAlignment="1">
      <alignment horizontal="center" vertical="center" wrapText="1"/>
    </xf>
    <xf numFmtId="0" fontId="7" fillId="0" borderId="0" xfId="1" applyFont="1"/>
    <xf numFmtId="0" fontId="2" fillId="0" borderId="13" xfId="1" applyFont="1" applyBorder="1" applyAlignment="1">
      <alignment horizontal="center" vertical="center"/>
    </xf>
    <xf numFmtId="0" fontId="2" fillId="0" borderId="13" xfId="1" applyFont="1" applyBorder="1" applyAlignment="1">
      <alignment horizontal="left" vertical="center"/>
    </xf>
    <xf numFmtId="164" fontId="2" fillId="0" borderId="13" xfId="1" applyNumberFormat="1" applyFont="1" applyBorder="1" applyAlignment="1">
      <alignment horizontal="center" vertical="center" wrapText="1"/>
    </xf>
    <xf numFmtId="165" fontId="2" fillId="0" borderId="13" xfId="1" applyNumberFormat="1" applyFont="1" applyBorder="1" applyAlignment="1">
      <alignment horizontal="center" vertical="center" wrapText="1"/>
    </xf>
    <xf numFmtId="49" fontId="2" fillId="0" borderId="13" xfId="1" applyNumberFormat="1" applyFont="1" applyBorder="1" applyAlignment="1">
      <alignment horizontal="center" vertical="center"/>
    </xf>
    <xf numFmtId="0" fontId="2" fillId="0" borderId="13" xfId="1" applyFont="1" applyBorder="1" applyAlignment="1">
      <alignment horizontal="left" vertical="center" wrapText="1"/>
    </xf>
    <xf numFmtId="0" fontId="2" fillId="0" borderId="13" xfId="1" applyFont="1" applyBorder="1" applyAlignment="1">
      <alignment horizontal="right" vertical="center" wrapText="1"/>
    </xf>
    <xf numFmtId="164" fontId="6" fillId="0" borderId="13" xfId="1" applyNumberFormat="1" applyFont="1" applyBorder="1" applyAlignment="1">
      <alignment horizontal="center" vertical="center" wrapText="1"/>
    </xf>
    <xf numFmtId="4" fontId="2" fillId="0" borderId="0" xfId="1" applyNumberFormat="1" applyFont="1"/>
    <xf numFmtId="2" fontId="2" fillId="0" borderId="0" xfId="1" applyNumberFormat="1" applyFont="1"/>
    <xf numFmtId="164" fontId="2" fillId="4" borderId="13" xfId="1" applyNumberFormat="1" applyFont="1" applyFill="1" applyBorder="1" applyAlignment="1">
      <alignment horizontal="center" vertical="center" wrapText="1"/>
    </xf>
    <xf numFmtId="165" fontId="2" fillId="4" borderId="13" xfId="1" applyNumberFormat="1" applyFont="1" applyFill="1" applyBorder="1" applyAlignment="1">
      <alignment horizontal="center" vertical="center" wrapText="1"/>
    </xf>
    <xf numFmtId="0" fontId="2" fillId="5" borderId="0" xfId="1" applyFont="1" applyFill="1"/>
    <xf numFmtId="0" fontId="7" fillId="0" borderId="13" xfId="1" applyFont="1" applyBorder="1" applyAlignment="1">
      <alignment horizontal="center" vertical="center"/>
    </xf>
    <xf numFmtId="0" fontId="7" fillId="0" borderId="13" xfId="1" applyFont="1" applyBorder="1" applyAlignment="1">
      <alignment horizontal="left" vertical="center"/>
    </xf>
    <xf numFmtId="164" fontId="7" fillId="0" borderId="13" xfId="1" applyNumberFormat="1" applyFont="1" applyBorder="1" applyAlignment="1">
      <alignment horizontal="center" vertical="center" wrapText="1"/>
    </xf>
    <xf numFmtId="165" fontId="7" fillId="0" borderId="13" xfId="1" applyNumberFormat="1" applyFont="1" applyBorder="1" applyAlignment="1">
      <alignment horizontal="center" vertical="center" wrapText="1"/>
    </xf>
    <xf numFmtId="166" fontId="2" fillId="0" borderId="0" xfId="1" applyNumberFormat="1" applyFont="1"/>
    <xf numFmtId="164" fontId="8" fillId="0" borderId="13" xfId="1" applyNumberFormat="1" applyFont="1" applyBorder="1" applyAlignment="1">
      <alignment horizontal="center" vertical="center" wrapText="1"/>
    </xf>
    <xf numFmtId="164" fontId="6" fillId="5" borderId="13" xfId="1" applyNumberFormat="1" applyFont="1" applyFill="1" applyBorder="1" applyAlignment="1">
      <alignment horizontal="center" vertical="center" wrapText="1"/>
    </xf>
    <xf numFmtId="164" fontId="6" fillId="4" borderId="13" xfId="1" applyNumberFormat="1" applyFont="1" applyFill="1" applyBorder="1" applyAlignment="1">
      <alignment horizontal="center" vertical="center" wrapText="1"/>
    </xf>
    <xf numFmtId="165" fontId="6" fillId="5" borderId="13" xfId="1" applyNumberFormat="1" applyFont="1" applyFill="1" applyBorder="1" applyAlignment="1">
      <alignment horizontal="center" vertical="center" wrapText="1"/>
    </xf>
    <xf numFmtId="0" fontId="7" fillId="0" borderId="13" xfId="1" applyFont="1" applyBorder="1" applyAlignment="1">
      <alignment horizontal="right" vertical="center" wrapText="1"/>
    </xf>
    <xf numFmtId="164" fontId="4" fillId="5" borderId="13" xfId="1" applyNumberFormat="1" applyFont="1" applyFill="1" applyBorder="1" applyAlignment="1">
      <alignment horizontal="center" vertical="center" wrapText="1"/>
    </xf>
    <xf numFmtId="165" fontId="4" fillId="5" borderId="13" xfId="1" applyNumberFormat="1" applyFont="1" applyFill="1" applyBorder="1" applyAlignment="1">
      <alignment horizontal="center" vertical="center" wrapText="1"/>
    </xf>
    <xf numFmtId="0" fontId="2" fillId="0" borderId="13" xfId="1" applyFont="1" applyBorder="1"/>
    <xf numFmtId="0" fontId="7" fillId="0" borderId="13" xfId="1" applyFont="1" applyBorder="1" applyAlignment="1">
      <alignment horizontal="right" vertical="center"/>
    </xf>
    <xf numFmtId="0" fontId="4" fillId="0" borderId="2" xfId="1" applyFont="1" applyBorder="1" applyAlignment="1">
      <alignment horizontal="left" vertical="center" wrapText="1"/>
    </xf>
    <xf numFmtId="0" fontId="4" fillId="0" borderId="0" xfId="1" applyFont="1" applyAlignment="1">
      <alignment horizontal="left" vertical="center" wrapText="1"/>
    </xf>
    <xf numFmtId="0" fontId="4" fillId="0" borderId="0" xfId="1" applyFont="1" applyAlignment="1">
      <alignment horizontal="right" vertical="center"/>
    </xf>
    <xf numFmtId="167" fontId="4" fillId="0" borderId="0" xfId="1" applyNumberFormat="1" applyFont="1" applyAlignment="1">
      <alignment horizontal="center" vertical="center"/>
    </xf>
    <xf numFmtId="4" fontId="4" fillId="0" borderId="0" xfId="1" applyNumberFormat="1" applyFont="1" applyAlignment="1">
      <alignment horizontal="right" vertical="center"/>
    </xf>
    <xf numFmtId="168" fontId="4" fillId="0" borderId="0" xfId="1" applyNumberFormat="1" applyFont="1" applyAlignment="1">
      <alignment horizontal="center" vertical="center"/>
    </xf>
    <xf numFmtId="4" fontId="6" fillId="0" borderId="0" xfId="1" applyNumberFormat="1" applyFont="1" applyAlignment="1">
      <alignment horizontal="center" vertical="center"/>
    </xf>
    <xf numFmtId="4" fontId="4" fillId="0" borderId="0" xfId="1" applyNumberFormat="1" applyFont="1" applyAlignment="1">
      <alignment horizontal="center" vertical="center"/>
    </xf>
    <xf numFmtId="4" fontId="4" fillId="0" borderId="0" xfId="1" applyNumberFormat="1" applyFont="1" applyAlignment="1">
      <alignment horizontal="right" vertical="center"/>
    </xf>
    <xf numFmtId="167" fontId="4" fillId="0" borderId="0" xfId="1" applyNumberFormat="1" applyFont="1" applyAlignment="1">
      <alignment horizontal="left" vertical="center"/>
    </xf>
    <xf numFmtId="0" fontId="9" fillId="0" borderId="0" xfId="1" applyFont="1" applyAlignment="1">
      <alignment horizontal="left"/>
    </xf>
    <xf numFmtId="167" fontId="4" fillId="0" borderId="0" xfId="1" applyNumberFormat="1" applyFont="1" applyAlignment="1">
      <alignment vertical="center" wrapText="1"/>
    </xf>
    <xf numFmtId="0" fontId="10" fillId="0" borderId="0" xfId="1" applyFont="1" applyAlignment="1">
      <alignment horizontal="left" vertical="top"/>
    </xf>
    <xf numFmtId="167" fontId="4" fillId="0" borderId="0" xfId="1" applyNumberFormat="1" applyFont="1" applyAlignment="1">
      <alignment vertical="center"/>
    </xf>
    <xf numFmtId="0" fontId="4" fillId="0" borderId="0" xfId="1" applyFont="1"/>
    <xf numFmtId="0" fontId="9" fillId="5" borderId="0" xfId="1" applyFont="1" applyFill="1" applyAlignment="1">
      <alignment horizontal="center" vertical="center"/>
    </xf>
    <xf numFmtId="0" fontId="6" fillId="5" borderId="0" xfId="1" applyFont="1" applyFill="1" applyAlignment="1">
      <alignment horizontal="left" vertical="center"/>
    </xf>
    <xf numFmtId="0" fontId="6" fillId="0" borderId="0" xfId="1" applyFont="1" applyAlignment="1">
      <alignment horizontal="left" vertical="center"/>
    </xf>
    <xf numFmtId="0" fontId="10" fillId="0" borderId="0" xfId="1" applyFont="1" applyAlignment="1">
      <alignment horizontal="right" vertical="top"/>
    </xf>
    <xf numFmtId="0" fontId="10" fillId="5" borderId="0" xfId="1" applyFont="1" applyFill="1" applyAlignment="1">
      <alignment horizontal="left" vertical="center"/>
    </xf>
    <xf numFmtId="0" fontId="11" fillId="0" borderId="0" xfId="1" applyFont="1"/>
    <xf numFmtId="0" fontId="2" fillId="5" borderId="0" xfId="1" applyFont="1" applyFill="1" applyAlignment="1">
      <alignment horizontal="left" vertical="center"/>
    </xf>
    <xf numFmtId="2" fontId="10" fillId="0" borderId="1" xfId="1" applyNumberFormat="1" applyFont="1" applyBorder="1" applyAlignment="1">
      <alignment vertical="top"/>
    </xf>
    <xf numFmtId="2" fontId="10" fillId="0" borderId="0" xfId="1" applyNumberFormat="1" applyFont="1" applyAlignment="1">
      <alignment vertical="top"/>
    </xf>
    <xf numFmtId="0" fontId="10" fillId="5" borderId="0" xfId="1" applyFont="1" applyFill="1" applyAlignment="1">
      <alignment horizontal="left" vertical="center"/>
    </xf>
  </cellXfs>
  <cellStyles count="2">
    <cellStyle name="Обычный" xfId="0" builtinId="0"/>
    <cellStyle name="Обычный 2" xfId="1" xr:uid="{1DBB9D4E-18D2-4EFC-A684-C8AB77426A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56;&#1040;&#1041;&#1054;&#1058;&#1040;\&#1043;&#1041;&#1061;&#1040;\&#1056;&#1072;&#1079;&#1076;&#1077;&#1083;%20&#1055;&#1044;%20&#8470;9%20&#1082;&#1085;&#1080;&#1075;&#1072;%201%20(&#1055;&#1077;&#1088;&#1077;&#1089;&#1095;&#1077;&#109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ожка"/>
      <sheetName val="Титульный 2"/>
      <sheetName val="Пояснит"/>
      <sheetName val="Пересчет сметной ст-ти"/>
      <sheetName val="дефляторы"/>
      <sheetName val=" сводный 1 кв 2019 "/>
      <sheetName val=" сводный 1 кв 2022"/>
      <sheetName val="Зим. уд"/>
      <sheetName val="ЛС01-01"/>
      <sheetName val="ЛС01-02"/>
      <sheetName val="ЛС01-03"/>
      <sheetName val="ЛС02-01"/>
      <sheetName val="ЛС02-02"/>
      <sheetName val="ЛС02-03"/>
      <sheetName val="Расчет №1"/>
      <sheetName val="ЛС02-04"/>
      <sheetName val="ЛС02-05"/>
      <sheetName val="ЛС02-06"/>
      <sheetName val="ЛС02-07"/>
      <sheetName val="ЛС02-08"/>
      <sheetName val="ЛС02-09"/>
      <sheetName val="ЛС02-10"/>
      <sheetName val="ЛС02-11"/>
      <sheetName val="ЛС02-12"/>
      <sheetName val="ЛС02-13"/>
      <sheetName val="ЛС02-14"/>
      <sheetName val="ЛС02-15"/>
      <sheetName val="ЛС02-16"/>
      <sheetName val="ЛС02-17"/>
      <sheetName val="ЛС02-18"/>
      <sheetName val="ЛС02-19"/>
      <sheetName val="ЛС02-20"/>
      <sheetName val="ЛС02-21"/>
      <sheetName val="ЛС02-22"/>
      <sheetName val="ЛС02-23"/>
      <sheetName val="ЛС02-24"/>
      <sheetName val="ЛС02-25"/>
      <sheetName val="ЛС02-26"/>
      <sheetName val="ЛС02-27"/>
      <sheetName val="ЛС02-28"/>
      <sheetName val="ЛС02-29"/>
      <sheetName val="ЛС02-30"/>
      <sheetName val="ЛС02-31"/>
    </sheetNames>
    <sheetDataSet>
      <sheetData sheetId="0"/>
      <sheetData sheetId="1"/>
      <sheetData sheetId="2"/>
      <sheetData sheetId="3"/>
      <sheetData sheetId="4">
        <row r="6">
          <cell r="H6">
            <v>1.046</v>
          </cell>
        </row>
        <row r="7">
          <cell r="H7">
            <v>1.0680000000000001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FD00-A0E2-49CB-B860-633257FC9636}">
  <dimension ref="A1:KB58"/>
  <sheetViews>
    <sheetView tabSelected="1" showWhiteSpace="0" view="pageLayout" topLeftCell="A19" zoomScale="85" zoomScaleNormal="85" zoomScaleSheetLayoutView="40" zoomScalePageLayoutView="85" workbookViewId="0">
      <selection activeCell="J39" sqref="J39"/>
    </sheetView>
  </sheetViews>
  <sheetFormatPr defaultColWidth="9.140625" defaultRowHeight="15" x14ac:dyDescent="0.25"/>
  <cols>
    <col min="1" max="1" width="7.28515625" style="3" customWidth="1"/>
    <col min="2" max="2" width="37.85546875" style="11" customWidth="1"/>
    <col min="3" max="3" width="17" style="3" customWidth="1"/>
    <col min="4" max="5" width="17.140625" style="3" customWidth="1"/>
    <col min="6" max="6" width="15.5703125" style="3" customWidth="1"/>
    <col min="7" max="7" width="18.7109375" style="3" customWidth="1"/>
    <col min="8" max="8" width="14" style="3" customWidth="1"/>
    <col min="9" max="9" width="14.7109375" style="3" customWidth="1"/>
    <col min="10" max="10" width="15.5703125" style="3" customWidth="1"/>
    <col min="11" max="11" width="31" style="3" customWidth="1"/>
    <col min="12" max="12" width="0" style="3" hidden="1" customWidth="1"/>
    <col min="13" max="13" width="11.85546875" style="3" hidden="1" customWidth="1"/>
    <col min="14" max="14" width="0" style="3" hidden="1" customWidth="1"/>
    <col min="15" max="15" width="11.85546875" style="3" hidden="1" customWidth="1"/>
    <col min="16" max="16" width="9.5703125" style="3" hidden="1" customWidth="1"/>
    <col min="17" max="24" width="0" style="3" hidden="1" customWidth="1"/>
    <col min="25" max="25" width="13.42578125" style="3" customWidth="1"/>
    <col min="26" max="16384" width="9.140625" style="3"/>
  </cols>
  <sheetData>
    <row r="1" spans="1:288" ht="48.75" customHeight="1" x14ac:dyDescent="0.25">
      <c r="A1" s="1"/>
      <c r="B1" s="2" t="s">
        <v>0</v>
      </c>
      <c r="C1" s="2"/>
      <c r="D1" s="2"/>
      <c r="E1" s="2"/>
      <c r="F1" s="2"/>
      <c r="G1" s="2"/>
      <c r="H1" s="2"/>
      <c r="I1" s="2"/>
      <c r="J1" s="2"/>
      <c r="K1" s="2"/>
      <c r="M1" s="4"/>
    </row>
    <row r="2" spans="1:288" ht="18" customHeight="1" x14ac:dyDescent="0.25">
      <c r="A2" s="1"/>
      <c r="B2" s="5"/>
      <c r="C2" s="5"/>
      <c r="D2" s="5"/>
      <c r="E2" s="5"/>
      <c r="F2" s="5"/>
      <c r="G2" s="5"/>
      <c r="H2" s="5"/>
      <c r="I2" s="5"/>
      <c r="M2" s="4"/>
    </row>
    <row r="3" spans="1:288" ht="23.25" customHeight="1" x14ac:dyDescent="0.25">
      <c r="A3" s="6"/>
      <c r="B3" s="6"/>
      <c r="C3" s="6"/>
      <c r="D3" s="6"/>
      <c r="E3" s="6"/>
      <c r="F3" s="6"/>
      <c r="G3" s="6"/>
      <c r="H3" s="6"/>
      <c r="I3" s="6"/>
      <c r="J3" s="6"/>
      <c r="K3" s="6"/>
      <c r="M3" s="4"/>
    </row>
    <row r="4" spans="1:288" x14ac:dyDescent="0.25">
      <c r="A4" s="7" t="s">
        <v>1</v>
      </c>
      <c r="B4" s="7"/>
      <c r="C4" s="7"/>
      <c r="D4" s="7"/>
      <c r="E4" s="7"/>
      <c r="F4" s="7"/>
      <c r="G4" s="7"/>
      <c r="H4" s="7"/>
      <c r="I4" s="7"/>
      <c r="J4" s="7"/>
      <c r="K4" s="7"/>
      <c r="M4" s="4"/>
    </row>
    <row r="5" spans="1:288" ht="18.75" x14ac:dyDescent="0.25">
      <c r="A5" s="1"/>
      <c r="B5" s="8"/>
      <c r="C5" s="8"/>
      <c r="M5" s="4"/>
    </row>
    <row r="6" spans="1:288" ht="15" customHeight="1" x14ac:dyDescent="0.25">
      <c r="A6" s="1"/>
      <c r="B6" s="9" t="s">
        <v>2</v>
      </c>
      <c r="C6" s="9"/>
      <c r="D6" s="9"/>
      <c r="E6" s="9"/>
      <c r="F6" s="9"/>
      <c r="G6" s="3" t="s">
        <v>3</v>
      </c>
      <c r="M6" s="4"/>
    </row>
    <row r="7" spans="1:288" x14ac:dyDescent="0.25">
      <c r="A7" s="1"/>
      <c r="B7" s="9" t="s">
        <v>4</v>
      </c>
      <c r="C7" s="9"/>
      <c r="D7" s="9"/>
      <c r="E7" s="9"/>
      <c r="F7" s="9"/>
      <c r="G7" s="10" t="s">
        <v>5</v>
      </c>
      <c r="M7" s="4"/>
    </row>
    <row r="8" spans="1:288" ht="10.5" customHeight="1" x14ac:dyDescent="0.25">
      <c r="M8" s="4"/>
    </row>
    <row r="9" spans="1:288" s="21" customFormat="1" ht="72.75" customHeight="1" x14ac:dyDescent="0.25">
      <c r="A9" s="12" t="s">
        <v>6</v>
      </c>
      <c r="B9" s="12" t="s">
        <v>7</v>
      </c>
      <c r="C9" s="13" t="s">
        <v>8</v>
      </c>
      <c r="D9" s="14"/>
      <c r="E9" s="15"/>
      <c r="F9" s="12" t="s">
        <v>9</v>
      </c>
      <c r="G9" s="12" t="s">
        <v>10</v>
      </c>
      <c r="H9" s="16" t="s">
        <v>11</v>
      </c>
      <c r="I9" s="17"/>
      <c r="J9" s="18" t="s">
        <v>12</v>
      </c>
      <c r="K9" s="18" t="s">
        <v>12</v>
      </c>
      <c r="L9" s="19"/>
      <c r="M9" s="20"/>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row>
    <row r="10" spans="1:288" s="21" customFormat="1" ht="60" customHeight="1" x14ac:dyDescent="0.25">
      <c r="A10" s="23"/>
      <c r="B10" s="23"/>
      <c r="C10" s="24" t="s">
        <v>13</v>
      </c>
      <c r="D10" s="12" t="s">
        <v>14</v>
      </c>
      <c r="E10" s="12" t="s">
        <v>15</v>
      </c>
      <c r="F10" s="23"/>
      <c r="G10" s="23"/>
      <c r="H10" s="25"/>
      <c r="I10" s="26"/>
      <c r="J10" s="27"/>
      <c r="K10" s="27"/>
      <c r="L10" s="19"/>
      <c r="M10" s="20"/>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c r="EO10" s="22"/>
      <c r="EP10" s="22"/>
      <c r="EQ10" s="22"/>
      <c r="ER10" s="22"/>
      <c r="ES10" s="22"/>
      <c r="ET10" s="22"/>
      <c r="EU10" s="22"/>
      <c r="EV10" s="22"/>
      <c r="EW10" s="22"/>
      <c r="EX10" s="22"/>
      <c r="EY10" s="22"/>
      <c r="EZ10" s="22"/>
      <c r="FA10" s="22"/>
      <c r="FB10" s="22"/>
      <c r="FC10" s="22"/>
      <c r="FD10" s="22"/>
      <c r="FE10" s="22"/>
      <c r="FF10" s="22"/>
      <c r="FG10" s="22"/>
      <c r="FH10" s="22"/>
      <c r="FI10" s="22"/>
      <c r="FJ10" s="22"/>
      <c r="FK10" s="22"/>
      <c r="FL10" s="22"/>
      <c r="FM10" s="22"/>
      <c r="FN10" s="22"/>
      <c r="FO10" s="22"/>
      <c r="FP10" s="22"/>
      <c r="FQ10" s="22"/>
      <c r="FR10" s="22"/>
      <c r="FS10" s="22"/>
      <c r="FT10" s="22"/>
      <c r="FU10" s="22"/>
      <c r="FV10" s="22"/>
      <c r="FW10" s="22"/>
      <c r="FX10" s="22"/>
      <c r="FY10" s="22"/>
      <c r="FZ10" s="22"/>
      <c r="GA10" s="22"/>
      <c r="GB10" s="22"/>
      <c r="GC10" s="22"/>
      <c r="GD10" s="22"/>
      <c r="GE10" s="22"/>
      <c r="GF10" s="22"/>
      <c r="GG10" s="22"/>
      <c r="GH10" s="22"/>
      <c r="GI10" s="22"/>
      <c r="GJ10" s="22"/>
      <c r="GK10" s="22"/>
      <c r="GL10" s="22"/>
      <c r="GM10" s="22"/>
      <c r="GN10" s="22"/>
      <c r="GO10" s="22"/>
      <c r="GP10" s="22"/>
      <c r="GQ10" s="22"/>
      <c r="GR10" s="22"/>
      <c r="GS10" s="22"/>
      <c r="GT10" s="22"/>
      <c r="GU10" s="22"/>
      <c r="GV10" s="22"/>
      <c r="GW10" s="22"/>
      <c r="GX10" s="22"/>
      <c r="GY10" s="22"/>
      <c r="GZ10" s="22"/>
      <c r="HA10" s="22"/>
      <c r="HB10" s="22"/>
      <c r="HC10" s="22"/>
      <c r="HD10" s="22"/>
      <c r="HE10" s="22"/>
      <c r="HF10" s="22"/>
      <c r="HG10" s="22"/>
      <c r="HH10" s="22"/>
      <c r="HI10" s="22"/>
      <c r="HJ10" s="22"/>
      <c r="HK10" s="22"/>
      <c r="HL10" s="22"/>
      <c r="HM10" s="22"/>
      <c r="HN10" s="22"/>
      <c r="HO10" s="22"/>
      <c r="HP10" s="22"/>
      <c r="HQ10" s="22"/>
      <c r="HR10" s="22"/>
      <c r="HS10" s="22"/>
      <c r="HT10" s="22"/>
      <c r="HU10" s="22"/>
      <c r="HV10" s="22"/>
      <c r="HW10" s="22"/>
      <c r="HX10" s="22"/>
      <c r="HY10" s="22"/>
      <c r="HZ10" s="22"/>
      <c r="IA10" s="22"/>
      <c r="IB10" s="22"/>
      <c r="IC10" s="22"/>
      <c r="ID10" s="22"/>
      <c r="IE10" s="22"/>
      <c r="IF10" s="22"/>
      <c r="IG10" s="22"/>
      <c r="IH10" s="22"/>
      <c r="II10" s="22"/>
      <c r="IJ10" s="22"/>
      <c r="IK10" s="22"/>
      <c r="IL10" s="22"/>
      <c r="IM10" s="22"/>
      <c r="IN10" s="22"/>
      <c r="IO10" s="22"/>
      <c r="IP10" s="22"/>
      <c r="IQ10" s="22"/>
      <c r="IR10" s="22"/>
      <c r="IS10" s="22"/>
      <c r="IT10" s="22"/>
      <c r="IU10" s="22"/>
      <c r="IV10" s="22"/>
      <c r="IW10" s="22"/>
      <c r="IX10" s="22"/>
      <c r="IY10" s="22"/>
      <c r="IZ10" s="22"/>
      <c r="JA10" s="22"/>
      <c r="JB10" s="22"/>
      <c r="JC10" s="22"/>
      <c r="JD10" s="22"/>
      <c r="JE10" s="22"/>
      <c r="JF10" s="22"/>
      <c r="JG10" s="22"/>
      <c r="JH10" s="22"/>
      <c r="JI10" s="22"/>
      <c r="JJ10" s="22"/>
      <c r="JK10" s="22"/>
      <c r="JL10" s="22"/>
      <c r="JM10" s="22"/>
      <c r="JN10" s="22"/>
      <c r="JO10" s="22"/>
      <c r="JP10" s="22"/>
      <c r="JQ10" s="22"/>
      <c r="JR10" s="22"/>
      <c r="JS10" s="22"/>
      <c r="JT10" s="22"/>
      <c r="JU10" s="22"/>
      <c r="JV10" s="22"/>
      <c r="JW10" s="22"/>
      <c r="JX10" s="22"/>
      <c r="JY10" s="22"/>
      <c r="JZ10" s="22"/>
      <c r="KA10" s="22"/>
      <c r="KB10" s="22"/>
    </row>
    <row r="11" spans="1:288" s="21" customFormat="1" ht="115.5" customHeight="1" x14ac:dyDescent="0.25">
      <c r="A11" s="28"/>
      <c r="B11" s="28"/>
      <c r="C11" s="29"/>
      <c r="D11" s="28"/>
      <c r="E11" s="28"/>
      <c r="F11" s="28"/>
      <c r="G11" s="28"/>
      <c r="H11" s="30" t="s">
        <v>16</v>
      </c>
      <c r="I11" s="30" t="s">
        <v>17</v>
      </c>
      <c r="J11" s="31"/>
      <c r="K11" s="31"/>
      <c r="L11" s="19"/>
      <c r="M11" s="20"/>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N11" s="22"/>
      <c r="FO11" s="22"/>
      <c r="FP11" s="22"/>
      <c r="FQ11" s="22"/>
      <c r="FR11" s="22"/>
      <c r="FS11" s="22"/>
      <c r="FT11" s="22"/>
      <c r="FU11" s="22"/>
      <c r="FV11" s="22"/>
      <c r="FW11" s="22"/>
      <c r="FX11" s="22"/>
      <c r="FY11" s="22"/>
      <c r="FZ11" s="22"/>
      <c r="GA11" s="22"/>
      <c r="GB11" s="22"/>
      <c r="GC11" s="22"/>
      <c r="GD11" s="22"/>
      <c r="GE11" s="22"/>
      <c r="GF11" s="22"/>
      <c r="GG11" s="22"/>
      <c r="GH11" s="22"/>
      <c r="GI11" s="22"/>
      <c r="GJ11" s="22"/>
      <c r="GK11" s="22"/>
      <c r="GL11" s="22"/>
      <c r="GM11" s="22"/>
      <c r="GN11" s="22"/>
      <c r="GO11" s="22"/>
      <c r="GP11" s="22"/>
      <c r="GQ11" s="22"/>
      <c r="GR11" s="22"/>
      <c r="GS11" s="22"/>
      <c r="GT11" s="22"/>
      <c r="GU11" s="22"/>
      <c r="GV11" s="22"/>
      <c r="GW11" s="22"/>
      <c r="GX11" s="22"/>
      <c r="GY11" s="22"/>
      <c r="GZ11" s="22"/>
      <c r="HA11" s="22"/>
      <c r="HB11" s="22"/>
      <c r="HC11" s="22"/>
      <c r="HD11" s="22"/>
      <c r="HE11" s="22"/>
      <c r="HF11" s="22"/>
      <c r="HG11" s="22"/>
      <c r="HH11" s="22"/>
      <c r="HI11" s="22"/>
      <c r="HJ11" s="22"/>
      <c r="HK11" s="22"/>
      <c r="HL11" s="22"/>
      <c r="HM11" s="22"/>
      <c r="HN11" s="22"/>
      <c r="HO11" s="22"/>
      <c r="HP11" s="22"/>
      <c r="HQ11" s="22"/>
      <c r="HR11" s="22"/>
      <c r="HS11" s="22"/>
      <c r="HT11" s="22"/>
      <c r="HU11" s="22"/>
      <c r="HV11" s="22"/>
      <c r="HW11" s="22"/>
      <c r="HX11" s="22"/>
      <c r="HY11" s="22"/>
      <c r="HZ11" s="22"/>
      <c r="IA11" s="22"/>
      <c r="IB11" s="22"/>
      <c r="IC11" s="22"/>
      <c r="ID11" s="22"/>
      <c r="IE11" s="22"/>
      <c r="IF11" s="22"/>
      <c r="IG11" s="22"/>
      <c r="IH11" s="22"/>
      <c r="II11" s="22"/>
      <c r="IJ11" s="22"/>
      <c r="IK11" s="22"/>
      <c r="IL11" s="22"/>
      <c r="IM11" s="22"/>
      <c r="IN11" s="22"/>
      <c r="IO11" s="22"/>
      <c r="IP11" s="22"/>
      <c r="IQ11" s="22"/>
      <c r="IR11" s="22"/>
      <c r="IS11" s="22"/>
      <c r="IT11" s="22"/>
      <c r="IU11" s="22"/>
      <c r="IV11" s="22"/>
      <c r="IW11" s="22"/>
      <c r="IX11" s="22"/>
      <c r="IY11" s="22"/>
      <c r="IZ11" s="22"/>
      <c r="JA11" s="22"/>
      <c r="JB11" s="22"/>
      <c r="JC11" s="22"/>
      <c r="JD11" s="22"/>
      <c r="JE11" s="22"/>
      <c r="JF11" s="22"/>
      <c r="JG11" s="22"/>
      <c r="JH11" s="22"/>
      <c r="JI11" s="22"/>
      <c r="JJ11" s="22"/>
      <c r="JK11" s="22"/>
      <c r="JL11" s="22"/>
      <c r="JM11" s="22"/>
      <c r="JN11" s="22"/>
      <c r="JO11" s="22"/>
      <c r="JP11" s="22"/>
      <c r="JQ11" s="22"/>
      <c r="JR11" s="22"/>
      <c r="JS11" s="22"/>
      <c r="JT11" s="22"/>
      <c r="JU11" s="22"/>
      <c r="JV11" s="22"/>
      <c r="JW11" s="22"/>
      <c r="JX11" s="22"/>
      <c r="JY11" s="22"/>
      <c r="JZ11" s="22"/>
      <c r="KA11" s="22"/>
      <c r="KB11" s="22"/>
    </row>
    <row r="12" spans="1:288" s="21" customFormat="1" ht="18" customHeight="1" thickBot="1" x14ac:dyDescent="0.3">
      <c r="A12" s="32">
        <v>1</v>
      </c>
      <c r="B12" s="32">
        <v>2</v>
      </c>
      <c r="C12" s="32">
        <v>3</v>
      </c>
      <c r="D12" s="32">
        <v>4</v>
      </c>
      <c r="E12" s="32">
        <v>5</v>
      </c>
      <c r="F12" s="32">
        <v>6</v>
      </c>
      <c r="G12" s="32" t="s">
        <v>18</v>
      </c>
      <c r="H12" s="33">
        <v>8</v>
      </c>
      <c r="I12" s="34"/>
      <c r="J12" s="35">
        <v>9</v>
      </c>
      <c r="K12" s="35">
        <v>10</v>
      </c>
      <c r="L12" s="35">
        <v>10</v>
      </c>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c r="CW12" s="22"/>
      <c r="CX12" s="22"/>
      <c r="CY12" s="22"/>
      <c r="CZ12" s="22"/>
      <c r="DA12" s="22"/>
      <c r="DB12" s="22"/>
      <c r="DC12" s="22"/>
      <c r="DD12" s="22"/>
      <c r="DE12" s="22"/>
      <c r="DF12" s="22"/>
      <c r="DG12" s="22"/>
      <c r="DH12" s="22"/>
      <c r="DI12" s="22"/>
      <c r="DJ12" s="22"/>
      <c r="DK12" s="22"/>
      <c r="DL12" s="22"/>
      <c r="DM12" s="22"/>
      <c r="DN12" s="22"/>
      <c r="DO12" s="22"/>
      <c r="DP12" s="22"/>
      <c r="DQ12" s="22"/>
      <c r="DR12" s="22"/>
      <c r="DS12" s="22"/>
      <c r="DT12" s="22"/>
      <c r="DU12" s="22"/>
      <c r="DV12" s="22"/>
      <c r="DW12" s="22"/>
      <c r="DX12" s="22"/>
      <c r="DY12" s="22"/>
      <c r="DZ12" s="22"/>
      <c r="EA12" s="22"/>
      <c r="EB12" s="22"/>
      <c r="EC12" s="22"/>
      <c r="ED12" s="22"/>
      <c r="EE12" s="22"/>
      <c r="EF12" s="22"/>
      <c r="EG12" s="22"/>
      <c r="EH12" s="22"/>
      <c r="EI12" s="22"/>
      <c r="EJ12" s="22"/>
      <c r="EK12" s="22"/>
      <c r="EL12" s="22"/>
      <c r="EM12" s="22"/>
      <c r="EN12" s="22"/>
      <c r="EO12" s="22"/>
      <c r="EP12" s="22"/>
      <c r="EQ12" s="22"/>
      <c r="ER12" s="22"/>
      <c r="ES12" s="22"/>
      <c r="ET12" s="22"/>
      <c r="EU12" s="22"/>
      <c r="EV12" s="22"/>
      <c r="EW12" s="22"/>
      <c r="EX12" s="22"/>
      <c r="EY12" s="22"/>
      <c r="EZ12" s="22"/>
      <c r="FA12" s="22"/>
      <c r="FB12" s="22"/>
      <c r="FC12" s="22"/>
      <c r="FD12" s="22"/>
      <c r="FE12" s="22"/>
      <c r="FF12" s="22"/>
      <c r="FG12" s="22"/>
      <c r="FH12" s="22"/>
      <c r="FI12" s="22"/>
      <c r="FJ12" s="22"/>
      <c r="FK12" s="22"/>
      <c r="FL12" s="22"/>
      <c r="FM12" s="22"/>
      <c r="FN12" s="22"/>
      <c r="FO12" s="22"/>
      <c r="FP12" s="22"/>
      <c r="FQ12" s="22"/>
      <c r="FR12" s="22"/>
      <c r="FS12" s="22"/>
      <c r="FT12" s="22"/>
      <c r="FU12" s="22"/>
      <c r="FV12" s="22"/>
      <c r="FW12" s="22"/>
      <c r="FX12" s="22"/>
      <c r="FY12" s="22"/>
      <c r="FZ12" s="22"/>
      <c r="GA12" s="22"/>
      <c r="GB12" s="22"/>
      <c r="GC12" s="22"/>
      <c r="GD12" s="22"/>
      <c r="GE12" s="22"/>
      <c r="GF12" s="22"/>
      <c r="GG12" s="22"/>
      <c r="GH12" s="22"/>
      <c r="GI12" s="22"/>
      <c r="GJ12" s="22"/>
      <c r="GK12" s="22"/>
      <c r="GL12" s="22"/>
      <c r="GM12" s="22"/>
      <c r="GN12" s="22"/>
      <c r="GO12" s="22"/>
      <c r="GP12" s="22"/>
      <c r="GQ12" s="22"/>
      <c r="GR12" s="22"/>
      <c r="GS12" s="22"/>
      <c r="GT12" s="22"/>
      <c r="GU12" s="22"/>
      <c r="GV12" s="22"/>
      <c r="GW12" s="22"/>
      <c r="GX12" s="22"/>
      <c r="GY12" s="22"/>
      <c r="GZ12" s="22"/>
      <c r="HA12" s="22"/>
      <c r="HB12" s="22"/>
      <c r="HC12" s="22"/>
      <c r="HD12" s="22"/>
      <c r="HE12" s="22"/>
      <c r="HF12" s="22"/>
      <c r="HG12" s="22"/>
      <c r="HH12" s="22"/>
      <c r="HI12" s="22"/>
      <c r="HJ12" s="22"/>
      <c r="HK12" s="22"/>
      <c r="HL12" s="22"/>
      <c r="HM12" s="22"/>
      <c r="HN12" s="22"/>
      <c r="HO12" s="22"/>
      <c r="HP12" s="22"/>
      <c r="HQ12" s="22"/>
      <c r="HR12" s="22"/>
      <c r="HS12" s="22"/>
      <c r="HT12" s="22"/>
      <c r="HU12" s="22"/>
      <c r="HV12" s="22"/>
      <c r="HW12" s="22"/>
      <c r="HX12" s="22"/>
      <c r="HY12" s="22"/>
      <c r="HZ12" s="22"/>
      <c r="IA12" s="22"/>
      <c r="IB12" s="22"/>
      <c r="IC12" s="22"/>
      <c r="ID12" s="22"/>
      <c r="IE12" s="22"/>
      <c r="IF12" s="22"/>
      <c r="IG12" s="22"/>
      <c r="IH12" s="22"/>
      <c r="II12" s="22"/>
      <c r="IJ12" s="22"/>
      <c r="IK12" s="22"/>
      <c r="IL12" s="22"/>
      <c r="IM12" s="22"/>
      <c r="IN12" s="22"/>
      <c r="IO12" s="22"/>
      <c r="IP12" s="22"/>
      <c r="IQ12" s="22"/>
      <c r="IR12" s="22"/>
      <c r="IS12" s="22"/>
      <c r="IT12" s="22"/>
      <c r="IU12" s="22"/>
      <c r="IV12" s="22"/>
      <c r="IW12" s="22"/>
      <c r="IX12" s="22"/>
      <c r="IY12" s="22"/>
      <c r="IZ12" s="22"/>
      <c r="JA12" s="22"/>
      <c r="JB12" s="22"/>
      <c r="JC12" s="22"/>
      <c r="JD12" s="22"/>
      <c r="JE12" s="22"/>
      <c r="JF12" s="22"/>
      <c r="JG12" s="22"/>
      <c r="JH12" s="22"/>
      <c r="JI12" s="22"/>
      <c r="JJ12" s="22"/>
      <c r="JK12" s="22"/>
      <c r="JL12" s="22"/>
      <c r="JM12" s="22"/>
      <c r="JN12" s="22"/>
      <c r="JO12" s="22"/>
      <c r="JP12" s="22"/>
      <c r="JQ12" s="22"/>
      <c r="JR12" s="22"/>
      <c r="JS12" s="22"/>
      <c r="JT12" s="22"/>
      <c r="JU12" s="22"/>
      <c r="JV12" s="22"/>
      <c r="JW12" s="22"/>
      <c r="JX12" s="22"/>
      <c r="JY12" s="22"/>
      <c r="JZ12" s="22"/>
      <c r="KA12" s="22"/>
      <c r="KB12" s="22"/>
    </row>
    <row r="13" spans="1:288" s="40" customFormat="1" ht="34.5" customHeight="1" thickTop="1" x14ac:dyDescent="0.2">
      <c r="A13" s="36">
        <v>1</v>
      </c>
      <c r="B13" s="37" t="s">
        <v>19</v>
      </c>
      <c r="C13" s="38">
        <f>C15+C23+C20</f>
        <v>46758.78</v>
      </c>
      <c r="D13" s="38">
        <f>D15+D23+D20</f>
        <v>353963.9057</v>
      </c>
      <c r="E13" s="38">
        <f>E15+E23+E20</f>
        <v>365186.05</v>
      </c>
      <c r="F13" s="39"/>
      <c r="G13" s="38">
        <f>G15+G23+G20</f>
        <v>381984.61</v>
      </c>
      <c r="H13" s="38"/>
      <c r="I13" s="38"/>
      <c r="J13" s="39"/>
      <c r="K13" s="38">
        <f>K15+K23+K20</f>
        <v>454956.56670000002</v>
      </c>
    </row>
    <row r="14" spans="1:288" ht="19.5" customHeight="1" x14ac:dyDescent="0.25">
      <c r="A14" s="41"/>
      <c r="B14" s="42" t="s">
        <v>20</v>
      </c>
      <c r="C14" s="43"/>
      <c r="D14" s="43"/>
      <c r="E14" s="43"/>
      <c r="F14" s="44"/>
      <c r="G14" s="43"/>
      <c r="H14" s="43"/>
      <c r="I14" s="43"/>
      <c r="J14" s="44"/>
      <c r="K14" s="43"/>
    </row>
    <row r="15" spans="1:288" ht="72" customHeight="1" x14ac:dyDescent="0.25">
      <c r="A15" s="45" t="s">
        <v>21</v>
      </c>
      <c r="B15" s="46" t="s">
        <v>22</v>
      </c>
      <c r="C15" s="43">
        <f>SUM(C16:C19)</f>
        <v>46754.909999999996</v>
      </c>
      <c r="D15" s="43">
        <f>SUM(D16:D19)</f>
        <v>353934.60570000001</v>
      </c>
      <c r="E15" s="43">
        <f>SUM(E16:E19)</f>
        <v>365155.83</v>
      </c>
      <c r="F15" s="44">
        <f>[1]дефляторы!H6</f>
        <v>1.046</v>
      </c>
      <c r="G15" s="43">
        <f>SUM(G16:G19)</f>
        <v>381953</v>
      </c>
      <c r="H15" s="43"/>
      <c r="I15" s="43"/>
      <c r="J15" s="44"/>
      <c r="K15" s="43">
        <f>SUM(K16:K19)</f>
        <v>454925.27430000005</v>
      </c>
    </row>
    <row r="16" spans="1:288" x14ac:dyDescent="0.25">
      <c r="A16" s="45"/>
      <c r="B16" s="47" t="s">
        <v>23</v>
      </c>
      <c r="C16" s="43">
        <v>7.9</v>
      </c>
      <c r="D16" s="43">
        <f>ROUND(C16*7.57,2)</f>
        <v>59.8</v>
      </c>
      <c r="E16" s="43">
        <f>ROUND(C16*7.81,2)</f>
        <v>61.7</v>
      </c>
      <c r="F16" s="44">
        <f t="shared" ref="F16:F23" si="0">$F$15</f>
        <v>1.046</v>
      </c>
      <c r="G16" s="43">
        <f>ROUND(E16*F16,2)</f>
        <v>64.540000000000006</v>
      </c>
      <c r="H16" s="48">
        <v>9.73</v>
      </c>
      <c r="I16" s="43"/>
      <c r="J16" s="44"/>
      <c r="K16" s="43">
        <f>C16*H16</f>
        <v>76.867000000000004</v>
      </c>
      <c r="M16" s="49" t="e">
        <f>#REF!+#REF!+#REF!+#REF!+#REF!+#REF!+#REF!+#REF!</f>
        <v>#REF!</v>
      </c>
      <c r="O16" s="49" t="e">
        <f>K16+K22+#REF!</f>
        <v>#REF!</v>
      </c>
    </row>
    <row r="17" spans="1:19" x14ac:dyDescent="0.25">
      <c r="A17" s="45"/>
      <c r="B17" s="47" t="s">
        <v>24</v>
      </c>
      <c r="C17" s="43">
        <f>44941.47-3.87+0.01</f>
        <v>44937.61</v>
      </c>
      <c r="D17" s="43">
        <f>C17*7.57-0.06</f>
        <v>340177.64770000003</v>
      </c>
      <c r="E17" s="43">
        <f t="shared" ref="E17:E19" si="1">ROUND(C17*7.81,2)</f>
        <v>350962.73</v>
      </c>
      <c r="F17" s="44">
        <f t="shared" si="0"/>
        <v>1.046</v>
      </c>
      <c r="G17" s="43">
        <f t="shared" ref="G17:G23" si="2">ROUND(E17*F17,2)</f>
        <v>367107.02</v>
      </c>
      <c r="H17" s="48">
        <v>9.73</v>
      </c>
      <c r="I17" s="43"/>
      <c r="J17" s="44"/>
      <c r="K17" s="43">
        <f>C17*H17</f>
        <v>437242.94530000002</v>
      </c>
      <c r="M17" s="49" t="e">
        <f>#REF!+#REF!+#REF!+#REF!+#REF!+#REF!</f>
        <v>#REF!</v>
      </c>
      <c r="O17" s="49" t="e">
        <f>K17+#REF!</f>
        <v>#REF!</v>
      </c>
    </row>
    <row r="18" spans="1:19" x14ac:dyDescent="0.25">
      <c r="A18" s="45"/>
      <c r="B18" s="47" t="s">
        <v>25</v>
      </c>
      <c r="C18" s="43">
        <v>1474.34</v>
      </c>
      <c r="D18" s="43">
        <f>C18*7.57</f>
        <v>11160.7538</v>
      </c>
      <c r="E18" s="43">
        <f>ROUND(C18*7.81,2)-0.02</f>
        <v>11514.58</v>
      </c>
      <c r="F18" s="44">
        <f t="shared" si="0"/>
        <v>1.046</v>
      </c>
      <c r="G18" s="43">
        <f t="shared" si="2"/>
        <v>12044.25</v>
      </c>
      <c r="H18" s="48">
        <v>9.73</v>
      </c>
      <c r="I18" s="43"/>
      <c r="J18" s="44"/>
      <c r="K18" s="43">
        <f>C18*H18</f>
        <v>14345.3282</v>
      </c>
      <c r="O18" s="49" t="e">
        <f>K18+#REF!+#REF!</f>
        <v>#REF!</v>
      </c>
      <c r="Q18" s="50" t="e">
        <f>#REF!*H18</f>
        <v>#REF!</v>
      </c>
      <c r="R18" s="50" t="e">
        <f>#REF!*#REF!</f>
        <v>#REF!</v>
      </c>
      <c r="S18" s="50" t="e">
        <f>#REF!*#REF!</f>
        <v>#REF!</v>
      </c>
    </row>
    <row r="19" spans="1:19" x14ac:dyDescent="0.25">
      <c r="A19" s="45"/>
      <c r="B19" s="47" t="s">
        <v>26</v>
      </c>
      <c r="C19" s="43">
        <f>335.06</f>
        <v>335.06</v>
      </c>
      <c r="D19" s="43">
        <f>C19*7.57</f>
        <v>2536.4041999999999</v>
      </c>
      <c r="E19" s="43">
        <f t="shared" si="1"/>
        <v>2616.8200000000002</v>
      </c>
      <c r="F19" s="44">
        <f t="shared" si="0"/>
        <v>1.046</v>
      </c>
      <c r="G19" s="43">
        <f t="shared" si="2"/>
        <v>2737.19</v>
      </c>
      <c r="H19" s="48">
        <v>9.73</v>
      </c>
      <c r="I19" s="43"/>
      <c r="J19" s="44"/>
      <c r="K19" s="43">
        <f>C19*H19</f>
        <v>3260.1338000000001</v>
      </c>
      <c r="O19" s="49" t="e">
        <f>K19+#REF!+#REF!</f>
        <v>#REF!</v>
      </c>
      <c r="Q19" s="50" t="e">
        <f>#REF!*H19</f>
        <v>#REF!</v>
      </c>
      <c r="R19" s="50" t="e">
        <f>#REF!*#REF!</f>
        <v>#REF!</v>
      </c>
      <c r="S19" s="50" t="e">
        <f>#REF!*#REF!</f>
        <v>#REF!</v>
      </c>
    </row>
    <row r="20" spans="1:19" ht="90" customHeight="1" x14ac:dyDescent="0.25">
      <c r="A20" s="45" t="s">
        <v>27</v>
      </c>
      <c r="B20" s="46" t="s">
        <v>28</v>
      </c>
      <c r="C20" s="43">
        <f>SUM(C21:C22)</f>
        <v>3.87</v>
      </c>
      <c r="D20" s="43">
        <f>SUM(D21:D22)</f>
        <v>29.3</v>
      </c>
      <c r="E20" s="43">
        <f>SUM(E21:E22)</f>
        <v>30.22</v>
      </c>
      <c r="F20" s="44"/>
      <c r="G20" s="43">
        <f>SUM(G21:G22)</f>
        <v>31.61</v>
      </c>
      <c r="H20" s="43"/>
      <c r="I20" s="43"/>
      <c r="J20" s="44"/>
      <c r="K20" s="43">
        <f>SUM(K21:K22)</f>
        <v>31.292400000000004</v>
      </c>
      <c r="O20" s="49"/>
    </row>
    <row r="21" spans="1:19" x14ac:dyDescent="0.25">
      <c r="A21" s="45"/>
      <c r="B21" s="47" t="s">
        <v>29</v>
      </c>
      <c r="C21" s="51">
        <v>0</v>
      </c>
      <c r="D21" s="51">
        <f>ROUND(C21*7.89,2)</f>
        <v>0</v>
      </c>
      <c r="E21" s="51">
        <f>ROUND(C21*7.81,2)</f>
        <v>0</v>
      </c>
      <c r="F21" s="52">
        <f t="shared" si="0"/>
        <v>1.046</v>
      </c>
      <c r="G21" s="51">
        <f t="shared" si="2"/>
        <v>0</v>
      </c>
      <c r="H21" s="51"/>
      <c r="I21" s="51"/>
      <c r="J21" s="52">
        <f>[1]дефляторы!H7</f>
        <v>1.0680000000000001</v>
      </c>
      <c r="K21" s="51">
        <f>D21*J21</f>
        <v>0</v>
      </c>
      <c r="O21" s="49"/>
    </row>
    <row r="22" spans="1:19" s="53" customFormat="1" x14ac:dyDescent="0.25">
      <c r="A22" s="45"/>
      <c r="B22" s="47" t="s">
        <v>24</v>
      </c>
      <c r="C22" s="51">
        <v>3.87</v>
      </c>
      <c r="D22" s="51">
        <f>ROUND(C22*7.57,2)</f>
        <v>29.3</v>
      </c>
      <c r="E22" s="51">
        <f>ROUND(C22*7.81,2)</f>
        <v>30.22</v>
      </c>
      <c r="F22" s="52">
        <f t="shared" si="0"/>
        <v>1.046</v>
      </c>
      <c r="G22" s="51">
        <f t="shared" si="2"/>
        <v>31.61</v>
      </c>
      <c r="H22" s="51"/>
      <c r="I22" s="51"/>
      <c r="J22" s="52">
        <f>$J$21</f>
        <v>1.0680000000000001</v>
      </c>
      <c r="K22" s="51">
        <f>D22*J22</f>
        <v>31.292400000000004</v>
      </c>
      <c r="O22" s="49"/>
    </row>
    <row r="23" spans="1:19" ht="90.75" customHeight="1" x14ac:dyDescent="0.25">
      <c r="A23" s="45" t="s">
        <v>30</v>
      </c>
      <c r="B23" s="46" t="s">
        <v>31</v>
      </c>
      <c r="C23" s="43">
        <v>0</v>
      </c>
      <c r="D23" s="43">
        <v>0</v>
      </c>
      <c r="E23" s="43">
        <v>0</v>
      </c>
      <c r="F23" s="44">
        <f t="shared" si="0"/>
        <v>1.046</v>
      </c>
      <c r="G23" s="43">
        <f t="shared" si="2"/>
        <v>0</v>
      </c>
      <c r="H23" s="43"/>
      <c r="I23" s="43"/>
      <c r="J23" s="44"/>
      <c r="K23" s="43">
        <f>C23*H23</f>
        <v>0</v>
      </c>
      <c r="O23" s="49"/>
    </row>
    <row r="24" spans="1:19" s="40" customFormat="1" ht="33" customHeight="1" x14ac:dyDescent="0.2">
      <c r="A24" s="54">
        <v>2</v>
      </c>
      <c r="B24" s="55" t="s">
        <v>32</v>
      </c>
      <c r="C24" s="56">
        <v>0</v>
      </c>
      <c r="D24" s="56">
        <v>0</v>
      </c>
      <c r="E24" s="56">
        <v>0</v>
      </c>
      <c r="F24" s="57"/>
      <c r="G24" s="56">
        <f>G26+G28+G27</f>
        <v>0</v>
      </c>
      <c r="H24" s="56"/>
      <c r="I24" s="56"/>
      <c r="J24" s="57"/>
      <c r="K24" s="56">
        <f>K26+K28+K27</f>
        <v>0</v>
      </c>
    </row>
    <row r="25" spans="1:19" ht="19.5" customHeight="1" x14ac:dyDescent="0.25">
      <c r="A25" s="41"/>
      <c r="B25" s="42" t="s">
        <v>20</v>
      </c>
      <c r="C25" s="43"/>
      <c r="D25" s="43"/>
      <c r="E25" s="43"/>
      <c r="F25" s="44"/>
      <c r="G25" s="43"/>
      <c r="H25" s="43"/>
      <c r="I25" s="43"/>
      <c r="J25" s="44"/>
      <c r="K25" s="43"/>
      <c r="N25" s="58"/>
      <c r="O25" s="58"/>
    </row>
    <row r="26" spans="1:19" ht="76.5" customHeight="1" x14ac:dyDescent="0.25">
      <c r="A26" s="45" t="s">
        <v>33</v>
      </c>
      <c r="B26" s="46" t="s">
        <v>34</v>
      </c>
      <c r="C26" s="43">
        <v>0</v>
      </c>
      <c r="D26" s="43">
        <f t="shared" ref="D26:E28" si="3">C26*4.21</f>
        <v>0</v>
      </c>
      <c r="E26" s="43">
        <f t="shared" si="3"/>
        <v>0</v>
      </c>
      <c r="F26" s="44">
        <f t="shared" ref="F26:F28" si="4">$F$15</f>
        <v>1.046</v>
      </c>
      <c r="G26" s="43">
        <f t="shared" ref="G26:G28" si="5">ROUND(E26*F26,2)</f>
        <v>0</v>
      </c>
      <c r="H26" s="43"/>
      <c r="I26" s="43"/>
      <c r="J26" s="44"/>
      <c r="K26" s="43">
        <f>C26*H26</f>
        <v>0</v>
      </c>
      <c r="O26" s="58"/>
    </row>
    <row r="27" spans="1:19" ht="60" x14ac:dyDescent="0.25">
      <c r="A27" s="45" t="s">
        <v>35</v>
      </c>
      <c r="B27" s="46" t="s">
        <v>36</v>
      </c>
      <c r="C27" s="43">
        <v>0</v>
      </c>
      <c r="D27" s="43">
        <f t="shared" si="3"/>
        <v>0</v>
      </c>
      <c r="E27" s="43">
        <f t="shared" si="3"/>
        <v>0</v>
      </c>
      <c r="F27" s="44">
        <f t="shared" si="4"/>
        <v>1.046</v>
      </c>
      <c r="G27" s="43">
        <f t="shared" si="5"/>
        <v>0</v>
      </c>
      <c r="H27" s="43"/>
      <c r="I27" s="43"/>
      <c r="J27" s="44"/>
      <c r="K27" s="43">
        <f>C27*H27</f>
        <v>0</v>
      </c>
    </row>
    <row r="28" spans="1:19" ht="60" x14ac:dyDescent="0.25">
      <c r="A28" s="45" t="s">
        <v>37</v>
      </c>
      <c r="B28" s="46" t="s">
        <v>38</v>
      </c>
      <c r="C28" s="43">
        <v>0</v>
      </c>
      <c r="D28" s="43">
        <f t="shared" si="3"/>
        <v>0</v>
      </c>
      <c r="E28" s="43">
        <f t="shared" si="3"/>
        <v>0</v>
      </c>
      <c r="F28" s="44">
        <f t="shared" si="4"/>
        <v>1.046</v>
      </c>
      <c r="G28" s="43">
        <f t="shared" si="5"/>
        <v>0</v>
      </c>
      <c r="H28" s="43"/>
      <c r="I28" s="43"/>
      <c r="J28" s="44"/>
      <c r="K28" s="43">
        <v>0</v>
      </c>
    </row>
    <row r="29" spans="1:19" s="40" customFormat="1" ht="39" customHeight="1" x14ac:dyDescent="0.2">
      <c r="A29" s="54">
        <v>3</v>
      </c>
      <c r="B29" s="55" t="s">
        <v>39</v>
      </c>
      <c r="C29" s="56">
        <f>SUM(C31:C38)</f>
        <v>4659.08</v>
      </c>
      <c r="D29" s="56">
        <f>SUM(D31:D38)</f>
        <v>19947.950199999999</v>
      </c>
      <c r="E29" s="56">
        <f>SUM(E31:E38)</f>
        <v>21756.250899999995</v>
      </c>
      <c r="F29" s="57"/>
      <c r="G29" s="56">
        <f>SUM(G31:G38)</f>
        <v>22757.050000000003</v>
      </c>
      <c r="H29" s="56"/>
      <c r="I29" s="56"/>
      <c r="J29" s="57"/>
      <c r="K29" s="56">
        <f>SUM(K31:Y38)</f>
        <v>23776.491942533332</v>
      </c>
    </row>
    <row r="30" spans="1:19" ht="19.5" customHeight="1" x14ac:dyDescent="0.25">
      <c r="A30" s="45"/>
      <c r="B30" s="42" t="s">
        <v>20</v>
      </c>
      <c r="C30" s="43"/>
      <c r="D30" s="43"/>
      <c r="E30" s="43"/>
      <c r="F30" s="44"/>
      <c r="G30" s="43"/>
      <c r="H30" s="43"/>
      <c r="I30" s="43"/>
      <c r="J30" s="44"/>
      <c r="K30" s="43"/>
    </row>
    <row r="31" spans="1:19" ht="37.5" customHeight="1" x14ac:dyDescent="0.25">
      <c r="A31" s="45" t="s">
        <v>40</v>
      </c>
      <c r="B31" s="46" t="s">
        <v>41</v>
      </c>
      <c r="C31" s="43">
        <v>139.57</v>
      </c>
      <c r="D31" s="43">
        <f>ROUND(C31*4.17,2)</f>
        <v>582.01</v>
      </c>
      <c r="E31" s="48">
        <f>ROUND(C31*4.5,2)</f>
        <v>628.07000000000005</v>
      </c>
      <c r="F31" s="44">
        <f>$F$15</f>
        <v>1.046</v>
      </c>
      <c r="G31" s="43">
        <f t="shared" ref="G31:G37" si="6">ROUND(E31*F31,2)</f>
        <v>656.96</v>
      </c>
      <c r="H31" s="59"/>
      <c r="I31" s="60">
        <v>4.8899999999999997</v>
      </c>
      <c r="J31" s="44"/>
      <c r="K31" s="43">
        <f>C31*4.89</f>
        <v>682.49729999999988</v>
      </c>
    </row>
    <row r="32" spans="1:19" ht="32.25" customHeight="1" x14ac:dyDescent="0.25">
      <c r="A32" s="45" t="s">
        <v>42</v>
      </c>
      <c r="B32" s="46" t="s">
        <v>43</v>
      </c>
      <c r="C32" s="43">
        <v>93.8</v>
      </c>
      <c r="D32" s="43">
        <f>C32*10.41</f>
        <v>976.45799999999997</v>
      </c>
      <c r="E32" s="43">
        <f>C32*13.46</f>
        <v>1262.548</v>
      </c>
      <c r="F32" s="44">
        <f t="shared" ref="F32:F37" si="7">$F$15</f>
        <v>1.046</v>
      </c>
      <c r="G32" s="43">
        <f t="shared" si="6"/>
        <v>1320.63</v>
      </c>
      <c r="H32" s="60"/>
      <c r="I32" s="60">
        <v>15.1</v>
      </c>
      <c r="J32" s="44"/>
      <c r="K32" s="43">
        <f>C32*15.1</f>
        <v>1416.3799999999999</v>
      </c>
    </row>
    <row r="33" spans="1:27" ht="32.25" customHeight="1" x14ac:dyDescent="0.25">
      <c r="A33" s="45" t="s">
        <v>44</v>
      </c>
      <c r="B33" s="46" t="s">
        <v>45</v>
      </c>
      <c r="C33" s="43">
        <v>1288.0899999999999</v>
      </c>
      <c r="D33" s="43">
        <f>C33*4.09</f>
        <v>5268.2880999999998</v>
      </c>
      <c r="E33" s="43">
        <f>C33*4.42</f>
        <v>5693.3577999999998</v>
      </c>
      <c r="F33" s="44">
        <f t="shared" si="7"/>
        <v>1.046</v>
      </c>
      <c r="G33" s="43">
        <f t="shared" si="6"/>
        <v>5955.25</v>
      </c>
      <c r="H33" s="60"/>
      <c r="I33" s="60">
        <v>4.83</v>
      </c>
      <c r="J33" s="44"/>
      <c r="K33" s="43">
        <f>C33*4.83</f>
        <v>6221.4746999999998</v>
      </c>
    </row>
    <row r="34" spans="1:27" ht="32.25" customHeight="1" x14ac:dyDescent="0.25">
      <c r="A34" s="45" t="s">
        <v>46</v>
      </c>
      <c r="B34" s="46" t="s">
        <v>47</v>
      </c>
      <c r="C34" s="43">
        <v>2005.87</v>
      </c>
      <c r="D34" s="43">
        <f>C34*4.09</f>
        <v>8204.0082999999995</v>
      </c>
      <c r="E34" s="43">
        <f>C34*4.42</f>
        <v>8865.9453999999987</v>
      </c>
      <c r="F34" s="44">
        <f t="shared" si="7"/>
        <v>1.046</v>
      </c>
      <c r="G34" s="43">
        <f t="shared" si="6"/>
        <v>9273.7800000000007</v>
      </c>
      <c r="H34" s="60"/>
      <c r="I34" s="60">
        <v>4.83</v>
      </c>
      <c r="J34" s="44"/>
      <c r="K34" s="43">
        <f>C34*4.83</f>
        <v>9688.3521000000001</v>
      </c>
    </row>
    <row r="35" spans="1:27" ht="28.5" customHeight="1" x14ac:dyDescent="0.25">
      <c r="A35" s="45" t="s">
        <v>48</v>
      </c>
      <c r="B35" s="46" t="s">
        <v>49</v>
      </c>
      <c r="C35" s="43">
        <f>935.93-0.01</f>
        <v>935.92</v>
      </c>
      <c r="D35" s="43">
        <f>C35*4.17</f>
        <v>3902.7864</v>
      </c>
      <c r="E35" s="43">
        <f>C35*4.5</f>
        <v>4211.6399999999994</v>
      </c>
      <c r="F35" s="44">
        <f t="shared" si="7"/>
        <v>1.046</v>
      </c>
      <c r="G35" s="43">
        <f t="shared" si="6"/>
        <v>4405.38</v>
      </c>
      <c r="H35" s="60"/>
      <c r="I35" s="60">
        <v>4.8899999999999997</v>
      </c>
      <c r="J35" s="44"/>
      <c r="K35" s="43">
        <f>C35*4.89</f>
        <v>4576.6487999999999</v>
      </c>
    </row>
    <row r="36" spans="1:27" ht="28.5" customHeight="1" x14ac:dyDescent="0.25">
      <c r="A36" s="45" t="s">
        <v>50</v>
      </c>
      <c r="B36" s="46" t="s">
        <v>51</v>
      </c>
      <c r="C36" s="51">
        <f>192.74</f>
        <v>192.74</v>
      </c>
      <c r="D36" s="51">
        <f>C36*5.18</f>
        <v>998.39319999999998</v>
      </c>
      <c r="E36" s="51">
        <f>C36*5.59</f>
        <v>1077.4166</v>
      </c>
      <c r="F36" s="52">
        <f t="shared" si="7"/>
        <v>1.046</v>
      </c>
      <c r="G36" s="51">
        <f t="shared" si="6"/>
        <v>1126.98</v>
      </c>
      <c r="H36" s="61"/>
      <c r="I36" s="61"/>
      <c r="J36" s="52">
        <f>$J$21</f>
        <v>1.0680000000000001</v>
      </c>
      <c r="K36" s="51">
        <f>D36*J36</f>
        <v>1066.2839375999999</v>
      </c>
    </row>
    <row r="37" spans="1:27" ht="46.5" customHeight="1" x14ac:dyDescent="0.25">
      <c r="A37" s="45" t="s">
        <v>52</v>
      </c>
      <c r="B37" s="46" t="s">
        <v>53</v>
      </c>
      <c r="C37" s="51">
        <f>3.09</f>
        <v>3.09</v>
      </c>
      <c r="D37" s="51">
        <f>C37*5.18</f>
        <v>16.0062</v>
      </c>
      <c r="E37" s="51">
        <f>C37*5.59</f>
        <v>17.273099999999999</v>
      </c>
      <c r="F37" s="52">
        <f t="shared" si="7"/>
        <v>1.046</v>
      </c>
      <c r="G37" s="51">
        <f t="shared" si="6"/>
        <v>18.07</v>
      </c>
      <c r="H37" s="61"/>
      <c r="I37" s="61"/>
      <c r="J37" s="52">
        <f>$J$21</f>
        <v>1.0680000000000001</v>
      </c>
      <c r="K37" s="51">
        <f>D37*J37</f>
        <v>17.0946216</v>
      </c>
    </row>
    <row r="38" spans="1:27" ht="28.5" customHeight="1" x14ac:dyDescent="0.25">
      <c r="A38" s="45" t="s">
        <v>54</v>
      </c>
      <c r="B38" s="46" t="s">
        <v>55</v>
      </c>
      <c r="C38" s="43"/>
      <c r="D38" s="43"/>
      <c r="E38" s="43"/>
      <c r="F38" s="44"/>
      <c r="G38" s="43"/>
      <c r="H38" s="60"/>
      <c r="I38" s="60"/>
      <c r="J38" s="62"/>
      <c r="K38" s="43">
        <f>129.31258/1.2</f>
        <v>107.76048333333334</v>
      </c>
      <c r="AA38" s="3">
        <f>(C33*1.19+C35*1.266)</f>
        <v>2717.7018199999998</v>
      </c>
    </row>
    <row r="39" spans="1:27" ht="28.5" customHeight="1" x14ac:dyDescent="0.25">
      <c r="A39" s="45"/>
      <c r="B39" s="63" t="s">
        <v>56</v>
      </c>
      <c r="C39" s="56">
        <f>C29+C24+C13</f>
        <v>51417.86</v>
      </c>
      <c r="D39" s="56">
        <f>D29+D24+D13</f>
        <v>373911.85590000002</v>
      </c>
      <c r="E39" s="56">
        <f>E29+E24+E13</f>
        <v>386942.30089999997</v>
      </c>
      <c r="F39" s="57"/>
      <c r="G39" s="56">
        <f>G29+G24+G13</f>
        <v>404741.66</v>
      </c>
      <c r="H39" s="64"/>
      <c r="I39" s="64"/>
      <c r="J39" s="65"/>
      <c r="K39" s="56">
        <f>K29+K24+K13</f>
        <v>478733.05864253337</v>
      </c>
    </row>
    <row r="40" spans="1:27" ht="28.5" customHeight="1" x14ac:dyDescent="0.25">
      <c r="A40" s="45"/>
      <c r="B40" s="47" t="s">
        <v>57</v>
      </c>
      <c r="C40" s="43">
        <f>(C39-C37)*3%</f>
        <v>1542.4431</v>
      </c>
      <c r="D40" s="43">
        <f>(D39-D37)*3%</f>
        <v>11216.875491000001</v>
      </c>
      <c r="E40" s="43">
        <f>(E39-E37)*3%</f>
        <v>11607.750833999999</v>
      </c>
      <c r="F40" s="44"/>
      <c r="G40" s="43">
        <f>G39*3%</f>
        <v>12142.2498</v>
      </c>
      <c r="H40" s="60"/>
      <c r="I40" s="60"/>
      <c r="J40" s="62"/>
      <c r="K40" s="43">
        <f>K39*3%</f>
        <v>14361.991759276001</v>
      </c>
    </row>
    <row r="41" spans="1:27" ht="28.5" customHeight="1" x14ac:dyDescent="0.25">
      <c r="A41" s="45"/>
      <c r="B41" s="63" t="s">
        <v>58</v>
      </c>
      <c r="C41" s="56">
        <f>C39+C40-0.01</f>
        <v>52960.293099999995</v>
      </c>
      <c r="D41" s="56">
        <f>D39+D40</f>
        <v>385128.73139100004</v>
      </c>
      <c r="E41" s="56">
        <f>E39+E40</f>
        <v>398550.05173399998</v>
      </c>
      <c r="F41" s="57"/>
      <c r="G41" s="56">
        <f>G39+G40</f>
        <v>416883.90979999996</v>
      </c>
      <c r="H41" s="64"/>
      <c r="I41" s="64"/>
      <c r="J41" s="65"/>
      <c r="K41" s="56">
        <f>K39+K40</f>
        <v>493095.05040180939</v>
      </c>
    </row>
    <row r="42" spans="1:27" ht="28.5" customHeight="1" x14ac:dyDescent="0.25">
      <c r="A42" s="45"/>
      <c r="B42" s="47" t="s">
        <v>59</v>
      </c>
      <c r="C42" s="56"/>
      <c r="D42" s="43">
        <v>1885.42</v>
      </c>
      <c r="E42" s="43"/>
      <c r="F42" s="57"/>
      <c r="G42" s="56"/>
      <c r="H42" s="64"/>
      <c r="I42" s="64"/>
      <c r="J42" s="65"/>
      <c r="K42" s="56"/>
    </row>
    <row r="43" spans="1:27" ht="28.5" customHeight="1" x14ac:dyDescent="0.25">
      <c r="A43" s="45"/>
      <c r="B43" s="47" t="s">
        <v>60</v>
      </c>
      <c r="C43" s="43"/>
      <c r="D43" s="43">
        <v>74930.83</v>
      </c>
      <c r="E43" s="43">
        <f>E41*20%</f>
        <v>79710.010346800002</v>
      </c>
      <c r="F43" s="44"/>
      <c r="G43" s="43">
        <f>G41*20%</f>
        <v>83376.781959999993</v>
      </c>
      <c r="H43" s="60"/>
      <c r="I43" s="60"/>
      <c r="J43" s="62"/>
      <c r="K43" s="43">
        <f>K41*20%</f>
        <v>98619.010080361884</v>
      </c>
    </row>
    <row r="44" spans="1:27" ht="24.75" customHeight="1" x14ac:dyDescent="0.25">
      <c r="A44" s="66"/>
      <c r="B44" s="67" t="s">
        <v>61</v>
      </c>
      <c r="C44" s="56"/>
      <c r="D44" s="56">
        <f>D41+D42+D43</f>
        <v>461944.98139100004</v>
      </c>
      <c r="E44" s="56">
        <f>E41+E42+E43</f>
        <v>478260.06208079995</v>
      </c>
      <c r="F44" s="57"/>
      <c r="G44" s="56">
        <f>G41+G43</f>
        <v>500260.69175999996</v>
      </c>
      <c r="H44" s="43"/>
      <c r="I44" s="43"/>
      <c r="J44" s="44"/>
      <c r="K44" s="56">
        <f>K41+K43</f>
        <v>591714.06048217125</v>
      </c>
      <c r="M44" s="50"/>
    </row>
    <row r="45" spans="1:27" ht="36.75" customHeight="1" x14ac:dyDescent="0.25">
      <c r="B45" s="68" t="s">
        <v>62</v>
      </c>
      <c r="C45" s="68"/>
      <c r="D45" s="68"/>
      <c r="E45" s="68"/>
      <c r="F45" s="68"/>
      <c r="G45" s="68"/>
      <c r="H45" s="68"/>
      <c r="I45" s="68"/>
      <c r="J45" s="68"/>
      <c r="K45" s="68"/>
    </row>
    <row r="46" spans="1:27" ht="36.75" customHeight="1" x14ac:dyDescent="0.25">
      <c r="B46" s="69" t="s">
        <v>63</v>
      </c>
      <c r="C46" s="69"/>
      <c r="D46" s="69"/>
      <c r="E46" s="69"/>
      <c r="F46" s="69"/>
      <c r="G46" s="69"/>
      <c r="H46" s="69"/>
      <c r="I46" s="69"/>
      <c r="J46" s="69"/>
      <c r="K46" s="69"/>
    </row>
    <row r="47" spans="1:27" ht="24.75" customHeight="1" x14ac:dyDescent="0.25">
      <c r="B47" s="70"/>
      <c r="C47" s="71"/>
      <c r="D47" s="72" t="s">
        <v>64</v>
      </c>
      <c r="E47" s="72"/>
      <c r="F47" s="72"/>
      <c r="G47" s="73">
        <f>K44/G44</f>
        <v>1.1828114225813409</v>
      </c>
      <c r="H47" s="74"/>
      <c r="I47" s="74"/>
      <c r="J47" s="74"/>
      <c r="K47" s="75"/>
    </row>
    <row r="48" spans="1:27" ht="24.75" customHeight="1" x14ac:dyDescent="0.25">
      <c r="B48" s="70"/>
      <c r="C48" s="71"/>
      <c r="D48" s="76"/>
      <c r="E48" s="76"/>
      <c r="F48" s="76"/>
      <c r="G48" s="73"/>
      <c r="H48" s="74"/>
      <c r="I48" s="74"/>
      <c r="J48" s="74"/>
      <c r="K48" s="75"/>
    </row>
    <row r="49" spans="2:11" ht="24.75" customHeight="1" x14ac:dyDescent="0.25">
      <c r="B49" s="70" t="s">
        <v>65</v>
      </c>
      <c r="C49" s="77"/>
      <c r="D49" s="77"/>
      <c r="E49" s="76"/>
      <c r="F49" s="76"/>
      <c r="G49" s="73"/>
      <c r="H49" s="74"/>
      <c r="I49" s="74"/>
      <c r="J49" s="74"/>
      <c r="K49" s="75"/>
    </row>
    <row r="50" spans="2:11" ht="24.75" customHeight="1" x14ac:dyDescent="0.25">
      <c r="B50" s="70"/>
      <c r="C50" s="71"/>
      <c r="D50" s="76"/>
      <c r="E50" s="76"/>
      <c r="F50" s="76"/>
      <c r="G50" s="73"/>
      <c r="H50" s="74"/>
      <c r="I50" s="74"/>
      <c r="J50" s="74"/>
      <c r="K50" s="75"/>
    </row>
    <row r="51" spans="2:11" ht="24.75" customHeight="1" x14ac:dyDescent="0.25">
      <c r="B51" s="70"/>
      <c r="C51" s="71"/>
      <c r="D51" s="76"/>
      <c r="E51" s="76"/>
      <c r="F51" s="76"/>
      <c r="G51" s="73"/>
      <c r="H51" s="74"/>
      <c r="I51" s="74"/>
      <c r="J51" s="74"/>
      <c r="K51" s="75"/>
    </row>
    <row r="52" spans="2:11" ht="24.75" customHeight="1" x14ac:dyDescent="0.25">
      <c r="B52" s="78"/>
      <c r="C52" s="79"/>
      <c r="D52" s="75"/>
      <c r="E52" s="75"/>
      <c r="F52" s="75"/>
      <c r="G52" s="75"/>
      <c r="H52" s="74"/>
      <c r="I52" s="74"/>
      <c r="J52" s="74"/>
      <c r="K52" s="75"/>
    </row>
    <row r="53" spans="2:11" ht="15.75" x14ac:dyDescent="0.25">
      <c r="B53" s="80"/>
      <c r="C53" s="81"/>
      <c r="D53" s="82"/>
      <c r="E53" s="82"/>
      <c r="F53" s="83"/>
      <c r="G53" s="84"/>
      <c r="H53" s="10"/>
      <c r="I53" s="10"/>
      <c r="J53" s="10"/>
      <c r="K53" s="10"/>
    </row>
    <row r="54" spans="2:11" ht="15.75" customHeight="1" x14ac:dyDescent="0.25">
      <c r="B54" s="85"/>
      <c r="C54" s="81"/>
      <c r="D54" s="82"/>
      <c r="E54" s="82"/>
      <c r="F54" s="83"/>
      <c r="G54" s="84"/>
      <c r="H54" s="10"/>
      <c r="I54" s="10"/>
      <c r="J54" s="10"/>
      <c r="K54" s="10"/>
    </row>
    <row r="55" spans="2:11" ht="15.75" x14ac:dyDescent="0.25">
      <c r="B55" s="80"/>
      <c r="C55" s="86"/>
      <c r="D55" s="10"/>
      <c r="E55" s="10"/>
      <c r="F55" s="87"/>
      <c r="G55" s="84"/>
      <c r="H55" s="10"/>
      <c r="I55" s="10"/>
      <c r="J55" s="10"/>
      <c r="K55" s="10"/>
    </row>
    <row r="56" spans="2:11" ht="15.75" x14ac:dyDescent="0.25">
      <c r="B56" s="88"/>
      <c r="C56" s="86"/>
      <c r="F56" s="87"/>
      <c r="G56" s="89"/>
    </row>
    <row r="57" spans="2:11" ht="15.75" x14ac:dyDescent="0.25">
      <c r="B57" s="80"/>
      <c r="C57" s="86"/>
      <c r="F57" s="87"/>
      <c r="G57" s="89"/>
    </row>
    <row r="58" spans="2:11" ht="15.75" x14ac:dyDescent="0.25">
      <c r="B58" s="80"/>
      <c r="C58" s="90"/>
      <c r="D58" s="90"/>
      <c r="E58" s="91"/>
      <c r="F58" s="92"/>
      <c r="G58" s="92"/>
    </row>
  </sheetData>
  <mergeCells count="23">
    <mergeCell ref="F58:G58"/>
    <mergeCell ref="H12:I12"/>
    <mergeCell ref="B45:K45"/>
    <mergeCell ref="B46:K46"/>
    <mergeCell ref="D47:F47"/>
    <mergeCell ref="C49:D49"/>
    <mergeCell ref="F53:F54"/>
    <mergeCell ref="H9:I10"/>
    <mergeCell ref="J9:J11"/>
    <mergeCell ref="K9:K11"/>
    <mergeCell ref="C10:C11"/>
    <mergeCell ref="D10:D11"/>
    <mergeCell ref="E10:E11"/>
    <mergeCell ref="B1:K1"/>
    <mergeCell ref="A3:K3"/>
    <mergeCell ref="A4:K4"/>
    <mergeCell ref="B6:F6"/>
    <mergeCell ref="B7:F7"/>
    <mergeCell ref="A9:A11"/>
    <mergeCell ref="B9:B11"/>
    <mergeCell ref="C9:E9"/>
    <mergeCell ref="F9:F11"/>
    <mergeCell ref="G9:G11"/>
  </mergeCells>
  <pageMargins left="0.26593137254901961" right="0.17156862745098039" top="0.75" bottom="0.75" header="0.3" footer="0.3"/>
  <pageSetup paperSize="9" scale="75" orientation="landscape" r:id="rId1"/>
  <rowBreaks count="1" manualBreakCount="1">
    <brk id="33" max="9"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Пересчет сметной ст-ти</vt:lpstr>
      <vt:lpstr>Лист1</vt:lpstr>
      <vt:lpstr>'Пересчет сметной ст-ти'!Область_печати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demha</dc:creator>
  <cp:lastModifiedBy>demha1992@mail.ru</cp:lastModifiedBy>
  <dcterms:created xsi:type="dcterms:W3CDTF">2015-06-05T18:19:34Z</dcterms:created>
  <dcterms:modified xsi:type="dcterms:W3CDTF">2022-12-13T08:52:10Z</dcterms:modified>
</cp:coreProperties>
</file>