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patkinPA\Desktop\от 16.04 вспомогат пир\"/>
    </mc:Choice>
  </mc:AlternateContent>
  <bookViews>
    <workbookView xWindow="0" yWindow="0" windowWidth="23040" windowHeight="9195" activeTab="1"/>
  </bookViews>
  <sheets>
    <sheet name="Итого" sheetId="3" r:id="rId1"/>
    <sheet name="Основные разделы" sheetId="1" r:id="rId2"/>
    <sheet name="АСУ" sheetId="2" r:id="rId3"/>
  </sheets>
  <definedNames>
    <definedName name="_xlnm.Print_Titles" localSheetId="1">'Основные разделы'!$16:$16</definedName>
  </definedNames>
  <calcPr calcId="162913"/>
</workbook>
</file>

<file path=xl/calcChain.xml><?xml version="1.0" encoding="utf-8"?>
<calcChain xmlns="http://schemas.openxmlformats.org/spreadsheetml/2006/main">
  <c r="L17" i="3" l="1"/>
  <c r="M15" i="3"/>
  <c r="M16" i="3"/>
  <c r="M13" i="3"/>
  <c r="T59" i="1"/>
  <c r="U59" i="1"/>
  <c r="T60" i="1"/>
  <c r="U60" i="1"/>
  <c r="S60" i="1" s="1"/>
  <c r="R60" i="1"/>
  <c r="S57" i="1"/>
  <c r="S25" i="1"/>
  <c r="S23" i="1"/>
  <c r="T53" i="1"/>
  <c r="T57" i="1"/>
  <c r="S53" i="1" l="1"/>
  <c r="S59" i="1" s="1"/>
  <c r="C27" i="2" l="1"/>
  <c r="Q57" i="1" l="1"/>
  <c r="N13" i="3"/>
  <c r="F27" i="2"/>
  <c r="G27" i="2"/>
  <c r="G29" i="2" s="1"/>
  <c r="Q53" i="1"/>
  <c r="S39" i="1"/>
  <c r="S33" i="1"/>
  <c r="S30" i="1"/>
  <c r="S27" i="1"/>
  <c r="S21" i="1"/>
  <c r="S18" i="1"/>
  <c r="D27" i="2" l="1"/>
  <c r="D29" i="2" s="1"/>
  <c r="D37" i="2" s="1"/>
  <c r="D40" i="2" s="1"/>
  <c r="E27" i="2"/>
  <c r="E29" i="2" s="1"/>
  <c r="E37" i="2" s="1"/>
  <c r="E40" i="2" s="1"/>
  <c r="F29" i="2"/>
  <c r="F37" i="2" s="1"/>
  <c r="F40" i="2" s="1"/>
  <c r="F42" i="2" s="1"/>
  <c r="G37" i="2"/>
  <c r="G40" i="2" s="1"/>
  <c r="H27" i="2"/>
  <c r="H29" i="2" s="1"/>
  <c r="H37" i="2" s="1"/>
  <c r="H40" i="2" s="1"/>
  <c r="C29" i="2"/>
  <c r="C37" i="2" s="1"/>
  <c r="I16" i="2"/>
  <c r="I20" i="2"/>
  <c r="I22" i="2"/>
  <c r="I26" i="2"/>
  <c r="I14" i="2"/>
  <c r="R59" i="1"/>
  <c r="P57" i="1"/>
  <c r="P53" i="1"/>
  <c r="R39" i="1"/>
  <c r="G40" i="1"/>
  <c r="R33" i="1"/>
  <c r="G34" i="1"/>
  <c r="R30" i="1"/>
  <c r="G31" i="1"/>
  <c r="R27" i="1"/>
  <c r="G28" i="1"/>
  <c r="R18" i="1"/>
  <c r="G19" i="1"/>
  <c r="R25" i="1"/>
  <c r="R23" i="1"/>
  <c r="R21" i="1"/>
  <c r="G22" i="1"/>
  <c r="I43" i="2" l="1"/>
  <c r="I44" i="2" s="1"/>
  <c r="N14" i="3" s="1"/>
  <c r="C40" i="2"/>
  <c r="I40" i="2" s="1"/>
  <c r="I37" i="2"/>
  <c r="I29" i="2"/>
  <c r="I27" i="2"/>
  <c r="L58" i="1"/>
  <c r="H57" i="1"/>
  <c r="G57" i="1"/>
  <c r="H26" i="1"/>
  <c r="H24" i="1"/>
  <c r="M17" i="3" l="1"/>
  <c r="I45" i="2"/>
  <c r="I46" i="2" s="1"/>
  <c r="N15" i="3" s="1"/>
  <c r="E54" i="1"/>
  <c r="N16" i="3" l="1"/>
  <c r="N17" i="3"/>
  <c r="I53" i="1"/>
  <c r="I57" i="1" s="1"/>
  <c r="I59" i="1" s="1"/>
  <c r="I60" i="1" s="1"/>
  <c r="J59" i="1" s="1"/>
  <c r="G53" i="1"/>
  <c r="G26" i="1"/>
  <c r="J60" i="1" l="1"/>
  <c r="J61" i="1" s="1"/>
  <c r="I13" i="3"/>
  <c r="I15" i="3" s="1"/>
  <c r="I16" i="3" s="1"/>
  <c r="I17" i="3" s="1"/>
  <c r="F15" i="3"/>
  <c r="F16" i="3" l="1"/>
  <c r="F17" i="3" s="1"/>
  <c r="L61" i="1" l="1"/>
  <c r="L16" i="3"/>
  <c r="L18" i="3" l="1"/>
</calcChain>
</file>

<file path=xl/comments1.xml><?xml version="1.0" encoding="utf-8"?>
<comments xmlns="http://schemas.openxmlformats.org/spreadsheetml/2006/main">
  <authors>
    <author>Сергей</author>
    <author>Алексей</author>
    <author>Alex Sosedko</author>
    <author>Alex</author>
  </authors>
  <commentList>
    <comment ref="A4" authorId="0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   &lt;Регистрационный номер локальной сметы&gt;</t>
        </r>
      </text>
    </comment>
    <comment ref="A7" authorId="0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Титул::&lt;Наименование стройки&gt;, &lt;Наименование объекта&gt;, &lt;Наименование локальной сметы&gt;, &lt;Наименование очереди&gt;</t>
        </r>
      </text>
    </comment>
    <comment ref="A13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Титул::&lt;Итого по расчету&gt; &lt;Единица измерения стомости&gt;</t>
        </r>
      </text>
    </comment>
    <comment ref="D15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E15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Титул::&lt;Единица измерения стомости&gt;</t>
        </r>
      </text>
    </comment>
    <comment ref="A16" authorId="0" shapeId="0">
      <text>
        <r>
          <rPr>
            <sz val="8"/>
            <color indexed="81"/>
            <rFont val="Tahoma"/>
            <family val="2"/>
            <charset val="204"/>
          </rPr>
          <t xml:space="preserve"> ПИР::&lt;Номер позиции по смете&gt;</t>
        </r>
      </text>
    </comment>
    <comment ref="B16" authorId="0" shapeId="0">
      <text>
        <r>
          <rPr>
            <sz val="8"/>
            <color indexed="81"/>
            <rFont val="Tahoma"/>
            <family val="2"/>
            <charset val="204"/>
          </rPr>
          <t xml:space="preserve"> ПИР::&lt;Наименование (текстовая часть) расценки&gt;, &lt;Расчет физ. объема&gt;(&lt;Ед. измерения по расценке&gt;)&lt;Пустой идентификатор&gt;</t>
        </r>
      </text>
    </comment>
    <comment ref="C16" authorId="2" shapeId="0">
      <text>
        <r>
          <rPr>
            <sz val="8"/>
            <color indexed="81"/>
            <rFont val="Tahoma"/>
            <family val="2"/>
            <charset val="204"/>
          </rPr>
          <t xml:space="preserve"> ПИР::&lt;Номера частей&gt;
(&lt;Обоснование (код) позиции&gt;)&lt;Пустой идентификатор&gt;&lt;Наименование коэффициентов со значениями&gt;</t>
        </r>
      </text>
    </comment>
    <comment ref="D16" authorId="0" shapeId="0">
      <text>
        <r>
          <rPr>
            <sz val="8"/>
            <color indexed="81"/>
            <rFont val="Tahoma"/>
            <family val="2"/>
            <charset val="204"/>
          </rPr>
          <t xml:space="preserve"> ПИР::&lt;Расчет стомости&gt;</t>
        </r>
      </text>
    </comment>
    <comment ref="E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ПИР::&lt;Стоимость&gt;&lt;Стоимость КОС&gt;</t>
        </r>
      </text>
    </comment>
    <comment ref="A54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 &lt;подпись 360 значение&gt;</t>
        </r>
      </text>
    </comment>
    <comment ref="A55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 &lt;подпись 390 значение&gt;</t>
        </r>
      </text>
    </comment>
    <comment ref="A56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300 значение&gt;</t>
        </r>
      </text>
    </comment>
    <comment ref="A57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Хвост::___________________________ &lt;подпись 310 значение&gt;</t>
        </r>
      </text>
    </comment>
    <comment ref="A59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Хвост::&lt;Описание локальной сметы&gt;</t>
        </r>
      </text>
    </comment>
  </commentList>
</comments>
</file>

<file path=xl/sharedStrings.xml><?xml version="1.0" encoding="utf-8"?>
<sst xmlns="http://schemas.openxmlformats.org/spreadsheetml/2006/main" count="263" uniqueCount="190">
  <si>
    <t>Форма 2п</t>
  </si>
  <si>
    <t>на проектные (изыскательские)  работы</t>
  </si>
  <si>
    <t>№ пп</t>
  </si>
  <si>
    <t>Характеристика предприятия,
здания, сооружения или вид работ</t>
  </si>
  <si>
    <t>(договору, дополнительному соглашению)</t>
  </si>
  <si>
    <t>Приложение к</t>
  </si>
  <si>
    <t>Наименование предприятия, здания, сооружения, стадии проектирования, этапа, вида проектных</t>
  </si>
  <si>
    <t>Наименование проектной (изыскательской) организации:</t>
  </si>
  <si>
    <t>Номер частей, глав, таблиц, параграфов и пунктов указаний к разделу справочника базовых цен на проектные и изыскательские работы для строителей</t>
  </si>
  <si>
    <t>Наименование организации заказчика:</t>
  </si>
  <si>
    <t>Итого по расчету: 1 127 тыс.руб.</t>
  </si>
  <si>
    <t>Расчет стоимости: (a+bx)*Kj или (стоимость строительно-монтажных работ)*проц./ 100 или количество * цена, тыс.руб.</t>
  </si>
  <si>
    <t>Стоимость работ, 
тыс.руб.</t>
  </si>
  <si>
    <t xml:space="preserve">Главный инженер проекта ______________ </t>
  </si>
  <si>
    <t xml:space="preserve">Начальник отдела ____________________ </t>
  </si>
  <si>
    <t xml:space="preserve">Составил ___________________________ </t>
  </si>
  <si>
    <t xml:space="preserve">Проверил ___________________________ </t>
  </si>
  <si>
    <t>Раздел 1. Вспомогательный корпус Стадия РП без АСУТП</t>
  </si>
  <si>
    <t xml:space="preserve">Малоэтажные жилые дома: двухэтажные, 1303,5(м3) </t>
  </si>
  <si>
    <t xml:space="preserve">СБЦП "Объекты жилищно-гражданского строительства (2010)" табл.1 п.2
(СБЦП03-1-2) </t>
  </si>
  <si>
    <t>(183,72+0,019*1303,5)*0,6*0,98</t>
  </si>
  <si>
    <t xml:space="preserve"> Стадийность проектирования К=0,6;</t>
  </si>
  <si>
    <t xml:space="preserve"> </t>
  </si>
  <si>
    <t>Котн=98%</t>
  </si>
  <si>
    <t xml:space="preserve">Автоматизированное рабочее место (АРМ) оператора на базе ПЭВМ, 1(1 АРМ) </t>
  </si>
  <si>
    <t xml:space="preserve">СБЦП "Объекты связи (2010)" табл.24 п.1
(СБЦП02-24-1) </t>
  </si>
  <si>
    <t>(2,4*1)*0,6</t>
  </si>
  <si>
    <t xml:space="preserve"> Стадийность проектирования К=0,6</t>
  </si>
  <si>
    <t xml:space="preserve">Локальная вычислительная сеть с числом узлов:от 2 до 10, 3(1 узел) </t>
  </si>
  <si>
    <t xml:space="preserve">СБЦП "Объекты связи (2010)" табл.24 п.2
(СБЦП02-24-2) </t>
  </si>
  <si>
    <t>(2,45+3,68*3)*0,6</t>
  </si>
  <si>
    <t xml:space="preserve">Структурированная кабельная сеть с числом узлов:от 2 до 10, 3(1 узел) </t>
  </si>
  <si>
    <t xml:space="preserve">СБЦП "Объекты связи (2010)" табл.24 п.8
(СБЦП02-24-8) </t>
  </si>
  <si>
    <t xml:space="preserve">Автоматические установки пожарной сигнализации, защищающие объект площадью: 400-700м2, 1(объект) </t>
  </si>
  <si>
    <t xml:space="preserve">СБЦ "Системы противопожарной и охранной защиты (1999)" табл.3 п.4
(СБЦ1-3-4) </t>
  </si>
  <si>
    <t>(0,972*1)*0,6</t>
  </si>
  <si>
    <t>Котн=100%</t>
  </si>
  <si>
    <t xml:space="preserve">Системы оповещения людей о пожаре на объекте площадью: 400-700м2, 1(объект) </t>
  </si>
  <si>
    <t xml:space="preserve">СБЦ "Системы противопожарной и охранной защиты (1999)" табл.4 п.4
(СБЦ1-4-4) </t>
  </si>
  <si>
    <t>(0,778*1)*0,6</t>
  </si>
  <si>
    <t xml:space="preserve">Установки охранной сигнализации, защищающие объект площадью: 400-700м2, 1(объект) </t>
  </si>
  <si>
    <t xml:space="preserve">СБЦ "Системы противопожарной и охранной защиты (1999)" табл.5 п.4
(СБЦ1-5-4) </t>
  </si>
  <si>
    <t>(0,875*1)*0,6</t>
  </si>
  <si>
    <t xml:space="preserve">Системы управления установками дымоудаления на объекте площадью: 400-700м2, 1(объект) </t>
  </si>
  <si>
    <t xml:space="preserve">СБЦ "Системы противопожарной и охранной защиты (1999)" табл.7 п.4
(СБЦ1-7-4) </t>
  </si>
  <si>
    <t>(0,68*1)*0,6</t>
  </si>
  <si>
    <t xml:space="preserve">Установка промышленного телевизионного оборудования в готовом здании от 2 до 12 камер, 10(1 камера) </t>
  </si>
  <si>
    <t xml:space="preserve">СБЦ "Объекты связи (1996)" табл.20 п.7
(СБЦ8-20-7) </t>
  </si>
  <si>
    <t>(4,317+0,539*10)*0,6</t>
  </si>
  <si>
    <t>Итого по разделу 1 Вспомогательный корпус Стадия РП без АСУТП</t>
  </si>
  <si>
    <t>Итоги по смете:</t>
  </si>
  <si>
    <t xml:space="preserve">   Итого Поз. 1-4, 14, 11-13, 15</t>
  </si>
  <si>
    <t xml:space="preserve">   Всего с учетом "Сейсмичность 8 баллов К=1,2"</t>
  </si>
  <si>
    <t xml:space="preserve">   Всего с учетом "Затраты проектных организаций, связанные с осуществлением ими функций генерального проектировщика и курированием проектных работ, переданных на субподряд - до 2% К=1,02"</t>
  </si>
  <si>
    <t xml:space="preserve">   Всего с учетом "Цена проектирования предприятий, зданий и сооружений с установкой импортного основного технологического оборудования, применяемого проектной организацией впервые - до 1,3 К=1,2"</t>
  </si>
  <si>
    <t xml:space="preserve">   Всего c учетом "Письмо Минстроя России №5414-ИФ/09 от 19.02.2020 г. К=4,32 4,3200"</t>
  </si>
  <si>
    <t xml:space="preserve">   № 303-ФЗ 3 августа 2018 г. 20%</t>
  </si>
  <si>
    <t xml:space="preserve">   ВСЕГО по смете</t>
  </si>
  <si>
    <t>1 127</t>
  </si>
  <si>
    <t>Вспомогательный корпус</t>
  </si>
  <si>
    <t>Форма 2ПС</t>
  </si>
  <si>
    <t>СМЕТА № 2</t>
  </si>
  <si>
    <t>Наименование предприятия, здания, сооружения, стадии проектирования, этапа, вида проектных и изыскательских работ</t>
  </si>
  <si>
    <t xml:space="preserve"> Комплекс зданий и сооружений на участках с кадастровыми номерами 04:03:090101:17 и 04:03:090101:85, расположенные по адресу: Российская федерация, Республика Алтай, Турочакский район, Турочакское лесничество, Иогачское участковое лесничество, урочище Телецкое, квартал № 14, часть выдела № 1, квартал № 15, часть выдела № 1</t>
  </si>
  <si>
    <t>Наименование проектной (изыскательской организации):</t>
  </si>
  <si>
    <t xml:space="preserve"> ООО "ВАКАНТ ТЕХНОЛОГИИ"</t>
  </si>
  <si>
    <t>Наименование заказчика:</t>
  </si>
  <si>
    <t>ООО «Рекреационные системы»</t>
  </si>
  <si>
    <t>Объект:</t>
  </si>
  <si>
    <t>Раздел проекта:</t>
  </si>
  <si>
    <t>Автоматизация и диспетчеризация</t>
  </si>
  <si>
    <t>№ п/п</t>
  </si>
  <si>
    <t>Основные факторы, определяющие трудоемкость  разработки ПСД</t>
  </si>
  <si>
    <t>Кол-во баллов для частей проектной документации</t>
  </si>
  <si>
    <t>Примеч</t>
  </si>
  <si>
    <t>ОР</t>
  </si>
  <si>
    <t>ОО</t>
  </si>
  <si>
    <t>ИО</t>
  </si>
  <si>
    <t>ТО</t>
  </si>
  <si>
    <t>МО</t>
  </si>
  <si>
    <t>ПО</t>
  </si>
  <si>
    <t>Итого :</t>
  </si>
  <si>
    <t>1. Характер протекания управляемого технологического процесса (Ф2):</t>
  </si>
  <si>
    <t>СБЦ АСУ ТП</t>
  </si>
  <si>
    <t>1.1. Непрерывный</t>
  </si>
  <si>
    <t>Табл.№2</t>
  </si>
  <si>
    <t>2. Количество технологических операций, контролируемых  АСУ(Ф5):</t>
  </si>
  <si>
    <t>2.2 св. 5 до 10</t>
  </si>
  <si>
    <t>3. Степень развитости информационных функций АСУ (Ф6):</t>
  </si>
  <si>
    <t>3.3. 1 степень паралельный контроль и измерение параметров ТОУ</t>
  </si>
  <si>
    <t>4. Степень развитости управляющих функций АСУТП (Ф7):</t>
  </si>
  <si>
    <t>2  степень   -  автоматическое регулирование</t>
  </si>
  <si>
    <t>5. Режим выполнения управляющих функций АСУТП (Ф8) :</t>
  </si>
  <si>
    <t>5.1. Автоматизированный  "ручной" режим</t>
  </si>
  <si>
    <t>6. Количество переменных, измеряемых и контролируемых АСУТП(Ф9):</t>
  </si>
  <si>
    <t>7. Количество управляющих воздействий (Ф10)</t>
  </si>
  <si>
    <t>7.2. до 5</t>
  </si>
  <si>
    <t>Итого сумма баллов трудоемкости:</t>
  </si>
  <si>
    <t>п. 2.11.2 Ценностные множители для частей документации на АСУТП</t>
  </si>
  <si>
    <t>Базовая цена двухстадийной разработки проектной документации (тыс.руб.)</t>
  </si>
  <si>
    <t xml:space="preserve">Определение общего коэффициента разработки проектной документации ОКР (табл №3): </t>
  </si>
  <si>
    <t>ТЧ Табл. 1</t>
  </si>
  <si>
    <t xml:space="preserve">К1 </t>
  </si>
  <si>
    <t>К3</t>
  </si>
  <si>
    <t>К6</t>
  </si>
  <si>
    <t>К7</t>
  </si>
  <si>
    <t>К10.4</t>
  </si>
  <si>
    <t>К общ</t>
  </si>
  <si>
    <t>Итого с учетом К общ</t>
  </si>
  <si>
    <t>Табл. №6 ПД (%)</t>
  </si>
  <si>
    <t>Табл. №6 РД (%)</t>
  </si>
  <si>
    <t>Итого РД в ценах 2000 г.</t>
  </si>
  <si>
    <t xml:space="preserve">Цена разработки проектной документации : </t>
  </si>
  <si>
    <t>Итого в ценах 1 квартала 2020 г. К = 4,32</t>
  </si>
  <si>
    <t xml:space="preserve">Итого </t>
  </si>
  <si>
    <t>Итого стоимость  (руб.)</t>
  </si>
  <si>
    <t>НДС 20%</t>
  </si>
  <si>
    <t>Индекс на I квартал 2020 г.  К=4,32 Письмо Минстроя России №5414-ИФ/09 от 19.02.2020 г.</t>
  </si>
  <si>
    <t xml:space="preserve">Разработка рабочего проекта </t>
  </si>
  <si>
    <t>Комплекс зданий и сооружений на участках с кадастровыми номерами 04:03:090101:17 и 04:03:090101:85, расположенные по адресу: Российская федерация, Республика Алтай, Турочакский район, Турочакское лесничество, Иогачское участковое лесничество, урочище Телецкое, квартал № 14, часть выдела № 1, квартал № 15, часть выдела № 1</t>
  </si>
  <si>
    <t>Наименование проектной (изыскательской организации)</t>
  </si>
  <si>
    <t>Наименование заказчика</t>
  </si>
  <si>
    <t>Объект</t>
  </si>
  <si>
    <t xml:space="preserve"> Вспомогательный корпус</t>
  </si>
  <si>
    <t>Наименование</t>
  </si>
  <si>
    <t>Единица измерения</t>
  </si>
  <si>
    <t xml:space="preserve">Стоимость </t>
  </si>
  <si>
    <t>Разработка основных разделов комплекта</t>
  </si>
  <si>
    <t>компл.</t>
  </si>
  <si>
    <t>Создание проекта по автоматизации и диспетчеризации инженерных сетей</t>
  </si>
  <si>
    <t>20%</t>
  </si>
  <si>
    <t>Итого с НДС</t>
  </si>
  <si>
    <t>Составил</t>
  </si>
  <si>
    <t>__________________________________</t>
  </si>
  <si>
    <t>Проверил</t>
  </si>
  <si>
    <t>СМЕТА №    1</t>
  </si>
  <si>
    <t>АР,КЖ,КМ,ЭОМ,СС, ОВ, ВК, АСУТП.</t>
  </si>
  <si>
    <t>Исключить, не предусмотрено</t>
  </si>
  <si>
    <t>Исключить, рассчитывается, если в сети несколько АРМ</t>
  </si>
  <si>
    <t>табл.24 п.1 к РД коэф 0,5</t>
  </si>
  <si>
    <t>нет замечаний</t>
  </si>
  <si>
    <t>табл.24 п.8 к РД коэф 0,5; кол-во 1 узел коммутации СКС, тк сигнал сводится в 1 АРМ</t>
  </si>
  <si>
    <t>для рабочей документации 0,75 - п.2.7 СБЦ</t>
  </si>
  <si>
    <t>уровень цен 2001</t>
  </si>
  <si>
    <t>уровень цен 1995</t>
  </si>
  <si>
    <t>СБЦП "Объекты связи (2010)" табл.20, п.7, табл.20 п.7 к РД коэф 0,5</t>
  </si>
  <si>
    <t>Исключить, требуется обоснование</t>
  </si>
  <si>
    <t>Итого:</t>
  </si>
  <si>
    <t xml:space="preserve">индекс </t>
  </si>
  <si>
    <t>итого</t>
  </si>
  <si>
    <t>руб без НДС</t>
  </si>
  <si>
    <t>НДС</t>
  </si>
  <si>
    <t>"+сейсмичность и ген проектир</t>
  </si>
  <si>
    <t>п.3.14 Методических указаний по применению справочников базовых цен на проектные работы в строительстве</t>
  </si>
  <si>
    <t>Итого с НДС 20% стоимость ПИР</t>
  </si>
  <si>
    <t>ИСКЛЮЧИТЬ</t>
  </si>
  <si>
    <t>Исключить, относится к созданию документации по общесистемным решениям, организационному, информационному, техническому, математическому и программному обеспечению АСУТП</t>
  </si>
  <si>
    <t>см. лист 2</t>
  </si>
  <si>
    <t>Письмо Минстроя России №5414-ИФ/09</t>
  </si>
  <si>
    <t>Замечание принято</t>
  </si>
  <si>
    <t>Ответы на замечания</t>
  </si>
  <si>
    <t>п. 9 ТЗ требует разработать:</t>
  </si>
  <si>
    <t>- Автоматизация индивидуального теплового пункта (АК-ИТП)</t>
  </si>
  <si>
    <t>- Автоматика вентиляции, конвекторов, отопления, кондиционирования (АОВ)</t>
  </si>
  <si>
    <t>- Автоматизация водоснабжения (АВК)</t>
  </si>
  <si>
    <t>- Управление и комплексная диспетчеризация инженерных систем объекта (АСУЗ)</t>
  </si>
  <si>
    <t xml:space="preserve">Затраты исключены не правомерно:  </t>
  </si>
  <si>
    <t>Согласно п. 9.8…9.10 АК ИТП, АОВ. АВК включаются в состав АСУЗ. Таким образом создается полноценная система АСУ непроизводственного объекта, а не набор систем локальной автоматики. Соответственно применяются расценки на АСУ ТП. Содержание предусмотренных ТЗ разделов регламентируется ГОСТ 21.408-2013 (включает в себя схемы автоматизации принципиальные схемы, схемы соединений и тд.). Этот объем соответствует объему технического обеспечения (ТО) АСУ ТП, регламентированного ГОСТ 34.201-89. Соответственно, в смете применена и рассчитана только стоимость ТО</t>
  </si>
  <si>
    <r>
      <rPr>
        <b/>
        <sz val="8"/>
        <color theme="1"/>
        <rFont val="Times New Roman"/>
        <family val="1"/>
        <charset val="204"/>
      </rPr>
      <t>Замечание принято в части коэф. 0,5</t>
    </r>
    <r>
      <rPr>
        <sz val="8"/>
        <color theme="1"/>
        <rFont val="Times New Roman"/>
        <family val="1"/>
        <charset val="204"/>
      </rPr>
      <t xml:space="preserve">, в части кол-во кол-ва узлов: ТЧ СБУ 2010 п.2.46
- под узлом сети считать: комплект персональной ЭВМ (в комплектации, позволяющей ПЭВМ работать в автономном режиме); рабочую станцию локальной сети, сетевые принтеры, сетевые мониторы, сетевые накопители и другие устройства; задействованные порты активного оборудования локальной вычислительной сети (ЛВС); информационные розетки структурированной кабельной сети (СКС), задействованные порты коммутационного оборудования СКС. Стоимость проектирования ЛВС, использующую ресурсы СКС, определять по соответствующим ценникам с понижающим коэффициентом К=0,7.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Times New Roman"/>
        <family val="1"/>
        <charset val="204"/>
      </rPr>
      <t>Кол-во узлов откорректировано в соответствии с ТЗ п.9.5 на 9 узлов</t>
    </r>
    <r>
      <rPr>
        <sz val="8"/>
        <color theme="1"/>
        <rFont val="Times New Roman"/>
        <family val="1"/>
        <charset val="204"/>
      </rPr>
      <t>: 1 розетку 2 х RJ45 для подключения IP телевизора в помещении приема пищи с кухней - 1 узел; 1 этаж,  1 розетку 2 х RJ45 для подключения IP телевизора в помещении в жилой комнате 2-х комнатного семейного номера. 2 этаж- 1 узел; для подключения персональных копьютеров и IP-телефонов к ЛВС здания предусмотреть двухпортовые абонентские розетки в каждом жилом номере и комнате отдыха. Всего 6 розеток 2 х RJ45 - 6 узлов; для доступа пользователей к ресурсам сети Интернет в здании предусмотреть Wi-Fi точку доступ - 1 узел.</t>
    </r>
  </si>
  <si>
    <r>
      <t xml:space="preserve">Затраты исключены не правомерно ТЧ СБУ 2010 п.2.46
- под узлом сети считать: комплект персональной ЭВМ (в комплектации, позволяющей ПЭВМ работать в автономном режиме); рабочую станцию локальной сети, сетевые принтеры, сетевые мониторы, сетевые накопители и другие устройства; задействованные порты активного оборудования локальной вычислительной сети (ЛВС); информационные розетки структурированной кабельной сети (СКС), задействованные порты коммутационного оборудования СКС. Стоимость проектирования ЛВС, использующую ресурсы СКС, определять по соответствующим ценникам с понижающим коэффициентом К=0,7.                                                                                                           </t>
    </r>
    <r>
      <rPr>
        <b/>
        <i/>
        <sz val="9"/>
        <color theme="1"/>
        <rFont val="Times New Roman"/>
        <family val="1"/>
        <charset val="204"/>
      </rPr>
      <t xml:space="preserve">Кол-во узлов откорректировано  и изменена расценка в соответствии с ТЗ п.9.5 на 16 узлов </t>
    </r>
    <r>
      <rPr>
        <i/>
        <sz val="9"/>
        <color theme="1"/>
        <rFont val="Times New Roman"/>
        <family val="1"/>
        <charset val="204"/>
      </rPr>
      <t xml:space="preserve">- подключение абонентских устройств к ЛВС 5 розеток  в помещение охраны и 5 розеток в помещение диспетчерской - 10узлов; Сети связи.  Автоматизация систем отопления, вентиляции и кондиционирования (АОВ). – 1 узел; - Сети связи. Автоматизация систем водоснабжения и канализации (АВК). – 1 узел; - Сети связи. Автоматизация системы управления здания. Комплексная диспетчеризация инженерных систем (АСУЗ) – 1 узел, сервер №1, сервер №2 - 2 узла; хранения данных (СХД)  - 1 узел. </t>
    </r>
  </si>
  <si>
    <t>ответы на листе 2</t>
  </si>
  <si>
    <t>В расчёте не учтены дизайн решения по интереьрам и экстерьерам корпуса. Создания визуализаций для согласования общей архитектуры комплекса., так данные затраты расчитываются только по Методики определения стоимости строительной продукции на территории Российской Федерации МДС 81-35. 2004. Госстрой России. 2004г. по форме 3п.</t>
  </si>
  <si>
    <t>Затраты исключены не правомерно. Согласно ТЗ на инженерные системы корпуса разрабатывается  отдельный проект АСУ. Идет отдельным томом РД, см. пояснения в листе АСУ</t>
  </si>
  <si>
    <t>На плане показано, что в помещениях 3 и 4 на 1 этаже по 1 АРМ, итого 2шт. Пересчет:</t>
  </si>
  <si>
    <t>Под узлом сети на основании пояснений сборника СБЦП "Объекты связи (2010)" п.2.46 считаем: 2 АРМ и их комплектацию (помещение 3,4) и 2 сервера, в которые сведены сигналы оборудования: АОВ, АВК, АСУЗ, СХД. Так же стоимость проектирования ЛВС, использующую ресурсы СКС, определяем по соответствующим ценникам с понижающим коэффициентом К=0,7. Кол-во информационных розеток, и точки wifi в этом случае не учитываем (не все порты задействованы), тк сигналы от них сводятся в активное оборудование ПЭВМ и серверы соответственно. Не все порты задействованы. Пересчет:</t>
  </si>
  <si>
    <t>см. пояснения выше. Пересчет:</t>
  </si>
  <si>
    <t>ИТОГО</t>
  </si>
  <si>
    <t>Использован СБЦП 81-2001-22, 2016г.</t>
  </si>
  <si>
    <t>Кол-во операций для каждой системы АСУТП до 5</t>
  </si>
  <si>
    <t>Степень развитости систем АСУТП - 1 автоматическое однотактное логическое управление</t>
  </si>
  <si>
    <t>Пересчет</t>
  </si>
  <si>
    <t>Принято</t>
  </si>
  <si>
    <t>Ответы</t>
  </si>
  <si>
    <t>Уровень цен 99 г</t>
  </si>
  <si>
    <t>см..выше</t>
  </si>
  <si>
    <t>6.2. до 20</t>
  </si>
  <si>
    <r>
      <t xml:space="preserve">не принято,  </t>
    </r>
    <r>
      <rPr>
        <b/>
        <sz val="9"/>
        <color theme="1"/>
        <rFont val="Calibri"/>
        <family val="2"/>
        <charset val="204"/>
        <scheme val="minor"/>
      </rPr>
      <t>Таблица №8. Термины, применяемые в Справочнике "</t>
    </r>
    <r>
      <rPr>
        <sz val="9"/>
        <color theme="1"/>
        <rFont val="Calibri"/>
        <family val="2"/>
        <charset val="204"/>
        <scheme val="minor"/>
      </rPr>
      <t>Технологическая операция Законченная часть (стадия) технологического процесса, характеризуемая
однородностью действий, производимых над предметом труда, и в связи с этим
сосредоточенностью, как правило, в пределах одного рабочего места, одного
механизма, одной операционной зоны ТОУ. Примерами технологической операции
являются: загрузка, нагрев, томление, охлаждение, штамповка, травление, дробление,
увлажнение, резка, сварка, рассев, обжиг, клеймение, окраска, подача газа к горелке,
подача воды в контур рециркуляции, создание разрежения в топке, упаковка,
транспортирование, складирование и т.д.". В соответсвии с ТЗ и проектом 25/03-2019-05-АК: АК-ИТП - 1 тех.операция - регулирование температуры; АОВ -  3 тех.операции - запуск, останов оборудования, регулирование темпетаруры; АВК - 1 тех.операция - контроль протечки; АСУЗ - дистационный контроль и управление инженерным оборудованием (управление наружним освещением)</t>
    </r>
  </si>
  <si>
    <r>
      <t>Коэф = 0,7 - принято. п.2.46 - повторно под узлом сети считать: комплект персональной ЭВМ (в комплектации, позволяющей ПЭВМ работать в автономном режиме); рабочую станцию локальной сети, сетевые принтеры, сетевые мониторы, сетевые накопители и другие устройства; задействованные порты активного оборудования локальной вычислительной сети (ЛВС);</t>
    </r>
    <r>
      <rPr>
        <b/>
        <sz val="9"/>
        <color theme="1"/>
        <rFont val="Times New Roman"/>
        <family val="1"/>
        <charset val="204"/>
      </rPr>
      <t xml:space="preserve"> информационные розетки структурированной кабельной сети (СКС), задействованные порты коммутационного оборудования СКС</t>
    </r>
    <r>
      <rPr>
        <sz val="9"/>
        <color theme="1"/>
        <rFont val="Times New Roman"/>
        <family val="1"/>
        <charset val="204"/>
      </rPr>
      <t>. Не согласны,  кол-во информационных розеток, и точки wifi   в соответствии с подписанным ТЗ и проектом шифр 25/03-2019-05-СС, структурная схема (лист3), пояснительная записка лист 2, задействованы ".... для подключения персональных компьютеров..." . Итого 24 узла.</t>
    </r>
  </si>
  <si>
    <t>Не принято, Согласно ТЧ к ФЕРп 02, Приложение 2.1 (прилагаю) 1 категория технической сложности - это одноуровневая система с использованием аппаратных или приборных типов сигналов . Наша система двухуровневая , тк. Все сигналы от приборов первого уровня сводятся на контроллер, а потом на третий уровень на АРМ. Третий уровень будет реализован в проекте комплексной диспетчеризации объекта. На данном корпусе имеем вторую  степень.</t>
  </si>
  <si>
    <t>Ответы на замечание 15.04.2019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</si>
</sst>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"/>
    <numFmt numFmtId="165" formatCode="#,##0.000000"/>
    <numFmt numFmtId="166" formatCode="#,##0.000"/>
  </numFmts>
  <fonts count="3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7"/>
      <color rgb="FF000000"/>
      <name val="Arial"/>
      <family val="2"/>
      <charset val="204"/>
    </font>
    <font>
      <b/>
      <i/>
      <sz val="11"/>
      <color indexed="8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i/>
      <sz val="7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>
      <alignment horizontal="right" vertical="top" wrapText="1"/>
    </xf>
    <xf numFmtId="0" fontId="1" fillId="0" borderId="1">
      <alignment horizontal="center" wrapText="1"/>
    </xf>
    <xf numFmtId="0" fontId="2" fillId="0" borderId="1" applyBorder="0" applyAlignment="0">
      <alignment horizontal="center" wrapText="1"/>
    </xf>
    <xf numFmtId="0" fontId="1" fillId="0" borderId="0">
      <alignment horizontal="center"/>
    </xf>
    <xf numFmtId="0" fontId="1" fillId="0" borderId="0">
      <alignment horizontal="left" vertical="top"/>
    </xf>
    <xf numFmtId="0" fontId="6" fillId="0" borderId="0"/>
    <xf numFmtId="0" fontId="20" fillId="0" borderId="0">
      <alignment horizontal="left" vertical="center"/>
    </xf>
    <xf numFmtId="0" fontId="22" fillId="0" borderId="0">
      <alignment horizontal="left" vertical="center"/>
    </xf>
    <xf numFmtId="0" fontId="24" fillId="0" borderId="0">
      <alignment horizontal="center" vertical="center"/>
    </xf>
    <xf numFmtId="0" fontId="22" fillId="0" borderId="0">
      <alignment horizontal="left" vertical="top"/>
    </xf>
    <xf numFmtId="0" fontId="22" fillId="0" borderId="0">
      <alignment horizontal="center" vertical="top"/>
    </xf>
    <xf numFmtId="0" fontId="22" fillId="0" borderId="0">
      <alignment horizontal="center" vertical="top"/>
    </xf>
    <xf numFmtId="0" fontId="22" fillId="0" borderId="0">
      <alignment horizontal="center" vertical="center"/>
    </xf>
    <xf numFmtId="0" fontId="22" fillId="0" borderId="0">
      <alignment horizontal="left" vertical="top"/>
    </xf>
    <xf numFmtId="0" fontId="26" fillId="0" borderId="0">
      <alignment horizontal="right" vertical="center"/>
    </xf>
    <xf numFmtId="0" fontId="27" fillId="0" borderId="0">
      <alignment horizontal="left" vertical="top"/>
    </xf>
    <xf numFmtId="0" fontId="28" fillId="0" borderId="0">
      <alignment horizontal="center" vertical="top"/>
    </xf>
    <xf numFmtId="0" fontId="22" fillId="0" borderId="0">
      <alignment horizontal="left" vertical="center"/>
    </xf>
    <xf numFmtId="0" fontId="22" fillId="0" borderId="0">
      <alignment horizontal="right" vertical="center"/>
    </xf>
  </cellStyleXfs>
  <cellXfs count="195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5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right" vertical="top" wrapText="1"/>
    </xf>
    <xf numFmtId="0" fontId="7" fillId="0" borderId="0" xfId="5" applyFont="1">
      <alignment horizontal="left" vertical="top"/>
    </xf>
    <xf numFmtId="0" fontId="7" fillId="0" borderId="0" xfId="4" applyFont="1" applyBorder="1" applyAlignment="1">
      <alignment wrapText="1"/>
    </xf>
    <xf numFmtId="0" fontId="7" fillId="0" borderId="0" xfId="0" applyFont="1" applyAlignment="1">
      <alignment horizontal="right"/>
    </xf>
    <xf numFmtId="0" fontId="10" fillId="0" borderId="0" xfId="0" applyFont="1"/>
    <xf numFmtId="0" fontId="7" fillId="0" borderId="2" xfId="4" applyFont="1" applyBorder="1" applyAlignment="1">
      <alignment vertical="top" wrapText="1"/>
    </xf>
    <xf numFmtId="0" fontId="10" fillId="0" borderId="2" xfId="0" applyFont="1" applyBorder="1"/>
    <xf numFmtId="0" fontId="7" fillId="0" borderId="0" xfId="4" applyFont="1" applyBorder="1" applyAlignment="1">
      <alignment horizontal="left" vertical="top" wrapText="1"/>
    </xf>
    <xf numFmtId="0" fontId="7" fillId="0" borderId="0" xfId="0" applyFont="1" applyAlignment="1"/>
    <xf numFmtId="0" fontId="7" fillId="0" borderId="0" xfId="0" applyFont="1"/>
    <xf numFmtId="0" fontId="10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indent="1"/>
    </xf>
    <xf numFmtId="0" fontId="11" fillId="0" borderId="0" xfId="4" applyFont="1" applyAlignment="1">
      <alignment horizontal="left"/>
    </xf>
    <xf numFmtId="0" fontId="7" fillId="0" borderId="0" xfId="4" applyFont="1" applyBorder="1">
      <alignment horizontal="center"/>
    </xf>
    <xf numFmtId="0" fontId="7" fillId="0" borderId="0" xfId="4" applyFont="1" applyBorder="1" applyAlignment="1">
      <alignment horizontal="right"/>
    </xf>
    <xf numFmtId="0" fontId="7" fillId="0" borderId="6" xfId="3" applyFont="1" applyBorder="1">
      <alignment horizontal="center" wrapText="1"/>
    </xf>
    <xf numFmtId="0" fontId="7" fillId="0" borderId="7" xfId="3" applyFont="1" applyBorder="1" applyAlignment="1">
      <alignment horizontal="center" wrapText="1"/>
    </xf>
    <xf numFmtId="0" fontId="7" fillId="0" borderId="1" xfId="0" applyFont="1" applyBorder="1" applyAlignment="1">
      <alignment vertical="top" wrapText="1"/>
    </xf>
    <xf numFmtId="0" fontId="7" fillId="0" borderId="1" xfId="0" applyNumberFormat="1" applyFont="1" applyBorder="1" applyAlignment="1">
      <alignment horizontal="right" vertical="top" wrapText="1"/>
    </xf>
    <xf numFmtId="0" fontId="11" fillId="0" borderId="1" xfId="0" applyNumberFormat="1" applyFont="1" applyBorder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5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NumberFormat="1" applyFont="1" applyAlignment="1">
      <alignment horizontal="right" vertical="top" wrapText="1"/>
    </xf>
    <xf numFmtId="0" fontId="0" fillId="0" borderId="0" xfId="0"/>
    <xf numFmtId="0" fontId="15" fillId="0" borderId="1" xfId="6" applyFont="1" applyBorder="1" applyAlignment="1">
      <alignment horizontal="center" vertical="center" wrapText="1"/>
    </xf>
    <xf numFmtId="0" fontId="15" fillId="0" borderId="1" xfId="6" applyFont="1" applyBorder="1" applyAlignment="1">
      <alignment horizontal="center" vertical="center"/>
    </xf>
    <xf numFmtId="0" fontId="15" fillId="0" borderId="1" xfId="6" applyFont="1" applyBorder="1" applyAlignment="1">
      <alignment horizontal="center"/>
    </xf>
    <xf numFmtId="0" fontId="15" fillId="0" borderId="1" xfId="6" applyFont="1" applyBorder="1" applyAlignment="1">
      <alignment vertical="top" wrapText="1"/>
    </xf>
    <xf numFmtId="0" fontId="15" fillId="0" borderId="1" xfId="6" applyFont="1" applyBorder="1"/>
    <xf numFmtId="0" fontId="15" fillId="0" borderId="1" xfId="6" applyFont="1" applyBorder="1" applyAlignment="1">
      <alignment wrapText="1"/>
    </xf>
    <xf numFmtId="0" fontId="17" fillId="0" borderId="7" xfId="6" applyFont="1" applyBorder="1" applyAlignment="1">
      <alignment wrapText="1"/>
    </xf>
    <xf numFmtId="0" fontId="17" fillId="0" borderId="3" xfId="6" applyFont="1" applyBorder="1" applyAlignment="1">
      <alignment wrapText="1"/>
    </xf>
    <xf numFmtId="0" fontId="17" fillId="0" borderId="4" xfId="6" applyFont="1" applyBorder="1" applyAlignment="1">
      <alignment wrapText="1"/>
    </xf>
    <xf numFmtId="0" fontId="17" fillId="0" borderId="1" xfId="6" applyFont="1" applyBorder="1" applyAlignment="1">
      <alignment wrapText="1"/>
    </xf>
    <xf numFmtId="0" fontId="15" fillId="0" borderId="8" xfId="6" applyFont="1" applyBorder="1" applyAlignment="1">
      <alignment horizontal="center"/>
    </xf>
    <xf numFmtId="4" fontId="15" fillId="0" borderId="1" xfId="6" applyNumberFormat="1" applyFont="1" applyBorder="1" applyAlignment="1">
      <alignment horizontal="center"/>
    </xf>
    <xf numFmtId="0" fontId="17" fillId="0" borderId="5" xfId="6" applyFont="1" applyBorder="1"/>
    <xf numFmtId="164" fontId="18" fillId="0" borderId="1" xfId="6" applyNumberFormat="1" applyFont="1" applyBorder="1" applyAlignment="1">
      <alignment horizontal="left"/>
    </xf>
    <xf numFmtId="0" fontId="17" fillId="0" borderId="9" xfId="6" applyFont="1" applyBorder="1"/>
    <xf numFmtId="4" fontId="18" fillId="0" borderId="1" xfId="6" applyNumberFormat="1" applyFont="1" applyBorder="1" applyAlignment="1">
      <alignment horizontal="left" vertical="center"/>
    </xf>
    <xf numFmtId="9" fontId="15" fillId="0" borderId="1" xfId="6" applyNumberFormat="1" applyFont="1" applyBorder="1" applyAlignment="1">
      <alignment horizontal="center" vertical="center"/>
    </xf>
    <xf numFmtId="0" fontId="15" fillId="0" borderId="0" xfId="6" applyFont="1" applyAlignment="1">
      <alignment horizontal="center"/>
    </xf>
    <xf numFmtId="0" fontId="18" fillId="0" borderId="0" xfId="6" applyFont="1" applyAlignment="1">
      <alignment horizontal="left" vertical="top" wrapText="1"/>
    </xf>
    <xf numFmtId="0" fontId="18" fillId="0" borderId="0" xfId="6" applyFont="1" applyAlignment="1">
      <alignment horizontal="left" vertical="top"/>
    </xf>
    <xf numFmtId="0" fontId="15" fillId="0" borderId="16" xfId="6" applyFont="1" applyBorder="1" applyAlignment="1">
      <alignment horizontal="center" vertical="center"/>
    </xf>
    <xf numFmtId="0" fontId="15" fillId="0" borderId="0" xfId="6" applyFont="1" applyBorder="1" applyAlignment="1">
      <alignment vertical="top" wrapText="1"/>
    </xf>
    <xf numFmtId="0" fontId="15" fillId="0" borderId="19" xfId="6" applyFont="1" applyBorder="1" applyAlignment="1">
      <alignment horizontal="center" vertical="center"/>
    </xf>
    <xf numFmtId="0" fontId="17" fillId="0" borderId="20" xfId="6" applyFont="1" applyBorder="1"/>
    <xf numFmtId="0" fontId="17" fillId="0" borderId="21" xfId="6" applyFont="1" applyBorder="1"/>
    <xf numFmtId="4" fontId="18" fillId="0" borderId="22" xfId="6" applyNumberFormat="1" applyFont="1" applyBorder="1" applyAlignment="1">
      <alignment horizontal="left" vertical="center"/>
    </xf>
    <xf numFmtId="166" fontId="18" fillId="0" borderId="18" xfId="6" applyNumberFormat="1" applyFont="1" applyBorder="1" applyAlignment="1">
      <alignment horizontal="center" vertical="center"/>
    </xf>
    <xf numFmtId="166" fontId="18" fillId="0" borderId="23" xfId="6" applyNumberFormat="1" applyFont="1" applyBorder="1" applyAlignment="1">
      <alignment horizontal="center" vertical="center"/>
    </xf>
    <xf numFmtId="0" fontId="15" fillId="0" borderId="17" xfId="6" applyFont="1" applyBorder="1" applyAlignment="1">
      <alignment horizontal="center" vertical="center"/>
    </xf>
    <xf numFmtId="2" fontId="15" fillId="0" borderId="17" xfId="6" applyNumberFormat="1" applyFont="1" applyBorder="1" applyAlignment="1">
      <alignment horizontal="center" vertical="center"/>
    </xf>
    <xf numFmtId="0" fontId="17" fillId="0" borderId="17" xfId="6" applyFont="1" applyBorder="1" applyAlignment="1">
      <alignment horizontal="center" vertical="center" wrapText="1"/>
    </xf>
    <xf numFmtId="4" fontId="15" fillId="0" borderId="17" xfId="6" applyNumberFormat="1" applyFont="1" applyBorder="1" applyAlignment="1">
      <alignment horizontal="center" vertical="center"/>
    </xf>
    <xf numFmtId="165" fontId="18" fillId="0" borderId="18" xfId="6" applyNumberFormat="1" applyFont="1" applyBorder="1" applyAlignment="1">
      <alignment horizontal="center" vertical="center"/>
    </xf>
    <xf numFmtId="0" fontId="9" fillId="0" borderId="0" xfId="0" applyFont="1"/>
    <xf numFmtId="0" fontId="9" fillId="0" borderId="1" xfId="6" applyFont="1" applyBorder="1" applyAlignment="1">
      <alignment wrapText="1"/>
    </xf>
    <xf numFmtId="0" fontId="23" fillId="0" borderId="1" xfId="10" quotePrefix="1" applyFont="1" applyBorder="1" applyAlignment="1">
      <alignment horizontal="center" vertical="center" wrapText="1"/>
    </xf>
    <xf numFmtId="0" fontId="23" fillId="0" borderId="1" xfId="11" quotePrefix="1" applyFont="1" applyBorder="1" applyAlignment="1">
      <alignment horizontal="center" vertical="center" wrapText="1"/>
    </xf>
    <xf numFmtId="0" fontId="23" fillId="0" borderId="1" xfId="12" applyFont="1" applyBorder="1" applyAlignment="1">
      <alignment horizontal="center" vertical="center" wrapText="1"/>
    </xf>
    <xf numFmtId="0" fontId="23" fillId="0" borderId="1" xfId="14" quotePrefix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right" vertical="top" wrapText="1"/>
    </xf>
    <xf numFmtId="0" fontId="7" fillId="3" borderId="1" xfId="0" applyNumberFormat="1" applyFont="1" applyFill="1" applyBorder="1" applyAlignment="1">
      <alignment horizontal="right" vertical="top" wrapText="1"/>
    </xf>
    <xf numFmtId="0" fontId="7" fillId="4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5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10" fillId="2" borderId="0" xfId="0" applyFont="1" applyFill="1"/>
    <xf numFmtId="0" fontId="7" fillId="3" borderId="1" xfId="0" applyFont="1" applyFill="1" applyBorder="1" applyAlignment="1">
      <alignment vertical="top" wrapText="1"/>
    </xf>
    <xf numFmtId="0" fontId="7" fillId="3" borderId="1" xfId="5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10" fillId="3" borderId="0" xfId="0" applyFont="1" applyFill="1"/>
    <xf numFmtId="0" fontId="7" fillId="4" borderId="1" xfId="0" applyFont="1" applyFill="1" applyBorder="1" applyAlignment="1">
      <alignment vertical="top" wrapText="1"/>
    </xf>
    <xf numFmtId="0" fontId="7" fillId="4" borderId="1" xfId="5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 wrapText="1"/>
    </xf>
    <xf numFmtId="0" fontId="10" fillId="4" borderId="0" xfId="0" applyFont="1" applyFill="1"/>
    <xf numFmtId="4" fontId="10" fillId="0" borderId="0" xfId="0" applyNumberFormat="1" applyFont="1"/>
    <xf numFmtId="4" fontId="10" fillId="2" borderId="0" xfId="0" applyNumberFormat="1" applyFont="1" applyFill="1"/>
    <xf numFmtId="0" fontId="0" fillId="4" borderId="0" xfId="0" applyFill="1"/>
    <xf numFmtId="0" fontId="0" fillId="3" borderId="0" xfId="0" applyFill="1"/>
    <xf numFmtId="0" fontId="23" fillId="3" borderId="1" xfId="13" quotePrefix="1" applyFont="1" applyFill="1" applyBorder="1" applyAlignment="1">
      <alignment horizontal="center" vertical="center" wrapText="1"/>
    </xf>
    <xf numFmtId="0" fontId="23" fillId="3" borderId="1" xfId="13" applyFont="1" applyFill="1" applyBorder="1" applyAlignment="1">
      <alignment horizontal="center" vertical="center" wrapText="1"/>
    </xf>
    <xf numFmtId="0" fontId="23" fillId="4" borderId="1" xfId="12" applyFont="1" applyFill="1" applyBorder="1" applyAlignment="1">
      <alignment horizontal="center" vertical="center" wrapText="1"/>
    </xf>
    <xf numFmtId="0" fontId="23" fillId="4" borderId="1" xfId="13" applyFont="1" applyFill="1" applyBorder="1" applyAlignment="1">
      <alignment horizontal="center" vertical="center" wrapText="1"/>
    </xf>
    <xf numFmtId="4" fontId="0" fillId="4" borderId="0" xfId="0" applyNumberFormat="1" applyFill="1"/>
    <xf numFmtId="4" fontId="0" fillId="0" borderId="0" xfId="0" applyNumberFormat="1"/>
    <xf numFmtId="4" fontId="0" fillId="2" borderId="0" xfId="0" applyNumberFormat="1" applyFill="1"/>
    <xf numFmtId="0" fontId="30" fillId="3" borderId="0" xfId="0" applyFont="1" applyFill="1" applyAlignment="1">
      <alignment wrapText="1"/>
    </xf>
    <xf numFmtId="0" fontId="30" fillId="0" borderId="0" xfId="0" applyFont="1" applyAlignment="1">
      <alignment wrapText="1"/>
    </xf>
    <xf numFmtId="0" fontId="9" fillId="0" borderId="0" xfId="0" applyFont="1" applyAlignment="1">
      <alignment horizontal="left" vertical="center" indent="1"/>
    </xf>
    <xf numFmtId="4" fontId="12" fillId="0" borderId="0" xfId="0" applyNumberFormat="1" applyFont="1"/>
    <xf numFmtId="4" fontId="0" fillId="3" borderId="0" xfId="0" applyNumberFormat="1" applyFill="1"/>
    <xf numFmtId="4" fontId="0" fillId="6" borderId="0" xfId="0" applyNumberFormat="1" applyFill="1"/>
    <xf numFmtId="0" fontId="10" fillId="7" borderId="0" xfId="0" applyFont="1" applyFill="1"/>
    <xf numFmtId="0" fontId="12" fillId="7" borderId="0" xfId="0" applyFont="1" applyFill="1" applyAlignment="1">
      <alignment wrapText="1"/>
    </xf>
    <xf numFmtId="0" fontId="34" fillId="0" borderId="0" xfId="0" applyFont="1"/>
    <xf numFmtId="0" fontId="30" fillId="4" borderId="0" xfId="0" applyFont="1" applyFill="1" applyAlignment="1">
      <alignment wrapText="1"/>
    </xf>
    <xf numFmtId="0" fontId="10" fillId="8" borderId="0" xfId="0" applyFont="1" applyFill="1" applyAlignment="1">
      <alignment vertical="top" wrapText="1"/>
    </xf>
    <xf numFmtId="0" fontId="10" fillId="8" borderId="0" xfId="0" applyFont="1" applyFill="1"/>
    <xf numFmtId="0" fontId="10" fillId="8" borderId="0" xfId="0" applyFont="1" applyFill="1" applyAlignment="1">
      <alignment wrapText="1"/>
    </xf>
    <xf numFmtId="0" fontId="10" fillId="0" borderId="0" xfId="0" applyFont="1" applyFill="1"/>
    <xf numFmtId="0" fontId="10" fillId="0" borderId="0" xfId="0" applyFont="1" applyAlignment="1">
      <alignment horizontal="left"/>
    </xf>
    <xf numFmtId="4" fontId="0" fillId="8" borderId="0" xfId="0" applyNumberFormat="1" applyFill="1"/>
    <xf numFmtId="0" fontId="15" fillId="8" borderId="17" xfId="6" applyFont="1" applyFill="1" applyBorder="1" applyAlignment="1">
      <alignment horizontal="center" vertical="center" wrapText="1"/>
    </xf>
    <xf numFmtId="0" fontId="15" fillId="8" borderId="1" xfId="6" applyFont="1" applyFill="1" applyBorder="1" applyAlignment="1">
      <alignment horizontal="center"/>
    </xf>
    <xf numFmtId="4" fontId="30" fillId="8" borderId="0" xfId="0" applyNumberFormat="1" applyFont="1" applyFill="1" applyAlignment="1">
      <alignment wrapText="1"/>
    </xf>
    <xf numFmtId="0" fontId="10" fillId="9" borderId="0" xfId="0" applyFont="1" applyFill="1"/>
    <xf numFmtId="0" fontId="10" fillId="4" borderId="0" xfId="0" applyFont="1" applyFill="1" applyAlignment="1">
      <alignment vertical="top" wrapText="1"/>
    </xf>
    <xf numFmtId="0" fontId="10" fillId="4" borderId="0" xfId="0" applyFont="1" applyFill="1" applyAlignment="1">
      <alignment horizontal="center" vertical="center"/>
    </xf>
    <xf numFmtId="0" fontId="9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35" fillId="0" borderId="0" xfId="0" applyFont="1" applyAlignment="1">
      <alignment wrapText="1"/>
    </xf>
    <xf numFmtId="0" fontId="0" fillId="0" borderId="0" xfId="0" applyAlignment="1">
      <alignment wrapText="1"/>
    </xf>
    <xf numFmtId="0" fontId="15" fillId="0" borderId="8" xfId="6" applyFont="1" applyFill="1" applyBorder="1" applyAlignment="1">
      <alignment horizontal="center"/>
    </xf>
    <xf numFmtId="0" fontId="10" fillId="9" borderId="0" xfId="0" applyFont="1" applyFill="1" applyAlignment="1">
      <alignment horizontal="left"/>
    </xf>
    <xf numFmtId="0" fontId="37" fillId="9" borderId="0" xfId="0" applyFont="1" applyFill="1"/>
    <xf numFmtId="0" fontId="25" fillId="0" borderId="1" xfId="9" quotePrefix="1" applyFont="1" applyBorder="1" applyAlignment="1">
      <alignment horizontal="center" vertical="center" wrapText="1"/>
    </xf>
    <xf numFmtId="0" fontId="25" fillId="0" borderId="3" xfId="9" quotePrefix="1" applyFont="1" applyBorder="1" applyAlignment="1">
      <alignment horizontal="center" vertical="center" wrapText="1"/>
    </xf>
    <xf numFmtId="0" fontId="25" fillId="0" borderId="5" xfId="9" quotePrefix="1" applyFont="1" applyBorder="1" applyAlignment="1">
      <alignment horizontal="center" vertical="center" wrapText="1"/>
    </xf>
    <xf numFmtId="0" fontId="25" fillId="0" borderId="9" xfId="9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top"/>
    </xf>
    <xf numFmtId="0" fontId="23" fillId="0" borderId="1" xfId="10" quotePrefix="1" applyFont="1" applyBorder="1" applyAlignment="1">
      <alignment horizontal="center" vertical="center" wrapText="1"/>
    </xf>
    <xf numFmtId="0" fontId="23" fillId="0" borderId="1" xfId="12" applyFont="1" applyBorder="1" applyAlignment="1">
      <alignment horizontal="center" vertical="center" wrapText="1"/>
    </xf>
    <xf numFmtId="0" fontId="23" fillId="0" borderId="1" xfId="14" quotePrefix="1" applyFont="1" applyBorder="1" applyAlignment="1">
      <alignment horizontal="right" vertical="center" wrapText="1"/>
    </xf>
    <xf numFmtId="4" fontId="19" fillId="0" borderId="1" xfId="13" applyNumberFormat="1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23" fillId="4" borderId="1" xfId="13" applyFont="1" applyFill="1" applyBorder="1" applyAlignment="1">
      <alignment horizontal="center" vertical="center" wrapText="1"/>
    </xf>
    <xf numFmtId="4" fontId="19" fillId="4" borderId="1" xfId="13" applyNumberFormat="1" applyFont="1" applyFill="1" applyBorder="1" applyAlignment="1">
      <alignment horizontal="center" vertical="center" wrapText="1"/>
    </xf>
    <xf numFmtId="0" fontId="9" fillId="4" borderId="1" xfId="6" applyFont="1" applyFill="1" applyBorder="1" applyAlignment="1">
      <alignment horizontal="center" vertical="center" wrapText="1"/>
    </xf>
    <xf numFmtId="0" fontId="19" fillId="0" borderId="1" xfId="13" applyFont="1" applyBorder="1" applyAlignment="1">
      <alignment horizontal="right" vertical="center" wrapText="1"/>
    </xf>
    <xf numFmtId="0" fontId="23" fillId="3" borderId="1" xfId="13" applyFont="1" applyFill="1" applyBorder="1" applyAlignment="1">
      <alignment horizontal="center" vertical="center" wrapText="1"/>
    </xf>
    <xf numFmtId="4" fontId="19" fillId="3" borderId="1" xfId="13" applyNumberFormat="1" applyFont="1" applyFill="1" applyBorder="1" applyAlignment="1">
      <alignment horizontal="center" vertical="center" wrapText="1"/>
    </xf>
    <xf numFmtId="0" fontId="9" fillId="3" borderId="1" xfId="6" applyFont="1" applyFill="1" applyBorder="1" applyAlignment="1">
      <alignment horizontal="center" vertical="center" wrapText="1"/>
    </xf>
    <xf numFmtId="0" fontId="31" fillId="4" borderId="0" xfId="0" applyFont="1" applyFill="1" applyAlignment="1">
      <alignment horizontal="left" vertical="top" wrapText="1"/>
    </xf>
    <xf numFmtId="0" fontId="29" fillId="5" borderId="0" xfId="0" applyFont="1" applyFill="1" applyAlignment="1">
      <alignment horizontal="left" vertical="top" wrapText="1"/>
    </xf>
    <xf numFmtId="0" fontId="10" fillId="4" borderId="0" xfId="0" applyFont="1" applyFill="1" applyAlignment="1">
      <alignment horizontal="center" wrapText="1"/>
    </xf>
    <xf numFmtId="0" fontId="29" fillId="4" borderId="0" xfId="0" applyFont="1" applyFill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vertical="top" wrapText="1"/>
    </xf>
    <xf numFmtId="0" fontId="10" fillId="0" borderId="0" xfId="0" applyFont="1" applyAlignment="1">
      <alignment horizontal="center" wrapText="1"/>
    </xf>
    <xf numFmtId="0" fontId="7" fillId="0" borderId="0" xfId="4" applyFont="1" applyBorder="1" applyAlignment="1">
      <alignment horizontal="left" vertical="top" wrapText="1"/>
    </xf>
    <xf numFmtId="0" fontId="7" fillId="0" borderId="4" xfId="4" applyFont="1" applyBorder="1" applyAlignment="1">
      <alignment horizontal="center" vertical="top" wrapText="1"/>
    </xf>
    <xf numFmtId="0" fontId="7" fillId="0" borderId="0" xfId="4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/>
    </xf>
    <xf numFmtId="0" fontId="11" fillId="0" borderId="0" xfId="4" applyFont="1" applyAlignment="1">
      <alignment horizontal="center"/>
    </xf>
    <xf numFmtId="0" fontId="11" fillId="0" borderId="2" xfId="4" applyFont="1" applyBorder="1" applyAlignment="1">
      <alignment horizontal="center" vertical="top" wrapText="1"/>
    </xf>
    <xf numFmtId="0" fontId="18" fillId="0" borderId="0" xfId="6" applyFont="1" applyAlignment="1">
      <alignment horizontal="left" wrapText="1"/>
    </xf>
    <xf numFmtId="0" fontId="18" fillId="0" borderId="0" xfId="6" applyFont="1" applyAlignment="1">
      <alignment horizontal="center"/>
    </xf>
    <xf numFmtId="0" fontId="14" fillId="8" borderId="0" xfId="6" applyFont="1" applyFill="1" applyBorder="1" applyAlignment="1">
      <alignment horizontal="left" wrapText="1"/>
    </xf>
    <xf numFmtId="0" fontId="15" fillId="0" borderId="13" xfId="6" applyFont="1" applyBorder="1" applyAlignment="1">
      <alignment horizontal="center" vertical="center" wrapText="1"/>
    </xf>
    <xf numFmtId="0" fontId="15" fillId="0" borderId="16" xfId="6" applyFont="1" applyBorder="1" applyAlignment="1">
      <alignment horizontal="center" vertical="center" wrapText="1"/>
    </xf>
    <xf numFmtId="0" fontId="15" fillId="0" borderId="14" xfId="6" applyFont="1" applyBorder="1" applyAlignment="1">
      <alignment horizontal="center" vertical="center" wrapText="1"/>
    </xf>
    <xf numFmtId="0" fontId="15" fillId="0" borderId="1" xfId="6" applyFont="1" applyBorder="1" applyAlignment="1">
      <alignment horizontal="center" vertical="center" wrapText="1"/>
    </xf>
    <xf numFmtId="0" fontId="15" fillId="0" borderId="15" xfId="6" applyFont="1" applyBorder="1" applyAlignment="1">
      <alignment horizontal="center" vertical="center" wrapText="1"/>
    </xf>
    <xf numFmtId="0" fontId="15" fillId="0" borderId="17" xfId="6" applyFont="1" applyBorder="1" applyAlignment="1">
      <alignment horizontal="center" vertical="center" wrapText="1"/>
    </xf>
    <xf numFmtId="0" fontId="15" fillId="0" borderId="16" xfId="6" applyFont="1" applyBorder="1" applyAlignment="1">
      <alignment horizontal="center" vertical="center"/>
    </xf>
    <xf numFmtId="0" fontId="15" fillId="0" borderId="3" xfId="6" applyFont="1" applyBorder="1" applyAlignment="1">
      <alignment horizontal="center"/>
    </xf>
    <xf numFmtId="0" fontId="15" fillId="0" borderId="5" xfId="6" applyFont="1" applyBorder="1" applyAlignment="1">
      <alignment horizontal="center"/>
    </xf>
    <xf numFmtId="0" fontId="15" fillId="0" borderId="9" xfId="6" applyFont="1" applyBorder="1" applyAlignment="1">
      <alignment horizontal="center"/>
    </xf>
    <xf numFmtId="0" fontId="16" fillId="0" borderId="10" xfId="6" applyFont="1" applyBorder="1" applyAlignment="1">
      <alignment horizontal="center" vertical="center" wrapText="1"/>
    </xf>
    <xf numFmtId="0" fontId="16" fillId="0" borderId="11" xfId="6" applyFont="1" applyBorder="1" applyAlignment="1">
      <alignment horizontal="center" vertical="center" wrapText="1"/>
    </xf>
    <xf numFmtId="0" fontId="16" fillId="0" borderId="12" xfId="6" applyFont="1" applyBorder="1" applyAlignment="1">
      <alignment horizontal="center" vertical="center" wrapText="1"/>
    </xf>
    <xf numFmtId="0" fontId="17" fillId="0" borderId="3" xfId="6" applyFont="1" applyBorder="1"/>
    <xf numFmtId="0" fontId="17" fillId="0" borderId="5" xfId="6" applyFont="1" applyBorder="1"/>
    <xf numFmtId="0" fontId="9" fillId="0" borderId="0" xfId="0" applyFont="1" applyAlignment="1">
      <alignment horizontal="center" vertical="top" wrapText="1"/>
    </xf>
    <xf numFmtId="0" fontId="0" fillId="4" borderId="0" xfId="0" applyFill="1" applyAlignment="1">
      <alignment horizontal="center" vertical="top" wrapText="1"/>
    </xf>
    <xf numFmtId="0" fontId="21" fillId="0" borderId="0" xfId="7" quotePrefix="1" applyFont="1" applyAlignment="1">
      <alignment horizontal="right" vertical="center" wrapText="1"/>
    </xf>
    <xf numFmtId="0" fontId="21" fillId="0" borderId="0" xfId="7" applyFont="1" applyAlignment="1">
      <alignment horizontal="right" vertical="center" wrapText="1"/>
    </xf>
    <xf numFmtId="0" fontId="15" fillId="0" borderId="0" xfId="6" applyFont="1" applyAlignment="1">
      <alignment horizontal="center"/>
    </xf>
    <xf numFmtId="0" fontId="18" fillId="0" borderId="0" xfId="6" applyFont="1" applyAlignment="1">
      <alignment horizontal="center" wrapText="1"/>
    </xf>
  </cellXfs>
  <cellStyles count="20">
    <cellStyle name="S0" xfId="7"/>
    <cellStyle name="S1" xfId="15"/>
    <cellStyle name="S11" xfId="10"/>
    <cellStyle name="S12" xfId="11"/>
    <cellStyle name="S13" xfId="12"/>
    <cellStyle name="S14" xfId="13"/>
    <cellStyle name="S15" xfId="18"/>
    <cellStyle name="S19" xfId="14"/>
    <cellStyle name="S2" xfId="8"/>
    <cellStyle name="S20" xfId="19"/>
    <cellStyle name="S3" xfId="16"/>
    <cellStyle name="S4" xfId="9"/>
    <cellStyle name="S5" xfId="17"/>
    <cellStyle name="Итоги" xfId="1"/>
    <cellStyle name="ЛокСмета" xfId="2"/>
    <cellStyle name="Обычный" xfId="0" builtinId="0"/>
    <cellStyle name="Обычный 5" xfId="6"/>
    <cellStyle name="ПИР" xfId="3"/>
    <cellStyle name="Титул" xfId="4"/>
    <cellStyle name="Хвост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18</xdr:row>
      <xdr:rowOff>394607</xdr:rowOff>
    </xdr:from>
    <xdr:to>
      <xdr:col>23</xdr:col>
      <xdr:colOff>274978</xdr:colOff>
      <xdr:row>40</xdr:row>
      <xdr:rowOff>272143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96357" y="7209064"/>
          <a:ext cx="10251735" cy="7726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21"/>
  <sheetViews>
    <sheetView topLeftCell="J10" workbookViewId="0">
      <selection activeCell="N19" sqref="N19"/>
    </sheetView>
  </sheetViews>
  <sheetFormatPr defaultRowHeight="15" x14ac:dyDescent="0.25"/>
  <cols>
    <col min="3" max="3" width="33" customWidth="1"/>
    <col min="5" max="5" width="10.5703125" customWidth="1"/>
    <col min="7" max="7" width="29.140625" customWidth="1"/>
    <col min="9" max="9" width="24.140625" customWidth="1"/>
    <col min="10" max="10" width="11.85546875" customWidth="1"/>
    <col min="11" max="11" width="21.5703125" customWidth="1"/>
    <col min="12" max="12" width="12.28515625" customWidth="1"/>
    <col min="13" max="13" width="13.42578125" customWidth="1"/>
    <col min="14" max="14" width="13.42578125" style="33" customWidth="1"/>
  </cols>
  <sheetData>
    <row r="3" spans="2:22" x14ac:dyDescent="0.25">
      <c r="B3" s="128" t="s">
        <v>118</v>
      </c>
      <c r="C3" s="128"/>
      <c r="D3" s="128"/>
      <c r="E3" s="128"/>
      <c r="F3" s="128"/>
      <c r="G3" s="128"/>
    </row>
    <row r="4" spans="2:22" x14ac:dyDescent="0.25">
      <c r="B4" s="129"/>
      <c r="C4" s="130"/>
      <c r="D4" s="130"/>
      <c r="E4" s="130"/>
      <c r="F4" s="130"/>
      <c r="G4" s="131"/>
    </row>
    <row r="5" spans="2:22" ht="78" customHeight="1" x14ac:dyDescent="0.25">
      <c r="B5" s="132" t="s">
        <v>62</v>
      </c>
      <c r="C5" s="132"/>
      <c r="D5" s="132" t="s">
        <v>119</v>
      </c>
      <c r="E5" s="132"/>
      <c r="F5" s="132"/>
      <c r="G5" s="132"/>
    </row>
    <row r="6" spans="2:22" x14ac:dyDescent="0.25">
      <c r="B6" s="133" t="s">
        <v>120</v>
      </c>
      <c r="C6" s="133"/>
      <c r="D6" s="134" t="s">
        <v>65</v>
      </c>
      <c r="E6" s="134"/>
      <c r="F6" s="134"/>
      <c r="G6" s="134"/>
    </row>
    <row r="7" spans="2:22" x14ac:dyDescent="0.25">
      <c r="B7" s="135" t="s">
        <v>121</v>
      </c>
      <c r="C7" s="135"/>
      <c r="D7" s="134" t="s">
        <v>67</v>
      </c>
      <c r="E7" s="134"/>
      <c r="F7" s="134"/>
      <c r="G7" s="134"/>
    </row>
    <row r="8" spans="2:22" x14ac:dyDescent="0.25">
      <c r="B8" s="136" t="s">
        <v>122</v>
      </c>
      <c r="C8" s="136"/>
      <c r="D8" s="134" t="s">
        <v>123</v>
      </c>
      <c r="E8" s="134"/>
      <c r="F8" s="134"/>
      <c r="G8" s="134"/>
    </row>
    <row r="9" spans="2:22" x14ac:dyDescent="0.25">
      <c r="B9" s="135" t="s">
        <v>69</v>
      </c>
      <c r="C9" s="135"/>
      <c r="D9" s="134" t="s">
        <v>136</v>
      </c>
      <c r="E9" s="134"/>
      <c r="F9" s="134"/>
      <c r="G9" s="134"/>
    </row>
    <row r="10" spans="2:22" x14ac:dyDescent="0.25">
      <c r="B10" s="68"/>
      <c r="C10" s="68"/>
      <c r="D10" s="68"/>
      <c r="E10" s="68"/>
      <c r="F10" s="68"/>
      <c r="G10" s="68"/>
    </row>
    <row r="11" spans="2:22" ht="30" x14ac:dyDescent="0.25">
      <c r="B11" s="69" t="s">
        <v>71</v>
      </c>
      <c r="C11" s="137" t="s">
        <v>124</v>
      </c>
      <c r="D11" s="137"/>
      <c r="E11" s="70" t="s">
        <v>125</v>
      </c>
      <c r="F11" s="137" t="s">
        <v>126</v>
      </c>
      <c r="G11" s="137"/>
    </row>
    <row r="12" spans="2:22" x14ac:dyDescent="0.25">
      <c r="B12" s="71">
        <v>1</v>
      </c>
      <c r="C12" s="138">
        <v>2</v>
      </c>
      <c r="D12" s="138"/>
      <c r="E12" s="71">
        <v>3</v>
      </c>
      <c r="F12" s="138">
        <v>4</v>
      </c>
      <c r="G12" s="138"/>
    </row>
    <row r="13" spans="2:22" s="90" customFormat="1" x14ac:dyDescent="0.25">
      <c r="B13" s="94">
        <v>1</v>
      </c>
      <c r="C13" s="142" t="s">
        <v>127</v>
      </c>
      <c r="D13" s="142"/>
      <c r="E13" s="95" t="s">
        <v>128</v>
      </c>
      <c r="F13" s="143">
        <v>939170</v>
      </c>
      <c r="G13" s="144"/>
      <c r="I13" s="96">
        <f>'Основные разделы'!J59</f>
        <v>965318.55576479994</v>
      </c>
      <c r="J13" s="90" t="s">
        <v>157</v>
      </c>
      <c r="K13" s="90" t="s">
        <v>170</v>
      </c>
      <c r="L13" s="96">
        <v>1190909.3799999999</v>
      </c>
      <c r="M13" s="114">
        <f>'Основные разделы'!R60</f>
        <v>1032408.1125648</v>
      </c>
      <c r="N13" s="114">
        <f>'Основные разделы'!S60</f>
        <v>1196697.1595961601</v>
      </c>
    </row>
    <row r="14" spans="2:22" s="91" customFormat="1" ht="71.25" customHeight="1" x14ac:dyDescent="0.25">
      <c r="B14" s="92">
        <v>2</v>
      </c>
      <c r="C14" s="146" t="s">
        <v>129</v>
      </c>
      <c r="D14" s="146"/>
      <c r="E14" s="93" t="s">
        <v>128</v>
      </c>
      <c r="F14" s="147">
        <v>350127.35999999999</v>
      </c>
      <c r="G14" s="148"/>
      <c r="I14" s="99" t="s">
        <v>156</v>
      </c>
      <c r="K14" s="108" t="s">
        <v>172</v>
      </c>
      <c r="L14" s="103">
        <v>350127.35999999999</v>
      </c>
      <c r="M14" s="117">
        <v>204240.96000000002</v>
      </c>
      <c r="N14" s="117">
        <f>АСУ!I44</f>
        <v>350127.35999999999</v>
      </c>
      <c r="O14" s="99"/>
      <c r="P14" s="99"/>
      <c r="Q14" s="99"/>
      <c r="R14" s="99"/>
      <c r="S14" s="99"/>
      <c r="T14" s="99"/>
      <c r="U14" s="99"/>
      <c r="V14" s="99"/>
    </row>
    <row r="15" spans="2:22" ht="158.25" x14ac:dyDescent="0.25">
      <c r="B15" s="72"/>
      <c r="C15" s="145" t="s">
        <v>114</v>
      </c>
      <c r="D15" s="145"/>
      <c r="E15" s="145"/>
      <c r="F15" s="140">
        <f>F14+F13</f>
        <v>1289297.3599999999</v>
      </c>
      <c r="G15" s="141"/>
      <c r="I15" s="97">
        <f>I13</f>
        <v>965318.55576479994</v>
      </c>
      <c r="K15" s="100" t="s">
        <v>171</v>
      </c>
      <c r="M15" s="114">
        <f>M13+M14</f>
        <v>1236649.0725648</v>
      </c>
      <c r="N15" s="114">
        <f>N13+N14</f>
        <v>1546824.5195961599</v>
      </c>
    </row>
    <row r="16" spans="2:22" x14ac:dyDescent="0.25">
      <c r="B16" s="72"/>
      <c r="C16" s="139" t="s">
        <v>116</v>
      </c>
      <c r="D16" s="139"/>
      <c r="E16" s="139"/>
      <c r="F16" s="140">
        <f>F15*0.2</f>
        <v>257859.47199999998</v>
      </c>
      <c r="G16" s="141" t="s">
        <v>130</v>
      </c>
      <c r="I16">
        <f>I15*0.2</f>
        <v>193063.71115295999</v>
      </c>
      <c r="L16" s="97">
        <f>L13+L14</f>
        <v>1541036.7399999998</v>
      </c>
      <c r="M16" s="114">
        <f>M15*0.2</f>
        <v>247329.81451296003</v>
      </c>
      <c r="N16" s="114">
        <f>N15*0.2</f>
        <v>309364.90391923202</v>
      </c>
    </row>
    <row r="17" spans="2:14" x14ac:dyDescent="0.25">
      <c r="B17" s="72"/>
      <c r="C17" s="139" t="s">
        <v>131</v>
      </c>
      <c r="D17" s="139"/>
      <c r="E17" s="139"/>
      <c r="F17" s="140">
        <f>F15+F16</f>
        <v>1547156.8319999999</v>
      </c>
      <c r="G17" s="141"/>
      <c r="I17" s="98">
        <f>I15+I16</f>
        <v>1158382.26691776</v>
      </c>
      <c r="L17">
        <f>L16*0.2</f>
        <v>308207.34799999994</v>
      </c>
      <c r="M17" s="114">
        <f>M15+M16</f>
        <v>1483978.88707776</v>
      </c>
      <c r="N17" s="114">
        <f>N15+N16</f>
        <v>1856189.423515392</v>
      </c>
    </row>
    <row r="18" spans="2:14" x14ac:dyDescent="0.25">
      <c r="B18" s="67"/>
      <c r="C18" s="67"/>
      <c r="D18" s="67"/>
      <c r="E18" s="67"/>
      <c r="F18" s="67"/>
      <c r="G18" s="67"/>
      <c r="L18" s="104">
        <f>L17+L16</f>
        <v>1849244.0879999998</v>
      </c>
    </row>
    <row r="19" spans="2:14" x14ac:dyDescent="0.25">
      <c r="B19" s="67"/>
      <c r="C19" s="67"/>
      <c r="D19" s="67"/>
      <c r="E19" s="67"/>
      <c r="F19" s="67"/>
      <c r="G19" s="67"/>
      <c r="N19" s="97"/>
    </row>
    <row r="20" spans="2:14" x14ac:dyDescent="0.25">
      <c r="B20" s="67"/>
      <c r="C20" s="67" t="s">
        <v>132</v>
      </c>
      <c r="D20" s="67" t="s">
        <v>133</v>
      </c>
      <c r="E20" s="67"/>
      <c r="F20" s="67"/>
      <c r="G20" s="67"/>
    </row>
    <row r="21" spans="2:14" x14ac:dyDescent="0.25">
      <c r="B21" s="67"/>
      <c r="C21" s="67" t="s">
        <v>134</v>
      </c>
      <c r="D21" s="67" t="s">
        <v>133</v>
      </c>
      <c r="E21" s="67"/>
      <c r="F21" s="67"/>
      <c r="G21" s="67"/>
    </row>
  </sheetData>
  <mergeCells count="26">
    <mergeCell ref="C11:D11"/>
    <mergeCell ref="F11:G11"/>
    <mergeCell ref="C12:D12"/>
    <mergeCell ref="F12:G12"/>
    <mergeCell ref="C17:E17"/>
    <mergeCell ref="F17:G17"/>
    <mergeCell ref="C13:D13"/>
    <mergeCell ref="F13:G13"/>
    <mergeCell ref="C15:E15"/>
    <mergeCell ref="F15:G15"/>
    <mergeCell ref="C14:D14"/>
    <mergeCell ref="F14:G14"/>
    <mergeCell ref="C16:E16"/>
    <mergeCell ref="F16:G16"/>
    <mergeCell ref="B7:C7"/>
    <mergeCell ref="D7:G7"/>
    <mergeCell ref="B8:C8"/>
    <mergeCell ref="D8:G8"/>
    <mergeCell ref="B9:C9"/>
    <mergeCell ref="D9:G9"/>
    <mergeCell ref="B3:G3"/>
    <mergeCell ref="B4:G4"/>
    <mergeCell ref="B5:C5"/>
    <mergeCell ref="D5:G5"/>
    <mergeCell ref="B6:C6"/>
    <mergeCell ref="D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62"/>
  <sheetViews>
    <sheetView showGridLines="0" tabSelected="1" topLeftCell="B1" zoomScale="85" zoomScaleNormal="85" workbookViewId="0">
      <selection activeCell="I15" sqref="I15"/>
    </sheetView>
  </sheetViews>
  <sheetFormatPr defaultColWidth="8.85546875" defaultRowHeight="12" outlineLevelRow="1" x14ac:dyDescent="0.2"/>
  <cols>
    <col min="1" max="1" width="4.28515625" style="11" customWidth="1"/>
    <col min="2" max="2" width="27.85546875" style="11" customWidth="1"/>
    <col min="3" max="3" width="33.28515625" style="11" customWidth="1"/>
    <col min="4" max="4" width="18.42578125" style="11" customWidth="1"/>
    <col min="5" max="5" width="11.85546875" style="11" customWidth="1"/>
    <col min="6" max="6" width="8.85546875" style="11" customWidth="1"/>
    <col min="7" max="7" width="14" style="11" customWidth="1"/>
    <col min="8" max="8" width="33.42578125" style="11" customWidth="1"/>
    <col min="9" max="9" width="28.28515625" style="11" customWidth="1"/>
    <col min="10" max="10" width="16" style="11" customWidth="1"/>
    <col min="11" max="11" width="57.7109375" style="11" customWidth="1"/>
    <col min="12" max="12" width="3.5703125" style="11" customWidth="1"/>
    <col min="13" max="13" width="0.140625" style="11" customWidth="1"/>
    <col min="14" max="14" width="14" style="11" customWidth="1"/>
    <col min="15" max="15" width="12.5703125" style="11" customWidth="1"/>
    <col min="16" max="16" width="0.140625" style="11" customWidth="1"/>
    <col min="17" max="17" width="25.140625" style="11" customWidth="1"/>
    <col min="18" max="18" width="13.85546875" style="11" customWidth="1"/>
    <col min="19" max="19" width="16.140625" style="118" customWidth="1"/>
    <col min="20" max="20" width="47.42578125" style="118" customWidth="1"/>
    <col min="21" max="16384" width="8.85546875" style="11"/>
  </cols>
  <sheetData>
    <row r="1" spans="1:5" x14ac:dyDescent="0.2">
      <c r="A1" s="9"/>
      <c r="B1" s="9"/>
      <c r="C1" s="9"/>
      <c r="D1" s="10" t="s">
        <v>0</v>
      </c>
    </row>
    <row r="2" spans="1:5" ht="14.45" customHeight="1" x14ac:dyDescent="0.2">
      <c r="A2" s="163" t="s">
        <v>5</v>
      </c>
      <c r="B2" s="163"/>
      <c r="C2" s="12"/>
      <c r="D2" s="12"/>
      <c r="E2" s="13"/>
    </row>
    <row r="3" spans="1:5" x14ac:dyDescent="0.2">
      <c r="A3" s="14"/>
      <c r="B3" s="14"/>
      <c r="C3" s="164" t="s">
        <v>4</v>
      </c>
      <c r="D3" s="164"/>
      <c r="E3" s="165"/>
    </row>
    <row r="4" spans="1:5" x14ac:dyDescent="0.2">
      <c r="A4" s="169" t="s">
        <v>135</v>
      </c>
      <c r="B4" s="169"/>
      <c r="C4" s="169"/>
      <c r="D4" s="169"/>
      <c r="E4" s="169"/>
    </row>
    <row r="5" spans="1:5" x14ac:dyDescent="0.2">
      <c r="A5" s="166" t="s">
        <v>1</v>
      </c>
      <c r="B5" s="166"/>
      <c r="C5" s="166"/>
      <c r="D5" s="166"/>
      <c r="E5" s="15"/>
    </row>
    <row r="6" spans="1:5" ht="5.45" customHeight="1" x14ac:dyDescent="0.2">
      <c r="A6" s="16"/>
      <c r="B6" s="16"/>
      <c r="C6" s="16"/>
      <c r="D6" s="16"/>
      <c r="E6" s="16"/>
    </row>
    <row r="7" spans="1:5" x14ac:dyDescent="0.2">
      <c r="A7" s="170" t="s">
        <v>59</v>
      </c>
      <c r="B7" s="170"/>
      <c r="C7" s="170"/>
      <c r="D7" s="170"/>
      <c r="E7" s="170"/>
    </row>
    <row r="8" spans="1:5" x14ac:dyDescent="0.2">
      <c r="A8" s="168" t="s">
        <v>6</v>
      </c>
      <c r="B8" s="168"/>
      <c r="C8" s="168"/>
      <c r="D8" s="168"/>
      <c r="E8" s="17"/>
    </row>
    <row r="9" spans="1:5" x14ac:dyDescent="0.2">
      <c r="A9" s="16"/>
      <c r="B9" s="16"/>
      <c r="C9" s="16"/>
      <c r="D9" s="16"/>
      <c r="E9" s="16"/>
    </row>
    <row r="10" spans="1:5" ht="17.45" customHeight="1" x14ac:dyDescent="0.2">
      <c r="A10" s="18" t="s">
        <v>7</v>
      </c>
      <c r="B10" s="16"/>
      <c r="C10" s="16" t="s">
        <v>65</v>
      </c>
      <c r="D10" s="16"/>
      <c r="E10" s="16"/>
    </row>
    <row r="11" spans="1:5" x14ac:dyDescent="0.2">
      <c r="A11" s="15" t="s">
        <v>9</v>
      </c>
      <c r="B11" s="16"/>
      <c r="C11" s="19" t="s">
        <v>67</v>
      </c>
      <c r="D11" s="19"/>
      <c r="E11" s="19"/>
    </row>
    <row r="12" spans="1:5" x14ac:dyDescent="0.2">
      <c r="B12" s="14"/>
      <c r="C12" s="14"/>
      <c r="D12" s="14"/>
      <c r="E12" s="14"/>
    </row>
    <row r="13" spans="1:5" outlineLevel="1" x14ac:dyDescent="0.2">
      <c r="A13" s="20" t="s">
        <v>10</v>
      </c>
      <c r="B13" s="14"/>
      <c r="C13" s="14"/>
      <c r="D13" s="14"/>
      <c r="E13" s="14"/>
    </row>
    <row r="14" spans="1:5" x14ac:dyDescent="0.2">
      <c r="A14" s="16"/>
      <c r="B14" s="16"/>
      <c r="C14" s="21"/>
      <c r="D14" s="21"/>
      <c r="E14" s="22"/>
    </row>
    <row r="15" spans="1:5" ht="96" x14ac:dyDescent="0.2">
      <c r="A15" s="1" t="s">
        <v>2</v>
      </c>
      <c r="B15" s="2" t="s">
        <v>3</v>
      </c>
      <c r="C15" s="2" t="s">
        <v>8</v>
      </c>
      <c r="D15" s="3" t="s">
        <v>11</v>
      </c>
      <c r="E15" s="3" t="s">
        <v>12</v>
      </c>
    </row>
    <row r="16" spans="1:5" x14ac:dyDescent="0.2">
      <c r="A16" s="23">
        <v>1</v>
      </c>
      <c r="B16" s="24">
        <v>2</v>
      </c>
      <c r="C16" s="24">
        <v>3</v>
      </c>
      <c r="D16" s="23">
        <v>4</v>
      </c>
      <c r="E16" s="23">
        <v>5</v>
      </c>
    </row>
    <row r="17" spans="1:70" ht="21" customHeight="1" x14ac:dyDescent="0.3">
      <c r="A17" s="153" t="s">
        <v>17</v>
      </c>
      <c r="B17" s="167"/>
      <c r="C17" s="167"/>
      <c r="D17" s="167"/>
      <c r="E17" s="167"/>
      <c r="I17" s="107" t="s">
        <v>160</v>
      </c>
      <c r="T17" s="127" t="s">
        <v>189</v>
      </c>
    </row>
    <row r="18" spans="1:70" s="79" customFormat="1" ht="36" x14ac:dyDescent="0.2">
      <c r="A18" s="76">
        <v>1</v>
      </c>
      <c r="B18" s="155" t="s">
        <v>18</v>
      </c>
      <c r="C18" s="77" t="s">
        <v>19</v>
      </c>
      <c r="D18" s="78" t="s">
        <v>20</v>
      </c>
      <c r="E18" s="73">
        <v>122.59</v>
      </c>
      <c r="G18" s="79" t="s">
        <v>140</v>
      </c>
      <c r="N18" s="79" t="s">
        <v>143</v>
      </c>
      <c r="R18" s="110">
        <f>(183.72+0.019*1303.5)*0.6*0.98</f>
        <v>122.59006199999999</v>
      </c>
      <c r="S18" s="87">
        <f>R18</f>
        <v>122.59006199999999</v>
      </c>
      <c r="T18" s="87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</row>
    <row r="19" spans="1:70" outlineLevel="1" x14ac:dyDescent="0.2">
      <c r="A19" s="4"/>
      <c r="B19" s="156"/>
      <c r="C19" s="5" t="s">
        <v>21</v>
      </c>
      <c r="D19" s="6"/>
      <c r="E19" s="7" t="s">
        <v>22</v>
      </c>
      <c r="G19" s="11">
        <f>(183.72+0.019*1303.5)*0.6*0.98</f>
        <v>122.59006199999999</v>
      </c>
      <c r="H19" s="11">
        <v>122.59</v>
      </c>
      <c r="S19" s="87"/>
      <c r="T19" s="87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</row>
    <row r="20" spans="1:70" outlineLevel="1" x14ac:dyDescent="0.2">
      <c r="A20" s="4"/>
      <c r="B20" s="156"/>
      <c r="C20" s="5" t="s">
        <v>23</v>
      </c>
      <c r="D20" s="6"/>
      <c r="E20" s="7"/>
      <c r="S20" s="87"/>
      <c r="T20" s="87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</row>
    <row r="21" spans="1:70" s="87" customFormat="1" ht="36" x14ac:dyDescent="0.2">
      <c r="A21" s="84">
        <v>2</v>
      </c>
      <c r="B21" s="155" t="s">
        <v>24</v>
      </c>
      <c r="C21" s="85" t="s">
        <v>25</v>
      </c>
      <c r="D21" s="86" t="s">
        <v>26</v>
      </c>
      <c r="E21" s="75">
        <v>1.44</v>
      </c>
      <c r="G21" s="87" t="s">
        <v>139</v>
      </c>
      <c r="I21" s="150" t="s">
        <v>159</v>
      </c>
      <c r="J21" s="150"/>
      <c r="K21" s="150"/>
      <c r="N21" s="87" t="s">
        <v>143</v>
      </c>
      <c r="Q21" s="111" t="s">
        <v>173</v>
      </c>
      <c r="R21" s="110">
        <f>2.4*2*0.5</f>
        <v>2.4</v>
      </c>
      <c r="S21" s="120">
        <f>R21</f>
        <v>2.4</v>
      </c>
      <c r="T21" s="120" t="s">
        <v>181</v>
      </c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</row>
    <row r="22" spans="1:70" outlineLevel="1" x14ac:dyDescent="0.2">
      <c r="A22" s="4"/>
      <c r="B22" s="156"/>
      <c r="C22" s="5" t="s">
        <v>27</v>
      </c>
      <c r="D22" s="6"/>
      <c r="E22" s="7" t="s">
        <v>22</v>
      </c>
      <c r="G22" s="11">
        <f>2.4*1*0.5</f>
        <v>1.2</v>
      </c>
      <c r="H22" s="11">
        <v>1.2</v>
      </c>
      <c r="S22" s="87"/>
      <c r="T22" s="87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</row>
    <row r="23" spans="1:70" s="83" customFormat="1" ht="267" customHeight="1" x14ac:dyDescent="0.2">
      <c r="A23" s="80">
        <v>3</v>
      </c>
      <c r="B23" s="155" t="s">
        <v>28</v>
      </c>
      <c r="C23" s="81" t="s">
        <v>29</v>
      </c>
      <c r="D23" s="82" t="s">
        <v>30</v>
      </c>
      <c r="E23" s="74">
        <v>8.09</v>
      </c>
      <c r="G23" s="83" t="s">
        <v>138</v>
      </c>
      <c r="I23" s="149" t="s">
        <v>169</v>
      </c>
      <c r="J23" s="149"/>
      <c r="K23" s="149"/>
      <c r="N23" s="83" t="s">
        <v>143</v>
      </c>
      <c r="Q23" s="109" t="s">
        <v>174</v>
      </c>
      <c r="R23" s="110">
        <f>(2.45+3.68*4)*0.5*0.7</f>
        <v>6.0095000000000001</v>
      </c>
      <c r="S23" s="87">
        <f>(29.45+0.98*24)*0.5*0.7</f>
        <v>18.539499999999997</v>
      </c>
      <c r="T23" s="119" t="s">
        <v>187</v>
      </c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</row>
    <row r="24" spans="1:70" outlineLevel="1" x14ac:dyDescent="0.2">
      <c r="A24" s="4"/>
      <c r="B24" s="156"/>
      <c r="C24" s="5" t="s">
        <v>27</v>
      </c>
      <c r="D24" s="6"/>
      <c r="E24" s="7" t="s">
        <v>22</v>
      </c>
      <c r="G24" s="11">
        <v>0</v>
      </c>
      <c r="H24" s="11">
        <f>(29.45+0.98*16)*0.5</f>
        <v>22.564999999999998</v>
      </c>
      <c r="S24" s="87"/>
      <c r="T24" s="87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118"/>
      <c r="BJ24" s="118"/>
      <c r="BK24" s="118"/>
      <c r="BL24" s="118"/>
      <c r="BM24" s="118"/>
      <c r="BN24" s="118"/>
      <c r="BO24" s="118"/>
      <c r="BP24" s="118"/>
      <c r="BQ24" s="118"/>
      <c r="BR24" s="118"/>
    </row>
    <row r="25" spans="1:70" s="87" customFormat="1" ht="226.9" customHeight="1" x14ac:dyDescent="0.2">
      <c r="A25" s="84">
        <v>4</v>
      </c>
      <c r="B25" s="155" t="s">
        <v>31</v>
      </c>
      <c r="C25" s="85" t="s">
        <v>32</v>
      </c>
      <c r="D25" s="86" t="s">
        <v>30</v>
      </c>
      <c r="E25" s="75">
        <v>8.09</v>
      </c>
      <c r="G25" s="151" t="s">
        <v>141</v>
      </c>
      <c r="H25" s="151"/>
      <c r="I25" s="152" t="s">
        <v>168</v>
      </c>
      <c r="J25" s="152"/>
      <c r="K25" s="152"/>
      <c r="N25" s="87" t="s">
        <v>143</v>
      </c>
      <c r="Q25" s="109" t="s">
        <v>175</v>
      </c>
      <c r="R25" s="110">
        <f>(2.45+3.68*4)*0.5</f>
        <v>8.5850000000000009</v>
      </c>
      <c r="S25" s="87">
        <f>(29.45+0.98*24)*0.5</f>
        <v>26.484999999999999</v>
      </c>
      <c r="T25" s="87" t="s">
        <v>184</v>
      </c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</row>
    <row r="26" spans="1:70" outlineLevel="1" x14ac:dyDescent="0.2">
      <c r="A26" s="4"/>
      <c r="B26" s="156"/>
      <c r="C26" s="5" t="s">
        <v>27</v>
      </c>
      <c r="D26" s="6"/>
      <c r="E26" s="7" t="s">
        <v>22</v>
      </c>
      <c r="G26" s="11">
        <f>(2.45+3.68*1)*0.5</f>
        <v>3.0650000000000004</v>
      </c>
      <c r="H26" s="11">
        <f>(2.45+3.68*9)*0.5</f>
        <v>17.785000000000004</v>
      </c>
      <c r="S26" s="87"/>
      <c r="T26" s="87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  <c r="BK26" s="118"/>
      <c r="BL26" s="118"/>
      <c r="BM26" s="118"/>
      <c r="BN26" s="118"/>
      <c r="BO26" s="118"/>
      <c r="BP26" s="118"/>
      <c r="BQ26" s="118"/>
      <c r="BR26" s="118"/>
    </row>
    <row r="27" spans="1:70" s="87" customFormat="1" ht="36" x14ac:dyDescent="0.2">
      <c r="A27" s="84">
        <v>14</v>
      </c>
      <c r="B27" s="155" t="s">
        <v>33</v>
      </c>
      <c r="C27" s="85" t="s">
        <v>34</v>
      </c>
      <c r="D27" s="86" t="s">
        <v>35</v>
      </c>
      <c r="E27" s="75">
        <v>0.57999999999999996</v>
      </c>
      <c r="G27" s="87" t="s">
        <v>142</v>
      </c>
      <c r="I27" s="105" t="s">
        <v>159</v>
      </c>
      <c r="N27" s="87" t="s">
        <v>144</v>
      </c>
      <c r="R27" s="110">
        <f>(0.972*1)*0.75</f>
        <v>0.72899999999999998</v>
      </c>
      <c r="S27" s="87">
        <f>R27</f>
        <v>0.72899999999999998</v>
      </c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</row>
    <row r="28" spans="1:70" outlineLevel="1" x14ac:dyDescent="0.2">
      <c r="A28" s="4"/>
      <c r="B28" s="156"/>
      <c r="C28" s="5" t="s">
        <v>21</v>
      </c>
      <c r="D28" s="6"/>
      <c r="E28" s="7" t="s">
        <v>22</v>
      </c>
      <c r="G28" s="11">
        <f>(0.972*1)*0.75</f>
        <v>0.72899999999999998</v>
      </c>
      <c r="H28" s="11">
        <v>0.72899999999999998</v>
      </c>
      <c r="S28" s="87"/>
      <c r="T28" s="87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8"/>
      <c r="BI28" s="118"/>
      <c r="BJ28" s="118"/>
      <c r="BK28" s="118"/>
      <c r="BL28" s="118"/>
      <c r="BM28" s="118"/>
      <c r="BN28" s="118"/>
      <c r="BO28" s="118"/>
      <c r="BP28" s="118"/>
      <c r="BQ28" s="118"/>
      <c r="BR28" s="118"/>
    </row>
    <row r="29" spans="1:70" outlineLevel="1" x14ac:dyDescent="0.2">
      <c r="A29" s="4"/>
      <c r="B29" s="156"/>
      <c r="C29" s="5" t="s">
        <v>36</v>
      </c>
      <c r="D29" s="6"/>
      <c r="E29" s="7"/>
      <c r="S29" s="87"/>
      <c r="T29" s="87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</row>
    <row r="30" spans="1:70" s="87" customFormat="1" ht="36" x14ac:dyDescent="0.2">
      <c r="A30" s="84">
        <v>11</v>
      </c>
      <c r="B30" s="155" t="s">
        <v>37</v>
      </c>
      <c r="C30" s="85" t="s">
        <v>38</v>
      </c>
      <c r="D30" s="86" t="s">
        <v>39</v>
      </c>
      <c r="E30" s="75">
        <v>0.47</v>
      </c>
      <c r="G30" s="87" t="s">
        <v>142</v>
      </c>
      <c r="I30" s="105" t="s">
        <v>159</v>
      </c>
      <c r="N30" s="87" t="s">
        <v>144</v>
      </c>
      <c r="R30" s="110">
        <f>(0.778*1)*0.75</f>
        <v>0.58350000000000002</v>
      </c>
      <c r="S30" s="87">
        <f>R30</f>
        <v>0.58350000000000002</v>
      </c>
      <c r="U30" s="118"/>
      <c r="V30" s="118"/>
      <c r="W30" s="118"/>
      <c r="X30" s="118"/>
      <c r="Y30" s="118"/>
      <c r="Z30" s="118"/>
      <c r="AA30" s="118"/>
      <c r="AB30" s="118"/>
      <c r="AC30" s="118"/>
      <c r="AD30" s="118"/>
      <c r="AE30" s="118"/>
      <c r="AF30" s="118"/>
      <c r="AG30" s="118"/>
      <c r="AH30" s="118"/>
      <c r="AI30" s="118"/>
      <c r="AJ30" s="118"/>
      <c r="AK30" s="118"/>
      <c r="AL30" s="118"/>
      <c r="AM30" s="118"/>
      <c r="AN30" s="118"/>
      <c r="AO30" s="118"/>
      <c r="AP30" s="118"/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118"/>
      <c r="BH30" s="118"/>
      <c r="BI30" s="118"/>
      <c r="BJ30" s="118"/>
      <c r="BK30" s="118"/>
      <c r="BL30" s="118"/>
      <c r="BM30" s="118"/>
      <c r="BN30" s="118"/>
      <c r="BO30" s="118"/>
      <c r="BP30" s="118"/>
      <c r="BQ30" s="118"/>
      <c r="BR30" s="118"/>
    </row>
    <row r="31" spans="1:70" outlineLevel="1" x14ac:dyDescent="0.2">
      <c r="A31" s="4"/>
      <c r="B31" s="156"/>
      <c r="C31" s="5" t="s">
        <v>21</v>
      </c>
      <c r="D31" s="6"/>
      <c r="E31" s="7" t="s">
        <v>22</v>
      </c>
      <c r="G31" s="11">
        <f>(0.778*1)*0.75</f>
        <v>0.58350000000000002</v>
      </c>
      <c r="H31" s="11">
        <v>0.58350000000000002</v>
      </c>
      <c r="S31" s="87"/>
      <c r="T31" s="87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</row>
    <row r="32" spans="1:70" outlineLevel="1" x14ac:dyDescent="0.2">
      <c r="A32" s="4"/>
      <c r="B32" s="156"/>
      <c r="C32" s="5" t="s">
        <v>36</v>
      </c>
      <c r="D32" s="6"/>
      <c r="E32" s="7"/>
      <c r="S32" s="87"/>
      <c r="T32" s="87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</row>
    <row r="33" spans="1:70" s="87" customFormat="1" ht="36" x14ac:dyDescent="0.2">
      <c r="A33" s="84">
        <v>12</v>
      </c>
      <c r="B33" s="155" t="s">
        <v>40</v>
      </c>
      <c r="C33" s="85" t="s">
        <v>41</v>
      </c>
      <c r="D33" s="86" t="s">
        <v>42</v>
      </c>
      <c r="E33" s="75">
        <v>0.53</v>
      </c>
      <c r="G33" s="87" t="s">
        <v>142</v>
      </c>
      <c r="I33" s="105" t="s">
        <v>159</v>
      </c>
      <c r="N33" s="87" t="s">
        <v>144</v>
      </c>
      <c r="R33" s="110">
        <f>(0.875*1)*0.75</f>
        <v>0.65625</v>
      </c>
      <c r="S33" s="87">
        <f>R33</f>
        <v>0.65625</v>
      </c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</row>
    <row r="34" spans="1:70" outlineLevel="1" x14ac:dyDescent="0.2">
      <c r="A34" s="4"/>
      <c r="B34" s="156"/>
      <c r="C34" s="5" t="s">
        <v>21</v>
      </c>
      <c r="D34" s="6"/>
      <c r="E34" s="7" t="s">
        <v>22</v>
      </c>
      <c r="G34" s="11">
        <f>(0.875*1)*0.75</f>
        <v>0.65625</v>
      </c>
      <c r="H34" s="11">
        <v>0.65625</v>
      </c>
      <c r="S34" s="87"/>
      <c r="T34" s="87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</row>
    <row r="35" spans="1:70" outlineLevel="1" x14ac:dyDescent="0.2">
      <c r="A35" s="4"/>
      <c r="B35" s="156"/>
      <c r="C35" s="5" t="s">
        <v>36</v>
      </c>
      <c r="D35" s="6"/>
      <c r="E35" s="7"/>
      <c r="S35" s="87"/>
      <c r="T35" s="87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</row>
    <row r="36" spans="1:70" s="83" customFormat="1" ht="36" x14ac:dyDescent="0.2">
      <c r="A36" s="80">
        <v>13</v>
      </c>
      <c r="B36" s="155" t="s">
        <v>43</v>
      </c>
      <c r="C36" s="81" t="s">
        <v>44</v>
      </c>
      <c r="D36" s="82" t="s">
        <v>45</v>
      </c>
      <c r="E36" s="74">
        <v>0.41</v>
      </c>
      <c r="G36" s="83" t="s">
        <v>137</v>
      </c>
      <c r="I36" s="106" t="s">
        <v>159</v>
      </c>
      <c r="N36" s="83" t="s">
        <v>144</v>
      </c>
      <c r="S36" s="87"/>
      <c r="T36" s="87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</row>
    <row r="37" spans="1:70" outlineLevel="1" x14ac:dyDescent="0.2">
      <c r="A37" s="4"/>
      <c r="B37" s="156"/>
      <c r="C37" s="5" t="s">
        <v>21</v>
      </c>
      <c r="D37" s="6"/>
      <c r="E37" s="7" t="s">
        <v>22</v>
      </c>
      <c r="G37" s="11">
        <v>0</v>
      </c>
      <c r="H37" s="11">
        <v>0</v>
      </c>
      <c r="S37" s="87"/>
      <c r="T37" s="87"/>
      <c r="U37" s="118"/>
      <c r="V37" s="118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8"/>
      <c r="AT37" s="118"/>
      <c r="AU37" s="118"/>
      <c r="AV37" s="118"/>
      <c r="AW37" s="118"/>
      <c r="AX37" s="118"/>
      <c r="AY37" s="118"/>
      <c r="AZ37" s="118"/>
      <c r="BA37" s="118"/>
      <c r="BB37" s="118"/>
      <c r="BC37" s="118"/>
      <c r="BD37" s="118"/>
      <c r="BE37" s="118"/>
      <c r="BF37" s="118"/>
      <c r="BG37" s="118"/>
      <c r="BH37" s="118"/>
      <c r="BI37" s="118"/>
      <c r="BJ37" s="118"/>
      <c r="BK37" s="118"/>
      <c r="BL37" s="118"/>
      <c r="BM37" s="118"/>
      <c r="BN37" s="118"/>
      <c r="BO37" s="118"/>
      <c r="BP37" s="118"/>
      <c r="BQ37" s="118"/>
      <c r="BR37" s="118"/>
    </row>
    <row r="38" spans="1:70" outlineLevel="1" x14ac:dyDescent="0.2">
      <c r="A38" s="4"/>
      <c r="B38" s="156"/>
      <c r="C38" s="5" t="s">
        <v>36</v>
      </c>
      <c r="D38" s="6"/>
      <c r="E38" s="7"/>
      <c r="S38" s="87"/>
      <c r="T38" s="87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  <c r="BR38" s="118"/>
    </row>
    <row r="39" spans="1:70" s="87" customFormat="1" ht="24" x14ac:dyDescent="0.2">
      <c r="A39" s="84">
        <v>15</v>
      </c>
      <c r="B39" s="155" t="s">
        <v>46</v>
      </c>
      <c r="C39" s="85" t="s">
        <v>47</v>
      </c>
      <c r="D39" s="86" t="s">
        <v>48</v>
      </c>
      <c r="E39" s="75">
        <v>5.82</v>
      </c>
      <c r="G39" s="87" t="s">
        <v>145</v>
      </c>
      <c r="I39" s="106" t="s">
        <v>159</v>
      </c>
      <c r="N39" s="87" t="s">
        <v>143</v>
      </c>
      <c r="R39" s="110">
        <f>(36.61+4.57*10)*0.5</f>
        <v>41.155000000000001</v>
      </c>
      <c r="S39" s="87">
        <f>R39</f>
        <v>41.155000000000001</v>
      </c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  <c r="BR39" s="118"/>
    </row>
    <row r="40" spans="1:70" outlineLevel="1" x14ac:dyDescent="0.2">
      <c r="A40" s="4"/>
      <c r="B40" s="156"/>
      <c r="C40" s="5" t="s">
        <v>21</v>
      </c>
      <c r="D40" s="6"/>
      <c r="E40" s="7" t="s">
        <v>22</v>
      </c>
      <c r="G40" s="11">
        <f>(36.61+4.57*10)*0.5</f>
        <v>41.155000000000001</v>
      </c>
      <c r="H40" s="11">
        <v>41.155000000000001</v>
      </c>
      <c r="S40" s="87"/>
      <c r="T40" s="87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  <c r="BR40" s="118"/>
    </row>
    <row r="41" spans="1:70" outlineLevel="1" x14ac:dyDescent="0.2">
      <c r="A41" s="4"/>
      <c r="B41" s="156"/>
      <c r="C41" s="5" t="s">
        <v>36</v>
      </c>
      <c r="D41" s="6"/>
      <c r="E41" s="7"/>
      <c r="S41" s="87"/>
      <c r="T41" s="87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18"/>
      <c r="BI41" s="118"/>
      <c r="BJ41" s="118"/>
      <c r="BK41" s="118"/>
      <c r="BL41" s="118"/>
      <c r="BM41" s="118"/>
      <c r="BN41" s="118"/>
      <c r="BO41" s="118"/>
      <c r="BP41" s="118"/>
      <c r="BQ41" s="118"/>
      <c r="BR41" s="118"/>
    </row>
    <row r="42" spans="1:70" x14ac:dyDescent="0.2">
      <c r="A42" s="25"/>
      <c r="B42" s="153" t="s">
        <v>49</v>
      </c>
      <c r="C42" s="154"/>
      <c r="D42" s="154"/>
      <c r="E42" s="27">
        <v>939.17</v>
      </c>
      <c r="S42" s="87"/>
      <c r="T42" s="87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  <c r="BR42" s="118"/>
    </row>
    <row r="43" spans="1:70" x14ac:dyDescent="0.2">
      <c r="A43" s="25"/>
      <c r="B43" s="153" t="s">
        <v>50</v>
      </c>
      <c r="C43" s="154"/>
      <c r="D43" s="154"/>
      <c r="E43" s="27"/>
      <c r="S43" s="87"/>
      <c r="T43" s="87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118"/>
      <c r="AR43" s="118"/>
      <c r="AS43" s="118"/>
      <c r="AT43" s="118"/>
      <c r="AU43" s="118"/>
      <c r="AV43" s="118"/>
      <c r="AW43" s="118"/>
      <c r="AX43" s="118"/>
      <c r="AY43" s="118"/>
      <c r="AZ43" s="118"/>
      <c r="BA43" s="118"/>
      <c r="BB43" s="118"/>
      <c r="BC43" s="118"/>
      <c r="BD43" s="118"/>
      <c r="BE43" s="118"/>
      <c r="BF43" s="118"/>
      <c r="BG43" s="118"/>
      <c r="BH43" s="118"/>
      <c r="BI43" s="118"/>
      <c r="BJ43" s="118"/>
      <c r="BK43" s="118"/>
      <c r="BL43" s="118"/>
      <c r="BM43" s="118"/>
      <c r="BN43" s="118"/>
      <c r="BO43" s="118"/>
      <c r="BP43" s="118"/>
      <c r="BQ43" s="118"/>
      <c r="BR43" s="118"/>
    </row>
    <row r="44" spans="1:70" x14ac:dyDescent="0.2">
      <c r="A44" s="25"/>
      <c r="B44" s="155" t="s">
        <v>51</v>
      </c>
      <c r="C44" s="157"/>
      <c r="D44" s="157"/>
      <c r="E44" s="26">
        <v>148.02000000000001</v>
      </c>
      <c r="Q44" s="112" t="s">
        <v>176</v>
      </c>
      <c r="R44" s="112"/>
      <c r="S44" s="87"/>
      <c r="T44" s="87"/>
      <c r="U44" s="118"/>
      <c r="V44" s="118"/>
      <c r="W44" s="118"/>
      <c r="X44" s="118"/>
      <c r="Y44" s="118"/>
      <c r="Z44" s="118"/>
      <c r="AA44" s="118"/>
      <c r="AB44" s="118"/>
      <c r="AC44" s="118"/>
      <c r="AD44" s="118"/>
      <c r="AE44" s="118"/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118"/>
      <c r="AR44" s="118"/>
      <c r="AS44" s="118"/>
      <c r="AT44" s="118"/>
      <c r="AU44" s="118"/>
      <c r="AV44" s="118"/>
      <c r="AW44" s="118"/>
      <c r="AX44" s="118"/>
      <c r="AY44" s="118"/>
      <c r="AZ44" s="118"/>
      <c r="BA44" s="118"/>
      <c r="BB44" s="118"/>
      <c r="BC44" s="118"/>
      <c r="BD44" s="118"/>
      <c r="BE44" s="118"/>
      <c r="BF44" s="118"/>
      <c r="BG44" s="118"/>
      <c r="BH44" s="118"/>
      <c r="BI44" s="118"/>
      <c r="BJ44" s="118"/>
      <c r="BK44" s="118"/>
      <c r="BL44" s="118"/>
      <c r="BM44" s="118"/>
      <c r="BN44" s="118"/>
      <c r="BO44" s="118"/>
      <c r="BP44" s="118"/>
      <c r="BQ44" s="118"/>
      <c r="BR44" s="118"/>
    </row>
    <row r="45" spans="1:70" s="79" customFormat="1" x14ac:dyDescent="0.2">
      <c r="A45" s="76"/>
      <c r="B45" s="158" t="s">
        <v>52</v>
      </c>
      <c r="C45" s="159"/>
      <c r="D45" s="159"/>
      <c r="E45" s="73">
        <v>177.62</v>
      </c>
      <c r="S45" s="87"/>
      <c r="T45" s="87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18"/>
      <c r="AG45" s="118"/>
      <c r="AH45" s="118"/>
      <c r="AI45" s="118"/>
      <c r="AJ45" s="118"/>
      <c r="AK45" s="118"/>
      <c r="AL45" s="118"/>
      <c r="AM45" s="118"/>
      <c r="AN45" s="118"/>
      <c r="AO45" s="118"/>
      <c r="AP45" s="118"/>
      <c r="AQ45" s="118"/>
      <c r="AR45" s="118"/>
      <c r="AS45" s="118"/>
      <c r="AT45" s="118"/>
      <c r="AU45" s="118"/>
      <c r="AV45" s="118"/>
      <c r="AW45" s="118"/>
      <c r="AX45" s="118"/>
      <c r="AY45" s="118"/>
      <c r="AZ45" s="118"/>
      <c r="BA45" s="118"/>
      <c r="BB45" s="118"/>
      <c r="BC45" s="118"/>
      <c r="BD45" s="118"/>
      <c r="BE45" s="118"/>
      <c r="BF45" s="118"/>
      <c r="BG45" s="118"/>
      <c r="BH45" s="118"/>
      <c r="BI45" s="118"/>
      <c r="BJ45" s="118"/>
      <c r="BK45" s="118"/>
      <c r="BL45" s="118"/>
      <c r="BM45" s="118"/>
      <c r="BN45" s="118"/>
      <c r="BO45" s="118"/>
      <c r="BP45" s="118"/>
      <c r="BQ45" s="118"/>
      <c r="BR45" s="118"/>
    </row>
    <row r="46" spans="1:70" s="79" customFormat="1" ht="27.95" customHeight="1" x14ac:dyDescent="0.2">
      <c r="A46" s="76"/>
      <c r="B46" s="158" t="s">
        <v>53</v>
      </c>
      <c r="C46" s="159"/>
      <c r="D46" s="159"/>
      <c r="E46" s="73">
        <v>181.17</v>
      </c>
      <c r="S46" s="87"/>
      <c r="T46" s="87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8"/>
      <c r="AP46" s="118"/>
      <c r="AQ46" s="118"/>
      <c r="AR46" s="118"/>
      <c r="AS46" s="118"/>
      <c r="AT46" s="118"/>
      <c r="AU46" s="118"/>
      <c r="AV46" s="118"/>
      <c r="AW46" s="118"/>
      <c r="AX46" s="118"/>
      <c r="AY46" s="118"/>
      <c r="AZ46" s="118"/>
      <c r="BA46" s="118"/>
      <c r="BB46" s="118"/>
      <c r="BC46" s="118"/>
      <c r="BD46" s="118"/>
      <c r="BE46" s="118"/>
      <c r="BF46" s="118"/>
      <c r="BG46" s="118"/>
      <c r="BH46" s="118"/>
      <c r="BI46" s="118"/>
      <c r="BJ46" s="118"/>
      <c r="BK46" s="118"/>
      <c r="BL46" s="118"/>
      <c r="BM46" s="118"/>
      <c r="BN46" s="118"/>
      <c r="BO46" s="118"/>
      <c r="BP46" s="118"/>
      <c r="BQ46" s="118"/>
      <c r="BR46" s="118"/>
    </row>
    <row r="47" spans="1:70" s="83" customFormat="1" ht="27.95" customHeight="1" x14ac:dyDescent="0.2">
      <c r="A47" s="80"/>
      <c r="B47" s="160" t="s">
        <v>54</v>
      </c>
      <c r="C47" s="161"/>
      <c r="D47" s="161"/>
      <c r="E47" s="74">
        <v>217.4</v>
      </c>
      <c r="G47" s="83" t="s">
        <v>146</v>
      </c>
      <c r="I47" s="106" t="s">
        <v>159</v>
      </c>
      <c r="S47" s="87"/>
      <c r="T47" s="87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8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8"/>
      <c r="BC47" s="118"/>
      <c r="BD47" s="118"/>
      <c r="BE47" s="118"/>
      <c r="BF47" s="118"/>
      <c r="BG47" s="118"/>
      <c r="BH47" s="118"/>
      <c r="BI47" s="118"/>
      <c r="BJ47" s="118"/>
      <c r="BK47" s="118"/>
      <c r="BL47" s="118"/>
      <c r="BM47" s="118"/>
      <c r="BN47" s="118"/>
      <c r="BO47" s="118"/>
      <c r="BP47" s="118"/>
      <c r="BQ47" s="118"/>
      <c r="BR47" s="118"/>
    </row>
    <row r="48" spans="1:70" x14ac:dyDescent="0.2">
      <c r="A48" s="25"/>
      <c r="B48" s="155" t="s">
        <v>55</v>
      </c>
      <c r="C48" s="157"/>
      <c r="D48" s="157"/>
      <c r="E48" s="26">
        <v>939.17</v>
      </c>
      <c r="S48" s="87"/>
      <c r="T48" s="87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8"/>
      <c r="AP48" s="118"/>
      <c r="AQ48" s="118"/>
      <c r="AR48" s="118"/>
      <c r="AS48" s="118"/>
      <c r="AT48" s="118"/>
      <c r="AU48" s="118"/>
      <c r="AV48" s="118"/>
      <c r="AW48" s="118"/>
      <c r="AX48" s="118"/>
      <c r="AY48" s="118"/>
      <c r="AZ48" s="118"/>
      <c r="BA48" s="118"/>
      <c r="BB48" s="118"/>
      <c r="BC48" s="118"/>
      <c r="BD48" s="118"/>
      <c r="BE48" s="118"/>
      <c r="BF48" s="118"/>
      <c r="BG48" s="118"/>
      <c r="BH48" s="118"/>
      <c r="BI48" s="118"/>
      <c r="BJ48" s="118"/>
      <c r="BK48" s="118"/>
      <c r="BL48" s="118"/>
      <c r="BM48" s="118"/>
      <c r="BN48" s="118"/>
      <c r="BO48" s="118"/>
      <c r="BP48" s="118"/>
      <c r="BQ48" s="118"/>
      <c r="BR48" s="118"/>
    </row>
    <row r="49" spans="1:70" x14ac:dyDescent="0.2">
      <c r="A49" s="25"/>
      <c r="B49" s="155" t="s">
        <v>56</v>
      </c>
      <c r="C49" s="157"/>
      <c r="D49" s="157"/>
      <c r="E49" s="26">
        <v>187.83</v>
      </c>
      <c r="S49" s="87"/>
      <c r="T49" s="87"/>
      <c r="U49" s="118"/>
      <c r="V49" s="118"/>
      <c r="W49" s="118"/>
      <c r="X49" s="118"/>
      <c r="Y49" s="118"/>
      <c r="Z49" s="118"/>
      <c r="AA49" s="118"/>
      <c r="AB49" s="118"/>
      <c r="AC49" s="118"/>
      <c r="AD49" s="118"/>
      <c r="AE49" s="118"/>
      <c r="AF49" s="118"/>
      <c r="AG49" s="118"/>
      <c r="AH49" s="118"/>
      <c r="AI49" s="118"/>
      <c r="AJ49" s="118"/>
      <c r="AK49" s="118"/>
      <c r="AL49" s="118"/>
      <c r="AM49" s="118"/>
      <c r="AN49" s="118"/>
      <c r="AO49" s="118"/>
      <c r="AP49" s="118"/>
      <c r="AQ49" s="118"/>
      <c r="AR49" s="118"/>
      <c r="AS49" s="118"/>
      <c r="AT49" s="118"/>
      <c r="AU49" s="118"/>
      <c r="AV49" s="118"/>
      <c r="AW49" s="118"/>
      <c r="AX49" s="118"/>
      <c r="AY49" s="118"/>
      <c r="AZ49" s="118"/>
      <c r="BA49" s="118"/>
      <c r="BB49" s="118"/>
      <c r="BC49" s="118"/>
      <c r="BD49" s="118"/>
      <c r="BE49" s="118"/>
      <c r="BF49" s="118"/>
      <c r="BG49" s="118"/>
      <c r="BH49" s="118"/>
      <c r="BI49" s="118"/>
      <c r="BJ49" s="118"/>
      <c r="BK49" s="118"/>
      <c r="BL49" s="118"/>
      <c r="BM49" s="118"/>
      <c r="BN49" s="118"/>
      <c r="BO49" s="118"/>
      <c r="BP49" s="118"/>
      <c r="BQ49" s="118"/>
      <c r="BR49" s="118"/>
    </row>
    <row r="50" spans="1:70" x14ac:dyDescent="0.2">
      <c r="A50" s="25"/>
      <c r="B50" s="153" t="s">
        <v>57</v>
      </c>
      <c r="C50" s="154"/>
      <c r="D50" s="154"/>
      <c r="E50" s="27" t="s">
        <v>58</v>
      </c>
      <c r="G50" s="11" t="s">
        <v>147</v>
      </c>
      <c r="P50" s="110" t="s">
        <v>147</v>
      </c>
      <c r="S50" s="87"/>
      <c r="T50" s="87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  <c r="BM50" s="118"/>
      <c r="BN50" s="118"/>
      <c r="BO50" s="118"/>
      <c r="BP50" s="118"/>
      <c r="BQ50" s="118"/>
      <c r="BR50" s="118"/>
    </row>
    <row r="51" spans="1:70" x14ac:dyDescent="0.2">
      <c r="A51" s="28"/>
      <c r="B51" s="29"/>
      <c r="C51" s="30"/>
      <c r="D51" s="31"/>
      <c r="E51" s="32"/>
      <c r="P51" s="11" t="s">
        <v>158</v>
      </c>
      <c r="S51" s="87"/>
      <c r="T51" s="87"/>
    </row>
    <row r="52" spans="1:70" x14ac:dyDescent="0.2">
      <c r="A52" s="16"/>
      <c r="B52" s="16"/>
      <c r="C52" s="16"/>
      <c r="D52" s="16"/>
      <c r="E52" s="16"/>
      <c r="G52" s="11" t="s">
        <v>144</v>
      </c>
      <c r="I52" s="11" t="s">
        <v>143</v>
      </c>
      <c r="P52" s="113" t="s">
        <v>144</v>
      </c>
      <c r="Q52" s="113" t="s">
        <v>143</v>
      </c>
      <c r="S52" s="126" t="s">
        <v>143</v>
      </c>
      <c r="T52" s="118" t="s">
        <v>183</v>
      </c>
    </row>
    <row r="53" spans="1:70" x14ac:dyDescent="0.2">
      <c r="A53" s="16"/>
      <c r="B53" s="16"/>
      <c r="C53" s="16"/>
      <c r="D53" s="16"/>
      <c r="E53" s="16"/>
      <c r="G53" s="11">
        <f>G28+G31+G34+G37</f>
        <v>1.96875</v>
      </c>
      <c r="H53" s="11">
        <v>1.96875</v>
      </c>
      <c r="I53" s="11">
        <f>G19+G22+G24+G26+G40</f>
        <v>168.010062</v>
      </c>
      <c r="L53" s="11">
        <v>205.29499999999999</v>
      </c>
      <c r="P53" s="113">
        <f>R27+R30+R33</f>
        <v>1.96875</v>
      </c>
      <c r="Q53" s="113">
        <f>R18+R21+R23+R25+R39</f>
        <v>180.73956200000001</v>
      </c>
      <c r="S53" s="118">
        <f>S39+S25+S23+S21+S18</f>
        <v>211.16956199999998</v>
      </c>
      <c r="T53" s="118">
        <f>S33+S30+S27</f>
        <v>1.96875</v>
      </c>
    </row>
    <row r="54" spans="1:70" x14ac:dyDescent="0.2">
      <c r="A54" s="8" t="s">
        <v>13</v>
      </c>
      <c r="C54" s="8"/>
      <c r="E54" s="11">
        <f>0.41*33.24*1000</f>
        <v>13628.4</v>
      </c>
      <c r="G54" s="11" t="s">
        <v>148</v>
      </c>
      <c r="I54" s="11" t="s">
        <v>148</v>
      </c>
      <c r="J54" s="11" t="s">
        <v>158</v>
      </c>
      <c r="P54" s="113" t="s">
        <v>148</v>
      </c>
      <c r="Q54" s="113" t="s">
        <v>148</v>
      </c>
      <c r="S54" s="126" t="s">
        <v>148</v>
      </c>
      <c r="T54" s="126" t="s">
        <v>148</v>
      </c>
    </row>
    <row r="55" spans="1:70" x14ac:dyDescent="0.2">
      <c r="A55" s="8" t="s">
        <v>14</v>
      </c>
      <c r="C55" s="8"/>
      <c r="G55" s="11">
        <v>33.24</v>
      </c>
      <c r="I55" s="11">
        <v>4.32</v>
      </c>
      <c r="P55" s="113">
        <v>33.24</v>
      </c>
      <c r="Q55" s="113">
        <v>4.32</v>
      </c>
      <c r="S55" s="126">
        <v>4.32</v>
      </c>
      <c r="T55" s="118">
        <v>33.24</v>
      </c>
    </row>
    <row r="56" spans="1:70" x14ac:dyDescent="0.2">
      <c r="A56" s="8" t="s">
        <v>15</v>
      </c>
      <c r="C56" s="8"/>
      <c r="G56" s="11" t="s">
        <v>149</v>
      </c>
      <c r="I56" s="11" t="s">
        <v>149</v>
      </c>
      <c r="P56" s="113" t="s">
        <v>149</v>
      </c>
      <c r="Q56" s="113" t="s">
        <v>149</v>
      </c>
      <c r="S56" s="126" t="s">
        <v>149</v>
      </c>
      <c r="T56" s="126" t="s">
        <v>149</v>
      </c>
    </row>
    <row r="57" spans="1:70" x14ac:dyDescent="0.2">
      <c r="A57" s="8" t="s">
        <v>16</v>
      </c>
      <c r="C57" s="8"/>
      <c r="G57" s="11">
        <f>G53*G55</f>
        <v>65.441250000000011</v>
      </c>
      <c r="H57" s="11">
        <f>H53*G55*1.02*1.2</f>
        <v>80.100090000000009</v>
      </c>
      <c r="I57" s="11">
        <f>I53*I55</f>
        <v>725.80346784000005</v>
      </c>
      <c r="P57" s="113">
        <f>P53*P55</f>
        <v>65.441250000000011</v>
      </c>
      <c r="Q57" s="113">
        <f>Q53*Q55</f>
        <v>780.79490784000006</v>
      </c>
      <c r="S57" s="126">
        <f>S53*S55</f>
        <v>912.25250784000002</v>
      </c>
      <c r="T57" s="118">
        <f>T55*T53</f>
        <v>65.441250000000011</v>
      </c>
    </row>
    <row r="58" spans="1:70" x14ac:dyDescent="0.2">
      <c r="L58" s="11">
        <f>L53*I55*1.02*1.2</f>
        <v>1085.5342656</v>
      </c>
      <c r="S58" s="87"/>
      <c r="T58" s="87"/>
    </row>
    <row r="59" spans="1:70" x14ac:dyDescent="0.2">
      <c r="A59" s="8"/>
      <c r="H59" s="11" t="s">
        <v>149</v>
      </c>
      <c r="I59" s="11">
        <f>G57+I57</f>
        <v>791.24471784000002</v>
      </c>
      <c r="J59" s="102">
        <f>I60*1000</f>
        <v>965318.55576479994</v>
      </c>
      <c r="K59" s="11" t="s">
        <v>150</v>
      </c>
      <c r="Q59" s="11" t="s">
        <v>149</v>
      </c>
      <c r="R59" s="11">
        <f>P57+Q57</f>
        <v>846.23615784000003</v>
      </c>
      <c r="S59" s="87">
        <f>S57+T57</f>
        <v>977.69375783999999</v>
      </c>
      <c r="T59" s="87">
        <f>S53*1.2*1.02</f>
        <v>258.47154388799999</v>
      </c>
      <c r="U59" s="11">
        <f>T53*1.2*1.02</f>
        <v>2.4097499999999998</v>
      </c>
    </row>
    <row r="60" spans="1:70" x14ac:dyDescent="0.2">
      <c r="H60" s="162" t="s">
        <v>152</v>
      </c>
      <c r="I60" s="11">
        <f>I59*(1+0.2+0.02)</f>
        <v>965.31855576479995</v>
      </c>
      <c r="J60" s="88">
        <f>J59*0.2</f>
        <v>193063.71115295999</v>
      </c>
      <c r="K60" s="11" t="s">
        <v>151</v>
      </c>
      <c r="L60" s="102">
        <v>1165634.27</v>
      </c>
      <c r="Q60" s="162" t="s">
        <v>152</v>
      </c>
      <c r="R60" s="110">
        <f>R59*(1+0.2+0.02)*1000</f>
        <v>1032408.1125648</v>
      </c>
      <c r="S60" s="110">
        <f>(U60+T60)*1000</f>
        <v>1196697.1595961601</v>
      </c>
      <c r="T60" s="87">
        <f>T59*S55</f>
        <v>1116.5970695961601</v>
      </c>
      <c r="U60" s="11">
        <f>U59*T55</f>
        <v>80.100089999999994</v>
      </c>
    </row>
    <row r="61" spans="1:70" x14ac:dyDescent="0.2">
      <c r="H61" s="162"/>
      <c r="J61" s="89">
        <f>J59+J60</f>
        <v>1158382.26691776</v>
      </c>
      <c r="K61" s="79" t="s">
        <v>154</v>
      </c>
      <c r="L61" s="102">
        <f>L60*1.2</f>
        <v>1398761.1240000001</v>
      </c>
      <c r="M61" s="79"/>
      <c r="Q61" s="162"/>
    </row>
    <row r="62" spans="1:70" x14ac:dyDescent="0.2">
      <c r="H62" s="11" t="s">
        <v>153</v>
      </c>
      <c r="Q62" s="11" t="s">
        <v>153</v>
      </c>
    </row>
  </sheetData>
  <mergeCells count="31">
    <mergeCell ref="Q60:Q61"/>
    <mergeCell ref="H60:H61"/>
    <mergeCell ref="A2:B2"/>
    <mergeCell ref="C3:E3"/>
    <mergeCell ref="A5:D5"/>
    <mergeCell ref="A17:E17"/>
    <mergeCell ref="B42:D42"/>
    <mergeCell ref="B39:B41"/>
    <mergeCell ref="A8:D8"/>
    <mergeCell ref="A4:E4"/>
    <mergeCell ref="A7:E7"/>
    <mergeCell ref="B48:D48"/>
    <mergeCell ref="B49:D49"/>
    <mergeCell ref="B50:D50"/>
    <mergeCell ref="B18:B20"/>
    <mergeCell ref="B21:B22"/>
    <mergeCell ref="B44:D44"/>
    <mergeCell ref="B45:D45"/>
    <mergeCell ref="B46:D46"/>
    <mergeCell ref="B47:D47"/>
    <mergeCell ref="B25:B26"/>
    <mergeCell ref="B27:B29"/>
    <mergeCell ref="B30:B32"/>
    <mergeCell ref="B33:B35"/>
    <mergeCell ref="B36:B38"/>
    <mergeCell ref="I23:K23"/>
    <mergeCell ref="I21:K21"/>
    <mergeCell ref="G25:H25"/>
    <mergeCell ref="I25:K25"/>
    <mergeCell ref="B43:D43"/>
    <mergeCell ref="B23:B24"/>
  </mergeCells>
  <pageMargins left="0.35433070866141736" right="0.23622047244094491" top="0.74803149606299213" bottom="0.74803149606299213" header="0.31496062992125984" footer="0.31496062992125984"/>
  <pageSetup paperSize="9" orientation="landscape" r:id="rId1"/>
  <headerFooter>
    <oddHeader>&amp;LГранд-СМЕТА</oddHeader>
    <oddFooter>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opLeftCell="A14" zoomScale="70" zoomScaleNormal="70" workbookViewId="0">
      <selection activeCell="K19" sqref="K19"/>
    </sheetView>
  </sheetViews>
  <sheetFormatPr defaultColWidth="11.42578125" defaultRowHeight="15" x14ac:dyDescent="0.25"/>
  <cols>
    <col min="2" max="2" width="34" customWidth="1"/>
    <col min="3" max="8" width="7.85546875" customWidth="1"/>
    <col min="9" max="9" width="12.42578125" customWidth="1"/>
    <col min="10" max="10" width="18.28515625" customWidth="1"/>
    <col min="11" max="11" width="83.28515625" customWidth="1"/>
    <col min="18" max="18" width="22.5703125" customWidth="1"/>
  </cols>
  <sheetData>
    <row r="1" spans="1:18" x14ac:dyDescent="0.25">
      <c r="A1" s="33"/>
      <c r="B1" s="33"/>
      <c r="C1" s="33"/>
      <c r="D1" s="33"/>
      <c r="E1" s="33"/>
      <c r="F1" s="33"/>
      <c r="G1" s="33"/>
      <c r="H1" s="191" t="s">
        <v>60</v>
      </c>
      <c r="I1" s="192"/>
      <c r="J1" s="192"/>
    </row>
    <row r="2" spans="1:18" x14ac:dyDescent="0.25">
      <c r="A2" s="193" t="s">
        <v>61</v>
      </c>
      <c r="B2" s="193"/>
      <c r="C2" s="193"/>
      <c r="D2" s="193"/>
      <c r="E2" s="193"/>
      <c r="F2" s="193"/>
      <c r="G2" s="193"/>
      <c r="H2" s="193"/>
      <c r="I2" s="193"/>
      <c r="J2" s="193"/>
    </row>
    <row r="3" spans="1:18" x14ac:dyDescent="0.25">
      <c r="A3" s="193"/>
      <c r="B3" s="193"/>
      <c r="C3" s="193"/>
      <c r="D3" s="193"/>
      <c r="E3" s="193"/>
      <c r="F3" s="193"/>
      <c r="G3" s="193"/>
      <c r="H3" s="193"/>
      <c r="I3" s="193"/>
      <c r="J3" s="193"/>
    </row>
    <row r="4" spans="1:18" ht="72.75" customHeight="1" x14ac:dyDescent="0.25">
      <c r="A4" s="51"/>
      <c r="B4" s="52" t="s">
        <v>62</v>
      </c>
      <c r="C4" s="194" t="s">
        <v>63</v>
      </c>
      <c r="D4" s="194"/>
      <c r="E4" s="194"/>
      <c r="F4" s="194"/>
      <c r="G4" s="194"/>
      <c r="H4" s="194"/>
      <c r="I4" s="194"/>
      <c r="J4" s="194"/>
      <c r="L4" s="91" t="s">
        <v>155</v>
      </c>
    </row>
    <row r="5" spans="1:18" x14ac:dyDescent="0.25">
      <c r="A5" s="51"/>
      <c r="B5" s="53" t="s">
        <v>64</v>
      </c>
      <c r="C5" s="172" t="s">
        <v>65</v>
      </c>
      <c r="D5" s="172"/>
      <c r="E5" s="172"/>
      <c r="F5" s="172"/>
      <c r="G5" s="172"/>
      <c r="H5" s="172"/>
      <c r="I5" s="172"/>
      <c r="J5" s="172"/>
    </row>
    <row r="6" spans="1:18" x14ac:dyDescent="0.25">
      <c r="A6" s="51"/>
      <c r="B6" s="53" t="s">
        <v>66</v>
      </c>
      <c r="C6" s="172" t="s">
        <v>67</v>
      </c>
      <c r="D6" s="172"/>
      <c r="E6" s="172"/>
      <c r="F6" s="172"/>
      <c r="G6" s="172"/>
      <c r="H6" s="172"/>
      <c r="I6" s="172"/>
      <c r="J6" s="172"/>
    </row>
    <row r="7" spans="1:18" x14ac:dyDescent="0.25">
      <c r="A7" s="51"/>
      <c r="B7" s="53" t="s">
        <v>68</v>
      </c>
      <c r="C7" s="172" t="s">
        <v>59</v>
      </c>
      <c r="D7" s="172"/>
      <c r="E7" s="172"/>
      <c r="F7" s="172"/>
      <c r="G7" s="172"/>
      <c r="H7" s="172"/>
      <c r="I7" s="172"/>
      <c r="J7" s="172"/>
    </row>
    <row r="8" spans="1:18" x14ac:dyDescent="0.25">
      <c r="A8" s="51"/>
      <c r="B8" s="53" t="s">
        <v>69</v>
      </c>
      <c r="C8" s="172" t="s">
        <v>70</v>
      </c>
      <c r="D8" s="172"/>
      <c r="E8" s="172"/>
      <c r="F8" s="172"/>
      <c r="G8" s="172"/>
      <c r="H8" s="172"/>
      <c r="I8" s="172"/>
      <c r="J8" s="172"/>
      <c r="K8" s="122" t="s">
        <v>182</v>
      </c>
      <c r="L8" s="190" t="s">
        <v>166</v>
      </c>
      <c r="M8" s="190"/>
      <c r="N8" s="190"/>
      <c r="O8" s="190"/>
      <c r="P8" s="190"/>
    </row>
    <row r="9" spans="1:18" ht="19.5" thickBot="1" x14ac:dyDescent="0.35">
      <c r="A9" s="173" t="s">
        <v>177</v>
      </c>
      <c r="B9" s="173"/>
      <c r="C9" s="173"/>
      <c r="D9" s="173"/>
      <c r="E9" s="173"/>
      <c r="F9" s="173"/>
      <c r="G9" s="173"/>
      <c r="H9" s="173"/>
      <c r="I9" s="173"/>
      <c r="J9" s="173"/>
      <c r="L9" s="101" t="s">
        <v>161</v>
      </c>
    </row>
    <row r="10" spans="1:18" x14ac:dyDescent="0.25">
      <c r="A10" s="174" t="s">
        <v>71</v>
      </c>
      <c r="B10" s="176" t="s">
        <v>72</v>
      </c>
      <c r="C10" s="176" t="s">
        <v>73</v>
      </c>
      <c r="D10" s="176"/>
      <c r="E10" s="176"/>
      <c r="F10" s="176"/>
      <c r="G10" s="176"/>
      <c r="H10" s="176"/>
      <c r="I10" s="176"/>
      <c r="J10" s="178" t="s">
        <v>74</v>
      </c>
      <c r="L10" s="101" t="s">
        <v>162</v>
      </c>
    </row>
    <row r="11" spans="1:18" x14ac:dyDescent="0.25">
      <c r="A11" s="175"/>
      <c r="B11" s="177"/>
      <c r="C11" s="34" t="s">
        <v>75</v>
      </c>
      <c r="D11" s="34" t="s">
        <v>76</v>
      </c>
      <c r="E11" s="34" t="s">
        <v>77</v>
      </c>
      <c r="F11" s="34" t="s">
        <v>78</v>
      </c>
      <c r="G11" s="34" t="s">
        <v>79</v>
      </c>
      <c r="H11" s="34" t="s">
        <v>80</v>
      </c>
      <c r="I11" s="34" t="s">
        <v>81</v>
      </c>
      <c r="J11" s="179"/>
      <c r="L11" s="101" t="s">
        <v>163</v>
      </c>
    </row>
    <row r="12" spans="1:18" x14ac:dyDescent="0.25">
      <c r="A12" s="54">
        <v>1</v>
      </c>
      <c r="B12" s="36">
        <v>2</v>
      </c>
      <c r="C12" s="36">
        <v>3</v>
      </c>
      <c r="D12" s="36">
        <v>4</v>
      </c>
      <c r="E12" s="36">
        <v>5</v>
      </c>
      <c r="F12" s="36">
        <v>6</v>
      </c>
      <c r="G12" s="36">
        <v>7</v>
      </c>
      <c r="H12" s="36">
        <v>8</v>
      </c>
      <c r="I12" s="36">
        <v>9</v>
      </c>
      <c r="J12" s="62">
        <v>10</v>
      </c>
      <c r="L12" s="101" t="s">
        <v>164</v>
      </c>
    </row>
    <row r="13" spans="1:18" ht="32.25" customHeight="1" x14ac:dyDescent="0.25">
      <c r="A13" s="54">
        <v>1</v>
      </c>
      <c r="B13" s="37" t="s">
        <v>82</v>
      </c>
      <c r="C13" s="38"/>
      <c r="D13" s="38"/>
      <c r="E13" s="38"/>
      <c r="F13" s="38"/>
      <c r="G13" s="38"/>
      <c r="H13" s="38"/>
      <c r="I13" s="36"/>
      <c r="J13" s="63" t="s">
        <v>83</v>
      </c>
      <c r="L13" s="101" t="s">
        <v>165</v>
      </c>
    </row>
    <row r="14" spans="1:18" x14ac:dyDescent="0.25">
      <c r="A14" s="54"/>
      <c r="B14" s="37" t="s">
        <v>84</v>
      </c>
      <c r="C14" s="36">
        <v>1</v>
      </c>
      <c r="D14" s="36">
        <v>1</v>
      </c>
      <c r="E14" s="36">
        <v>1</v>
      </c>
      <c r="F14" s="36">
        <v>1</v>
      </c>
      <c r="G14" s="36">
        <v>1</v>
      </c>
      <c r="H14" s="36">
        <v>1</v>
      </c>
      <c r="I14" s="36">
        <f>C14+D14+E14+F14+G14+H14</f>
        <v>6</v>
      </c>
      <c r="J14" s="62" t="s">
        <v>85</v>
      </c>
      <c r="L14" s="189" t="s">
        <v>167</v>
      </c>
      <c r="M14" s="189"/>
      <c r="N14" s="189"/>
      <c r="O14" s="189"/>
      <c r="P14" s="189"/>
      <c r="Q14" s="189"/>
      <c r="R14" s="189"/>
    </row>
    <row r="15" spans="1:18" ht="32.25" customHeight="1" x14ac:dyDescent="0.25">
      <c r="A15" s="54">
        <v>2</v>
      </c>
      <c r="B15" s="37" t="s">
        <v>86</v>
      </c>
      <c r="C15" s="36"/>
      <c r="D15" s="36"/>
      <c r="E15" s="36"/>
      <c r="F15" s="36"/>
      <c r="G15" s="36"/>
      <c r="H15" s="36"/>
      <c r="I15" s="36"/>
      <c r="J15" s="62"/>
      <c r="L15" s="189"/>
      <c r="M15" s="189"/>
      <c r="N15" s="189"/>
      <c r="O15" s="189"/>
      <c r="P15" s="189"/>
      <c r="Q15" s="189"/>
      <c r="R15" s="189"/>
    </row>
    <row r="16" spans="1:18" ht="163.15" customHeight="1" x14ac:dyDescent="0.25">
      <c r="A16" s="54"/>
      <c r="B16" s="37" t="s">
        <v>87</v>
      </c>
      <c r="C16" s="116">
        <v>2</v>
      </c>
      <c r="D16" s="116">
        <v>2</v>
      </c>
      <c r="E16" s="116">
        <v>2</v>
      </c>
      <c r="F16" s="116">
        <v>2</v>
      </c>
      <c r="G16" s="116">
        <v>2</v>
      </c>
      <c r="H16" s="116">
        <v>2</v>
      </c>
      <c r="I16" s="116">
        <f t="shared" ref="I16:I26" si="0">C16+D16+E16+F16+G16+H16</f>
        <v>12</v>
      </c>
      <c r="J16" s="115" t="s">
        <v>178</v>
      </c>
      <c r="K16" s="123" t="s">
        <v>186</v>
      </c>
      <c r="L16" s="189"/>
      <c r="M16" s="189"/>
      <c r="N16" s="189"/>
      <c r="O16" s="189"/>
      <c r="P16" s="189"/>
      <c r="Q16" s="189"/>
      <c r="R16" s="189"/>
    </row>
    <row r="17" spans="1:18" ht="32.25" customHeight="1" x14ac:dyDescent="0.25">
      <c r="A17" s="54">
        <v>3</v>
      </c>
      <c r="B17" s="37" t="s">
        <v>88</v>
      </c>
      <c r="C17" s="36"/>
      <c r="D17" s="36"/>
      <c r="E17" s="36"/>
      <c r="F17" s="36"/>
      <c r="G17" s="36"/>
      <c r="H17" s="36"/>
      <c r="I17" s="36"/>
      <c r="J17" s="62"/>
      <c r="L17" s="121"/>
      <c r="M17" s="121"/>
      <c r="N17" s="121"/>
      <c r="O17" s="121"/>
      <c r="P17" s="121"/>
      <c r="Q17" s="121"/>
      <c r="R17" s="121"/>
    </row>
    <row r="18" spans="1:18" ht="25.5" x14ac:dyDescent="0.25">
      <c r="A18" s="54"/>
      <c r="B18" s="37" t="s">
        <v>89</v>
      </c>
      <c r="C18" s="36">
        <v>1</v>
      </c>
      <c r="D18" s="36">
        <v>1</v>
      </c>
      <c r="E18" s="36">
        <v>1</v>
      </c>
      <c r="F18" s="36">
        <v>1</v>
      </c>
      <c r="G18" s="36">
        <v>1</v>
      </c>
      <c r="H18" s="36">
        <v>1</v>
      </c>
      <c r="I18" s="36">
        <v>6</v>
      </c>
      <c r="J18" s="62" t="s">
        <v>85</v>
      </c>
      <c r="K18" s="123"/>
      <c r="L18" s="121"/>
      <c r="M18" s="121"/>
      <c r="N18" s="121"/>
      <c r="O18" s="121"/>
      <c r="P18" s="121"/>
      <c r="Q18" s="121"/>
      <c r="R18" s="121"/>
    </row>
    <row r="19" spans="1:18" ht="32.25" customHeight="1" x14ac:dyDescent="0.25">
      <c r="A19" s="54">
        <v>4</v>
      </c>
      <c r="B19" s="37" t="s">
        <v>90</v>
      </c>
      <c r="C19" s="36"/>
      <c r="D19" s="36"/>
      <c r="E19" s="36"/>
      <c r="F19" s="36"/>
      <c r="G19" s="36"/>
      <c r="H19" s="36"/>
      <c r="I19" s="36"/>
      <c r="J19" s="62"/>
      <c r="L19" s="121"/>
      <c r="M19" s="121"/>
      <c r="N19" s="121"/>
      <c r="O19" s="121"/>
      <c r="P19" s="121"/>
      <c r="Q19" s="121"/>
      <c r="R19" s="121"/>
    </row>
    <row r="20" spans="1:18" ht="130.5" customHeight="1" x14ac:dyDescent="0.25">
      <c r="A20" s="54"/>
      <c r="B20" s="37" t="s">
        <v>91</v>
      </c>
      <c r="C20" s="36">
        <v>3</v>
      </c>
      <c r="D20" s="36">
        <v>2</v>
      </c>
      <c r="E20" s="36">
        <v>3</v>
      </c>
      <c r="F20" s="36">
        <v>3</v>
      </c>
      <c r="G20" s="36">
        <v>3</v>
      </c>
      <c r="H20" s="36">
        <v>3</v>
      </c>
      <c r="I20" s="36">
        <f t="shared" si="0"/>
        <v>17</v>
      </c>
      <c r="J20" s="115" t="s">
        <v>179</v>
      </c>
      <c r="K20" s="123" t="s">
        <v>188</v>
      </c>
      <c r="L20" s="121"/>
      <c r="M20" s="121"/>
      <c r="N20" s="121"/>
      <c r="O20" s="121"/>
      <c r="P20" s="121"/>
      <c r="Q20" s="121"/>
      <c r="R20" s="121"/>
    </row>
    <row r="21" spans="1:18" ht="32.25" customHeight="1" x14ac:dyDescent="0.25">
      <c r="A21" s="54">
        <v>5</v>
      </c>
      <c r="B21" s="37" t="s">
        <v>92</v>
      </c>
      <c r="C21" s="36"/>
      <c r="D21" s="36"/>
      <c r="E21" s="36"/>
      <c r="F21" s="36"/>
      <c r="G21" s="36"/>
      <c r="H21" s="36"/>
      <c r="I21" s="36"/>
      <c r="J21" s="62"/>
      <c r="L21" s="121"/>
      <c r="M21" s="121"/>
      <c r="N21" s="121"/>
      <c r="O21" s="121"/>
      <c r="P21" s="121"/>
      <c r="Q21" s="121"/>
      <c r="R21" s="121"/>
    </row>
    <row r="22" spans="1:18" ht="32.25" customHeight="1" x14ac:dyDescent="0.25">
      <c r="A22" s="54"/>
      <c r="B22" s="37" t="s">
        <v>93</v>
      </c>
      <c r="C22" s="36">
        <v>1</v>
      </c>
      <c r="D22" s="36">
        <v>1</v>
      </c>
      <c r="E22" s="36">
        <v>1</v>
      </c>
      <c r="F22" s="36">
        <v>1</v>
      </c>
      <c r="G22" s="36">
        <v>1</v>
      </c>
      <c r="H22" s="36">
        <v>1</v>
      </c>
      <c r="I22" s="36">
        <f t="shared" si="0"/>
        <v>6</v>
      </c>
      <c r="J22" s="62" t="s">
        <v>85</v>
      </c>
      <c r="L22" s="121"/>
      <c r="M22" s="121"/>
      <c r="N22" s="121"/>
      <c r="O22" s="121"/>
      <c r="P22" s="121"/>
      <c r="Q22" s="121"/>
      <c r="R22" s="121"/>
    </row>
    <row r="23" spans="1:18" ht="25.5" x14ac:dyDescent="0.25">
      <c r="A23" s="54">
        <v>6</v>
      </c>
      <c r="B23" s="37" t="s">
        <v>94</v>
      </c>
      <c r="C23" s="36"/>
      <c r="D23" s="36"/>
      <c r="E23" s="36"/>
      <c r="F23" s="36"/>
      <c r="G23" s="36"/>
      <c r="H23" s="36"/>
      <c r="I23" s="36"/>
      <c r="J23" s="62"/>
      <c r="K23" s="123"/>
    </row>
    <row r="24" spans="1:18" ht="32.25" customHeight="1" x14ac:dyDescent="0.25">
      <c r="A24" s="54"/>
      <c r="B24" s="37" t="s">
        <v>185</v>
      </c>
      <c r="C24" s="36">
        <v>1</v>
      </c>
      <c r="D24" s="36">
        <v>1</v>
      </c>
      <c r="E24" s="36">
        <v>1</v>
      </c>
      <c r="F24" s="36">
        <v>1</v>
      </c>
      <c r="G24" s="36">
        <v>1</v>
      </c>
      <c r="H24" s="36">
        <v>1</v>
      </c>
      <c r="I24" s="36">
        <v>6</v>
      </c>
      <c r="J24" s="62" t="s">
        <v>85</v>
      </c>
    </row>
    <row r="25" spans="1:18" ht="32.25" customHeight="1" x14ac:dyDescent="0.25">
      <c r="A25" s="54">
        <v>7</v>
      </c>
      <c r="B25" s="37" t="s">
        <v>95</v>
      </c>
      <c r="C25" s="36"/>
      <c r="D25" s="36"/>
      <c r="E25" s="36"/>
      <c r="F25" s="36"/>
      <c r="G25" s="36"/>
      <c r="H25" s="36"/>
      <c r="I25" s="36"/>
      <c r="J25" s="62"/>
    </row>
    <row r="26" spans="1:18" ht="32.25" customHeight="1" x14ac:dyDescent="0.25">
      <c r="A26" s="54"/>
      <c r="B26" s="37" t="s">
        <v>96</v>
      </c>
      <c r="C26" s="36">
        <v>1</v>
      </c>
      <c r="D26" s="36">
        <v>1</v>
      </c>
      <c r="E26" s="36">
        <v>1</v>
      </c>
      <c r="F26" s="36">
        <v>1</v>
      </c>
      <c r="G26" s="36">
        <v>1</v>
      </c>
      <c r="H26" s="36">
        <v>1</v>
      </c>
      <c r="I26" s="36">
        <f t="shared" si="0"/>
        <v>6</v>
      </c>
      <c r="J26" s="62" t="s">
        <v>85</v>
      </c>
      <c r="K26" s="125"/>
    </row>
    <row r="27" spans="1:18" ht="32.25" customHeight="1" x14ac:dyDescent="0.25">
      <c r="A27" s="54">
        <v>8</v>
      </c>
      <c r="B27" s="37" t="s">
        <v>97</v>
      </c>
      <c r="C27" s="36">
        <f>SUM(C13:C26)</f>
        <v>10</v>
      </c>
      <c r="D27" s="36">
        <f t="shared" ref="D27:H27" si="1">SUM(D13:D26)</f>
        <v>9</v>
      </c>
      <c r="E27" s="36">
        <f t="shared" si="1"/>
        <v>10</v>
      </c>
      <c r="F27" s="36">
        <f>SUM(F13:F26)</f>
        <v>10</v>
      </c>
      <c r="G27" s="36">
        <f>SUM(G13:G26)</f>
        <v>10</v>
      </c>
      <c r="H27" s="36">
        <f t="shared" si="1"/>
        <v>10</v>
      </c>
      <c r="I27" s="36">
        <f>C27+D27+E27+F27+G27+H27</f>
        <v>59</v>
      </c>
      <c r="J27" s="62"/>
    </row>
    <row r="28" spans="1:18" ht="25.5" x14ac:dyDescent="0.25">
      <c r="A28" s="54">
        <v>9</v>
      </c>
      <c r="B28" s="37" t="s">
        <v>98</v>
      </c>
      <c r="C28" s="36">
        <v>15.73</v>
      </c>
      <c r="D28" s="36">
        <v>9.56</v>
      </c>
      <c r="E28" s="36">
        <v>14.11</v>
      </c>
      <c r="F28" s="36">
        <v>33.770000000000003</v>
      </c>
      <c r="G28" s="36">
        <v>37.93</v>
      </c>
      <c r="H28" s="36">
        <v>46.26</v>
      </c>
      <c r="I28" s="36"/>
      <c r="J28" s="62"/>
    </row>
    <row r="29" spans="1:18" ht="26.25" x14ac:dyDescent="0.25">
      <c r="A29" s="54">
        <v>10</v>
      </c>
      <c r="B29" s="39" t="s">
        <v>99</v>
      </c>
      <c r="C29" s="36">
        <f>C28*C27</f>
        <v>157.30000000000001</v>
      </c>
      <c r="D29" s="36">
        <f t="shared" ref="D29:H29" si="2">D28*D27</f>
        <v>86.04</v>
      </c>
      <c r="E29" s="36">
        <f t="shared" si="2"/>
        <v>141.1</v>
      </c>
      <c r="F29" s="36">
        <f t="shared" si="2"/>
        <v>337.70000000000005</v>
      </c>
      <c r="G29" s="36">
        <f>G28*G27</f>
        <v>379.3</v>
      </c>
      <c r="H29" s="36">
        <f t="shared" si="2"/>
        <v>462.59999999999997</v>
      </c>
      <c r="I29" s="36">
        <f>SUM(C29:H29)</f>
        <v>1564.04</v>
      </c>
      <c r="J29" s="115" t="s">
        <v>180</v>
      </c>
    </row>
    <row r="30" spans="1:18" ht="38.25" x14ac:dyDescent="0.25">
      <c r="A30" s="180">
        <v>11</v>
      </c>
      <c r="B30" s="55" t="s">
        <v>100</v>
      </c>
      <c r="C30" s="181"/>
      <c r="D30" s="182"/>
      <c r="E30" s="182"/>
      <c r="F30" s="182"/>
      <c r="G30" s="182"/>
      <c r="H30" s="183"/>
      <c r="I30" s="35"/>
      <c r="J30" s="184" t="s">
        <v>101</v>
      </c>
    </row>
    <row r="31" spans="1:18" x14ac:dyDescent="0.25">
      <c r="A31" s="180"/>
      <c r="B31" s="55" t="s">
        <v>102</v>
      </c>
      <c r="C31" s="35">
        <v>0.4</v>
      </c>
      <c r="D31" s="35">
        <v>0.4</v>
      </c>
      <c r="E31" s="35">
        <v>0.4</v>
      </c>
      <c r="F31" s="35">
        <v>0.4</v>
      </c>
      <c r="G31" s="35">
        <v>0.4</v>
      </c>
      <c r="H31" s="35">
        <v>0.4</v>
      </c>
      <c r="I31" s="35"/>
      <c r="J31" s="185"/>
    </row>
    <row r="32" spans="1:18" x14ac:dyDescent="0.25">
      <c r="A32" s="180"/>
      <c r="B32" s="55" t="s">
        <v>103</v>
      </c>
      <c r="C32" s="35">
        <v>1</v>
      </c>
      <c r="D32" s="35">
        <v>1</v>
      </c>
      <c r="E32" s="35">
        <v>1</v>
      </c>
      <c r="F32" s="35">
        <v>1</v>
      </c>
      <c r="G32" s="35">
        <v>1</v>
      </c>
      <c r="H32" s="35">
        <v>1</v>
      </c>
      <c r="I32" s="35"/>
      <c r="J32" s="185"/>
    </row>
    <row r="33" spans="1:11" x14ac:dyDescent="0.25">
      <c r="A33" s="180"/>
      <c r="B33" s="55" t="s">
        <v>104</v>
      </c>
      <c r="C33" s="35">
        <v>1</v>
      </c>
      <c r="D33" s="35">
        <v>1</v>
      </c>
      <c r="E33" s="35">
        <v>1</v>
      </c>
      <c r="F33" s="35">
        <v>1</v>
      </c>
      <c r="G33" s="35">
        <v>1</v>
      </c>
      <c r="H33" s="35">
        <v>1</v>
      </c>
      <c r="I33" s="35"/>
      <c r="J33" s="185"/>
    </row>
    <row r="34" spans="1:11" x14ac:dyDescent="0.25">
      <c r="A34" s="180"/>
      <c r="B34" s="55" t="s">
        <v>105</v>
      </c>
      <c r="C34" s="35">
        <v>1</v>
      </c>
      <c r="D34" s="35">
        <v>1</v>
      </c>
      <c r="E34" s="35">
        <v>1</v>
      </c>
      <c r="F34" s="35">
        <v>1</v>
      </c>
      <c r="G34" s="35">
        <v>1</v>
      </c>
      <c r="H34" s="35">
        <v>1</v>
      </c>
      <c r="I34" s="35"/>
      <c r="J34" s="185"/>
    </row>
    <row r="35" spans="1:11" x14ac:dyDescent="0.25">
      <c r="A35" s="180"/>
      <c r="B35" s="55" t="s">
        <v>106</v>
      </c>
      <c r="C35" s="35">
        <v>1</v>
      </c>
      <c r="D35" s="35">
        <v>1</v>
      </c>
      <c r="E35" s="35">
        <v>1</v>
      </c>
      <c r="F35" s="35">
        <v>1</v>
      </c>
      <c r="G35" s="35">
        <v>1</v>
      </c>
      <c r="H35" s="35">
        <v>1</v>
      </c>
      <c r="I35" s="35"/>
      <c r="J35" s="185"/>
    </row>
    <row r="36" spans="1:11" x14ac:dyDescent="0.25">
      <c r="A36" s="180"/>
      <c r="B36" s="55" t="s">
        <v>107</v>
      </c>
      <c r="C36" s="35">
        <v>0.4</v>
      </c>
      <c r="D36" s="35">
        <v>0.4</v>
      </c>
      <c r="E36" s="35">
        <v>0.4</v>
      </c>
      <c r="F36" s="35">
        <v>0.4</v>
      </c>
      <c r="G36" s="35">
        <v>0.4</v>
      </c>
      <c r="H36" s="35">
        <v>0.4</v>
      </c>
      <c r="I36" s="35"/>
      <c r="J36" s="185"/>
    </row>
    <row r="37" spans="1:11" x14ac:dyDescent="0.25">
      <c r="A37" s="180"/>
      <c r="B37" s="55" t="s">
        <v>108</v>
      </c>
      <c r="C37" s="35">
        <f>C29*C36</f>
        <v>62.920000000000009</v>
      </c>
      <c r="D37" s="35">
        <f t="shared" ref="D37:H37" si="3">D29*D36</f>
        <v>34.416000000000004</v>
      </c>
      <c r="E37" s="35">
        <f t="shared" si="3"/>
        <v>56.44</v>
      </c>
      <c r="F37" s="35">
        <f t="shared" si="3"/>
        <v>135.08000000000001</v>
      </c>
      <c r="G37" s="35">
        <f t="shared" si="3"/>
        <v>151.72</v>
      </c>
      <c r="H37" s="35">
        <f t="shared" si="3"/>
        <v>185.04</v>
      </c>
      <c r="I37" s="36">
        <f>SUM(C37:H37)</f>
        <v>625.61599999999999</v>
      </c>
      <c r="J37" s="185"/>
    </row>
    <row r="38" spans="1:11" x14ac:dyDescent="0.25">
      <c r="A38" s="180"/>
      <c r="B38" s="55" t="s">
        <v>109</v>
      </c>
      <c r="C38" s="50">
        <v>0.8</v>
      </c>
      <c r="D38" s="50">
        <v>0.4</v>
      </c>
      <c r="E38" s="50">
        <v>0.5</v>
      </c>
      <c r="F38" s="50">
        <v>0.4</v>
      </c>
      <c r="G38" s="50">
        <v>0.9</v>
      </c>
      <c r="H38" s="50">
        <v>0.2</v>
      </c>
      <c r="I38" s="35"/>
      <c r="J38" s="185"/>
    </row>
    <row r="39" spans="1:11" x14ac:dyDescent="0.25">
      <c r="A39" s="180"/>
      <c r="B39" s="55" t="s">
        <v>110</v>
      </c>
      <c r="C39" s="50">
        <v>0.2</v>
      </c>
      <c r="D39" s="50">
        <v>0.6</v>
      </c>
      <c r="E39" s="50">
        <v>0.5</v>
      </c>
      <c r="F39" s="50">
        <v>0.6</v>
      </c>
      <c r="G39" s="50">
        <v>0.1</v>
      </c>
      <c r="H39" s="50">
        <v>0.8</v>
      </c>
      <c r="I39" s="35"/>
      <c r="J39" s="185"/>
    </row>
    <row r="40" spans="1:11" x14ac:dyDescent="0.25">
      <c r="A40" s="180"/>
      <c r="B40" s="55" t="s">
        <v>111</v>
      </c>
      <c r="C40" s="35">
        <f>C37*C39</f>
        <v>12.584000000000003</v>
      </c>
      <c r="D40" s="35">
        <f t="shared" ref="D40:H40" si="4">D37*D39</f>
        <v>20.649600000000003</v>
      </c>
      <c r="E40" s="35">
        <f t="shared" si="4"/>
        <v>28.22</v>
      </c>
      <c r="F40" s="35">
        <f t="shared" si="4"/>
        <v>81.048000000000002</v>
      </c>
      <c r="G40" s="35">
        <f t="shared" si="4"/>
        <v>15.172000000000001</v>
      </c>
      <c r="H40" s="35">
        <f t="shared" si="4"/>
        <v>148.03200000000001</v>
      </c>
      <c r="I40" s="36">
        <f>SUM(C40:H40)</f>
        <v>305.7056</v>
      </c>
      <c r="J40" s="186"/>
    </row>
    <row r="41" spans="1:11" ht="31.5" x14ac:dyDescent="0.25">
      <c r="A41" s="180">
        <v>12</v>
      </c>
      <c r="B41" s="40" t="s">
        <v>112</v>
      </c>
      <c r="C41" s="41"/>
      <c r="D41" s="42"/>
      <c r="E41" s="42"/>
      <c r="F41" s="42"/>
      <c r="G41" s="42"/>
      <c r="H41" s="42"/>
      <c r="I41" s="43"/>
      <c r="J41" s="64"/>
    </row>
    <row r="42" spans="1:11" x14ac:dyDescent="0.25">
      <c r="A42" s="180"/>
      <c r="B42" s="44" t="s">
        <v>113</v>
      </c>
      <c r="C42" s="36">
        <v>0</v>
      </c>
      <c r="D42" s="36">
        <v>0</v>
      </c>
      <c r="E42" s="36">
        <v>0</v>
      </c>
      <c r="F42" s="36">
        <f>F40</f>
        <v>81.048000000000002</v>
      </c>
      <c r="G42" s="36">
        <v>0</v>
      </c>
      <c r="H42" s="36">
        <v>0</v>
      </c>
      <c r="I42" s="45">
        <v>4.32</v>
      </c>
      <c r="J42" s="65"/>
    </row>
    <row r="43" spans="1:11" ht="15.75" x14ac:dyDescent="0.25">
      <c r="A43" s="54">
        <v>13</v>
      </c>
      <c r="B43" s="187" t="s">
        <v>114</v>
      </c>
      <c r="C43" s="188"/>
      <c r="D43" s="188"/>
      <c r="E43" s="188"/>
      <c r="F43" s="188"/>
      <c r="G43" s="188"/>
      <c r="H43" s="46"/>
      <c r="I43" s="47">
        <f>F42*I42</f>
        <v>350.12736000000001</v>
      </c>
      <c r="J43" s="66"/>
    </row>
    <row r="44" spans="1:11" ht="15.75" x14ac:dyDescent="0.25">
      <c r="A44" s="54">
        <v>14</v>
      </c>
      <c r="B44" s="46" t="s">
        <v>115</v>
      </c>
      <c r="C44" s="46"/>
      <c r="D44" s="46"/>
      <c r="E44" s="46"/>
      <c r="F44" s="46"/>
      <c r="G44" s="46"/>
      <c r="H44" s="48"/>
      <c r="I44" s="49">
        <f>I43*1000</f>
        <v>350127.35999999999</v>
      </c>
      <c r="J44" s="60"/>
    </row>
    <row r="45" spans="1:11" ht="15.75" x14ac:dyDescent="0.25">
      <c r="A45" s="54">
        <v>15</v>
      </c>
      <c r="B45" s="46" t="s">
        <v>116</v>
      </c>
      <c r="C45" s="46"/>
      <c r="D45" s="46"/>
      <c r="E45" s="46"/>
      <c r="F45" s="46"/>
      <c r="G45" s="46"/>
      <c r="H45" s="48"/>
      <c r="I45" s="49">
        <f>I44*0.2</f>
        <v>70025.471999999994</v>
      </c>
      <c r="J45" s="60"/>
    </row>
    <row r="46" spans="1:11" ht="16.5" thickBot="1" x14ac:dyDescent="0.3">
      <c r="A46" s="56">
        <v>16</v>
      </c>
      <c r="B46" s="57" t="s">
        <v>115</v>
      </c>
      <c r="C46" s="57"/>
      <c r="D46" s="57"/>
      <c r="E46" s="57"/>
      <c r="F46" s="57"/>
      <c r="G46" s="57"/>
      <c r="H46" s="58"/>
      <c r="I46" s="59">
        <f>I44+I45</f>
        <v>420152.83199999999</v>
      </c>
      <c r="J46" s="61"/>
      <c r="K46" s="124"/>
    </row>
    <row r="47" spans="1:11" x14ac:dyDescent="0.25">
      <c r="A47" s="171" t="s">
        <v>117</v>
      </c>
      <c r="B47" s="171"/>
      <c r="C47" s="171"/>
      <c r="D47" s="171"/>
      <c r="E47" s="171"/>
      <c r="F47" s="171"/>
      <c r="G47" s="171"/>
      <c r="H47" s="171"/>
      <c r="I47" s="171"/>
      <c r="J47" s="171"/>
    </row>
  </sheetData>
  <mergeCells count="21">
    <mergeCell ref="L14:R16"/>
    <mergeCell ref="L8:P8"/>
    <mergeCell ref="C6:J6"/>
    <mergeCell ref="H1:J1"/>
    <mergeCell ref="A2:J2"/>
    <mergeCell ref="A3:J3"/>
    <mergeCell ref="C4:J4"/>
    <mergeCell ref="C5:J5"/>
    <mergeCell ref="A47:J47"/>
    <mergeCell ref="C7:J7"/>
    <mergeCell ref="C8:J8"/>
    <mergeCell ref="A9:J9"/>
    <mergeCell ref="A10:A11"/>
    <mergeCell ref="B10:B11"/>
    <mergeCell ref="C10:I10"/>
    <mergeCell ref="J10:J11"/>
    <mergeCell ref="A30:A40"/>
    <mergeCell ref="C30:H30"/>
    <mergeCell ref="J30:J40"/>
    <mergeCell ref="A41:A42"/>
    <mergeCell ref="B43:G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Итого</vt:lpstr>
      <vt:lpstr>Основные разделы</vt:lpstr>
      <vt:lpstr>АСУ</vt:lpstr>
      <vt:lpstr>'Основные разделы'!Заголовки_для_печати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Горин</dc:creator>
  <cp:lastModifiedBy>Липаткин Пётр Алексеевич</cp:lastModifiedBy>
  <cp:lastPrinted>2017-10-25T06:40:10Z</cp:lastPrinted>
  <dcterms:created xsi:type="dcterms:W3CDTF">2014-05-08T09:51:02Z</dcterms:created>
  <dcterms:modified xsi:type="dcterms:W3CDTF">2020-04-17T12:00:01Z</dcterms:modified>
</cp:coreProperties>
</file>