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Смета по ТСН-2001" sheetId="5" r:id="rId1"/>
    <sheet name="Акт КС-2 по ТСН-2001" sheetId="6" r:id="rId2"/>
    <sheet name="Макет форма-3" sheetId="7" r:id="rId3"/>
    <sheet name="Source" sheetId="1" r:id="rId4"/>
    <sheet name="SourceObSm" sheetId="2" r:id="rId5"/>
    <sheet name="SmtRes" sheetId="3" r:id="rId6"/>
    <sheet name="EtalonRes" sheetId="4" r:id="rId7"/>
  </sheets>
  <definedNames>
    <definedName name="_xlnm.Print_Titles" localSheetId="1">'Акт КС-2 по ТСН-2001'!$38:$38</definedName>
    <definedName name="_xlnm.Print_Titles" localSheetId="0">'Смета по ТСН-2001'!$33:$33</definedName>
    <definedName name="_xlnm.Print_Area" localSheetId="1">'Акт КС-2 по ТСН-2001'!$A$1:$L$211</definedName>
    <definedName name="_xlnm.Print_Area" localSheetId="0">'Смета по ТСН-2001'!$A$1:$K$205</definedName>
  </definedNames>
  <calcPr calcId="145621"/>
</workbook>
</file>

<file path=xl/calcChain.xml><?xml version="1.0" encoding="utf-8"?>
<calcChain xmlns="http://schemas.openxmlformats.org/spreadsheetml/2006/main">
  <c r="A1" i="7" l="1"/>
  <c r="I208" i="6"/>
  <c r="I205" i="6"/>
  <c r="D208" i="6"/>
  <c r="D205" i="6"/>
  <c r="K202" i="6"/>
  <c r="D202" i="6"/>
  <c r="K201" i="6"/>
  <c r="D201" i="6"/>
  <c r="K200" i="6"/>
  <c r="D200" i="6"/>
  <c r="J199" i="6"/>
  <c r="K199" i="6"/>
  <c r="J198" i="6"/>
  <c r="K198" i="6"/>
  <c r="I197" i="6"/>
  <c r="K197" i="6"/>
  <c r="J195" i="6"/>
  <c r="K195" i="6"/>
  <c r="J194" i="6"/>
  <c r="K194" i="6"/>
  <c r="AL193" i="6"/>
  <c r="I193" i="6"/>
  <c r="K193" i="6"/>
  <c r="A193" i="6"/>
  <c r="J191" i="6"/>
  <c r="K191" i="6"/>
  <c r="J190" i="6"/>
  <c r="K190" i="6"/>
  <c r="I189" i="6"/>
  <c r="K189" i="6"/>
  <c r="A189" i="6"/>
  <c r="AA187" i="6"/>
  <c r="Z187" i="6"/>
  <c r="Y187" i="6"/>
  <c r="X187" i="6"/>
  <c r="O187" i="6"/>
  <c r="I187" i="6"/>
  <c r="P187" i="6"/>
  <c r="K187" i="6"/>
  <c r="D186" i="6"/>
  <c r="L185" i="6"/>
  <c r="K185" i="6"/>
  <c r="J185" i="6"/>
  <c r="I185" i="6"/>
  <c r="H185" i="6"/>
  <c r="G185" i="6"/>
  <c r="V185" i="6"/>
  <c r="T185" i="6"/>
  <c r="R185" i="6"/>
  <c r="U185" i="6"/>
  <c r="S185" i="6"/>
  <c r="Q185" i="6"/>
  <c r="F185" i="6"/>
  <c r="E185" i="6"/>
  <c r="C185" i="6"/>
  <c r="B185" i="6"/>
  <c r="AA184" i="6"/>
  <c r="Z184" i="6"/>
  <c r="Y184" i="6"/>
  <c r="X184" i="6"/>
  <c r="O184" i="6"/>
  <c r="I184" i="6"/>
  <c r="P184" i="6"/>
  <c r="K184" i="6"/>
  <c r="D183" i="6"/>
  <c r="L182" i="6"/>
  <c r="K182" i="6"/>
  <c r="J182" i="6"/>
  <c r="I182" i="6"/>
  <c r="H182" i="6"/>
  <c r="G182" i="6"/>
  <c r="V182" i="6"/>
  <c r="T182" i="6"/>
  <c r="R182" i="6"/>
  <c r="U182" i="6"/>
  <c r="S182" i="6"/>
  <c r="Q182" i="6"/>
  <c r="F182" i="6"/>
  <c r="E182" i="6"/>
  <c r="C182" i="6"/>
  <c r="B182" i="6"/>
  <c r="AA181" i="6"/>
  <c r="Z181" i="6"/>
  <c r="Y181" i="6"/>
  <c r="X181" i="6"/>
  <c r="O181" i="6"/>
  <c r="I181" i="6"/>
  <c r="P181" i="6"/>
  <c r="K181" i="6"/>
  <c r="D180" i="6"/>
  <c r="L179" i="6"/>
  <c r="K179" i="6"/>
  <c r="J179" i="6"/>
  <c r="I179" i="6"/>
  <c r="H179" i="6"/>
  <c r="G179" i="6"/>
  <c r="V179" i="6"/>
  <c r="T179" i="6"/>
  <c r="R179" i="6"/>
  <c r="U179" i="6"/>
  <c r="S179" i="6"/>
  <c r="Q179" i="6"/>
  <c r="F179" i="6"/>
  <c r="E179" i="6"/>
  <c r="C179" i="6"/>
  <c r="B179" i="6"/>
  <c r="AA178" i="6"/>
  <c r="Z178" i="6"/>
  <c r="Y178" i="6"/>
  <c r="X178" i="6"/>
  <c r="O178" i="6"/>
  <c r="I178" i="6"/>
  <c r="P178" i="6"/>
  <c r="K178" i="6"/>
  <c r="L177" i="6"/>
  <c r="K177" i="6"/>
  <c r="J177" i="6"/>
  <c r="I177" i="6"/>
  <c r="H177" i="6"/>
  <c r="G177" i="6"/>
  <c r="V177" i="6"/>
  <c r="T177" i="6"/>
  <c r="R177" i="6"/>
  <c r="U177" i="6"/>
  <c r="S177" i="6"/>
  <c r="Q177" i="6"/>
  <c r="F177" i="6"/>
  <c r="E177" i="6"/>
  <c r="C177" i="6"/>
  <c r="B177" i="6"/>
  <c r="AA176" i="6"/>
  <c r="Z176" i="6"/>
  <c r="Y176" i="6"/>
  <c r="X176" i="6"/>
  <c r="O176" i="6"/>
  <c r="I176" i="6"/>
  <c r="P176" i="6"/>
  <c r="K176" i="6"/>
  <c r="D175" i="6"/>
  <c r="L174" i="6"/>
  <c r="K174" i="6"/>
  <c r="J174" i="6"/>
  <c r="I174" i="6"/>
  <c r="H174" i="6"/>
  <c r="G174" i="6"/>
  <c r="V174" i="6"/>
  <c r="T174" i="6"/>
  <c r="R174" i="6"/>
  <c r="U174" i="6"/>
  <c r="S174" i="6"/>
  <c r="Q174" i="6"/>
  <c r="F174" i="6"/>
  <c r="E174" i="6"/>
  <c r="C174" i="6"/>
  <c r="B174" i="6"/>
  <c r="AA173" i="6"/>
  <c r="Z173" i="6"/>
  <c r="Y173" i="6"/>
  <c r="X173" i="6"/>
  <c r="O173" i="6"/>
  <c r="I173" i="6"/>
  <c r="P173" i="6"/>
  <c r="K173" i="6"/>
  <c r="L172" i="6"/>
  <c r="K172" i="6"/>
  <c r="J172" i="6"/>
  <c r="I172" i="6"/>
  <c r="H172" i="6"/>
  <c r="G172" i="6"/>
  <c r="V172" i="6"/>
  <c r="T172" i="6"/>
  <c r="R172" i="6"/>
  <c r="U172" i="6"/>
  <c r="S172" i="6"/>
  <c r="Q172" i="6"/>
  <c r="F172" i="6"/>
  <c r="E172" i="6"/>
  <c r="C172" i="6"/>
  <c r="B172" i="6"/>
  <c r="AA171" i="6"/>
  <c r="Z171" i="6"/>
  <c r="Y171" i="6"/>
  <c r="X171" i="6"/>
  <c r="O171" i="6"/>
  <c r="I171" i="6"/>
  <c r="P171" i="6"/>
  <c r="K171" i="6"/>
  <c r="L170" i="6"/>
  <c r="K170" i="6"/>
  <c r="J170" i="6"/>
  <c r="I170" i="6"/>
  <c r="H170" i="6"/>
  <c r="G170" i="6"/>
  <c r="V170" i="6"/>
  <c r="T170" i="6"/>
  <c r="R170" i="6"/>
  <c r="U170" i="6"/>
  <c r="S170" i="6"/>
  <c r="Q170" i="6"/>
  <c r="F170" i="6"/>
  <c r="E170" i="6"/>
  <c r="C170" i="6"/>
  <c r="B170" i="6"/>
  <c r="A169" i="6"/>
  <c r="J167" i="6"/>
  <c r="K167" i="6"/>
  <c r="J166" i="6"/>
  <c r="K166" i="6"/>
  <c r="I165" i="6"/>
  <c r="K165" i="6"/>
  <c r="A165" i="6"/>
  <c r="AA163" i="6"/>
  <c r="Z163" i="6"/>
  <c r="Y163" i="6"/>
  <c r="X163" i="6"/>
  <c r="O163" i="6"/>
  <c r="I163" i="6"/>
  <c r="P163" i="6"/>
  <c r="K163" i="6"/>
  <c r="J162" i="6"/>
  <c r="I162" i="6"/>
  <c r="H162" i="6"/>
  <c r="F162" i="6"/>
  <c r="L161" i="6"/>
  <c r="K161" i="6"/>
  <c r="J161" i="6"/>
  <c r="F161" i="6"/>
  <c r="L160" i="6"/>
  <c r="K160" i="6"/>
  <c r="J160" i="6"/>
  <c r="F160" i="6"/>
  <c r="L159" i="6"/>
  <c r="K159" i="6"/>
  <c r="W159" i="6"/>
  <c r="J159" i="6"/>
  <c r="I159" i="6"/>
  <c r="H159" i="6"/>
  <c r="G159" i="6"/>
  <c r="D158" i="6"/>
  <c r="V157" i="6"/>
  <c r="T157" i="6"/>
  <c r="R157" i="6"/>
  <c r="U157" i="6"/>
  <c r="S157" i="6"/>
  <c r="Q157" i="6"/>
  <c r="F157" i="6"/>
  <c r="E157" i="6"/>
  <c r="C157" i="6"/>
  <c r="B157" i="6"/>
  <c r="AA156" i="6"/>
  <c r="Z156" i="6"/>
  <c r="Y156" i="6"/>
  <c r="X156" i="6"/>
  <c r="O156" i="6"/>
  <c r="I156" i="6"/>
  <c r="P156" i="6"/>
  <c r="K156" i="6"/>
  <c r="J155" i="6"/>
  <c r="I155" i="6"/>
  <c r="H155" i="6"/>
  <c r="F155" i="6"/>
  <c r="L154" i="6"/>
  <c r="K154" i="6"/>
  <c r="J154" i="6"/>
  <c r="F154" i="6"/>
  <c r="L153" i="6"/>
  <c r="K153" i="6"/>
  <c r="J153" i="6"/>
  <c r="F153" i="6"/>
  <c r="L152" i="6"/>
  <c r="K152" i="6"/>
  <c r="W152" i="6"/>
  <c r="J152" i="6"/>
  <c r="I152" i="6"/>
  <c r="H152" i="6"/>
  <c r="G152" i="6"/>
  <c r="D151" i="6"/>
  <c r="V150" i="6"/>
  <c r="T150" i="6"/>
  <c r="R150" i="6"/>
  <c r="U150" i="6"/>
  <c r="S150" i="6"/>
  <c r="Q150" i="6"/>
  <c r="F150" i="6"/>
  <c r="E150" i="6"/>
  <c r="C150" i="6"/>
  <c r="B150" i="6"/>
  <c r="AA149" i="6"/>
  <c r="Z149" i="6"/>
  <c r="Y149" i="6"/>
  <c r="X149" i="6"/>
  <c r="O149" i="6"/>
  <c r="I149" i="6"/>
  <c r="P149" i="6"/>
  <c r="K149" i="6"/>
  <c r="J148" i="6"/>
  <c r="I148" i="6"/>
  <c r="H148" i="6"/>
  <c r="F148" i="6"/>
  <c r="L147" i="6"/>
  <c r="K147" i="6"/>
  <c r="J147" i="6"/>
  <c r="F147" i="6"/>
  <c r="L146" i="6"/>
  <c r="K146" i="6"/>
  <c r="J146" i="6"/>
  <c r="F146" i="6"/>
  <c r="L145" i="6"/>
  <c r="K145" i="6"/>
  <c r="J145" i="6"/>
  <c r="I145" i="6"/>
  <c r="H145" i="6"/>
  <c r="G145" i="6"/>
  <c r="L144" i="6"/>
  <c r="K144" i="6"/>
  <c r="W144" i="6"/>
  <c r="J144" i="6"/>
  <c r="I144" i="6"/>
  <c r="H144" i="6"/>
  <c r="G144" i="6"/>
  <c r="V143" i="6"/>
  <c r="T143" i="6"/>
  <c r="R143" i="6"/>
  <c r="U143" i="6"/>
  <c r="S143" i="6"/>
  <c r="Q143" i="6"/>
  <c r="F143" i="6"/>
  <c r="E143" i="6"/>
  <c r="C143" i="6"/>
  <c r="B143" i="6"/>
  <c r="AA142" i="6"/>
  <c r="Z142" i="6"/>
  <c r="Y142" i="6"/>
  <c r="X142" i="6"/>
  <c r="O142" i="6"/>
  <c r="I142" i="6"/>
  <c r="P142" i="6"/>
  <c r="K142" i="6"/>
  <c r="J141" i="6"/>
  <c r="I141" i="6"/>
  <c r="H141" i="6"/>
  <c r="F141" i="6"/>
  <c r="L140" i="6"/>
  <c r="K140" i="6"/>
  <c r="J140" i="6"/>
  <c r="F140" i="6"/>
  <c r="L139" i="6"/>
  <c r="K139" i="6"/>
  <c r="J139" i="6"/>
  <c r="F139" i="6"/>
  <c r="L138" i="6"/>
  <c r="K138" i="6"/>
  <c r="J138" i="6"/>
  <c r="F138" i="6"/>
  <c r="L137" i="6"/>
  <c r="K137" i="6"/>
  <c r="J137" i="6"/>
  <c r="I137" i="6"/>
  <c r="H137" i="6"/>
  <c r="G137" i="6"/>
  <c r="L136" i="6"/>
  <c r="K136" i="6"/>
  <c r="W136" i="6"/>
  <c r="J136" i="6"/>
  <c r="I136" i="6"/>
  <c r="H136" i="6"/>
  <c r="G136" i="6"/>
  <c r="L135" i="6"/>
  <c r="K135" i="6"/>
  <c r="J135" i="6"/>
  <c r="I135" i="6"/>
  <c r="H135" i="6"/>
  <c r="G135" i="6"/>
  <c r="L134" i="6"/>
  <c r="K134" i="6"/>
  <c r="W134" i="6"/>
  <c r="J134" i="6"/>
  <c r="I134" i="6"/>
  <c r="H134" i="6"/>
  <c r="G134" i="6"/>
  <c r="V133" i="6"/>
  <c r="T133" i="6"/>
  <c r="R133" i="6"/>
  <c r="U133" i="6"/>
  <c r="S133" i="6"/>
  <c r="Q133" i="6"/>
  <c r="F133" i="6"/>
  <c r="E133" i="6"/>
  <c r="C133" i="6"/>
  <c r="B133" i="6"/>
  <c r="AA132" i="6"/>
  <c r="Z132" i="6"/>
  <c r="Y132" i="6"/>
  <c r="X132" i="6"/>
  <c r="O132" i="6"/>
  <c r="I132" i="6"/>
  <c r="P132" i="6"/>
  <c r="K132" i="6"/>
  <c r="J131" i="6"/>
  <c r="I131" i="6"/>
  <c r="H131" i="6"/>
  <c r="F131" i="6"/>
  <c r="L130" i="6"/>
  <c r="K130" i="6"/>
  <c r="J130" i="6"/>
  <c r="F130" i="6"/>
  <c r="L129" i="6"/>
  <c r="K129" i="6"/>
  <c r="J129" i="6"/>
  <c r="F129" i="6"/>
  <c r="L128" i="6"/>
  <c r="K128" i="6"/>
  <c r="J128" i="6"/>
  <c r="F128" i="6"/>
  <c r="L127" i="6"/>
  <c r="K127" i="6"/>
  <c r="J127" i="6"/>
  <c r="I127" i="6"/>
  <c r="H127" i="6"/>
  <c r="G127" i="6"/>
  <c r="L126" i="6"/>
  <c r="K126" i="6"/>
  <c r="W126" i="6"/>
  <c r="J126" i="6"/>
  <c r="I126" i="6"/>
  <c r="H126" i="6"/>
  <c r="G126" i="6"/>
  <c r="L125" i="6"/>
  <c r="K125" i="6"/>
  <c r="J125" i="6"/>
  <c r="I125" i="6"/>
  <c r="H125" i="6"/>
  <c r="G125" i="6"/>
  <c r="L124" i="6"/>
  <c r="K124" i="6"/>
  <c r="W124" i="6"/>
  <c r="J124" i="6"/>
  <c r="I124" i="6"/>
  <c r="H124" i="6"/>
  <c r="G124" i="6"/>
  <c r="V123" i="6"/>
  <c r="T123" i="6"/>
  <c r="R123" i="6"/>
  <c r="U123" i="6"/>
  <c r="S123" i="6"/>
  <c r="Q123" i="6"/>
  <c r="F123" i="6"/>
  <c r="E123" i="6"/>
  <c r="C123" i="6"/>
  <c r="B123" i="6"/>
  <c r="AA122" i="6"/>
  <c r="Z122" i="6"/>
  <c r="Y122" i="6"/>
  <c r="X122" i="6"/>
  <c r="O122" i="6"/>
  <c r="I122" i="6"/>
  <c r="P122" i="6"/>
  <c r="K122" i="6"/>
  <c r="J121" i="6"/>
  <c r="I121" i="6"/>
  <c r="H121" i="6"/>
  <c r="F121" i="6"/>
  <c r="L120" i="6"/>
  <c r="K120" i="6"/>
  <c r="J120" i="6"/>
  <c r="F120" i="6"/>
  <c r="L119" i="6"/>
  <c r="K119" i="6"/>
  <c r="J119" i="6"/>
  <c r="F119" i="6"/>
  <c r="L118" i="6"/>
  <c r="K118" i="6"/>
  <c r="J118" i="6"/>
  <c r="F118" i="6"/>
  <c r="L117" i="6"/>
  <c r="K117" i="6"/>
  <c r="J117" i="6"/>
  <c r="I117" i="6"/>
  <c r="H117" i="6"/>
  <c r="G117" i="6"/>
  <c r="L116" i="6"/>
  <c r="K116" i="6"/>
  <c r="W116" i="6"/>
  <c r="J116" i="6"/>
  <c r="I116" i="6"/>
  <c r="H116" i="6"/>
  <c r="G116" i="6"/>
  <c r="L115" i="6"/>
  <c r="K115" i="6"/>
  <c r="J115" i="6"/>
  <c r="I115" i="6"/>
  <c r="H115" i="6"/>
  <c r="G115" i="6"/>
  <c r="L114" i="6"/>
  <c r="K114" i="6"/>
  <c r="W114" i="6"/>
  <c r="J114" i="6"/>
  <c r="I114" i="6"/>
  <c r="H114" i="6"/>
  <c r="G114" i="6"/>
  <c r="V113" i="6"/>
  <c r="T113" i="6"/>
  <c r="R113" i="6"/>
  <c r="U113" i="6"/>
  <c r="S113" i="6"/>
  <c r="Q113" i="6"/>
  <c r="F113" i="6"/>
  <c r="E113" i="6"/>
  <c r="C113" i="6"/>
  <c r="B113" i="6"/>
  <c r="AA112" i="6"/>
  <c r="Z112" i="6"/>
  <c r="Y112" i="6"/>
  <c r="X112" i="6"/>
  <c r="O112" i="6"/>
  <c r="I112" i="6"/>
  <c r="P112" i="6"/>
  <c r="K112" i="6"/>
  <c r="J111" i="6"/>
  <c r="I111" i="6"/>
  <c r="H111" i="6"/>
  <c r="F111" i="6"/>
  <c r="L110" i="6"/>
  <c r="K110" i="6"/>
  <c r="J110" i="6"/>
  <c r="F110" i="6"/>
  <c r="L109" i="6"/>
  <c r="K109" i="6"/>
  <c r="J109" i="6"/>
  <c r="F109" i="6"/>
  <c r="L108" i="6"/>
  <c r="K108" i="6"/>
  <c r="J108" i="6"/>
  <c r="F108" i="6"/>
  <c r="L107" i="6"/>
  <c r="K107" i="6"/>
  <c r="J107" i="6"/>
  <c r="I107" i="6"/>
  <c r="H107" i="6"/>
  <c r="G107" i="6"/>
  <c r="L106" i="6"/>
  <c r="K106" i="6"/>
  <c r="W106" i="6"/>
  <c r="J106" i="6"/>
  <c r="I106" i="6"/>
  <c r="H106" i="6"/>
  <c r="G106" i="6"/>
  <c r="L105" i="6"/>
  <c r="K105" i="6"/>
  <c r="J105" i="6"/>
  <c r="I105" i="6"/>
  <c r="H105" i="6"/>
  <c r="G105" i="6"/>
  <c r="L104" i="6"/>
  <c r="K104" i="6"/>
  <c r="W104" i="6"/>
  <c r="J104" i="6"/>
  <c r="I104" i="6"/>
  <c r="H104" i="6"/>
  <c r="G104" i="6"/>
  <c r="V103" i="6"/>
  <c r="T103" i="6"/>
  <c r="R103" i="6"/>
  <c r="U103" i="6"/>
  <c r="S103" i="6"/>
  <c r="Q103" i="6"/>
  <c r="F103" i="6"/>
  <c r="E103" i="6"/>
  <c r="C103" i="6"/>
  <c r="B103" i="6"/>
  <c r="AA102" i="6"/>
  <c r="Z102" i="6"/>
  <c r="Y102" i="6"/>
  <c r="X102" i="6"/>
  <c r="O102" i="6"/>
  <c r="I102" i="6"/>
  <c r="P102" i="6"/>
  <c r="K102" i="6"/>
  <c r="J101" i="6"/>
  <c r="I101" i="6"/>
  <c r="H101" i="6"/>
  <c r="F101" i="6"/>
  <c r="L100" i="6"/>
  <c r="K100" i="6"/>
  <c r="J100" i="6"/>
  <c r="F100" i="6"/>
  <c r="L99" i="6"/>
  <c r="K99" i="6"/>
  <c r="J99" i="6"/>
  <c r="F99" i="6"/>
  <c r="L98" i="6"/>
  <c r="K98" i="6"/>
  <c r="J98" i="6"/>
  <c r="F98" i="6"/>
  <c r="L97" i="6"/>
  <c r="K97" i="6"/>
  <c r="J97" i="6"/>
  <c r="I97" i="6"/>
  <c r="H97" i="6"/>
  <c r="G97" i="6"/>
  <c r="L96" i="6"/>
  <c r="K96" i="6"/>
  <c r="W96" i="6"/>
  <c r="J96" i="6"/>
  <c r="I96" i="6"/>
  <c r="H96" i="6"/>
  <c r="G96" i="6"/>
  <c r="L95" i="6"/>
  <c r="K95" i="6"/>
  <c r="J95" i="6"/>
  <c r="I95" i="6"/>
  <c r="H95" i="6"/>
  <c r="G95" i="6"/>
  <c r="L94" i="6"/>
  <c r="K94" i="6"/>
  <c r="W94" i="6"/>
  <c r="J94" i="6"/>
  <c r="I94" i="6"/>
  <c r="H94" i="6"/>
  <c r="G94" i="6"/>
  <c r="V93" i="6"/>
  <c r="T93" i="6"/>
  <c r="R93" i="6"/>
  <c r="U93" i="6"/>
  <c r="S93" i="6"/>
  <c r="Q93" i="6"/>
  <c r="F93" i="6"/>
  <c r="E93" i="6"/>
  <c r="C93" i="6"/>
  <c r="B93" i="6"/>
  <c r="AA92" i="6"/>
  <c r="Z92" i="6"/>
  <c r="Y92" i="6"/>
  <c r="X92" i="6"/>
  <c r="O92" i="6"/>
  <c r="I92" i="6"/>
  <c r="P92" i="6"/>
  <c r="K92" i="6"/>
  <c r="J91" i="6"/>
  <c r="I91" i="6"/>
  <c r="H91" i="6"/>
  <c r="F91" i="6"/>
  <c r="L90" i="6"/>
  <c r="K90" i="6"/>
  <c r="J90" i="6"/>
  <c r="F90" i="6"/>
  <c r="L89" i="6"/>
  <c r="K89" i="6"/>
  <c r="J89" i="6"/>
  <c r="F89" i="6"/>
  <c r="L88" i="6"/>
  <c r="K88" i="6"/>
  <c r="J88" i="6"/>
  <c r="F88" i="6"/>
  <c r="L87" i="6"/>
  <c r="K87" i="6"/>
  <c r="J87" i="6"/>
  <c r="I87" i="6"/>
  <c r="H87" i="6"/>
  <c r="G87" i="6"/>
  <c r="L86" i="6"/>
  <c r="K86" i="6"/>
  <c r="W86" i="6"/>
  <c r="J86" i="6"/>
  <c r="I86" i="6"/>
  <c r="H86" i="6"/>
  <c r="G86" i="6"/>
  <c r="L85" i="6"/>
  <c r="K85" i="6"/>
  <c r="J85" i="6"/>
  <c r="I85" i="6"/>
  <c r="H85" i="6"/>
  <c r="G85" i="6"/>
  <c r="L84" i="6"/>
  <c r="K84" i="6"/>
  <c r="W84" i="6"/>
  <c r="J84" i="6"/>
  <c r="I84" i="6"/>
  <c r="H84" i="6"/>
  <c r="G84" i="6"/>
  <c r="V83" i="6"/>
  <c r="T83" i="6"/>
  <c r="R83" i="6"/>
  <c r="U83" i="6"/>
  <c r="S83" i="6"/>
  <c r="Q83" i="6"/>
  <c r="F83" i="6"/>
  <c r="E83" i="6"/>
  <c r="C83" i="6"/>
  <c r="B83" i="6"/>
  <c r="AA82" i="6"/>
  <c r="Z82" i="6"/>
  <c r="Y82" i="6"/>
  <c r="X82" i="6"/>
  <c r="O82" i="6"/>
  <c r="I82" i="6"/>
  <c r="P82" i="6"/>
  <c r="K82" i="6"/>
  <c r="J81" i="6"/>
  <c r="I81" i="6"/>
  <c r="H81" i="6"/>
  <c r="F81" i="6"/>
  <c r="L80" i="6"/>
  <c r="K80" i="6"/>
  <c r="J80" i="6"/>
  <c r="F80" i="6"/>
  <c r="L79" i="6"/>
  <c r="K79" i="6"/>
  <c r="J79" i="6"/>
  <c r="F79" i="6"/>
  <c r="L78" i="6"/>
  <c r="K78" i="6"/>
  <c r="J78" i="6"/>
  <c r="F78" i="6"/>
  <c r="L77" i="6"/>
  <c r="K77" i="6"/>
  <c r="J77" i="6"/>
  <c r="I77" i="6"/>
  <c r="H77" i="6"/>
  <c r="G77" i="6"/>
  <c r="L76" i="6"/>
  <c r="K76" i="6"/>
  <c r="W76" i="6"/>
  <c r="J76" i="6"/>
  <c r="I76" i="6"/>
  <c r="H76" i="6"/>
  <c r="G76" i="6"/>
  <c r="L75" i="6"/>
  <c r="K75" i="6"/>
  <c r="J75" i="6"/>
  <c r="I75" i="6"/>
  <c r="H75" i="6"/>
  <c r="G75" i="6"/>
  <c r="L74" i="6"/>
  <c r="K74" i="6"/>
  <c r="W74" i="6"/>
  <c r="J74" i="6"/>
  <c r="I74" i="6"/>
  <c r="H74" i="6"/>
  <c r="G74" i="6"/>
  <c r="V73" i="6"/>
  <c r="T73" i="6"/>
  <c r="R73" i="6"/>
  <c r="U73" i="6"/>
  <c r="S73" i="6"/>
  <c r="Q73" i="6"/>
  <c r="F73" i="6"/>
  <c r="E73" i="6"/>
  <c r="C73" i="6"/>
  <c r="B73" i="6"/>
  <c r="A72" i="6"/>
  <c r="J70" i="6"/>
  <c r="K70" i="6"/>
  <c r="J69" i="6"/>
  <c r="K69" i="6"/>
  <c r="I68" i="6"/>
  <c r="K68" i="6"/>
  <c r="A68" i="6"/>
  <c r="AA66" i="6"/>
  <c r="Z66" i="6"/>
  <c r="Y66" i="6"/>
  <c r="X66" i="6"/>
  <c r="O66" i="6"/>
  <c r="I66" i="6"/>
  <c r="P66" i="6"/>
  <c r="K66" i="6"/>
  <c r="J65" i="6"/>
  <c r="I65" i="6"/>
  <c r="H65" i="6"/>
  <c r="F65" i="6"/>
  <c r="L64" i="6"/>
  <c r="K64" i="6"/>
  <c r="J64" i="6"/>
  <c r="F64" i="6"/>
  <c r="L63" i="6"/>
  <c r="K63" i="6"/>
  <c r="J63" i="6"/>
  <c r="F63" i="6"/>
  <c r="L62" i="6"/>
  <c r="K62" i="6"/>
  <c r="W62" i="6"/>
  <c r="J62" i="6"/>
  <c r="I62" i="6"/>
  <c r="H62" i="6"/>
  <c r="G62" i="6"/>
  <c r="V61" i="6"/>
  <c r="T61" i="6"/>
  <c r="R61" i="6"/>
  <c r="U61" i="6"/>
  <c r="S61" i="6"/>
  <c r="Q61" i="6"/>
  <c r="F61" i="6"/>
  <c r="E61" i="6"/>
  <c r="C61" i="6"/>
  <c r="B61" i="6"/>
  <c r="AA60" i="6"/>
  <c r="Z60" i="6"/>
  <c r="Y60" i="6"/>
  <c r="X60" i="6"/>
  <c r="O60" i="6"/>
  <c r="I60" i="6"/>
  <c r="P60" i="6"/>
  <c r="K60" i="6"/>
  <c r="J59" i="6"/>
  <c r="I59" i="6"/>
  <c r="H59" i="6"/>
  <c r="F59" i="6"/>
  <c r="L58" i="6"/>
  <c r="K58" i="6"/>
  <c r="J58" i="6"/>
  <c r="F58" i="6"/>
  <c r="L57" i="6"/>
  <c r="K57" i="6"/>
  <c r="J57" i="6"/>
  <c r="F57" i="6"/>
  <c r="L56" i="6"/>
  <c r="K56" i="6"/>
  <c r="J56" i="6"/>
  <c r="F56" i="6"/>
  <c r="L55" i="6"/>
  <c r="K55" i="6"/>
  <c r="W55" i="6"/>
  <c r="J55" i="6"/>
  <c r="I55" i="6"/>
  <c r="H55" i="6"/>
  <c r="G55" i="6"/>
  <c r="L54" i="6"/>
  <c r="K54" i="6"/>
  <c r="J54" i="6"/>
  <c r="I54" i="6"/>
  <c r="H54" i="6"/>
  <c r="G54" i="6"/>
  <c r="L53" i="6"/>
  <c r="K53" i="6"/>
  <c r="W53" i="6"/>
  <c r="J53" i="6"/>
  <c r="I53" i="6"/>
  <c r="H53" i="6"/>
  <c r="G53" i="6"/>
  <c r="V52" i="6"/>
  <c r="T52" i="6"/>
  <c r="R52" i="6"/>
  <c r="U52" i="6"/>
  <c r="S52" i="6"/>
  <c r="Q52" i="6"/>
  <c r="F52" i="6"/>
  <c r="E52" i="6"/>
  <c r="C52" i="6"/>
  <c r="B52" i="6"/>
  <c r="AA51" i="6"/>
  <c r="Z51" i="6"/>
  <c r="Y51" i="6"/>
  <c r="X51" i="6"/>
  <c r="O51" i="6"/>
  <c r="I51" i="6"/>
  <c r="P51" i="6"/>
  <c r="K51" i="6"/>
  <c r="J50" i="6"/>
  <c r="I50" i="6"/>
  <c r="H50" i="6"/>
  <c r="F50" i="6"/>
  <c r="L49" i="6"/>
  <c r="K49" i="6"/>
  <c r="J49" i="6"/>
  <c r="F49" i="6"/>
  <c r="L48" i="6"/>
  <c r="K48" i="6"/>
  <c r="J48" i="6"/>
  <c r="F48" i="6"/>
  <c r="L47" i="6"/>
  <c r="K47" i="6"/>
  <c r="J47" i="6"/>
  <c r="F47" i="6"/>
  <c r="L46" i="6"/>
  <c r="K46" i="6"/>
  <c r="W46" i="6"/>
  <c r="J46" i="6"/>
  <c r="I46" i="6"/>
  <c r="H46" i="6"/>
  <c r="G46" i="6"/>
  <c r="L45" i="6"/>
  <c r="K45" i="6"/>
  <c r="J45" i="6"/>
  <c r="I45" i="6"/>
  <c r="H45" i="6"/>
  <c r="G45" i="6"/>
  <c r="L44" i="6"/>
  <c r="K44" i="6"/>
  <c r="W44" i="6"/>
  <c r="J44" i="6"/>
  <c r="I44" i="6"/>
  <c r="H44" i="6"/>
  <c r="G44" i="6"/>
  <c r="V43" i="6"/>
  <c r="T43" i="6"/>
  <c r="R43" i="6"/>
  <c r="U43" i="6"/>
  <c r="S43" i="6"/>
  <c r="Q43" i="6"/>
  <c r="F43" i="6"/>
  <c r="E43" i="6"/>
  <c r="C43" i="6"/>
  <c r="B43" i="6"/>
  <c r="A42" i="6"/>
  <c r="AK40" i="6"/>
  <c r="A40" i="6"/>
  <c r="H31" i="6"/>
  <c r="G26" i="6"/>
  <c r="J22" i="6"/>
  <c r="J21" i="6"/>
  <c r="J20" i="6"/>
  <c r="J19" i="6"/>
  <c r="J16" i="6"/>
  <c r="C17" i="6"/>
  <c r="J14" i="6"/>
  <c r="J12" i="6"/>
  <c r="C13" i="6"/>
  <c r="J10" i="6"/>
  <c r="C11" i="6"/>
  <c r="J8" i="6"/>
  <c r="C9" i="6"/>
  <c r="A1" i="6"/>
  <c r="H203" i="5"/>
  <c r="H200" i="5"/>
  <c r="C203" i="5"/>
  <c r="C200" i="5"/>
  <c r="J197" i="5"/>
  <c r="C197" i="5"/>
  <c r="J196" i="5"/>
  <c r="C196" i="5"/>
  <c r="J195" i="5"/>
  <c r="C195" i="5"/>
  <c r="J30" i="5"/>
  <c r="J28" i="5"/>
  <c r="J27" i="5"/>
  <c r="J26" i="5"/>
  <c r="J25" i="5"/>
  <c r="J24" i="5"/>
  <c r="J23" i="5"/>
  <c r="I30" i="5"/>
  <c r="I28" i="5"/>
  <c r="I27" i="5"/>
  <c r="I26" i="5"/>
  <c r="I25" i="5"/>
  <c r="I24" i="5"/>
  <c r="I23" i="5"/>
  <c r="I194" i="5"/>
  <c r="J194" i="5"/>
  <c r="I193" i="5"/>
  <c r="J193" i="5"/>
  <c r="H192" i="5"/>
  <c r="J192" i="5"/>
  <c r="I190" i="5"/>
  <c r="J190" i="5"/>
  <c r="I189" i="5"/>
  <c r="J189" i="5"/>
  <c r="AL188" i="5"/>
  <c r="H188" i="5"/>
  <c r="J188" i="5"/>
  <c r="A188" i="5"/>
  <c r="I186" i="5"/>
  <c r="J186" i="5"/>
  <c r="I185" i="5"/>
  <c r="J185" i="5"/>
  <c r="H184" i="5"/>
  <c r="J184" i="5"/>
  <c r="A184" i="5"/>
  <c r="AA182" i="5"/>
  <c r="Z182" i="5"/>
  <c r="Y182" i="5"/>
  <c r="X182" i="5"/>
  <c r="O182" i="5"/>
  <c r="H182" i="5"/>
  <c r="P182" i="5"/>
  <c r="J182" i="5"/>
  <c r="C181" i="5"/>
  <c r="K180" i="5"/>
  <c r="J180" i="5"/>
  <c r="I180" i="5"/>
  <c r="H180" i="5"/>
  <c r="G180" i="5"/>
  <c r="F180" i="5"/>
  <c r="V180" i="5"/>
  <c r="T180" i="5"/>
  <c r="R180" i="5"/>
  <c r="U180" i="5"/>
  <c r="S180" i="5"/>
  <c r="Q180" i="5"/>
  <c r="E180" i="5"/>
  <c r="D180" i="5"/>
  <c r="B180" i="5"/>
  <c r="A180" i="5"/>
  <c r="AA179" i="5"/>
  <c r="Z179" i="5"/>
  <c r="Y179" i="5"/>
  <c r="X179" i="5"/>
  <c r="O179" i="5"/>
  <c r="H179" i="5"/>
  <c r="P179" i="5"/>
  <c r="J179" i="5"/>
  <c r="C178" i="5"/>
  <c r="K177" i="5"/>
  <c r="J177" i="5"/>
  <c r="I177" i="5"/>
  <c r="H177" i="5"/>
  <c r="G177" i="5"/>
  <c r="F177" i="5"/>
  <c r="V177" i="5"/>
  <c r="T177" i="5"/>
  <c r="R177" i="5"/>
  <c r="U177" i="5"/>
  <c r="S177" i="5"/>
  <c r="Q177" i="5"/>
  <c r="E177" i="5"/>
  <c r="D177" i="5"/>
  <c r="B177" i="5"/>
  <c r="A177" i="5"/>
  <c r="AA176" i="5"/>
  <c r="Z176" i="5"/>
  <c r="Y176" i="5"/>
  <c r="X176" i="5"/>
  <c r="O176" i="5"/>
  <c r="H176" i="5"/>
  <c r="P176" i="5"/>
  <c r="J176" i="5"/>
  <c r="C175" i="5"/>
  <c r="K174" i="5"/>
  <c r="J174" i="5"/>
  <c r="I174" i="5"/>
  <c r="H174" i="5"/>
  <c r="G174" i="5"/>
  <c r="F174" i="5"/>
  <c r="V174" i="5"/>
  <c r="T174" i="5"/>
  <c r="R174" i="5"/>
  <c r="U174" i="5"/>
  <c r="S174" i="5"/>
  <c r="Q174" i="5"/>
  <c r="E174" i="5"/>
  <c r="D174" i="5"/>
  <c r="B174" i="5"/>
  <c r="A174" i="5"/>
  <c r="AA173" i="5"/>
  <c r="Z173" i="5"/>
  <c r="Y173" i="5"/>
  <c r="X173" i="5"/>
  <c r="O173" i="5"/>
  <c r="H173" i="5"/>
  <c r="P173" i="5"/>
  <c r="J173" i="5"/>
  <c r="K172" i="5"/>
  <c r="J172" i="5"/>
  <c r="I172" i="5"/>
  <c r="H172" i="5"/>
  <c r="G172" i="5"/>
  <c r="F172" i="5"/>
  <c r="V172" i="5"/>
  <c r="T172" i="5"/>
  <c r="R172" i="5"/>
  <c r="U172" i="5"/>
  <c r="S172" i="5"/>
  <c r="Q172" i="5"/>
  <c r="E172" i="5"/>
  <c r="D172" i="5"/>
  <c r="B172" i="5"/>
  <c r="A172" i="5"/>
  <c r="AA171" i="5"/>
  <c r="Z171" i="5"/>
  <c r="Y171" i="5"/>
  <c r="X171" i="5"/>
  <c r="O171" i="5"/>
  <c r="H171" i="5"/>
  <c r="P171" i="5"/>
  <c r="J171" i="5"/>
  <c r="C170" i="5"/>
  <c r="K169" i="5"/>
  <c r="J169" i="5"/>
  <c r="I169" i="5"/>
  <c r="H169" i="5"/>
  <c r="G169" i="5"/>
  <c r="F169" i="5"/>
  <c r="V169" i="5"/>
  <c r="T169" i="5"/>
  <c r="R169" i="5"/>
  <c r="U169" i="5"/>
  <c r="S169" i="5"/>
  <c r="Q169" i="5"/>
  <c r="E169" i="5"/>
  <c r="D169" i="5"/>
  <c r="B169" i="5"/>
  <c r="A169" i="5"/>
  <c r="AA168" i="5"/>
  <c r="Z168" i="5"/>
  <c r="Y168" i="5"/>
  <c r="X168" i="5"/>
  <c r="O168" i="5"/>
  <c r="H168" i="5"/>
  <c r="P168" i="5"/>
  <c r="J168" i="5"/>
  <c r="K167" i="5"/>
  <c r="J167" i="5"/>
  <c r="I167" i="5"/>
  <c r="H167" i="5"/>
  <c r="G167" i="5"/>
  <c r="F167" i="5"/>
  <c r="V167" i="5"/>
  <c r="T167" i="5"/>
  <c r="R167" i="5"/>
  <c r="U167" i="5"/>
  <c r="S167" i="5"/>
  <c r="Q167" i="5"/>
  <c r="E167" i="5"/>
  <c r="D167" i="5"/>
  <c r="B167" i="5"/>
  <c r="A167" i="5"/>
  <c r="AA166" i="5"/>
  <c r="Z166" i="5"/>
  <c r="Y166" i="5"/>
  <c r="X166" i="5"/>
  <c r="O166" i="5"/>
  <c r="H166" i="5"/>
  <c r="P166" i="5"/>
  <c r="J166" i="5"/>
  <c r="K165" i="5"/>
  <c r="J165" i="5"/>
  <c r="I165" i="5"/>
  <c r="H165" i="5"/>
  <c r="G165" i="5"/>
  <c r="F165" i="5"/>
  <c r="V165" i="5"/>
  <c r="T165" i="5"/>
  <c r="R165" i="5"/>
  <c r="U165" i="5"/>
  <c r="S165" i="5"/>
  <c r="Q165" i="5"/>
  <c r="E165" i="5"/>
  <c r="D165" i="5"/>
  <c r="B165" i="5"/>
  <c r="A165" i="5"/>
  <c r="A164" i="5"/>
  <c r="I162" i="5"/>
  <c r="J162" i="5"/>
  <c r="I161" i="5"/>
  <c r="J161" i="5"/>
  <c r="H160" i="5"/>
  <c r="J160" i="5"/>
  <c r="A160" i="5"/>
  <c r="AA158" i="5"/>
  <c r="Z158" i="5"/>
  <c r="Y158" i="5"/>
  <c r="X158" i="5"/>
  <c r="O158" i="5"/>
  <c r="H158" i="5"/>
  <c r="P158" i="5"/>
  <c r="J158" i="5"/>
  <c r="I157" i="5"/>
  <c r="H157" i="5"/>
  <c r="G157" i="5"/>
  <c r="E157" i="5"/>
  <c r="K156" i="5"/>
  <c r="J156" i="5"/>
  <c r="I156" i="5"/>
  <c r="E156" i="5"/>
  <c r="K155" i="5"/>
  <c r="J155" i="5"/>
  <c r="I155" i="5"/>
  <c r="E155" i="5"/>
  <c r="K154" i="5"/>
  <c r="J154" i="5"/>
  <c r="W154" i="5"/>
  <c r="I154" i="5"/>
  <c r="H154" i="5"/>
  <c r="G154" i="5"/>
  <c r="F154" i="5"/>
  <c r="C153" i="5"/>
  <c r="V152" i="5"/>
  <c r="T152" i="5"/>
  <c r="R152" i="5"/>
  <c r="U152" i="5"/>
  <c r="S152" i="5"/>
  <c r="Q152" i="5"/>
  <c r="E152" i="5"/>
  <c r="D152" i="5"/>
  <c r="B152" i="5"/>
  <c r="A152" i="5"/>
  <c r="AA151" i="5"/>
  <c r="Z151" i="5"/>
  <c r="Y151" i="5"/>
  <c r="X151" i="5"/>
  <c r="O151" i="5"/>
  <c r="H151" i="5"/>
  <c r="P151" i="5"/>
  <c r="J151" i="5"/>
  <c r="I150" i="5"/>
  <c r="H150" i="5"/>
  <c r="G150" i="5"/>
  <c r="E150" i="5"/>
  <c r="K149" i="5"/>
  <c r="J149" i="5"/>
  <c r="I149" i="5"/>
  <c r="E149" i="5"/>
  <c r="K148" i="5"/>
  <c r="J148" i="5"/>
  <c r="I148" i="5"/>
  <c r="E148" i="5"/>
  <c r="K147" i="5"/>
  <c r="J147" i="5"/>
  <c r="W147" i="5"/>
  <c r="I147" i="5"/>
  <c r="H147" i="5"/>
  <c r="G147" i="5"/>
  <c r="F147" i="5"/>
  <c r="C146" i="5"/>
  <c r="V145" i="5"/>
  <c r="T145" i="5"/>
  <c r="R145" i="5"/>
  <c r="U145" i="5"/>
  <c r="S145" i="5"/>
  <c r="Q145" i="5"/>
  <c r="E145" i="5"/>
  <c r="D145" i="5"/>
  <c r="B145" i="5"/>
  <c r="A145" i="5"/>
  <c r="AA144" i="5"/>
  <c r="Z144" i="5"/>
  <c r="Y144" i="5"/>
  <c r="X144" i="5"/>
  <c r="O144" i="5"/>
  <c r="H144" i="5"/>
  <c r="P144" i="5"/>
  <c r="J144" i="5"/>
  <c r="I143" i="5"/>
  <c r="H143" i="5"/>
  <c r="G143" i="5"/>
  <c r="E143" i="5"/>
  <c r="K142" i="5"/>
  <c r="J142" i="5"/>
  <c r="I142" i="5"/>
  <c r="E142" i="5"/>
  <c r="K141" i="5"/>
  <c r="J141" i="5"/>
  <c r="I141" i="5"/>
  <c r="E141" i="5"/>
  <c r="K140" i="5"/>
  <c r="J140" i="5"/>
  <c r="I140" i="5"/>
  <c r="H140" i="5"/>
  <c r="G140" i="5"/>
  <c r="F140" i="5"/>
  <c r="K139" i="5"/>
  <c r="J139" i="5"/>
  <c r="W139" i="5"/>
  <c r="I139" i="5"/>
  <c r="H139" i="5"/>
  <c r="G139" i="5"/>
  <c r="F139" i="5"/>
  <c r="V138" i="5"/>
  <c r="T138" i="5"/>
  <c r="R138" i="5"/>
  <c r="U138" i="5"/>
  <c r="S138" i="5"/>
  <c r="Q138" i="5"/>
  <c r="E138" i="5"/>
  <c r="D138" i="5"/>
  <c r="B138" i="5"/>
  <c r="A138" i="5"/>
  <c r="AA137" i="5"/>
  <c r="Z137" i="5"/>
  <c r="Y137" i="5"/>
  <c r="X137" i="5"/>
  <c r="O137" i="5"/>
  <c r="H137" i="5"/>
  <c r="P137" i="5"/>
  <c r="J137" i="5"/>
  <c r="I136" i="5"/>
  <c r="H136" i="5"/>
  <c r="G136" i="5"/>
  <c r="E136" i="5"/>
  <c r="K135" i="5"/>
  <c r="J135" i="5"/>
  <c r="I135" i="5"/>
  <c r="E135" i="5"/>
  <c r="K134" i="5"/>
  <c r="J134" i="5"/>
  <c r="I134" i="5"/>
  <c r="E134" i="5"/>
  <c r="K133" i="5"/>
  <c r="J133" i="5"/>
  <c r="I133" i="5"/>
  <c r="E133" i="5"/>
  <c r="K132" i="5"/>
  <c r="J132" i="5"/>
  <c r="I132" i="5"/>
  <c r="H132" i="5"/>
  <c r="G132" i="5"/>
  <c r="F132" i="5"/>
  <c r="K131" i="5"/>
  <c r="J131" i="5"/>
  <c r="W131" i="5"/>
  <c r="I131" i="5"/>
  <c r="H131" i="5"/>
  <c r="G131" i="5"/>
  <c r="F131" i="5"/>
  <c r="K130" i="5"/>
  <c r="J130" i="5"/>
  <c r="I130" i="5"/>
  <c r="H130" i="5"/>
  <c r="G130" i="5"/>
  <c r="F130" i="5"/>
  <c r="K129" i="5"/>
  <c r="J129" i="5"/>
  <c r="W129" i="5"/>
  <c r="I129" i="5"/>
  <c r="H129" i="5"/>
  <c r="G129" i="5"/>
  <c r="F129" i="5"/>
  <c r="V128" i="5"/>
  <c r="T128" i="5"/>
  <c r="R128" i="5"/>
  <c r="U128" i="5"/>
  <c r="S128" i="5"/>
  <c r="Q128" i="5"/>
  <c r="E128" i="5"/>
  <c r="D128" i="5"/>
  <c r="B128" i="5"/>
  <c r="A128" i="5"/>
  <c r="AA127" i="5"/>
  <c r="Z127" i="5"/>
  <c r="Y127" i="5"/>
  <c r="X127" i="5"/>
  <c r="O127" i="5"/>
  <c r="H127" i="5"/>
  <c r="P127" i="5"/>
  <c r="J127" i="5"/>
  <c r="I126" i="5"/>
  <c r="H126" i="5"/>
  <c r="G126" i="5"/>
  <c r="E126" i="5"/>
  <c r="K125" i="5"/>
  <c r="J125" i="5"/>
  <c r="I125" i="5"/>
  <c r="E125" i="5"/>
  <c r="K124" i="5"/>
  <c r="J124" i="5"/>
  <c r="I124" i="5"/>
  <c r="E124" i="5"/>
  <c r="K123" i="5"/>
  <c r="J123" i="5"/>
  <c r="I123" i="5"/>
  <c r="E123" i="5"/>
  <c r="K122" i="5"/>
  <c r="J122" i="5"/>
  <c r="I122" i="5"/>
  <c r="H122" i="5"/>
  <c r="G122" i="5"/>
  <c r="F122" i="5"/>
  <c r="K121" i="5"/>
  <c r="J121" i="5"/>
  <c r="W121" i="5"/>
  <c r="I121" i="5"/>
  <c r="H121" i="5"/>
  <c r="G121" i="5"/>
  <c r="F121" i="5"/>
  <c r="K120" i="5"/>
  <c r="J120" i="5"/>
  <c r="I120" i="5"/>
  <c r="H120" i="5"/>
  <c r="G120" i="5"/>
  <c r="F120" i="5"/>
  <c r="K119" i="5"/>
  <c r="J119" i="5"/>
  <c r="W119" i="5"/>
  <c r="I119" i="5"/>
  <c r="H119" i="5"/>
  <c r="G119" i="5"/>
  <c r="F119" i="5"/>
  <c r="V118" i="5"/>
  <c r="T118" i="5"/>
  <c r="R118" i="5"/>
  <c r="U118" i="5"/>
  <c r="S118" i="5"/>
  <c r="Q118" i="5"/>
  <c r="E118" i="5"/>
  <c r="D118" i="5"/>
  <c r="B118" i="5"/>
  <c r="A118" i="5"/>
  <c r="AA117" i="5"/>
  <c r="Z117" i="5"/>
  <c r="Y117" i="5"/>
  <c r="X117" i="5"/>
  <c r="O117" i="5"/>
  <c r="H117" i="5"/>
  <c r="P117" i="5"/>
  <c r="J117" i="5"/>
  <c r="I116" i="5"/>
  <c r="H116" i="5"/>
  <c r="G116" i="5"/>
  <c r="E116" i="5"/>
  <c r="K115" i="5"/>
  <c r="J115" i="5"/>
  <c r="I115" i="5"/>
  <c r="E115" i="5"/>
  <c r="K114" i="5"/>
  <c r="J114" i="5"/>
  <c r="I114" i="5"/>
  <c r="E114" i="5"/>
  <c r="K113" i="5"/>
  <c r="J113" i="5"/>
  <c r="I113" i="5"/>
  <c r="E113" i="5"/>
  <c r="K112" i="5"/>
  <c r="J112" i="5"/>
  <c r="I112" i="5"/>
  <c r="H112" i="5"/>
  <c r="G112" i="5"/>
  <c r="F112" i="5"/>
  <c r="K111" i="5"/>
  <c r="J111" i="5"/>
  <c r="W111" i="5"/>
  <c r="I111" i="5"/>
  <c r="H111" i="5"/>
  <c r="G111" i="5"/>
  <c r="F111" i="5"/>
  <c r="K110" i="5"/>
  <c r="J110" i="5"/>
  <c r="I110" i="5"/>
  <c r="H110" i="5"/>
  <c r="G110" i="5"/>
  <c r="F110" i="5"/>
  <c r="K109" i="5"/>
  <c r="J109" i="5"/>
  <c r="W109" i="5"/>
  <c r="I109" i="5"/>
  <c r="H109" i="5"/>
  <c r="G109" i="5"/>
  <c r="F109" i="5"/>
  <c r="V108" i="5"/>
  <c r="T108" i="5"/>
  <c r="R108" i="5"/>
  <c r="U108" i="5"/>
  <c r="S108" i="5"/>
  <c r="Q108" i="5"/>
  <c r="E108" i="5"/>
  <c r="D108" i="5"/>
  <c r="B108" i="5"/>
  <c r="A108" i="5"/>
  <c r="AA107" i="5"/>
  <c r="Z107" i="5"/>
  <c r="Y107" i="5"/>
  <c r="X107" i="5"/>
  <c r="O107" i="5"/>
  <c r="H107" i="5"/>
  <c r="P107" i="5"/>
  <c r="J107" i="5"/>
  <c r="I106" i="5"/>
  <c r="H106" i="5"/>
  <c r="G106" i="5"/>
  <c r="E106" i="5"/>
  <c r="K105" i="5"/>
  <c r="J105" i="5"/>
  <c r="I105" i="5"/>
  <c r="E105" i="5"/>
  <c r="K104" i="5"/>
  <c r="J104" i="5"/>
  <c r="I104" i="5"/>
  <c r="E104" i="5"/>
  <c r="K103" i="5"/>
  <c r="J103" i="5"/>
  <c r="I103" i="5"/>
  <c r="E103" i="5"/>
  <c r="K102" i="5"/>
  <c r="J102" i="5"/>
  <c r="I102" i="5"/>
  <c r="H102" i="5"/>
  <c r="G102" i="5"/>
  <c r="F102" i="5"/>
  <c r="K101" i="5"/>
  <c r="J101" i="5"/>
  <c r="W101" i="5"/>
  <c r="I101" i="5"/>
  <c r="H101" i="5"/>
  <c r="G101" i="5"/>
  <c r="F101" i="5"/>
  <c r="K100" i="5"/>
  <c r="J100" i="5"/>
  <c r="I100" i="5"/>
  <c r="H100" i="5"/>
  <c r="G100" i="5"/>
  <c r="F100" i="5"/>
  <c r="K99" i="5"/>
  <c r="J99" i="5"/>
  <c r="W99" i="5"/>
  <c r="I99" i="5"/>
  <c r="H99" i="5"/>
  <c r="G99" i="5"/>
  <c r="F99" i="5"/>
  <c r="V98" i="5"/>
  <c r="T98" i="5"/>
  <c r="R98" i="5"/>
  <c r="U98" i="5"/>
  <c r="S98" i="5"/>
  <c r="Q98" i="5"/>
  <c r="E98" i="5"/>
  <c r="D98" i="5"/>
  <c r="B98" i="5"/>
  <c r="A98" i="5"/>
  <c r="AA97" i="5"/>
  <c r="Z97" i="5"/>
  <c r="Y97" i="5"/>
  <c r="X97" i="5"/>
  <c r="O97" i="5"/>
  <c r="H97" i="5"/>
  <c r="P97" i="5"/>
  <c r="J97" i="5"/>
  <c r="I96" i="5"/>
  <c r="H96" i="5"/>
  <c r="G96" i="5"/>
  <c r="E96" i="5"/>
  <c r="K95" i="5"/>
  <c r="J95" i="5"/>
  <c r="I95" i="5"/>
  <c r="E95" i="5"/>
  <c r="K94" i="5"/>
  <c r="J94" i="5"/>
  <c r="I94" i="5"/>
  <c r="E94" i="5"/>
  <c r="K93" i="5"/>
  <c r="J93" i="5"/>
  <c r="I93" i="5"/>
  <c r="E93" i="5"/>
  <c r="K92" i="5"/>
  <c r="J92" i="5"/>
  <c r="I92" i="5"/>
  <c r="H92" i="5"/>
  <c r="G92" i="5"/>
  <c r="F92" i="5"/>
  <c r="K91" i="5"/>
  <c r="J91" i="5"/>
  <c r="W91" i="5"/>
  <c r="I91" i="5"/>
  <c r="H91" i="5"/>
  <c r="G91" i="5"/>
  <c r="F91" i="5"/>
  <c r="K90" i="5"/>
  <c r="J90" i="5"/>
  <c r="I90" i="5"/>
  <c r="H90" i="5"/>
  <c r="G90" i="5"/>
  <c r="F90" i="5"/>
  <c r="K89" i="5"/>
  <c r="J89" i="5"/>
  <c r="W89" i="5"/>
  <c r="I89" i="5"/>
  <c r="H89" i="5"/>
  <c r="G89" i="5"/>
  <c r="F89" i="5"/>
  <c r="V88" i="5"/>
  <c r="T88" i="5"/>
  <c r="R88" i="5"/>
  <c r="U88" i="5"/>
  <c r="S88" i="5"/>
  <c r="Q88" i="5"/>
  <c r="E88" i="5"/>
  <c r="D88" i="5"/>
  <c r="B88" i="5"/>
  <c r="A88" i="5"/>
  <c r="AA87" i="5"/>
  <c r="Z87" i="5"/>
  <c r="Y87" i="5"/>
  <c r="X87" i="5"/>
  <c r="O87" i="5"/>
  <c r="H87" i="5"/>
  <c r="P87" i="5"/>
  <c r="J87" i="5"/>
  <c r="I86" i="5"/>
  <c r="H86" i="5"/>
  <c r="G86" i="5"/>
  <c r="E86" i="5"/>
  <c r="K85" i="5"/>
  <c r="J85" i="5"/>
  <c r="I85" i="5"/>
  <c r="E85" i="5"/>
  <c r="K84" i="5"/>
  <c r="J84" i="5"/>
  <c r="I84" i="5"/>
  <c r="E84" i="5"/>
  <c r="K83" i="5"/>
  <c r="J83" i="5"/>
  <c r="I83" i="5"/>
  <c r="E83" i="5"/>
  <c r="K82" i="5"/>
  <c r="J82" i="5"/>
  <c r="I82" i="5"/>
  <c r="H82" i="5"/>
  <c r="G82" i="5"/>
  <c r="F82" i="5"/>
  <c r="K81" i="5"/>
  <c r="J81" i="5"/>
  <c r="W81" i="5"/>
  <c r="I81" i="5"/>
  <c r="H81" i="5"/>
  <c r="G81" i="5"/>
  <c r="F81" i="5"/>
  <c r="K80" i="5"/>
  <c r="J80" i="5"/>
  <c r="I80" i="5"/>
  <c r="H80" i="5"/>
  <c r="G80" i="5"/>
  <c r="F80" i="5"/>
  <c r="K79" i="5"/>
  <c r="J79" i="5"/>
  <c r="W79" i="5"/>
  <c r="I79" i="5"/>
  <c r="H79" i="5"/>
  <c r="G79" i="5"/>
  <c r="F79" i="5"/>
  <c r="V78" i="5"/>
  <c r="T78" i="5"/>
  <c r="R78" i="5"/>
  <c r="U78" i="5"/>
  <c r="S78" i="5"/>
  <c r="Q78" i="5"/>
  <c r="E78" i="5"/>
  <c r="D78" i="5"/>
  <c r="B78" i="5"/>
  <c r="A78" i="5"/>
  <c r="AA77" i="5"/>
  <c r="Z77" i="5"/>
  <c r="Y77" i="5"/>
  <c r="X77" i="5"/>
  <c r="O77" i="5"/>
  <c r="H77" i="5"/>
  <c r="P77" i="5"/>
  <c r="J77" i="5"/>
  <c r="I76" i="5"/>
  <c r="H76" i="5"/>
  <c r="G76" i="5"/>
  <c r="E76" i="5"/>
  <c r="K75" i="5"/>
  <c r="J75" i="5"/>
  <c r="I75" i="5"/>
  <c r="E75" i="5"/>
  <c r="K74" i="5"/>
  <c r="J74" i="5"/>
  <c r="I74" i="5"/>
  <c r="E74" i="5"/>
  <c r="K73" i="5"/>
  <c r="J73" i="5"/>
  <c r="I73" i="5"/>
  <c r="E73" i="5"/>
  <c r="K72" i="5"/>
  <c r="J72" i="5"/>
  <c r="I72" i="5"/>
  <c r="H72" i="5"/>
  <c r="G72" i="5"/>
  <c r="F72" i="5"/>
  <c r="K71" i="5"/>
  <c r="J71" i="5"/>
  <c r="W71" i="5"/>
  <c r="I71" i="5"/>
  <c r="H71" i="5"/>
  <c r="G71" i="5"/>
  <c r="F71" i="5"/>
  <c r="K70" i="5"/>
  <c r="J70" i="5"/>
  <c r="I70" i="5"/>
  <c r="H70" i="5"/>
  <c r="G70" i="5"/>
  <c r="F70" i="5"/>
  <c r="K69" i="5"/>
  <c r="J69" i="5"/>
  <c r="W69" i="5"/>
  <c r="I69" i="5"/>
  <c r="H69" i="5"/>
  <c r="G69" i="5"/>
  <c r="F69" i="5"/>
  <c r="V68" i="5"/>
  <c r="T68" i="5"/>
  <c r="R68" i="5"/>
  <c r="U68" i="5"/>
  <c r="S68" i="5"/>
  <c r="Q68" i="5"/>
  <c r="E68" i="5"/>
  <c r="D68" i="5"/>
  <c r="B68" i="5"/>
  <c r="A68" i="5"/>
  <c r="A67" i="5"/>
  <c r="I65" i="5"/>
  <c r="J65" i="5"/>
  <c r="I64" i="5"/>
  <c r="J64" i="5"/>
  <c r="H63" i="5"/>
  <c r="J63" i="5"/>
  <c r="A63" i="5"/>
  <c r="AA61" i="5"/>
  <c r="Z61" i="5"/>
  <c r="Y61" i="5"/>
  <c r="X61" i="5"/>
  <c r="O61" i="5"/>
  <c r="H61" i="5"/>
  <c r="P61" i="5"/>
  <c r="J61" i="5"/>
  <c r="I60" i="5"/>
  <c r="H60" i="5"/>
  <c r="G60" i="5"/>
  <c r="E60" i="5"/>
  <c r="K59" i="5"/>
  <c r="J59" i="5"/>
  <c r="I59" i="5"/>
  <c r="E59" i="5"/>
  <c r="K58" i="5"/>
  <c r="J58" i="5"/>
  <c r="I58" i="5"/>
  <c r="E58" i="5"/>
  <c r="K57" i="5"/>
  <c r="J57" i="5"/>
  <c r="W57" i="5"/>
  <c r="I57" i="5"/>
  <c r="H57" i="5"/>
  <c r="G57" i="5"/>
  <c r="F57" i="5"/>
  <c r="V56" i="5"/>
  <c r="T56" i="5"/>
  <c r="R56" i="5"/>
  <c r="U56" i="5"/>
  <c r="S56" i="5"/>
  <c r="Q56" i="5"/>
  <c r="E56" i="5"/>
  <c r="D56" i="5"/>
  <c r="B56" i="5"/>
  <c r="A56" i="5"/>
  <c r="AA55" i="5"/>
  <c r="Z55" i="5"/>
  <c r="Y55" i="5"/>
  <c r="X55" i="5"/>
  <c r="O55" i="5"/>
  <c r="H55" i="5"/>
  <c r="P55" i="5"/>
  <c r="J55" i="5"/>
  <c r="I54" i="5"/>
  <c r="H54" i="5"/>
  <c r="G54" i="5"/>
  <c r="E54" i="5"/>
  <c r="K53" i="5"/>
  <c r="J53" i="5"/>
  <c r="I53" i="5"/>
  <c r="E53" i="5"/>
  <c r="K52" i="5"/>
  <c r="J52" i="5"/>
  <c r="I52" i="5"/>
  <c r="E52" i="5"/>
  <c r="K51" i="5"/>
  <c r="J51" i="5"/>
  <c r="I51" i="5"/>
  <c r="E51" i="5"/>
  <c r="K50" i="5"/>
  <c r="J50" i="5"/>
  <c r="W50" i="5"/>
  <c r="I50" i="5"/>
  <c r="H50" i="5"/>
  <c r="G50" i="5"/>
  <c r="F50" i="5"/>
  <c r="K49" i="5"/>
  <c r="J49" i="5"/>
  <c r="I49" i="5"/>
  <c r="H49" i="5"/>
  <c r="G49" i="5"/>
  <c r="F49" i="5"/>
  <c r="K48" i="5"/>
  <c r="J48" i="5"/>
  <c r="W48" i="5"/>
  <c r="I48" i="5"/>
  <c r="H48" i="5"/>
  <c r="G48" i="5"/>
  <c r="F48" i="5"/>
  <c r="V47" i="5"/>
  <c r="T47" i="5"/>
  <c r="R47" i="5"/>
  <c r="U47" i="5"/>
  <c r="S47" i="5"/>
  <c r="Q47" i="5"/>
  <c r="E47" i="5"/>
  <c r="D47" i="5"/>
  <c r="B47" i="5"/>
  <c r="A47" i="5"/>
  <c r="AA46" i="5"/>
  <c r="Z46" i="5"/>
  <c r="Y46" i="5"/>
  <c r="X46" i="5"/>
  <c r="O46" i="5"/>
  <c r="H46" i="5"/>
  <c r="P46" i="5"/>
  <c r="J46" i="5"/>
  <c r="I45" i="5"/>
  <c r="H45" i="5"/>
  <c r="G45" i="5"/>
  <c r="E45" i="5"/>
  <c r="K44" i="5"/>
  <c r="J44" i="5"/>
  <c r="I44" i="5"/>
  <c r="E44" i="5"/>
  <c r="K43" i="5"/>
  <c r="J43" i="5"/>
  <c r="I43" i="5"/>
  <c r="E43" i="5"/>
  <c r="K42" i="5"/>
  <c r="J42" i="5"/>
  <c r="I42" i="5"/>
  <c r="E42" i="5"/>
  <c r="K41" i="5"/>
  <c r="J41" i="5"/>
  <c r="W41" i="5"/>
  <c r="I41" i="5"/>
  <c r="H41" i="5"/>
  <c r="G41" i="5"/>
  <c r="F41" i="5"/>
  <c r="K40" i="5"/>
  <c r="J40" i="5"/>
  <c r="I40" i="5"/>
  <c r="H40" i="5"/>
  <c r="G40" i="5"/>
  <c r="F40" i="5"/>
  <c r="K39" i="5"/>
  <c r="J39" i="5"/>
  <c r="W39" i="5"/>
  <c r="I39" i="5"/>
  <c r="H39" i="5"/>
  <c r="G39" i="5"/>
  <c r="F39" i="5"/>
  <c r="V38" i="5"/>
  <c r="T38" i="5"/>
  <c r="R38" i="5"/>
  <c r="U38" i="5"/>
  <c r="S38" i="5"/>
  <c r="Q38" i="5"/>
  <c r="E38" i="5"/>
  <c r="D38" i="5"/>
  <c r="B38" i="5"/>
  <c r="A38" i="5"/>
  <c r="A37" i="5"/>
  <c r="AK35" i="5"/>
  <c r="A35" i="5"/>
  <c r="A21" i="5"/>
  <c r="A18" i="5"/>
  <c r="A13" i="5"/>
  <c r="G6" i="5"/>
  <c r="B6" i="5"/>
  <c r="A1" i="5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1" i="3"/>
  <c r="CX1" i="3"/>
  <c r="CY1" i="3"/>
  <c r="CZ1" i="3"/>
  <c r="DA1" i="3"/>
  <c r="DB1" i="3"/>
  <c r="DC1" i="3"/>
  <c r="A2" i="3"/>
  <c r="CX2" i="3"/>
  <c r="CY2" i="3"/>
  <c r="CZ2" i="3"/>
  <c r="DB2" i="3" s="1"/>
  <c r="DA2" i="3"/>
  <c r="DC2" i="3"/>
  <c r="A3" i="3"/>
  <c r="CX3" i="3"/>
  <c r="CY3" i="3"/>
  <c r="CZ3" i="3"/>
  <c r="DB3" i="3" s="1"/>
  <c r="DA3" i="3"/>
  <c r="DC3" i="3"/>
  <c r="A4" i="3"/>
  <c r="CX4" i="3"/>
  <c r="CY4" i="3"/>
  <c r="CZ4" i="3"/>
  <c r="DA4" i="3"/>
  <c r="DB4" i="3"/>
  <c r="DC4" i="3"/>
  <c r="A5" i="3"/>
  <c r="CX5" i="3"/>
  <c r="CY5" i="3"/>
  <c r="CZ5" i="3"/>
  <c r="DA5" i="3"/>
  <c r="DB5" i="3"/>
  <c r="DC5" i="3"/>
  <c r="A6" i="3"/>
  <c r="CX6" i="3"/>
  <c r="CY6" i="3"/>
  <c r="CZ6" i="3"/>
  <c r="DB6" i="3" s="1"/>
  <c r="DA6" i="3"/>
  <c r="DC6" i="3"/>
  <c r="A7" i="3"/>
  <c r="CX7" i="3"/>
  <c r="CY7" i="3"/>
  <c r="CZ7" i="3"/>
  <c r="DB7" i="3" s="1"/>
  <c r="DA7" i="3"/>
  <c r="DC7" i="3"/>
  <c r="A8" i="3"/>
  <c r="CX8" i="3"/>
  <c r="CY8" i="3"/>
  <c r="CZ8" i="3"/>
  <c r="DA8" i="3"/>
  <c r="DB8" i="3"/>
  <c r="DC8" i="3"/>
  <c r="A9" i="3"/>
  <c r="CX9" i="3"/>
  <c r="CY9" i="3"/>
  <c r="CZ9" i="3"/>
  <c r="DA9" i="3"/>
  <c r="DB9" i="3"/>
  <c r="DC9" i="3"/>
  <c r="A10" i="3"/>
  <c r="CX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A12" i="3"/>
  <c r="DB12" i="3"/>
  <c r="DC12" i="3"/>
  <c r="A13" i="3"/>
  <c r="CX13" i="3"/>
  <c r="CY13" i="3"/>
  <c r="CZ13" i="3"/>
  <c r="DA13" i="3"/>
  <c r="DB13" i="3"/>
  <c r="DC13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S28" i="1"/>
  <c r="AC28" i="1"/>
  <c r="AE28" i="1"/>
  <c r="AD28" i="1" s="1"/>
  <c r="AF28" i="1"/>
  <c r="AG28" i="1"/>
  <c r="CU28" i="1" s="1"/>
  <c r="T28" i="1" s="1"/>
  <c r="AH28" i="1"/>
  <c r="AI28" i="1"/>
  <c r="AJ28" i="1"/>
  <c r="CR28" i="1"/>
  <c r="CS28" i="1"/>
  <c r="CT28" i="1"/>
  <c r="CV28" i="1"/>
  <c r="U28" i="1" s="1"/>
  <c r="CW28" i="1"/>
  <c r="V28" i="1" s="1"/>
  <c r="CX28" i="1"/>
  <c r="W28" i="1" s="1"/>
  <c r="FR28" i="1"/>
  <c r="GL28" i="1"/>
  <c r="GO28" i="1"/>
  <c r="GP28" i="1"/>
  <c r="GV28" i="1"/>
  <c r="HC28" i="1"/>
  <c r="GX28" i="1" s="1"/>
  <c r="C29" i="1"/>
  <c r="D29" i="1"/>
  <c r="P29" i="1"/>
  <c r="S29" i="1"/>
  <c r="T29" i="1"/>
  <c r="AC29" i="1"/>
  <c r="AD29" i="1"/>
  <c r="AE29" i="1"/>
  <c r="Q29" i="1" s="1"/>
  <c r="AF29" i="1"/>
  <c r="AG29" i="1"/>
  <c r="AH29" i="1"/>
  <c r="CV29" i="1" s="1"/>
  <c r="U29" i="1" s="1"/>
  <c r="AI29" i="1"/>
  <c r="CW29" i="1" s="1"/>
  <c r="V29" i="1" s="1"/>
  <c r="AJ29" i="1"/>
  <c r="CQ29" i="1"/>
  <c r="CR29" i="1"/>
  <c r="CT29" i="1"/>
  <c r="CU29" i="1"/>
  <c r="CX29" i="1"/>
  <c r="W29" i="1" s="1"/>
  <c r="CY29" i="1"/>
  <c r="X29" i="1" s="1"/>
  <c r="CZ29" i="1"/>
  <c r="Y29" i="1" s="1"/>
  <c r="FR29" i="1"/>
  <c r="GL29" i="1"/>
  <c r="GN29" i="1"/>
  <c r="GP29" i="1"/>
  <c r="GV29" i="1"/>
  <c r="HC29" i="1" s="1"/>
  <c r="GX29" i="1" s="1"/>
  <c r="C30" i="1"/>
  <c r="D30" i="1"/>
  <c r="P30" i="1"/>
  <c r="AC30" i="1"/>
  <c r="AE30" i="1"/>
  <c r="AF30" i="1"/>
  <c r="S30" i="1" s="1"/>
  <c r="CY30" i="1" s="1"/>
  <c r="X30" i="1" s="1"/>
  <c r="AG30" i="1"/>
  <c r="AH30" i="1"/>
  <c r="AI30" i="1"/>
  <c r="CW30" i="1" s="1"/>
  <c r="V30" i="1" s="1"/>
  <c r="AJ30" i="1"/>
  <c r="CX30" i="1" s="1"/>
  <c r="W30" i="1" s="1"/>
  <c r="CQ30" i="1"/>
  <c r="CR30" i="1"/>
  <c r="CU30" i="1"/>
  <c r="T30" i="1" s="1"/>
  <c r="CV30" i="1"/>
  <c r="U30" i="1" s="1"/>
  <c r="CZ30" i="1"/>
  <c r="Y30" i="1" s="1"/>
  <c r="FR30" i="1"/>
  <c r="GL30" i="1"/>
  <c r="GN30" i="1"/>
  <c r="GP30" i="1"/>
  <c r="GV30" i="1"/>
  <c r="HC30" i="1" s="1"/>
  <c r="GX30" i="1" s="1"/>
  <c r="D31" i="1"/>
  <c r="R31" i="1"/>
  <c r="S31" i="1"/>
  <c r="AC31" i="1"/>
  <c r="AD31" i="1"/>
  <c r="AE31" i="1"/>
  <c r="Q31" i="1" s="1"/>
  <c r="AF31" i="1"/>
  <c r="AG31" i="1"/>
  <c r="CU31" i="1" s="1"/>
  <c r="T31" i="1" s="1"/>
  <c r="AH31" i="1"/>
  <c r="CV31" i="1" s="1"/>
  <c r="U31" i="1" s="1"/>
  <c r="AI31" i="1"/>
  <c r="AJ31" i="1"/>
  <c r="CR31" i="1"/>
  <c r="CS31" i="1"/>
  <c r="CT31" i="1"/>
  <c r="CW31" i="1"/>
  <c r="V31" i="1" s="1"/>
  <c r="CX31" i="1"/>
  <c r="W31" i="1" s="1"/>
  <c r="AJ37" i="1" s="1"/>
  <c r="FR31" i="1"/>
  <c r="GK31" i="1"/>
  <c r="GL31" i="1"/>
  <c r="GN31" i="1"/>
  <c r="GP31" i="1"/>
  <c r="GV31" i="1"/>
  <c r="HC31" i="1"/>
  <c r="GX31" i="1" s="1"/>
  <c r="C32" i="1"/>
  <c r="D32" i="1"/>
  <c r="P32" i="1"/>
  <c r="CP32" i="1" s="1"/>
  <c r="O32" i="1" s="1"/>
  <c r="S32" i="1"/>
  <c r="T32" i="1"/>
  <c r="AC32" i="1"/>
  <c r="AB32" i="1" s="1"/>
  <c r="AD32" i="1"/>
  <c r="AE32" i="1"/>
  <c r="Q32" i="1" s="1"/>
  <c r="AF32" i="1"/>
  <c r="AG32" i="1"/>
  <c r="AH32" i="1"/>
  <c r="CV32" i="1" s="1"/>
  <c r="U32" i="1" s="1"/>
  <c r="AI32" i="1"/>
  <c r="CW32" i="1" s="1"/>
  <c r="V32" i="1" s="1"/>
  <c r="AJ32" i="1"/>
  <c r="CQ32" i="1"/>
  <c r="CR32" i="1"/>
  <c r="CT32" i="1"/>
  <c r="CU32" i="1"/>
  <c r="CX32" i="1"/>
  <c r="W32" i="1" s="1"/>
  <c r="CY32" i="1"/>
  <c r="X32" i="1" s="1"/>
  <c r="CZ32" i="1"/>
  <c r="Y32" i="1" s="1"/>
  <c r="FR32" i="1"/>
  <c r="GL32" i="1"/>
  <c r="GN32" i="1"/>
  <c r="GP32" i="1"/>
  <c r="GV32" i="1"/>
  <c r="HC32" i="1" s="1"/>
  <c r="GX32" i="1" s="1"/>
  <c r="D33" i="1"/>
  <c r="R33" i="1"/>
  <c r="GK33" i="1" s="1"/>
  <c r="AC33" i="1"/>
  <c r="P33" i="1" s="1"/>
  <c r="AE33" i="1"/>
  <c r="AD33" i="1" s="1"/>
  <c r="AB33" i="1" s="1"/>
  <c r="AF33" i="1"/>
  <c r="S33" i="1" s="1"/>
  <c r="AG33" i="1"/>
  <c r="CU33" i="1" s="1"/>
  <c r="T33" i="1" s="1"/>
  <c r="AH33" i="1"/>
  <c r="AI33" i="1"/>
  <c r="AJ33" i="1"/>
  <c r="CR33" i="1"/>
  <c r="CS33" i="1"/>
  <c r="CT33" i="1"/>
  <c r="CV33" i="1"/>
  <c r="U33" i="1" s="1"/>
  <c r="CW33" i="1"/>
  <c r="V33" i="1" s="1"/>
  <c r="CX33" i="1"/>
  <c r="W33" i="1" s="1"/>
  <c r="FR33" i="1"/>
  <c r="GL33" i="1"/>
  <c r="GN33" i="1"/>
  <c r="GP33" i="1"/>
  <c r="GV33" i="1"/>
  <c r="GX33" i="1"/>
  <c r="HC33" i="1"/>
  <c r="C34" i="1"/>
  <c r="D34" i="1"/>
  <c r="R34" i="1"/>
  <c r="S34" i="1"/>
  <c r="CZ34" i="1" s="1"/>
  <c r="Y34" i="1" s="1"/>
  <c r="T34" i="1"/>
  <c r="W34" i="1"/>
  <c r="AC34" i="1"/>
  <c r="CQ34" i="1" s="1"/>
  <c r="AD34" i="1"/>
  <c r="AE34" i="1"/>
  <c r="Q34" i="1" s="1"/>
  <c r="AF34" i="1"/>
  <c r="AG34" i="1"/>
  <c r="CU34" i="1" s="1"/>
  <c r="AH34" i="1"/>
  <c r="CV34" i="1" s="1"/>
  <c r="U34" i="1" s="1"/>
  <c r="AI34" i="1"/>
  <c r="AJ34" i="1"/>
  <c r="CR34" i="1"/>
  <c r="CS34" i="1"/>
  <c r="CT34" i="1"/>
  <c r="CW34" i="1"/>
  <c r="V34" i="1" s="1"/>
  <c r="CX34" i="1"/>
  <c r="CY34" i="1"/>
  <c r="X34" i="1" s="1"/>
  <c r="FR34" i="1"/>
  <c r="GK34" i="1"/>
  <c r="GL34" i="1"/>
  <c r="GN34" i="1"/>
  <c r="GP34" i="1"/>
  <c r="GV34" i="1"/>
  <c r="GX34" i="1"/>
  <c r="HC34" i="1"/>
  <c r="D35" i="1"/>
  <c r="P35" i="1"/>
  <c r="Q35" i="1"/>
  <c r="R35" i="1"/>
  <c r="GK35" i="1" s="1"/>
  <c r="T35" i="1"/>
  <c r="V35" i="1"/>
  <c r="AC35" i="1"/>
  <c r="AD35" i="1"/>
  <c r="AB35" i="1" s="1"/>
  <c r="AE35" i="1"/>
  <c r="AF35" i="1"/>
  <c r="AG35" i="1"/>
  <c r="AH35" i="1"/>
  <c r="CV35" i="1" s="1"/>
  <c r="U35" i="1" s="1"/>
  <c r="AI35" i="1"/>
  <c r="AJ35" i="1"/>
  <c r="CX35" i="1" s="1"/>
  <c r="W35" i="1" s="1"/>
  <c r="CQ35" i="1"/>
  <c r="CR35" i="1"/>
  <c r="CS35" i="1"/>
  <c r="CU35" i="1"/>
  <c r="CW35" i="1"/>
  <c r="FR35" i="1"/>
  <c r="BY37" i="1" s="1"/>
  <c r="GL35" i="1"/>
  <c r="GN35" i="1"/>
  <c r="GP35" i="1"/>
  <c r="GV35" i="1"/>
  <c r="HC35" i="1"/>
  <c r="GX35" i="1" s="1"/>
  <c r="B37" i="1"/>
  <c r="B26" i="1" s="1"/>
  <c r="C37" i="1"/>
  <c r="C26" i="1" s="1"/>
  <c r="D37" i="1"/>
  <c r="D26" i="1" s="1"/>
  <c r="F37" i="1"/>
  <c r="F26" i="1" s="1"/>
  <c r="G37" i="1"/>
  <c r="G26" i="1" s="1"/>
  <c r="AI37" i="1"/>
  <c r="AI26" i="1" s="1"/>
  <c r="AO37" i="1"/>
  <c r="AO26" i="1" s="1"/>
  <c r="BX37" i="1"/>
  <c r="BX26" i="1" s="1"/>
  <c r="BZ37" i="1"/>
  <c r="CK37" i="1"/>
  <c r="CK26" i="1" s="1"/>
  <c r="CL37" i="1"/>
  <c r="F41" i="1"/>
  <c r="D66" i="1"/>
  <c r="B68" i="1"/>
  <c r="E68" i="1"/>
  <c r="Z68" i="1"/>
  <c r="AA68" i="1"/>
  <c r="AM68" i="1"/>
  <c r="AN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FE68" i="1"/>
  <c r="FF68" i="1"/>
  <c r="FG68" i="1"/>
  <c r="FH68" i="1"/>
  <c r="FI68" i="1"/>
  <c r="FJ68" i="1"/>
  <c r="FK68" i="1"/>
  <c r="FL68" i="1"/>
  <c r="FM68" i="1"/>
  <c r="FN68" i="1"/>
  <c r="FO68" i="1"/>
  <c r="FP68" i="1"/>
  <c r="FQ68" i="1"/>
  <c r="FR68" i="1"/>
  <c r="FS68" i="1"/>
  <c r="FT68" i="1"/>
  <c r="FU68" i="1"/>
  <c r="FV68" i="1"/>
  <c r="FW68" i="1"/>
  <c r="FX68" i="1"/>
  <c r="FY68" i="1"/>
  <c r="FZ68" i="1"/>
  <c r="GA68" i="1"/>
  <c r="GB68" i="1"/>
  <c r="GC68" i="1"/>
  <c r="GD68" i="1"/>
  <c r="GE68" i="1"/>
  <c r="GF68" i="1"/>
  <c r="GG68" i="1"/>
  <c r="GH68" i="1"/>
  <c r="GI68" i="1"/>
  <c r="GJ68" i="1"/>
  <c r="GK68" i="1"/>
  <c r="GL68" i="1"/>
  <c r="GM68" i="1"/>
  <c r="GN68" i="1"/>
  <c r="GO68" i="1"/>
  <c r="GP68" i="1"/>
  <c r="GQ68" i="1"/>
  <c r="GR68" i="1"/>
  <c r="GS68" i="1"/>
  <c r="GT68" i="1"/>
  <c r="GU68" i="1"/>
  <c r="GV68" i="1"/>
  <c r="GW68" i="1"/>
  <c r="GX68" i="1"/>
  <c r="C70" i="1"/>
  <c r="D70" i="1"/>
  <c r="R70" i="1"/>
  <c r="V70" i="1"/>
  <c r="AC70" i="1"/>
  <c r="AE70" i="1"/>
  <c r="AD70" i="1" s="1"/>
  <c r="AB70" i="1" s="1"/>
  <c r="AF70" i="1"/>
  <c r="S70" i="1" s="1"/>
  <c r="AG70" i="1"/>
  <c r="CU70" i="1" s="1"/>
  <c r="T70" i="1" s="1"/>
  <c r="AH70" i="1"/>
  <c r="AI70" i="1"/>
  <c r="AJ70" i="1"/>
  <c r="CR70" i="1"/>
  <c r="CS70" i="1"/>
  <c r="CT70" i="1"/>
  <c r="CV70" i="1"/>
  <c r="U70" i="1" s="1"/>
  <c r="CW70" i="1"/>
  <c r="CX70" i="1"/>
  <c r="W70" i="1" s="1"/>
  <c r="FR70" i="1"/>
  <c r="GK70" i="1"/>
  <c r="GL70" i="1"/>
  <c r="GN70" i="1"/>
  <c r="GP70" i="1"/>
  <c r="GV70" i="1"/>
  <c r="HC70" i="1"/>
  <c r="GX70" i="1" s="1"/>
  <c r="C71" i="1"/>
  <c r="D71" i="1"/>
  <c r="P71" i="1"/>
  <c r="R71" i="1"/>
  <c r="S71" i="1"/>
  <c r="CZ71" i="1" s="1"/>
  <c r="Y71" i="1" s="1"/>
  <c r="T71" i="1"/>
  <c r="W71" i="1"/>
  <c r="X71" i="1"/>
  <c r="AC71" i="1"/>
  <c r="AD71" i="1"/>
  <c r="AE71" i="1"/>
  <c r="Q71" i="1" s="1"/>
  <c r="AF71" i="1"/>
  <c r="AG71" i="1"/>
  <c r="AH71" i="1"/>
  <c r="CV71" i="1" s="1"/>
  <c r="U71" i="1" s="1"/>
  <c r="AI71" i="1"/>
  <c r="AJ71" i="1"/>
  <c r="CQ71" i="1"/>
  <c r="CR71" i="1"/>
  <c r="CS71" i="1"/>
  <c r="CT71" i="1"/>
  <c r="CU71" i="1"/>
  <c r="CW71" i="1"/>
  <c r="V71" i="1" s="1"/>
  <c r="CX71" i="1"/>
  <c r="CY71" i="1"/>
  <c r="FR71" i="1"/>
  <c r="GK71" i="1"/>
  <c r="GL71" i="1"/>
  <c r="GN71" i="1"/>
  <c r="GP71" i="1"/>
  <c r="GV71" i="1"/>
  <c r="HC71" i="1"/>
  <c r="GX71" i="1" s="1"/>
  <c r="C72" i="1"/>
  <c r="D72" i="1"/>
  <c r="P72" i="1"/>
  <c r="S72" i="1"/>
  <c r="AC72" i="1"/>
  <c r="AB72" i="1" s="1"/>
  <c r="AD72" i="1"/>
  <c r="AE72" i="1"/>
  <c r="AF72" i="1"/>
  <c r="AG72" i="1"/>
  <c r="AH72" i="1"/>
  <c r="AI72" i="1"/>
  <c r="CW72" i="1" s="1"/>
  <c r="V72" i="1" s="1"/>
  <c r="AJ72" i="1"/>
  <c r="CQ72" i="1"/>
  <c r="CR72" i="1"/>
  <c r="CT72" i="1"/>
  <c r="CU72" i="1"/>
  <c r="T72" i="1" s="1"/>
  <c r="CV72" i="1"/>
  <c r="U72" i="1" s="1"/>
  <c r="CX72" i="1"/>
  <c r="W72" i="1" s="1"/>
  <c r="CY72" i="1"/>
  <c r="X72" i="1" s="1"/>
  <c r="CZ72" i="1"/>
  <c r="Y72" i="1" s="1"/>
  <c r="FR72" i="1"/>
  <c r="GL72" i="1"/>
  <c r="GN72" i="1"/>
  <c r="GP72" i="1"/>
  <c r="GV72" i="1"/>
  <c r="HC72" i="1"/>
  <c r="GX72" i="1" s="1"/>
  <c r="C73" i="1"/>
  <c r="D73" i="1"/>
  <c r="P73" i="1"/>
  <c r="Q73" i="1"/>
  <c r="R73" i="1"/>
  <c r="GK73" i="1" s="1"/>
  <c r="V73" i="1"/>
  <c r="AC73" i="1"/>
  <c r="AD73" i="1"/>
  <c r="AE73" i="1"/>
  <c r="AF73" i="1"/>
  <c r="AG73" i="1"/>
  <c r="AH73" i="1"/>
  <c r="AI73" i="1"/>
  <c r="AJ73" i="1"/>
  <c r="CX73" i="1" s="1"/>
  <c r="W73" i="1" s="1"/>
  <c r="CQ73" i="1"/>
  <c r="CR73" i="1"/>
  <c r="CS73" i="1"/>
  <c r="CU73" i="1"/>
  <c r="T73" i="1" s="1"/>
  <c r="CV73" i="1"/>
  <c r="U73" i="1" s="1"/>
  <c r="CW73" i="1"/>
  <c r="FR73" i="1"/>
  <c r="GL73" i="1"/>
  <c r="GN73" i="1"/>
  <c r="GP73" i="1"/>
  <c r="GV73" i="1"/>
  <c r="HC73" i="1" s="1"/>
  <c r="GX73" i="1" s="1"/>
  <c r="C74" i="1"/>
  <c r="D74" i="1"/>
  <c r="S74" i="1"/>
  <c r="CY74" i="1" s="1"/>
  <c r="X74" i="1" s="1"/>
  <c r="Y74" i="1"/>
  <c r="AC74" i="1"/>
  <c r="P74" i="1" s="1"/>
  <c r="AE74" i="1"/>
  <c r="AF74" i="1"/>
  <c r="CT74" i="1" s="1"/>
  <c r="AG74" i="1"/>
  <c r="AH74" i="1"/>
  <c r="AI74" i="1"/>
  <c r="CW74" i="1" s="1"/>
  <c r="V74" i="1" s="1"/>
  <c r="AJ74" i="1"/>
  <c r="CX74" i="1" s="1"/>
  <c r="W74" i="1" s="1"/>
  <c r="CQ74" i="1"/>
  <c r="CU74" i="1"/>
  <c r="T74" i="1" s="1"/>
  <c r="CV74" i="1"/>
  <c r="U74" i="1" s="1"/>
  <c r="CZ74" i="1"/>
  <c r="FR74" i="1"/>
  <c r="GL74" i="1"/>
  <c r="GN74" i="1"/>
  <c r="GP74" i="1"/>
  <c r="GV74" i="1"/>
  <c r="HC74" i="1" s="1"/>
  <c r="GX74" i="1" s="1"/>
  <c r="C75" i="1"/>
  <c r="D75" i="1"/>
  <c r="I75" i="1"/>
  <c r="CX11" i="3" s="1"/>
  <c r="P75" i="1"/>
  <c r="U75" i="1"/>
  <c r="X75" i="1"/>
  <c r="AC75" i="1"/>
  <c r="AE75" i="1"/>
  <c r="AF75" i="1"/>
  <c r="S75" i="1" s="1"/>
  <c r="AG75" i="1"/>
  <c r="AH75" i="1"/>
  <c r="CV75" i="1" s="1"/>
  <c r="AI75" i="1"/>
  <c r="CW75" i="1" s="1"/>
  <c r="V75" i="1" s="1"/>
  <c r="AJ75" i="1"/>
  <c r="CX75" i="1" s="1"/>
  <c r="W75" i="1" s="1"/>
  <c r="CQ75" i="1"/>
  <c r="CU75" i="1"/>
  <c r="T75" i="1" s="1"/>
  <c r="CY75" i="1"/>
  <c r="CZ75" i="1"/>
  <c r="Y75" i="1" s="1"/>
  <c r="FR75" i="1"/>
  <c r="GL75" i="1"/>
  <c r="GN75" i="1"/>
  <c r="GP75" i="1"/>
  <c r="GV75" i="1"/>
  <c r="HC75" i="1" s="1"/>
  <c r="GX75" i="1" s="1"/>
  <c r="D76" i="1"/>
  <c r="I76" i="1"/>
  <c r="AC76" i="1"/>
  <c r="AE76" i="1"/>
  <c r="AF76" i="1"/>
  <c r="AG76" i="1"/>
  <c r="CU76" i="1" s="1"/>
  <c r="AH76" i="1"/>
  <c r="AI76" i="1"/>
  <c r="AJ76" i="1"/>
  <c r="CX76" i="1" s="1"/>
  <c r="CV76" i="1"/>
  <c r="CW76" i="1"/>
  <c r="FR76" i="1"/>
  <c r="GL76" i="1"/>
  <c r="GN76" i="1"/>
  <c r="GP76" i="1"/>
  <c r="GV76" i="1"/>
  <c r="HC76" i="1" s="1"/>
  <c r="C77" i="1"/>
  <c r="D77" i="1"/>
  <c r="I77" i="1"/>
  <c r="CX12" i="3" s="1"/>
  <c r="AC77" i="1"/>
  <c r="AE77" i="1"/>
  <c r="AF77" i="1"/>
  <c r="AG77" i="1"/>
  <c r="CU77" i="1" s="1"/>
  <c r="AH77" i="1"/>
  <c r="AI77" i="1"/>
  <c r="CW77" i="1" s="1"/>
  <c r="V77" i="1" s="1"/>
  <c r="AJ77" i="1"/>
  <c r="CX77" i="1" s="1"/>
  <c r="W77" i="1" s="1"/>
  <c r="CV77" i="1"/>
  <c r="FR77" i="1"/>
  <c r="GL77" i="1"/>
  <c r="GN77" i="1"/>
  <c r="GP77" i="1"/>
  <c r="GV77" i="1"/>
  <c r="HC77" i="1" s="1"/>
  <c r="GX77" i="1" s="1"/>
  <c r="C78" i="1"/>
  <c r="D78" i="1"/>
  <c r="R78" i="1"/>
  <c r="V78" i="1"/>
  <c r="AC78" i="1"/>
  <c r="AD78" i="1"/>
  <c r="AE78" i="1"/>
  <c r="Q78" i="1" s="1"/>
  <c r="AF78" i="1"/>
  <c r="AG78" i="1"/>
  <c r="CU78" i="1" s="1"/>
  <c r="T78" i="1" s="1"/>
  <c r="AH78" i="1"/>
  <c r="CV78" i="1" s="1"/>
  <c r="U78" i="1" s="1"/>
  <c r="AI78" i="1"/>
  <c r="AJ78" i="1"/>
  <c r="CX78" i="1" s="1"/>
  <c r="W78" i="1" s="1"/>
  <c r="CR78" i="1"/>
  <c r="CS78" i="1"/>
  <c r="CW78" i="1"/>
  <c r="FR78" i="1"/>
  <c r="GK78" i="1"/>
  <c r="GL78" i="1"/>
  <c r="GN78" i="1"/>
  <c r="GP78" i="1"/>
  <c r="GV78" i="1"/>
  <c r="HC78" i="1"/>
  <c r="GX78" i="1" s="1"/>
  <c r="D79" i="1"/>
  <c r="P79" i="1"/>
  <c r="Q79" i="1"/>
  <c r="T79" i="1"/>
  <c r="AC79" i="1"/>
  <c r="AD79" i="1"/>
  <c r="AB79" i="1" s="1"/>
  <c r="AE79" i="1"/>
  <c r="AF79" i="1"/>
  <c r="S79" i="1" s="1"/>
  <c r="AG79" i="1"/>
  <c r="AH79" i="1"/>
  <c r="CV79" i="1" s="1"/>
  <c r="U79" i="1" s="1"/>
  <c r="AI79" i="1"/>
  <c r="CW79" i="1" s="1"/>
  <c r="V79" i="1" s="1"/>
  <c r="AJ79" i="1"/>
  <c r="CX79" i="1" s="1"/>
  <c r="W79" i="1" s="1"/>
  <c r="CQ79" i="1"/>
  <c r="CR79" i="1"/>
  <c r="CU79" i="1"/>
  <c r="CY79" i="1"/>
  <c r="X79" i="1" s="1"/>
  <c r="CZ79" i="1"/>
  <c r="Y79" i="1" s="1"/>
  <c r="FR79" i="1"/>
  <c r="GL79" i="1"/>
  <c r="GN79" i="1"/>
  <c r="GP79" i="1"/>
  <c r="GV79" i="1"/>
  <c r="HC79" i="1" s="1"/>
  <c r="GX79" i="1" s="1"/>
  <c r="D80" i="1"/>
  <c r="R80" i="1"/>
  <c r="S80" i="1"/>
  <c r="V80" i="1"/>
  <c r="AC80" i="1"/>
  <c r="AD80" i="1"/>
  <c r="AE80" i="1"/>
  <c r="Q80" i="1" s="1"/>
  <c r="AF80" i="1"/>
  <c r="AG80" i="1"/>
  <c r="CU80" i="1" s="1"/>
  <c r="T80" i="1" s="1"/>
  <c r="AH80" i="1"/>
  <c r="CV80" i="1" s="1"/>
  <c r="U80" i="1" s="1"/>
  <c r="AI80" i="1"/>
  <c r="AJ80" i="1"/>
  <c r="CR80" i="1"/>
  <c r="CS80" i="1"/>
  <c r="CT80" i="1"/>
  <c r="CW80" i="1"/>
  <c r="CX80" i="1"/>
  <c r="W80" i="1" s="1"/>
  <c r="FR80" i="1"/>
  <c r="GK80" i="1"/>
  <c r="GL80" i="1"/>
  <c r="GN80" i="1"/>
  <c r="GP80" i="1"/>
  <c r="GV80" i="1"/>
  <c r="HC80" i="1"/>
  <c r="GX80" i="1" s="1"/>
  <c r="D81" i="1"/>
  <c r="P81" i="1"/>
  <c r="Q81" i="1"/>
  <c r="T81" i="1"/>
  <c r="AC81" i="1"/>
  <c r="AE81" i="1"/>
  <c r="AF81" i="1"/>
  <c r="S81" i="1" s="1"/>
  <c r="CZ81" i="1" s="1"/>
  <c r="Y81" i="1" s="1"/>
  <c r="AG81" i="1"/>
  <c r="AH81" i="1"/>
  <c r="AI81" i="1"/>
  <c r="CW81" i="1" s="1"/>
  <c r="V81" i="1" s="1"/>
  <c r="AJ81" i="1"/>
  <c r="CX81" i="1" s="1"/>
  <c r="W81" i="1" s="1"/>
  <c r="CQ81" i="1"/>
  <c r="CU81" i="1"/>
  <c r="CV81" i="1"/>
  <c r="U81" i="1" s="1"/>
  <c r="CY81" i="1"/>
  <c r="X81" i="1" s="1"/>
  <c r="FR81" i="1"/>
  <c r="GL81" i="1"/>
  <c r="GN81" i="1"/>
  <c r="GP81" i="1"/>
  <c r="GV81" i="1"/>
  <c r="HC81" i="1" s="1"/>
  <c r="GX81" i="1" s="1"/>
  <c r="D82" i="1"/>
  <c r="R82" i="1"/>
  <c r="S82" i="1"/>
  <c r="AC82" i="1"/>
  <c r="AD82" i="1"/>
  <c r="AE82" i="1"/>
  <c r="Q82" i="1" s="1"/>
  <c r="AF82" i="1"/>
  <c r="AG82" i="1"/>
  <c r="CU82" i="1" s="1"/>
  <c r="T82" i="1" s="1"/>
  <c r="AH82" i="1"/>
  <c r="CV82" i="1" s="1"/>
  <c r="U82" i="1" s="1"/>
  <c r="AI82" i="1"/>
  <c r="AJ82" i="1"/>
  <c r="CR82" i="1"/>
  <c r="CS82" i="1"/>
  <c r="CT82" i="1"/>
  <c r="CW82" i="1"/>
  <c r="V82" i="1" s="1"/>
  <c r="CX82" i="1"/>
  <c r="W82" i="1" s="1"/>
  <c r="FR82" i="1"/>
  <c r="GK82" i="1"/>
  <c r="GL82" i="1"/>
  <c r="GN82" i="1"/>
  <c r="GP82" i="1"/>
  <c r="GV82" i="1"/>
  <c r="GX82" i="1"/>
  <c r="HC82" i="1"/>
  <c r="D83" i="1"/>
  <c r="P83" i="1"/>
  <c r="AC83" i="1"/>
  <c r="AE83" i="1"/>
  <c r="AF83" i="1"/>
  <c r="S83" i="1" s="1"/>
  <c r="AG83" i="1"/>
  <c r="AH83" i="1"/>
  <c r="AI83" i="1"/>
  <c r="CW83" i="1" s="1"/>
  <c r="V83" i="1" s="1"/>
  <c r="AJ83" i="1"/>
  <c r="CX83" i="1" s="1"/>
  <c r="W83" i="1" s="1"/>
  <c r="CQ83" i="1"/>
  <c r="CU83" i="1"/>
  <c r="T83" i="1" s="1"/>
  <c r="CV83" i="1"/>
  <c r="U83" i="1" s="1"/>
  <c r="FR83" i="1"/>
  <c r="GL83" i="1"/>
  <c r="GN83" i="1"/>
  <c r="GP83" i="1"/>
  <c r="GV83" i="1"/>
  <c r="HC83" i="1" s="1"/>
  <c r="GX83" i="1" s="1"/>
  <c r="D84" i="1"/>
  <c r="R84" i="1"/>
  <c r="V84" i="1"/>
  <c r="AC84" i="1"/>
  <c r="AD84" i="1"/>
  <c r="AE84" i="1"/>
  <c r="Q84" i="1" s="1"/>
  <c r="AF84" i="1"/>
  <c r="S84" i="1" s="1"/>
  <c r="CZ84" i="1" s="1"/>
  <c r="Y84" i="1" s="1"/>
  <c r="AG84" i="1"/>
  <c r="CU84" i="1" s="1"/>
  <c r="T84" i="1" s="1"/>
  <c r="AH84" i="1"/>
  <c r="CV84" i="1" s="1"/>
  <c r="U84" i="1" s="1"/>
  <c r="AI84" i="1"/>
  <c r="AJ84" i="1"/>
  <c r="CX84" i="1" s="1"/>
  <c r="W84" i="1" s="1"/>
  <c r="CR84" i="1"/>
  <c r="CS84" i="1"/>
  <c r="CT84" i="1"/>
  <c r="CW84" i="1"/>
  <c r="FR84" i="1"/>
  <c r="GK84" i="1"/>
  <c r="GL84" i="1"/>
  <c r="GN84" i="1"/>
  <c r="GP84" i="1"/>
  <c r="GV84" i="1"/>
  <c r="GX84" i="1"/>
  <c r="HC84" i="1"/>
  <c r="D85" i="1"/>
  <c r="P85" i="1"/>
  <c r="Q85" i="1"/>
  <c r="V85" i="1"/>
  <c r="AC85" i="1"/>
  <c r="AE85" i="1"/>
  <c r="R85" i="1" s="1"/>
  <c r="GK85" i="1" s="1"/>
  <c r="AF85" i="1"/>
  <c r="AG85" i="1"/>
  <c r="AH85" i="1"/>
  <c r="AI85" i="1"/>
  <c r="CW85" i="1" s="1"/>
  <c r="AJ85" i="1"/>
  <c r="CX85" i="1" s="1"/>
  <c r="W85" i="1" s="1"/>
  <c r="CQ85" i="1"/>
  <c r="CS85" i="1"/>
  <c r="CU85" i="1"/>
  <c r="T85" i="1" s="1"/>
  <c r="CV85" i="1"/>
  <c r="U85" i="1" s="1"/>
  <c r="FR85" i="1"/>
  <c r="GL85" i="1"/>
  <c r="GN85" i="1"/>
  <c r="GP85" i="1"/>
  <c r="GV85" i="1"/>
  <c r="HC85" i="1" s="1"/>
  <c r="GX85" i="1"/>
  <c r="D86" i="1"/>
  <c r="I86" i="1"/>
  <c r="Q86" i="1" s="1"/>
  <c r="AC86" i="1"/>
  <c r="AE86" i="1"/>
  <c r="AF86" i="1"/>
  <c r="CT86" i="1" s="1"/>
  <c r="AG86" i="1"/>
  <c r="CU86" i="1" s="1"/>
  <c r="AH86" i="1"/>
  <c r="AI86" i="1"/>
  <c r="CW86" i="1" s="1"/>
  <c r="AJ86" i="1"/>
  <c r="CS86" i="1"/>
  <c r="CV86" i="1"/>
  <c r="CX86" i="1"/>
  <c r="W86" i="1" s="1"/>
  <c r="FR86" i="1"/>
  <c r="GL86" i="1"/>
  <c r="GN86" i="1"/>
  <c r="GP86" i="1"/>
  <c r="GV86" i="1"/>
  <c r="HC86" i="1" s="1"/>
  <c r="D87" i="1"/>
  <c r="S87" i="1"/>
  <c r="CZ87" i="1" s="1"/>
  <c r="T87" i="1"/>
  <c r="X87" i="1"/>
  <c r="Y87" i="1"/>
  <c r="AC87" i="1"/>
  <c r="AE87" i="1"/>
  <c r="AF87" i="1"/>
  <c r="AG87" i="1"/>
  <c r="AH87" i="1"/>
  <c r="AI87" i="1"/>
  <c r="CW87" i="1" s="1"/>
  <c r="V87" i="1" s="1"/>
  <c r="AJ87" i="1"/>
  <c r="CQ87" i="1"/>
  <c r="CT87" i="1"/>
  <c r="CU87" i="1"/>
  <c r="CV87" i="1"/>
  <c r="U87" i="1" s="1"/>
  <c r="CX87" i="1"/>
  <c r="W87" i="1" s="1"/>
  <c r="CY87" i="1"/>
  <c r="FR87" i="1"/>
  <c r="GL87" i="1"/>
  <c r="GN87" i="1"/>
  <c r="GO87" i="1"/>
  <c r="GV87" i="1"/>
  <c r="HC87" i="1"/>
  <c r="GX87" i="1" s="1"/>
  <c r="D88" i="1"/>
  <c r="AC88" i="1"/>
  <c r="AE88" i="1"/>
  <c r="AF88" i="1"/>
  <c r="AG88" i="1"/>
  <c r="AH88" i="1"/>
  <c r="CV88" i="1" s="1"/>
  <c r="AI88" i="1"/>
  <c r="CW88" i="1" s="1"/>
  <c r="AJ88" i="1"/>
  <c r="CX88" i="1" s="1"/>
  <c r="CQ88" i="1"/>
  <c r="CS88" i="1"/>
  <c r="CU88" i="1"/>
  <c r="FR88" i="1"/>
  <c r="GL88" i="1"/>
  <c r="BZ92" i="1" s="1"/>
  <c r="GN88" i="1"/>
  <c r="GO88" i="1"/>
  <c r="GV88" i="1"/>
  <c r="HC88" i="1" s="1"/>
  <c r="D89" i="1"/>
  <c r="AB89" i="1"/>
  <c r="AC89" i="1"/>
  <c r="AE89" i="1"/>
  <c r="AD89" i="1" s="1"/>
  <c r="AF89" i="1"/>
  <c r="AG89" i="1"/>
  <c r="CU89" i="1" s="1"/>
  <c r="AH89" i="1"/>
  <c r="AI89" i="1"/>
  <c r="CW89" i="1" s="1"/>
  <c r="AJ89" i="1"/>
  <c r="CX89" i="1" s="1"/>
  <c r="CS89" i="1"/>
  <c r="CV89" i="1"/>
  <c r="FR89" i="1"/>
  <c r="GL89" i="1"/>
  <c r="GN89" i="1"/>
  <c r="GO89" i="1"/>
  <c r="GV89" i="1"/>
  <c r="HC89" i="1"/>
  <c r="D90" i="1"/>
  <c r="Q90" i="1"/>
  <c r="S90" i="1"/>
  <c r="W90" i="1"/>
  <c r="AC90" i="1"/>
  <c r="AD90" i="1"/>
  <c r="AE90" i="1"/>
  <c r="AF90" i="1"/>
  <c r="AG90" i="1"/>
  <c r="AH90" i="1"/>
  <c r="AI90" i="1"/>
  <c r="CW90" i="1" s="1"/>
  <c r="V90" i="1" s="1"/>
  <c r="AJ90" i="1"/>
  <c r="CQ90" i="1"/>
  <c r="CR90" i="1"/>
  <c r="CT90" i="1"/>
  <c r="CU90" i="1"/>
  <c r="T90" i="1" s="1"/>
  <c r="CV90" i="1"/>
  <c r="U90" i="1" s="1"/>
  <c r="CX90" i="1"/>
  <c r="CY90" i="1"/>
  <c r="X90" i="1" s="1"/>
  <c r="CZ90" i="1"/>
  <c r="Y90" i="1" s="1"/>
  <c r="FR90" i="1"/>
  <c r="GL90" i="1"/>
  <c r="GN90" i="1"/>
  <c r="GO90" i="1"/>
  <c r="GV90" i="1"/>
  <c r="HC90" i="1"/>
  <c r="GX90" i="1" s="1"/>
  <c r="B92" i="1"/>
  <c r="C92" i="1"/>
  <c r="C68" i="1" s="1"/>
  <c r="D92" i="1"/>
  <c r="D68" i="1" s="1"/>
  <c r="F92" i="1"/>
  <c r="F68" i="1" s="1"/>
  <c r="G92" i="1"/>
  <c r="G68" i="1" s="1"/>
  <c r="BX92" i="1"/>
  <c r="BX68" i="1" s="1"/>
  <c r="CK92" i="1"/>
  <c r="CK68" i="1" s="1"/>
  <c r="CL92" i="1"/>
  <c r="D121" i="1"/>
  <c r="E123" i="1"/>
  <c r="Z123" i="1"/>
  <c r="AA123" i="1"/>
  <c r="AM123" i="1"/>
  <c r="AN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EF123" i="1"/>
  <c r="EG123" i="1"/>
  <c r="EH123" i="1"/>
  <c r="EI123" i="1"/>
  <c r="EJ123" i="1"/>
  <c r="EK123" i="1"/>
  <c r="EL123" i="1"/>
  <c r="EM123" i="1"/>
  <c r="EN123" i="1"/>
  <c r="EO123" i="1"/>
  <c r="EP123" i="1"/>
  <c r="EQ123" i="1"/>
  <c r="ER123" i="1"/>
  <c r="ES123" i="1"/>
  <c r="ET123" i="1"/>
  <c r="EU123" i="1"/>
  <c r="EV123" i="1"/>
  <c r="EW123" i="1"/>
  <c r="EX123" i="1"/>
  <c r="EY123" i="1"/>
  <c r="EZ123" i="1"/>
  <c r="FA123" i="1"/>
  <c r="FB123" i="1"/>
  <c r="FC123" i="1"/>
  <c r="FD123" i="1"/>
  <c r="FE123" i="1"/>
  <c r="FF123" i="1"/>
  <c r="FG123" i="1"/>
  <c r="FH123" i="1"/>
  <c r="FI123" i="1"/>
  <c r="FJ123" i="1"/>
  <c r="FK123" i="1"/>
  <c r="FL123" i="1"/>
  <c r="FM123" i="1"/>
  <c r="FN123" i="1"/>
  <c r="FO123" i="1"/>
  <c r="FP123" i="1"/>
  <c r="FQ123" i="1"/>
  <c r="FR123" i="1"/>
  <c r="FS123" i="1"/>
  <c r="FT123" i="1"/>
  <c r="FU123" i="1"/>
  <c r="FV123" i="1"/>
  <c r="FW123" i="1"/>
  <c r="FX123" i="1"/>
  <c r="FY123" i="1"/>
  <c r="FZ123" i="1"/>
  <c r="GA123" i="1"/>
  <c r="GB123" i="1"/>
  <c r="GC123" i="1"/>
  <c r="GD123" i="1"/>
  <c r="GE123" i="1"/>
  <c r="GF123" i="1"/>
  <c r="GG123" i="1"/>
  <c r="GH123" i="1"/>
  <c r="GI123" i="1"/>
  <c r="GJ123" i="1"/>
  <c r="GK123" i="1"/>
  <c r="GL123" i="1"/>
  <c r="GM123" i="1"/>
  <c r="GN123" i="1"/>
  <c r="GO123" i="1"/>
  <c r="GP123" i="1"/>
  <c r="GQ123" i="1"/>
  <c r="GR123" i="1"/>
  <c r="GS123" i="1"/>
  <c r="GT123" i="1"/>
  <c r="GU123" i="1"/>
  <c r="GV123" i="1"/>
  <c r="GW123" i="1"/>
  <c r="GX123" i="1"/>
  <c r="P125" i="1"/>
  <c r="S125" i="1"/>
  <c r="Y125" i="1"/>
  <c r="AC125" i="1"/>
  <c r="AE125" i="1"/>
  <c r="AF125" i="1"/>
  <c r="AG125" i="1"/>
  <c r="AH125" i="1"/>
  <c r="CV125" i="1" s="1"/>
  <c r="U125" i="1" s="1"/>
  <c r="AI125" i="1"/>
  <c r="CW125" i="1" s="1"/>
  <c r="V125" i="1" s="1"/>
  <c r="AJ125" i="1"/>
  <c r="CQ125" i="1"/>
  <c r="CT125" i="1"/>
  <c r="CU125" i="1"/>
  <c r="T125" i="1" s="1"/>
  <c r="CX125" i="1"/>
  <c r="W125" i="1" s="1"/>
  <c r="CY125" i="1"/>
  <c r="X125" i="1" s="1"/>
  <c r="CZ125" i="1"/>
  <c r="FR125" i="1"/>
  <c r="GL125" i="1"/>
  <c r="GN125" i="1"/>
  <c r="GP125" i="1"/>
  <c r="GV125" i="1"/>
  <c r="HC125" i="1" s="1"/>
  <c r="GX125" i="1" s="1"/>
  <c r="P126" i="1"/>
  <c r="CP126" i="1" s="1"/>
  <c r="O126" i="1" s="1"/>
  <c r="R126" i="1"/>
  <c r="S126" i="1"/>
  <c r="CZ126" i="1" s="1"/>
  <c r="Y126" i="1" s="1"/>
  <c r="W126" i="1"/>
  <c r="AC126" i="1"/>
  <c r="AD126" i="1"/>
  <c r="AE126" i="1"/>
  <c r="Q126" i="1" s="1"/>
  <c r="AF126" i="1"/>
  <c r="AG126" i="1"/>
  <c r="AH126" i="1"/>
  <c r="CV126" i="1" s="1"/>
  <c r="U126" i="1" s="1"/>
  <c r="AI126" i="1"/>
  <c r="AJ126" i="1"/>
  <c r="CQ126" i="1"/>
  <c r="CR126" i="1"/>
  <c r="CS126" i="1"/>
  <c r="CT126" i="1"/>
  <c r="CU126" i="1"/>
  <c r="T126" i="1" s="1"/>
  <c r="CW126" i="1"/>
  <c r="V126" i="1" s="1"/>
  <c r="CX126" i="1"/>
  <c r="CY126" i="1"/>
  <c r="X126" i="1" s="1"/>
  <c r="FR126" i="1"/>
  <c r="GK126" i="1"/>
  <c r="GL126" i="1"/>
  <c r="GN126" i="1"/>
  <c r="GP126" i="1"/>
  <c r="GV126" i="1"/>
  <c r="HC126" i="1"/>
  <c r="GX126" i="1" s="1"/>
  <c r="R127" i="1"/>
  <c r="V127" i="1"/>
  <c r="AB127" i="1"/>
  <c r="AC127" i="1"/>
  <c r="AE127" i="1"/>
  <c r="AD127" i="1" s="1"/>
  <c r="AF127" i="1"/>
  <c r="S127" i="1" s="1"/>
  <c r="AG127" i="1"/>
  <c r="CU127" i="1" s="1"/>
  <c r="T127" i="1" s="1"/>
  <c r="AH127" i="1"/>
  <c r="AI127" i="1"/>
  <c r="AJ127" i="1"/>
  <c r="CX127" i="1" s="1"/>
  <c r="W127" i="1" s="1"/>
  <c r="CR127" i="1"/>
  <c r="CS127" i="1"/>
  <c r="CT127" i="1"/>
  <c r="CV127" i="1"/>
  <c r="U127" i="1" s="1"/>
  <c r="CW127" i="1"/>
  <c r="FR127" i="1"/>
  <c r="GK127" i="1"/>
  <c r="GL127" i="1"/>
  <c r="GN127" i="1"/>
  <c r="GP127" i="1"/>
  <c r="GV127" i="1"/>
  <c r="HC127" i="1"/>
  <c r="GX127" i="1" s="1"/>
  <c r="P128" i="1"/>
  <c r="U128" i="1"/>
  <c r="V128" i="1"/>
  <c r="AC128" i="1"/>
  <c r="AE128" i="1"/>
  <c r="AF128" i="1"/>
  <c r="AG128" i="1"/>
  <c r="AH128" i="1"/>
  <c r="AI128" i="1"/>
  <c r="CW128" i="1" s="1"/>
  <c r="AJ128" i="1"/>
  <c r="CX128" i="1" s="1"/>
  <c r="W128" i="1" s="1"/>
  <c r="CQ128" i="1"/>
  <c r="CS128" i="1"/>
  <c r="CU128" i="1"/>
  <c r="T128" i="1" s="1"/>
  <c r="CV128" i="1"/>
  <c r="FR128" i="1"/>
  <c r="GL128" i="1"/>
  <c r="GN128" i="1"/>
  <c r="GP128" i="1"/>
  <c r="GV128" i="1"/>
  <c r="HC128" i="1" s="1"/>
  <c r="GX128" i="1"/>
  <c r="S129" i="1"/>
  <c r="AC129" i="1"/>
  <c r="AE129" i="1"/>
  <c r="AF129" i="1"/>
  <c r="AG129" i="1"/>
  <c r="AH129" i="1"/>
  <c r="AI129" i="1"/>
  <c r="CW129" i="1" s="1"/>
  <c r="V129" i="1" s="1"/>
  <c r="AJ129" i="1"/>
  <c r="CQ129" i="1"/>
  <c r="CT129" i="1"/>
  <c r="CU129" i="1"/>
  <c r="T129" i="1" s="1"/>
  <c r="CV129" i="1"/>
  <c r="U129" i="1" s="1"/>
  <c r="CX129" i="1"/>
  <c r="W129" i="1" s="1"/>
  <c r="FR129" i="1"/>
  <c r="GL129" i="1"/>
  <c r="GN129" i="1"/>
  <c r="GP129" i="1"/>
  <c r="GV129" i="1"/>
  <c r="HC129" i="1"/>
  <c r="GX129" i="1" s="1"/>
  <c r="R130" i="1"/>
  <c r="T130" i="1"/>
  <c r="AC130" i="1"/>
  <c r="P130" i="1" s="1"/>
  <c r="AD130" i="1"/>
  <c r="AE130" i="1"/>
  <c r="Q130" i="1" s="1"/>
  <c r="AF130" i="1"/>
  <c r="AG130" i="1"/>
  <c r="AH130" i="1"/>
  <c r="CV130" i="1" s="1"/>
  <c r="U130" i="1" s="1"/>
  <c r="AI130" i="1"/>
  <c r="AJ130" i="1"/>
  <c r="CQ130" i="1"/>
  <c r="CR130" i="1"/>
  <c r="CS130" i="1"/>
  <c r="CU130" i="1"/>
  <c r="CW130" i="1"/>
  <c r="V130" i="1" s="1"/>
  <c r="CX130" i="1"/>
  <c r="W130" i="1" s="1"/>
  <c r="FR130" i="1"/>
  <c r="GK130" i="1"/>
  <c r="GL130" i="1"/>
  <c r="GN130" i="1"/>
  <c r="GP130" i="1"/>
  <c r="GV130" i="1"/>
  <c r="HC130" i="1"/>
  <c r="GX130" i="1" s="1"/>
  <c r="Q131" i="1"/>
  <c r="AC131" i="1"/>
  <c r="AE131" i="1"/>
  <c r="AD131" i="1" s="1"/>
  <c r="AF131" i="1"/>
  <c r="S131" i="1" s="1"/>
  <c r="AG131" i="1"/>
  <c r="CU131" i="1" s="1"/>
  <c r="T131" i="1" s="1"/>
  <c r="AH131" i="1"/>
  <c r="AI131" i="1"/>
  <c r="AJ131" i="1"/>
  <c r="CX131" i="1" s="1"/>
  <c r="W131" i="1" s="1"/>
  <c r="CR131" i="1"/>
  <c r="CS131" i="1"/>
  <c r="CT131" i="1"/>
  <c r="CV131" i="1"/>
  <c r="U131" i="1" s="1"/>
  <c r="CW131" i="1"/>
  <c r="V131" i="1" s="1"/>
  <c r="FR131" i="1"/>
  <c r="GL131" i="1"/>
  <c r="GN131" i="1"/>
  <c r="GP131" i="1"/>
  <c r="GV131" i="1"/>
  <c r="HC131" i="1"/>
  <c r="GX131" i="1" s="1"/>
  <c r="T132" i="1"/>
  <c r="Y132" i="1"/>
  <c r="AC132" i="1"/>
  <c r="P132" i="1" s="1"/>
  <c r="AE132" i="1"/>
  <c r="AF132" i="1"/>
  <c r="S132" i="1" s="1"/>
  <c r="AG132" i="1"/>
  <c r="AH132" i="1"/>
  <c r="AI132" i="1"/>
  <c r="CW132" i="1" s="1"/>
  <c r="V132" i="1" s="1"/>
  <c r="AJ132" i="1"/>
  <c r="CQ132" i="1"/>
  <c r="CR132" i="1"/>
  <c r="CT132" i="1"/>
  <c r="CU132" i="1"/>
  <c r="CV132" i="1"/>
  <c r="U132" i="1" s="1"/>
  <c r="CX132" i="1"/>
  <c r="W132" i="1" s="1"/>
  <c r="CY132" i="1"/>
  <c r="X132" i="1" s="1"/>
  <c r="CZ132" i="1"/>
  <c r="FR132" i="1"/>
  <c r="GL132" i="1"/>
  <c r="GN132" i="1"/>
  <c r="GP132" i="1"/>
  <c r="GV132" i="1"/>
  <c r="HC132" i="1" s="1"/>
  <c r="GX132" i="1" s="1"/>
  <c r="P133" i="1"/>
  <c r="R133" i="1"/>
  <c r="S133" i="1"/>
  <c r="CZ133" i="1" s="1"/>
  <c r="Y133" i="1" s="1"/>
  <c r="T133" i="1"/>
  <c r="AC133" i="1"/>
  <c r="AD133" i="1"/>
  <c r="AE133" i="1"/>
  <c r="Q133" i="1" s="1"/>
  <c r="AF133" i="1"/>
  <c r="AG133" i="1"/>
  <c r="AH133" i="1"/>
  <c r="CV133" i="1" s="1"/>
  <c r="U133" i="1" s="1"/>
  <c r="AI133" i="1"/>
  <c r="AJ133" i="1"/>
  <c r="CQ133" i="1"/>
  <c r="CR133" i="1"/>
  <c r="CS133" i="1"/>
  <c r="CT133" i="1"/>
  <c r="CU133" i="1"/>
  <c r="CW133" i="1"/>
  <c r="V133" i="1" s="1"/>
  <c r="CX133" i="1"/>
  <c r="W133" i="1" s="1"/>
  <c r="CY133" i="1"/>
  <c r="X133" i="1" s="1"/>
  <c r="FR133" i="1"/>
  <c r="GK133" i="1"/>
  <c r="GL133" i="1"/>
  <c r="GN133" i="1"/>
  <c r="GP133" i="1"/>
  <c r="GV133" i="1"/>
  <c r="HC133" i="1"/>
  <c r="GX133" i="1" s="1"/>
  <c r="R134" i="1"/>
  <c r="S134" i="1"/>
  <c r="W134" i="1"/>
  <c r="AC134" i="1"/>
  <c r="AE134" i="1"/>
  <c r="AD134" i="1" s="1"/>
  <c r="AF134" i="1"/>
  <c r="AG134" i="1"/>
  <c r="CU134" i="1" s="1"/>
  <c r="T134" i="1" s="1"/>
  <c r="AH134" i="1"/>
  <c r="AI134" i="1"/>
  <c r="AJ134" i="1"/>
  <c r="CR134" i="1"/>
  <c r="CS134" i="1"/>
  <c r="CT134" i="1"/>
  <c r="CV134" i="1"/>
  <c r="U134" i="1" s="1"/>
  <c r="CW134" i="1"/>
  <c r="V134" i="1" s="1"/>
  <c r="CX134" i="1"/>
  <c r="FR134" i="1"/>
  <c r="GK134" i="1"/>
  <c r="GL134" i="1"/>
  <c r="GN134" i="1"/>
  <c r="GP134" i="1"/>
  <c r="GV134" i="1"/>
  <c r="HC134" i="1"/>
  <c r="GX134" i="1" s="1"/>
  <c r="I135" i="1"/>
  <c r="P135" i="1"/>
  <c r="CP135" i="1" s="1"/>
  <c r="O135" i="1" s="1"/>
  <c r="Q135" i="1"/>
  <c r="S135" i="1"/>
  <c r="Y135" i="1"/>
  <c r="AC135" i="1"/>
  <c r="AE135" i="1"/>
  <c r="AF135" i="1"/>
  <c r="AG135" i="1"/>
  <c r="AH135" i="1"/>
  <c r="AI135" i="1"/>
  <c r="CW135" i="1" s="1"/>
  <c r="V135" i="1" s="1"/>
  <c r="AJ135" i="1"/>
  <c r="CQ135" i="1"/>
  <c r="CR135" i="1"/>
  <c r="CT135" i="1"/>
  <c r="CU135" i="1"/>
  <c r="T135" i="1" s="1"/>
  <c r="CV135" i="1"/>
  <c r="U135" i="1" s="1"/>
  <c r="CX135" i="1"/>
  <c r="W135" i="1" s="1"/>
  <c r="CY135" i="1"/>
  <c r="X135" i="1" s="1"/>
  <c r="CZ135" i="1"/>
  <c r="FR135" i="1"/>
  <c r="GL135" i="1"/>
  <c r="GN135" i="1"/>
  <c r="GP135" i="1"/>
  <c r="GV135" i="1"/>
  <c r="HC135" i="1" s="1"/>
  <c r="GX135" i="1" s="1"/>
  <c r="AB136" i="1"/>
  <c r="AC136" i="1"/>
  <c r="AE136" i="1"/>
  <c r="AD136" i="1" s="1"/>
  <c r="AF136" i="1"/>
  <c r="AG136" i="1"/>
  <c r="CU136" i="1" s="1"/>
  <c r="AH136" i="1"/>
  <c r="AI136" i="1"/>
  <c r="AJ136" i="1"/>
  <c r="CX136" i="1" s="1"/>
  <c r="CR136" i="1"/>
  <c r="CS136" i="1"/>
  <c r="CT136" i="1"/>
  <c r="CV136" i="1"/>
  <c r="CW136" i="1"/>
  <c r="FR136" i="1"/>
  <c r="GL136" i="1"/>
  <c r="GN136" i="1"/>
  <c r="GP136" i="1"/>
  <c r="GV136" i="1"/>
  <c r="HC136" i="1"/>
  <c r="I137" i="1"/>
  <c r="P137" i="1"/>
  <c r="S137" i="1"/>
  <c r="T137" i="1"/>
  <c r="AC137" i="1"/>
  <c r="AB137" i="1" s="1"/>
  <c r="AD137" i="1"/>
  <c r="AE137" i="1"/>
  <c r="AF137" i="1"/>
  <c r="AG137" i="1"/>
  <c r="AH137" i="1"/>
  <c r="AI137" i="1"/>
  <c r="CW137" i="1" s="1"/>
  <c r="V137" i="1" s="1"/>
  <c r="AJ137" i="1"/>
  <c r="CQ137" i="1"/>
  <c r="CR137" i="1"/>
  <c r="CT137" i="1"/>
  <c r="CU137" i="1"/>
  <c r="CV137" i="1"/>
  <c r="U137" i="1" s="1"/>
  <c r="CX137" i="1"/>
  <c r="W137" i="1" s="1"/>
  <c r="CY137" i="1"/>
  <c r="X137" i="1" s="1"/>
  <c r="CZ137" i="1"/>
  <c r="Y137" i="1" s="1"/>
  <c r="FR137" i="1"/>
  <c r="GL137" i="1"/>
  <c r="GN137" i="1"/>
  <c r="GP137" i="1"/>
  <c r="GV137" i="1"/>
  <c r="HC137" i="1" s="1"/>
  <c r="GX137" i="1" s="1"/>
  <c r="I138" i="1"/>
  <c r="Q138" i="1" s="1"/>
  <c r="R138" i="1"/>
  <c r="GK138" i="1" s="1"/>
  <c r="S138" i="1"/>
  <c r="CY138" i="1" s="1"/>
  <c r="X138" i="1" s="1"/>
  <c r="AB138" i="1"/>
  <c r="AC138" i="1"/>
  <c r="AE138" i="1"/>
  <c r="AD138" i="1" s="1"/>
  <c r="AF138" i="1"/>
  <c r="AG138" i="1"/>
  <c r="CU138" i="1" s="1"/>
  <c r="T138" i="1" s="1"/>
  <c r="AH138" i="1"/>
  <c r="AI138" i="1"/>
  <c r="AJ138" i="1"/>
  <c r="CX138" i="1" s="1"/>
  <c r="W138" i="1" s="1"/>
  <c r="CR138" i="1"/>
  <c r="CS138" i="1"/>
  <c r="CT138" i="1"/>
  <c r="CV138" i="1"/>
  <c r="U138" i="1" s="1"/>
  <c r="CW138" i="1"/>
  <c r="V138" i="1" s="1"/>
  <c r="FR138" i="1"/>
  <c r="BY153" i="1" s="1"/>
  <c r="GL138" i="1"/>
  <c r="GN138" i="1"/>
  <c r="GP138" i="1"/>
  <c r="GV138" i="1"/>
  <c r="GX138" i="1"/>
  <c r="HC138" i="1"/>
  <c r="I139" i="1"/>
  <c r="Q139" i="1"/>
  <c r="S139" i="1"/>
  <c r="U139" i="1"/>
  <c r="W139" i="1"/>
  <c r="AC139" i="1"/>
  <c r="AB139" i="1" s="1"/>
  <c r="AD139" i="1"/>
  <c r="AE139" i="1"/>
  <c r="AF139" i="1"/>
  <c r="AG139" i="1"/>
  <c r="AH139" i="1"/>
  <c r="AI139" i="1"/>
  <c r="CW139" i="1" s="1"/>
  <c r="V139" i="1" s="1"/>
  <c r="AJ139" i="1"/>
  <c r="CR139" i="1"/>
  <c r="CT139" i="1"/>
  <c r="CU139" i="1"/>
  <c r="T139" i="1" s="1"/>
  <c r="CV139" i="1"/>
  <c r="CX139" i="1"/>
  <c r="CY139" i="1"/>
  <c r="X139" i="1" s="1"/>
  <c r="CZ139" i="1"/>
  <c r="Y139" i="1" s="1"/>
  <c r="FR139" i="1"/>
  <c r="GL139" i="1"/>
  <c r="GN139" i="1"/>
  <c r="GP139" i="1"/>
  <c r="GV139" i="1"/>
  <c r="HC139" i="1" s="1"/>
  <c r="GX139" i="1" s="1"/>
  <c r="I140" i="1"/>
  <c r="Q140" i="1"/>
  <c r="AC140" i="1"/>
  <c r="AB140" i="1" s="1"/>
  <c r="AE140" i="1"/>
  <c r="AD140" i="1" s="1"/>
  <c r="AF140" i="1"/>
  <c r="S140" i="1" s="1"/>
  <c r="AG140" i="1"/>
  <c r="CU140" i="1" s="1"/>
  <c r="T140" i="1" s="1"/>
  <c r="AH140" i="1"/>
  <c r="AI140" i="1"/>
  <c r="AJ140" i="1"/>
  <c r="CR140" i="1"/>
  <c r="CS140" i="1"/>
  <c r="CT140" i="1"/>
  <c r="CV140" i="1"/>
  <c r="U140" i="1" s="1"/>
  <c r="CW140" i="1"/>
  <c r="V140" i="1" s="1"/>
  <c r="CX140" i="1"/>
  <c r="W140" i="1" s="1"/>
  <c r="FR140" i="1"/>
  <c r="GL140" i="1"/>
  <c r="GN140" i="1"/>
  <c r="GP140" i="1"/>
  <c r="GV140" i="1"/>
  <c r="HC140" i="1"/>
  <c r="GX140" i="1" s="1"/>
  <c r="I141" i="1"/>
  <c r="Q141" i="1"/>
  <c r="S141" i="1"/>
  <c r="CY141" i="1" s="1"/>
  <c r="X141" i="1" s="1"/>
  <c r="W141" i="1"/>
  <c r="AC141" i="1"/>
  <c r="AD141" i="1"/>
  <c r="AE141" i="1"/>
  <c r="AF141" i="1"/>
  <c r="AG141" i="1"/>
  <c r="AH141" i="1"/>
  <c r="AI141" i="1"/>
  <c r="CW141" i="1" s="1"/>
  <c r="V141" i="1" s="1"/>
  <c r="AJ141" i="1"/>
  <c r="CQ141" i="1"/>
  <c r="CR141" i="1"/>
  <c r="CT141" i="1"/>
  <c r="CU141" i="1"/>
  <c r="T141" i="1" s="1"/>
  <c r="CV141" i="1"/>
  <c r="U141" i="1" s="1"/>
  <c r="CX141" i="1"/>
  <c r="FR141" i="1"/>
  <c r="GL141" i="1"/>
  <c r="GN141" i="1"/>
  <c r="GP141" i="1"/>
  <c r="GV141" i="1"/>
  <c r="HC141" i="1"/>
  <c r="GX141" i="1" s="1"/>
  <c r="I142" i="1"/>
  <c r="Q142" i="1" s="1"/>
  <c r="AC142" i="1"/>
  <c r="AE142" i="1"/>
  <c r="AD142" i="1" s="1"/>
  <c r="AF142" i="1"/>
  <c r="S142" i="1" s="1"/>
  <c r="AG142" i="1"/>
  <c r="CU142" i="1" s="1"/>
  <c r="AH142" i="1"/>
  <c r="AI142" i="1"/>
  <c r="CW142" i="1" s="1"/>
  <c r="V142" i="1" s="1"/>
  <c r="AJ142" i="1"/>
  <c r="CS142" i="1"/>
  <c r="CT142" i="1"/>
  <c r="CV142" i="1"/>
  <c r="U142" i="1" s="1"/>
  <c r="CX142" i="1"/>
  <c r="W142" i="1" s="1"/>
  <c r="FR142" i="1"/>
  <c r="GL142" i="1"/>
  <c r="GN142" i="1"/>
  <c r="GP142" i="1"/>
  <c r="GV142" i="1"/>
  <c r="HC142" i="1" s="1"/>
  <c r="GX142" i="1" s="1"/>
  <c r="I143" i="1"/>
  <c r="S143" i="1"/>
  <c r="CY143" i="1" s="1"/>
  <c r="X143" i="1" s="1"/>
  <c r="T143" i="1"/>
  <c r="AC143" i="1"/>
  <c r="AE143" i="1"/>
  <c r="Q143" i="1" s="1"/>
  <c r="AF143" i="1"/>
  <c r="AG143" i="1"/>
  <c r="AH143" i="1"/>
  <c r="AI143" i="1"/>
  <c r="CW143" i="1" s="1"/>
  <c r="V143" i="1" s="1"/>
  <c r="AJ143" i="1"/>
  <c r="CQ143" i="1"/>
  <c r="CR143" i="1"/>
  <c r="CT143" i="1"/>
  <c r="CU143" i="1"/>
  <c r="CV143" i="1"/>
  <c r="U143" i="1" s="1"/>
  <c r="CX143" i="1"/>
  <c r="W143" i="1" s="1"/>
  <c r="FR143" i="1"/>
  <c r="GL143" i="1"/>
  <c r="GN143" i="1"/>
  <c r="GP143" i="1"/>
  <c r="GV143" i="1"/>
  <c r="HC143" i="1"/>
  <c r="GX143" i="1" s="1"/>
  <c r="I144" i="1"/>
  <c r="Q144" i="1" s="1"/>
  <c r="AC144" i="1"/>
  <c r="AE144" i="1"/>
  <c r="AD144" i="1" s="1"/>
  <c r="AF144" i="1"/>
  <c r="AB144" i="1" s="1"/>
  <c r="AG144" i="1"/>
  <c r="CU144" i="1" s="1"/>
  <c r="AH144" i="1"/>
  <c r="AI144" i="1"/>
  <c r="CW144" i="1" s="1"/>
  <c r="V144" i="1" s="1"/>
  <c r="AJ144" i="1"/>
  <c r="CX144" i="1" s="1"/>
  <c r="W144" i="1" s="1"/>
  <c r="CS144" i="1"/>
  <c r="CT144" i="1"/>
  <c r="CV144" i="1"/>
  <c r="U144" i="1" s="1"/>
  <c r="FR144" i="1"/>
  <c r="GL144" i="1"/>
  <c r="GN144" i="1"/>
  <c r="GP144" i="1"/>
  <c r="GV144" i="1"/>
  <c r="HC144" i="1" s="1"/>
  <c r="GX144" i="1" s="1"/>
  <c r="I145" i="1"/>
  <c r="S145" i="1"/>
  <c r="T145" i="1"/>
  <c r="U145" i="1"/>
  <c r="Y145" i="1"/>
  <c r="AC145" i="1"/>
  <c r="CQ145" i="1" s="1"/>
  <c r="AE145" i="1"/>
  <c r="AF145" i="1"/>
  <c r="AG145" i="1"/>
  <c r="AH145" i="1"/>
  <c r="AI145" i="1"/>
  <c r="CW145" i="1" s="1"/>
  <c r="V145" i="1" s="1"/>
  <c r="AJ145" i="1"/>
  <c r="CR145" i="1"/>
  <c r="CT145" i="1"/>
  <c r="CU145" i="1"/>
  <c r="CV145" i="1"/>
  <c r="CX145" i="1"/>
  <c r="W145" i="1" s="1"/>
  <c r="CY145" i="1"/>
  <c r="X145" i="1" s="1"/>
  <c r="CZ145" i="1"/>
  <c r="FR145" i="1"/>
  <c r="GL145" i="1"/>
  <c r="GN145" i="1"/>
  <c r="GP145" i="1"/>
  <c r="GV145" i="1"/>
  <c r="HC145" i="1" s="1"/>
  <c r="GX145" i="1" s="1"/>
  <c r="I146" i="1"/>
  <c r="Q146" i="1"/>
  <c r="AB146" i="1"/>
  <c r="AC146" i="1"/>
  <c r="AE146" i="1"/>
  <c r="AD146" i="1" s="1"/>
  <c r="AF146" i="1"/>
  <c r="S146" i="1" s="1"/>
  <c r="AG146" i="1"/>
  <c r="CU146" i="1" s="1"/>
  <c r="T146" i="1" s="1"/>
  <c r="AH146" i="1"/>
  <c r="AI146" i="1"/>
  <c r="AJ146" i="1"/>
  <c r="CX146" i="1" s="1"/>
  <c r="W146" i="1" s="1"/>
  <c r="CR146" i="1"/>
  <c r="CS146" i="1"/>
  <c r="CT146" i="1"/>
  <c r="CV146" i="1"/>
  <c r="U146" i="1" s="1"/>
  <c r="CW146" i="1"/>
  <c r="V146" i="1" s="1"/>
  <c r="FR146" i="1"/>
  <c r="GL146" i="1"/>
  <c r="GN146" i="1"/>
  <c r="GP146" i="1"/>
  <c r="GV146" i="1"/>
  <c r="GX146" i="1"/>
  <c r="HC146" i="1"/>
  <c r="I147" i="1"/>
  <c r="P147" i="1"/>
  <c r="S147" i="1"/>
  <c r="AC147" i="1"/>
  <c r="AB147" i="1" s="1"/>
  <c r="AD147" i="1"/>
  <c r="AE147" i="1"/>
  <c r="Q147" i="1" s="1"/>
  <c r="AF147" i="1"/>
  <c r="AG147" i="1"/>
  <c r="AH147" i="1"/>
  <c r="CV147" i="1" s="1"/>
  <c r="U147" i="1" s="1"/>
  <c r="AI147" i="1"/>
  <c r="CW147" i="1" s="1"/>
  <c r="V147" i="1" s="1"/>
  <c r="AJ147" i="1"/>
  <c r="CQ147" i="1"/>
  <c r="CR147" i="1"/>
  <c r="CT147" i="1"/>
  <c r="CU147" i="1"/>
  <c r="T147" i="1" s="1"/>
  <c r="CX147" i="1"/>
  <c r="W147" i="1" s="1"/>
  <c r="CY147" i="1"/>
  <c r="X147" i="1" s="1"/>
  <c r="CZ147" i="1"/>
  <c r="Y147" i="1" s="1"/>
  <c r="FR147" i="1"/>
  <c r="GL147" i="1"/>
  <c r="GN147" i="1"/>
  <c r="GP147" i="1"/>
  <c r="GV147" i="1"/>
  <c r="HC147" i="1" s="1"/>
  <c r="GX147" i="1" s="1"/>
  <c r="AC148" i="1"/>
  <c r="CQ148" i="1" s="1"/>
  <c r="P148" i="1" s="1"/>
  <c r="CP148" i="1" s="1"/>
  <c r="O148" i="1" s="1"/>
  <c r="AD148" i="1"/>
  <c r="CR148" i="1" s="1"/>
  <c r="Q148" i="1" s="1"/>
  <c r="AE148" i="1"/>
  <c r="AF148" i="1"/>
  <c r="AG148" i="1"/>
  <c r="CU148" i="1" s="1"/>
  <c r="T148" i="1" s="1"/>
  <c r="AH148" i="1"/>
  <c r="CV148" i="1" s="1"/>
  <c r="U148" i="1" s="1"/>
  <c r="AI148" i="1"/>
  <c r="AJ148" i="1"/>
  <c r="CS148" i="1"/>
  <c r="R148" i="1" s="1"/>
  <c r="GK148" i="1" s="1"/>
  <c r="CT148" i="1"/>
  <c r="S148" i="1" s="1"/>
  <c r="CW148" i="1"/>
  <c r="V148" i="1" s="1"/>
  <c r="CX148" i="1"/>
  <c r="W148" i="1" s="1"/>
  <c r="FR148" i="1"/>
  <c r="GL148" i="1"/>
  <c r="GO148" i="1"/>
  <c r="GP148" i="1"/>
  <c r="GV148" i="1"/>
  <c r="HC148" i="1"/>
  <c r="GX148" i="1" s="1"/>
  <c r="AC149" i="1"/>
  <c r="CQ149" i="1" s="1"/>
  <c r="P149" i="1" s="1"/>
  <c r="AD149" i="1"/>
  <c r="AE149" i="1"/>
  <c r="AF149" i="1"/>
  <c r="CT149" i="1" s="1"/>
  <c r="S149" i="1" s="1"/>
  <c r="AG149" i="1"/>
  <c r="CU149" i="1" s="1"/>
  <c r="T149" i="1" s="1"/>
  <c r="AH149" i="1"/>
  <c r="AI149" i="1"/>
  <c r="AJ149" i="1"/>
  <c r="CX149" i="1" s="1"/>
  <c r="W149" i="1" s="1"/>
  <c r="CR149" i="1"/>
  <c r="Q149" i="1" s="1"/>
  <c r="CS149" i="1"/>
  <c r="R149" i="1" s="1"/>
  <c r="GK149" i="1" s="1"/>
  <c r="CV149" i="1"/>
  <c r="U149" i="1" s="1"/>
  <c r="CW149" i="1"/>
  <c r="V149" i="1" s="1"/>
  <c r="FR149" i="1"/>
  <c r="GL149" i="1"/>
  <c r="GO149" i="1"/>
  <c r="GP149" i="1"/>
  <c r="GV149" i="1"/>
  <c r="GX149" i="1"/>
  <c r="HC149" i="1"/>
  <c r="AC150" i="1"/>
  <c r="AD150" i="1"/>
  <c r="AE150" i="1"/>
  <c r="CS150" i="1" s="1"/>
  <c r="R150" i="1" s="1"/>
  <c r="GK150" i="1" s="1"/>
  <c r="AF150" i="1"/>
  <c r="AB150" i="1" s="1"/>
  <c r="AG150" i="1"/>
  <c r="AH150" i="1"/>
  <c r="AI150" i="1"/>
  <c r="CW150" i="1" s="1"/>
  <c r="V150" i="1" s="1"/>
  <c r="AJ150" i="1"/>
  <c r="CX150" i="1" s="1"/>
  <c r="W150" i="1" s="1"/>
  <c r="CQ150" i="1"/>
  <c r="P150" i="1" s="1"/>
  <c r="CR150" i="1"/>
  <c r="Q150" i="1" s="1"/>
  <c r="CU150" i="1"/>
  <c r="T150" i="1" s="1"/>
  <c r="CV150" i="1"/>
  <c r="U150" i="1" s="1"/>
  <c r="FR150" i="1"/>
  <c r="GL150" i="1"/>
  <c r="GO150" i="1"/>
  <c r="GP150" i="1"/>
  <c r="GV150" i="1"/>
  <c r="HC150" i="1" s="1"/>
  <c r="GX150" i="1" s="1"/>
  <c r="AC151" i="1"/>
  <c r="AB151" i="1" s="1"/>
  <c r="AD151" i="1"/>
  <c r="CR151" i="1" s="1"/>
  <c r="Q151" i="1" s="1"/>
  <c r="AE151" i="1"/>
  <c r="CS151" i="1" s="1"/>
  <c r="R151" i="1" s="1"/>
  <c r="GK151" i="1" s="1"/>
  <c r="AF151" i="1"/>
  <c r="AG151" i="1"/>
  <c r="AH151" i="1"/>
  <c r="CV151" i="1" s="1"/>
  <c r="U151" i="1" s="1"/>
  <c r="AI151" i="1"/>
  <c r="CW151" i="1" s="1"/>
  <c r="V151" i="1" s="1"/>
  <c r="AJ151" i="1"/>
  <c r="CQ151" i="1"/>
  <c r="P151" i="1" s="1"/>
  <c r="CT151" i="1"/>
  <c r="S151" i="1" s="1"/>
  <c r="CU151" i="1"/>
  <c r="T151" i="1" s="1"/>
  <c r="CX151" i="1"/>
  <c r="W151" i="1" s="1"/>
  <c r="FR151" i="1"/>
  <c r="GL151" i="1"/>
  <c r="GO151" i="1"/>
  <c r="GP151" i="1"/>
  <c r="GV151" i="1"/>
  <c r="HC151" i="1" s="1"/>
  <c r="GX151" i="1" s="1"/>
  <c r="B153" i="1"/>
  <c r="B123" i="1" s="1"/>
  <c r="C153" i="1"/>
  <c r="C123" i="1" s="1"/>
  <c r="D153" i="1"/>
  <c r="D123" i="1" s="1"/>
  <c r="F153" i="1"/>
  <c r="F123" i="1" s="1"/>
  <c r="G153" i="1"/>
  <c r="G123" i="1" s="1"/>
  <c r="AO153" i="1"/>
  <c r="AO123" i="1" s="1"/>
  <c r="BB153" i="1"/>
  <c r="BB123" i="1" s="1"/>
  <c r="BX153" i="1"/>
  <c r="BX123" i="1" s="1"/>
  <c r="BZ153" i="1"/>
  <c r="BZ123" i="1" s="1"/>
  <c r="CD153" i="1"/>
  <c r="CD123" i="1" s="1"/>
  <c r="CK153" i="1"/>
  <c r="CK123" i="1" s="1"/>
  <c r="CL153" i="1"/>
  <c r="CL123" i="1" s="1"/>
  <c r="F157" i="1"/>
  <c r="F166" i="1"/>
  <c r="B182" i="1"/>
  <c r="B22" i="1" s="1"/>
  <c r="C182" i="1"/>
  <c r="C22" i="1" s="1"/>
  <c r="D182" i="1"/>
  <c r="D22" i="1" s="1"/>
  <c r="F182" i="1"/>
  <c r="F22" i="1" s="1"/>
  <c r="G182" i="1"/>
  <c r="G22" i="1" s="1"/>
  <c r="B211" i="1"/>
  <c r="B18" i="1" s="1"/>
  <c r="C211" i="1"/>
  <c r="C18" i="1" s="1"/>
  <c r="D211" i="1"/>
  <c r="D18" i="1" s="1"/>
  <c r="F211" i="1"/>
  <c r="F18" i="1" s="1"/>
  <c r="G211" i="1"/>
  <c r="G18" i="1" l="1"/>
  <c r="A197" i="6"/>
  <c r="A192" i="5"/>
  <c r="CY146" i="1"/>
  <c r="X146" i="1" s="1"/>
  <c r="CZ146" i="1"/>
  <c r="Y146" i="1" s="1"/>
  <c r="CZ151" i="1"/>
  <c r="Y151" i="1" s="1"/>
  <c r="CY151" i="1"/>
  <c r="X151" i="1" s="1"/>
  <c r="CY142" i="1"/>
  <c r="X142" i="1" s="1"/>
  <c r="CZ142" i="1"/>
  <c r="Y142" i="1" s="1"/>
  <c r="CY140" i="1"/>
  <c r="X140" i="1" s="1"/>
  <c r="CZ140" i="1"/>
  <c r="Y140" i="1" s="1"/>
  <c r="BY123" i="1"/>
  <c r="CI153" i="1"/>
  <c r="AP153" i="1"/>
  <c r="GM148" i="1"/>
  <c r="CP151" i="1"/>
  <c r="O151" i="1" s="1"/>
  <c r="CP149" i="1"/>
  <c r="O149" i="1" s="1"/>
  <c r="CP147" i="1"/>
  <c r="O147" i="1" s="1"/>
  <c r="BZ68" i="1"/>
  <c r="AQ92" i="1"/>
  <c r="CG92" i="1"/>
  <c r="CY149" i="1"/>
  <c r="X149" i="1" s="1"/>
  <c r="CZ149" i="1"/>
  <c r="Y149" i="1" s="1"/>
  <c r="CY148" i="1"/>
  <c r="X148" i="1" s="1"/>
  <c r="GN148" i="1" s="1"/>
  <c r="CZ148" i="1"/>
  <c r="Y148" i="1" s="1"/>
  <c r="AB149" i="1"/>
  <c r="CY127" i="1"/>
  <c r="X127" i="1" s="1"/>
  <c r="CZ127" i="1"/>
  <c r="Y127" i="1" s="1"/>
  <c r="Q76" i="1"/>
  <c r="GX76" i="1"/>
  <c r="CG153" i="1"/>
  <c r="AB148" i="1"/>
  <c r="R145" i="1"/>
  <c r="GK145" i="1" s="1"/>
  <c r="CS145" i="1"/>
  <c r="R144" i="1"/>
  <c r="GK144" i="1" s="1"/>
  <c r="AD143" i="1"/>
  <c r="AB143" i="1" s="1"/>
  <c r="CR142" i="1"/>
  <c r="P142" i="1"/>
  <c r="CP142" i="1" s="1"/>
  <c r="O142" i="1" s="1"/>
  <c r="CQ142" i="1"/>
  <c r="CZ141" i="1"/>
  <c r="Y141" i="1" s="1"/>
  <c r="AB141" i="1"/>
  <c r="P141" i="1"/>
  <c r="CP141" i="1" s="1"/>
  <c r="O141" i="1" s="1"/>
  <c r="CZ138" i="1"/>
  <c r="Y138" i="1" s="1"/>
  <c r="CY134" i="1"/>
  <c r="X134" i="1" s="1"/>
  <c r="CZ134" i="1"/>
  <c r="Y134" i="1" s="1"/>
  <c r="R129" i="1"/>
  <c r="GK129" i="1" s="1"/>
  <c r="CS129" i="1"/>
  <c r="Q129" i="1"/>
  <c r="AD129" i="1"/>
  <c r="I88" i="1"/>
  <c r="V88" i="1" s="1"/>
  <c r="BY92" i="1"/>
  <c r="R142" i="1"/>
  <c r="GK142" i="1" s="1"/>
  <c r="P140" i="1"/>
  <c r="CP140" i="1" s="1"/>
  <c r="O140" i="1" s="1"/>
  <c r="CQ140" i="1"/>
  <c r="P139" i="1"/>
  <c r="CP139" i="1" s="1"/>
  <c r="O139" i="1" s="1"/>
  <c r="CY131" i="1"/>
  <c r="X131" i="1" s="1"/>
  <c r="CZ131" i="1"/>
  <c r="Y131" i="1" s="1"/>
  <c r="CY129" i="1"/>
  <c r="X129" i="1" s="1"/>
  <c r="CZ129" i="1"/>
  <c r="Y129" i="1" s="1"/>
  <c r="GM126" i="1"/>
  <c r="GO126" i="1"/>
  <c r="CQ84" i="1"/>
  <c r="P84" i="1"/>
  <c r="CP84" i="1" s="1"/>
  <c r="O84" i="1" s="1"/>
  <c r="AB84" i="1"/>
  <c r="CY83" i="1"/>
  <c r="X83" i="1" s="1"/>
  <c r="CZ83" i="1"/>
  <c r="Y83" i="1" s="1"/>
  <c r="CT150" i="1"/>
  <c r="S150" i="1" s="1"/>
  <c r="CP150" i="1" s="1"/>
  <c r="O150" i="1" s="1"/>
  <c r="CS147" i="1"/>
  <c r="R147" i="1"/>
  <c r="GK147" i="1" s="1"/>
  <c r="R146" i="1"/>
  <c r="GK146" i="1" s="1"/>
  <c r="AD145" i="1"/>
  <c r="AB145" i="1" s="1"/>
  <c r="Q145" i="1"/>
  <c r="CR144" i="1"/>
  <c r="P144" i="1"/>
  <c r="CQ144" i="1"/>
  <c r="CZ143" i="1"/>
  <c r="Y143" i="1" s="1"/>
  <c r="P143" i="1"/>
  <c r="CP143" i="1" s="1"/>
  <c r="O143" i="1" s="1"/>
  <c r="T142" i="1"/>
  <c r="AB142" i="1"/>
  <c r="R139" i="1"/>
  <c r="GK139" i="1" s="1"/>
  <c r="CS139" i="1"/>
  <c r="R137" i="1"/>
  <c r="GK137" i="1" s="1"/>
  <c r="CS137" i="1"/>
  <c r="Q137" i="1"/>
  <c r="I136" i="1"/>
  <c r="U136" i="1" s="1"/>
  <c r="AH153" i="1" s="1"/>
  <c r="R135" i="1"/>
  <c r="GK135" i="1" s="1"/>
  <c r="GM135" i="1" s="1"/>
  <c r="CS135" i="1"/>
  <c r="AD135" i="1"/>
  <c r="AB133" i="1"/>
  <c r="P131" i="1"/>
  <c r="CP131" i="1" s="1"/>
  <c r="O131" i="1" s="1"/>
  <c r="CQ131" i="1"/>
  <c r="AB131" i="1"/>
  <c r="CT130" i="1"/>
  <c r="S130" i="1"/>
  <c r="CP130" i="1" s="1"/>
  <c r="O130" i="1" s="1"/>
  <c r="AB130" i="1"/>
  <c r="CR129" i="1"/>
  <c r="AD128" i="1"/>
  <c r="AB128" i="1" s="1"/>
  <c r="Q128" i="1"/>
  <c r="R128" i="1"/>
  <c r="GK128" i="1" s="1"/>
  <c r="CR128" i="1"/>
  <c r="CP85" i="1"/>
  <c r="O85" i="1" s="1"/>
  <c r="CS74" i="1"/>
  <c r="Q74" i="1"/>
  <c r="CP74" i="1" s="1"/>
  <c r="O74" i="1" s="1"/>
  <c r="R74" i="1"/>
  <c r="GK74" i="1" s="1"/>
  <c r="AD74" i="1"/>
  <c r="AB74" i="1" s="1"/>
  <c r="CR74" i="1"/>
  <c r="S144" i="1"/>
  <c r="R143" i="1"/>
  <c r="GK143" i="1" s="1"/>
  <c r="CS143" i="1"/>
  <c r="BC153" i="1"/>
  <c r="AU153" i="1"/>
  <c r="AQ153" i="1"/>
  <c r="P146" i="1"/>
  <c r="CP146" i="1" s="1"/>
  <c r="O146" i="1" s="1"/>
  <c r="CQ146" i="1"/>
  <c r="P145" i="1"/>
  <c r="CP145" i="1" s="1"/>
  <c r="O145" i="1" s="1"/>
  <c r="T144" i="1"/>
  <c r="R141" i="1"/>
  <c r="GK141" i="1" s="1"/>
  <c r="CS141" i="1"/>
  <c r="R140" i="1"/>
  <c r="GK140" i="1" s="1"/>
  <c r="CQ139" i="1"/>
  <c r="P138" i="1"/>
  <c r="CP138" i="1" s="1"/>
  <c r="O138" i="1" s="1"/>
  <c r="CQ138" i="1"/>
  <c r="CP137" i="1"/>
  <c r="O137" i="1" s="1"/>
  <c r="P136" i="1"/>
  <c r="CQ136" i="1"/>
  <c r="AB135" i="1"/>
  <c r="P134" i="1"/>
  <c r="CQ134" i="1"/>
  <c r="AB134" i="1"/>
  <c r="CP133" i="1"/>
  <c r="O133" i="1" s="1"/>
  <c r="CS132" i="1"/>
  <c r="Q132" i="1"/>
  <c r="CP132" i="1" s="1"/>
  <c r="O132" i="1" s="1"/>
  <c r="R132" i="1"/>
  <c r="GK132" i="1" s="1"/>
  <c r="AD132" i="1"/>
  <c r="S78" i="1"/>
  <c r="CT78" i="1"/>
  <c r="AB78" i="1"/>
  <c r="S77" i="1"/>
  <c r="CT77" i="1"/>
  <c r="V76" i="1"/>
  <c r="CP71" i="1"/>
  <c r="O71" i="1" s="1"/>
  <c r="BZ26" i="1"/>
  <c r="AQ37" i="1"/>
  <c r="CG37" i="1"/>
  <c r="AJ26" i="1"/>
  <c r="W37" i="1"/>
  <c r="R125" i="1"/>
  <c r="CS125" i="1"/>
  <c r="Q125" i="1"/>
  <c r="CP125" i="1" s="1"/>
  <c r="O125" i="1" s="1"/>
  <c r="AB90" i="1"/>
  <c r="S85" i="1"/>
  <c r="CT85" i="1"/>
  <c r="R83" i="1"/>
  <c r="GK83" i="1" s="1"/>
  <c r="CS83" i="1"/>
  <c r="AD83" i="1"/>
  <c r="AB83" i="1" s="1"/>
  <c r="CR83" i="1"/>
  <c r="Q83" i="1"/>
  <c r="CP83" i="1" s="1"/>
  <c r="O83" i="1" s="1"/>
  <c r="P82" i="1"/>
  <c r="CP82" i="1" s="1"/>
  <c r="O82" i="1" s="1"/>
  <c r="CQ82" i="1"/>
  <c r="AB82" i="1"/>
  <c r="AD77" i="1"/>
  <c r="AB77" i="1" s="1"/>
  <c r="R77" i="1"/>
  <c r="GK77" i="1" s="1"/>
  <c r="CR77" i="1"/>
  <c r="CS77" i="1"/>
  <c r="Q77" i="1"/>
  <c r="U76" i="1"/>
  <c r="R75" i="1"/>
  <c r="GK75" i="1" s="1"/>
  <c r="CS75" i="1"/>
  <c r="Q75" i="1"/>
  <c r="CB92" i="1"/>
  <c r="Q134" i="1"/>
  <c r="AB129" i="1"/>
  <c r="P129" i="1"/>
  <c r="CP129" i="1" s="1"/>
  <c r="O129" i="1" s="1"/>
  <c r="AB126" i="1"/>
  <c r="CR125" i="1"/>
  <c r="AD125" i="1"/>
  <c r="CL68" i="1"/>
  <c r="BC92" i="1"/>
  <c r="P90" i="1"/>
  <c r="CP90" i="1" s="1"/>
  <c r="O90" i="1" s="1"/>
  <c r="CT89" i="1"/>
  <c r="CR88" i="1"/>
  <c r="U88" i="1"/>
  <c r="AD88" i="1"/>
  <c r="AB88" i="1" s="1"/>
  <c r="R87" i="1"/>
  <c r="GK87" i="1" s="1"/>
  <c r="CS87" i="1"/>
  <c r="Q87" i="1"/>
  <c r="AD87" i="1"/>
  <c r="GX86" i="1"/>
  <c r="U86" i="1"/>
  <c r="V86" i="1"/>
  <c r="AD86" i="1"/>
  <c r="CR86" i="1"/>
  <c r="S86" i="1"/>
  <c r="CY84" i="1"/>
  <c r="X84" i="1" s="1"/>
  <c r="W76" i="1"/>
  <c r="S76" i="1"/>
  <c r="CT76" i="1"/>
  <c r="CR75" i="1"/>
  <c r="AD75" i="1"/>
  <c r="AB75" i="1" s="1"/>
  <c r="CP75" i="1"/>
  <c r="O75" i="1" s="1"/>
  <c r="V37" i="1"/>
  <c r="CI37" i="1"/>
  <c r="BY26" i="1"/>
  <c r="AP37" i="1"/>
  <c r="AB132" i="1"/>
  <c r="R131" i="1"/>
  <c r="GK131" i="1" s="1"/>
  <c r="S128" i="1"/>
  <c r="CT128" i="1"/>
  <c r="P127" i="1"/>
  <c r="AC153" i="1" s="1"/>
  <c r="CQ127" i="1"/>
  <c r="AB125" i="1"/>
  <c r="BB92" i="1"/>
  <c r="GX88" i="1"/>
  <c r="CR87" i="1"/>
  <c r="R86" i="1"/>
  <c r="GK86" i="1" s="1"/>
  <c r="CY82" i="1"/>
  <c r="X82" i="1" s="1"/>
  <c r="CZ82" i="1"/>
  <c r="Y82" i="1" s="1"/>
  <c r="U77" i="1"/>
  <c r="AD76" i="1"/>
  <c r="AB76" i="1" s="1"/>
  <c r="R76" i="1"/>
  <c r="GK76" i="1" s="1"/>
  <c r="CR76" i="1"/>
  <c r="CS76" i="1"/>
  <c r="Q127" i="1"/>
  <c r="AO92" i="1"/>
  <c r="P86" i="1"/>
  <c r="CQ86" i="1"/>
  <c r="R81" i="1"/>
  <c r="GK81" i="1" s="1"/>
  <c r="CS81" i="1"/>
  <c r="CP81" i="1"/>
  <c r="O81" i="1" s="1"/>
  <c r="P80" i="1"/>
  <c r="CP80" i="1" s="1"/>
  <c r="O80" i="1" s="1"/>
  <c r="CQ80" i="1"/>
  <c r="CY80" i="1"/>
  <c r="X80" i="1" s="1"/>
  <c r="CZ80" i="1"/>
  <c r="Y80" i="1" s="1"/>
  <c r="P77" i="1"/>
  <c r="CP77" i="1" s="1"/>
  <c r="O77" i="1" s="1"/>
  <c r="P76" i="1"/>
  <c r="CP76" i="1" s="1"/>
  <c r="O76" i="1" s="1"/>
  <c r="S73" i="1"/>
  <c r="CT73" i="1"/>
  <c r="AB73" i="1"/>
  <c r="AG37" i="1"/>
  <c r="R90" i="1"/>
  <c r="GK90" i="1" s="1"/>
  <c r="CS90" i="1"/>
  <c r="CR89" i="1"/>
  <c r="CQ89" i="1"/>
  <c r="W88" i="1"/>
  <c r="S88" i="1"/>
  <c r="CT88" i="1"/>
  <c r="AB87" i="1"/>
  <c r="P87" i="1"/>
  <c r="CP87" i="1" s="1"/>
  <c r="O87" i="1" s="1"/>
  <c r="T86" i="1"/>
  <c r="AB86" i="1"/>
  <c r="CR85" i="1"/>
  <c r="AD85" i="1"/>
  <c r="AB85" i="1" s="1"/>
  <c r="CR81" i="1"/>
  <c r="AD81" i="1"/>
  <c r="AB81" i="1" s="1"/>
  <c r="AB80" i="1"/>
  <c r="R79" i="1"/>
  <c r="GK79" i="1" s="1"/>
  <c r="CS79" i="1"/>
  <c r="CP79" i="1"/>
  <c r="O79" i="1" s="1"/>
  <c r="P78" i="1"/>
  <c r="CP78" i="1" s="1"/>
  <c r="O78" i="1" s="1"/>
  <c r="CQ78" i="1"/>
  <c r="T77" i="1"/>
  <c r="T76" i="1"/>
  <c r="CP73" i="1"/>
  <c r="O73" i="1" s="1"/>
  <c r="CY70" i="1"/>
  <c r="X70" i="1" s="1"/>
  <c r="CZ70" i="1"/>
  <c r="Y70" i="1" s="1"/>
  <c r="CD37" i="1"/>
  <c r="CJ37" i="1"/>
  <c r="CT83" i="1"/>
  <c r="CT81" i="1"/>
  <c r="CT79" i="1"/>
  <c r="CQ77" i="1"/>
  <c r="CQ76" i="1"/>
  <c r="CT75" i="1"/>
  <c r="R72" i="1"/>
  <c r="CS72" i="1"/>
  <c r="Q72" i="1"/>
  <c r="AB71" i="1"/>
  <c r="P70" i="1"/>
  <c r="CQ70" i="1"/>
  <c r="CL26" i="1"/>
  <c r="BC37" i="1"/>
  <c r="P31" i="1"/>
  <c r="CP31" i="1" s="1"/>
  <c r="O31" i="1" s="1"/>
  <c r="CQ31" i="1"/>
  <c r="AB31" i="1"/>
  <c r="AH37" i="1"/>
  <c r="CP72" i="1"/>
  <c r="O72" i="1" s="1"/>
  <c r="BB37" i="1"/>
  <c r="AB34" i="1"/>
  <c r="P34" i="1"/>
  <c r="CP34" i="1" s="1"/>
  <c r="O34" i="1" s="1"/>
  <c r="GM32" i="1"/>
  <c r="P28" i="1"/>
  <c r="CQ28" i="1"/>
  <c r="AB28" i="1"/>
  <c r="Q70" i="1"/>
  <c r="S35" i="1"/>
  <c r="CT35" i="1"/>
  <c r="CP35" i="1"/>
  <c r="O35" i="1" s="1"/>
  <c r="AB29" i="1"/>
  <c r="CP29" i="1"/>
  <c r="O29" i="1" s="1"/>
  <c r="CY33" i="1"/>
  <c r="X33" i="1" s="1"/>
  <c r="CZ33" i="1"/>
  <c r="Y33" i="1" s="1"/>
  <c r="CY31" i="1"/>
  <c r="X31" i="1" s="1"/>
  <c r="CZ31" i="1"/>
  <c r="Y31" i="1" s="1"/>
  <c r="R30" i="1"/>
  <c r="GK30" i="1" s="1"/>
  <c r="CS30" i="1"/>
  <c r="AD30" i="1"/>
  <c r="AB30" i="1" s="1"/>
  <c r="Q30" i="1"/>
  <c r="CP30" i="1" s="1"/>
  <c r="O30" i="1" s="1"/>
  <c r="CY28" i="1"/>
  <c r="X28" i="1" s="1"/>
  <c r="CZ28" i="1"/>
  <c r="Y28" i="1" s="1"/>
  <c r="Q33" i="1"/>
  <c r="CP33" i="1" s="1"/>
  <c r="O33" i="1" s="1"/>
  <c r="R28" i="1"/>
  <c r="CQ33" i="1"/>
  <c r="CS32" i="1"/>
  <c r="R32" i="1"/>
  <c r="GK32" i="1" s="1"/>
  <c r="GO32" i="1" s="1"/>
  <c r="CT30" i="1"/>
  <c r="CS29" i="1"/>
  <c r="R29" i="1"/>
  <c r="GK29" i="1" s="1"/>
  <c r="Q28" i="1"/>
  <c r="AD37" i="1" s="1"/>
  <c r="GO30" i="1" l="1"/>
  <c r="GM30" i="1"/>
  <c r="GO132" i="1"/>
  <c r="GM132" i="1"/>
  <c r="GM33" i="1"/>
  <c r="GO33" i="1"/>
  <c r="CE153" i="1"/>
  <c r="P153" i="1"/>
  <c r="CF153" i="1"/>
  <c r="AC123" i="1"/>
  <c r="CH153" i="1"/>
  <c r="GO83" i="1"/>
  <c r="GM83" i="1"/>
  <c r="GM125" i="1"/>
  <c r="AH123" i="1"/>
  <c r="U153" i="1"/>
  <c r="GM31" i="1"/>
  <c r="GO31" i="1"/>
  <c r="CZ128" i="1"/>
  <c r="Y128" i="1" s="1"/>
  <c r="CY128" i="1"/>
  <c r="X128" i="1" s="1"/>
  <c r="GM71" i="1"/>
  <c r="GO71" i="1"/>
  <c r="BC123" i="1"/>
  <c r="F169" i="1"/>
  <c r="GO143" i="1"/>
  <c r="GM143" i="1"/>
  <c r="GN149" i="1"/>
  <c r="GM149" i="1"/>
  <c r="AP123" i="1"/>
  <c r="F162" i="1"/>
  <c r="GM34" i="1"/>
  <c r="GO34" i="1"/>
  <c r="AH26" i="1"/>
  <c r="U37" i="1"/>
  <c r="CP70" i="1"/>
  <c r="O70" i="1" s="1"/>
  <c r="GK72" i="1"/>
  <c r="CD26" i="1"/>
  <c r="AU37" i="1"/>
  <c r="GM78" i="1"/>
  <c r="GO81" i="1"/>
  <c r="GM81" i="1"/>
  <c r="CP86" i="1"/>
  <c r="O86" i="1" s="1"/>
  <c r="CI26" i="1"/>
  <c r="AZ37" i="1"/>
  <c r="GM129" i="1"/>
  <c r="GO129" i="1"/>
  <c r="CY85" i="1"/>
  <c r="X85" i="1" s="1"/>
  <c r="CZ85" i="1"/>
  <c r="Y85" i="1" s="1"/>
  <c r="CG26" i="1"/>
  <c r="AX37" i="1"/>
  <c r="CP134" i="1"/>
  <c r="O134" i="1" s="1"/>
  <c r="GO137" i="1"/>
  <c r="GM137" i="1"/>
  <c r="GM145" i="1"/>
  <c r="GO145" i="1"/>
  <c r="GO135" i="1"/>
  <c r="GO74" i="1"/>
  <c r="GM74" i="1"/>
  <c r="R88" i="1"/>
  <c r="GK88" i="1" s="1"/>
  <c r="T136" i="1"/>
  <c r="AG153" i="1" s="1"/>
  <c r="GO141" i="1"/>
  <c r="GM141" i="1"/>
  <c r="GM142" i="1"/>
  <c r="GO142" i="1"/>
  <c r="GM151" i="1"/>
  <c r="GN151" i="1"/>
  <c r="CI123" i="1"/>
  <c r="AZ153" i="1"/>
  <c r="GM87" i="1"/>
  <c r="GP87" i="1"/>
  <c r="GM80" i="1"/>
  <c r="GO80" i="1"/>
  <c r="AS92" i="1"/>
  <c r="CB68" i="1"/>
  <c r="CY77" i="1"/>
  <c r="X77" i="1" s="1"/>
  <c r="GO77" i="1" s="1"/>
  <c r="CZ77" i="1"/>
  <c r="Y77" i="1" s="1"/>
  <c r="GM77" i="1" s="1"/>
  <c r="GO146" i="1"/>
  <c r="GM146" i="1"/>
  <c r="CY144" i="1"/>
  <c r="X144" i="1" s="1"/>
  <c r="CZ144" i="1"/>
  <c r="Y144" i="1" s="1"/>
  <c r="GO85" i="1"/>
  <c r="GM85" i="1"/>
  <c r="CP128" i="1"/>
  <c r="O128" i="1" s="1"/>
  <c r="Q136" i="1"/>
  <c r="CP136" i="1" s="1"/>
  <c r="O136" i="1" s="1"/>
  <c r="S136" i="1"/>
  <c r="AF153" i="1" s="1"/>
  <c r="R136" i="1"/>
  <c r="GK136" i="1" s="1"/>
  <c r="CP144" i="1"/>
  <c r="O144" i="1" s="1"/>
  <c r="GO140" i="1"/>
  <c r="GM140" i="1"/>
  <c r="CG123" i="1"/>
  <c r="AX153" i="1"/>
  <c r="GK28" i="1"/>
  <c r="AE37" i="1"/>
  <c r="GM29" i="1"/>
  <c r="GO29" i="1"/>
  <c r="CC37" i="1" s="1"/>
  <c r="CY35" i="1"/>
  <c r="X35" i="1" s="1"/>
  <c r="AK37" i="1" s="1"/>
  <c r="CZ35" i="1"/>
  <c r="Y35" i="1" s="1"/>
  <c r="AF37" i="1"/>
  <c r="AC37" i="1"/>
  <c r="CP28" i="1"/>
  <c r="O28" i="1" s="1"/>
  <c r="BC26" i="1"/>
  <c r="F53" i="1"/>
  <c r="BC182" i="1"/>
  <c r="GO79" i="1"/>
  <c r="GM79" i="1"/>
  <c r="CY73" i="1"/>
  <c r="X73" i="1" s="1"/>
  <c r="GO73" i="1" s="1"/>
  <c r="CZ73" i="1"/>
  <c r="Y73" i="1" s="1"/>
  <c r="CP127" i="1"/>
  <c r="O127" i="1" s="1"/>
  <c r="V26" i="1"/>
  <c r="F60" i="1"/>
  <c r="GP90" i="1"/>
  <c r="GM90" i="1"/>
  <c r="GM82" i="1"/>
  <c r="GO82" i="1"/>
  <c r="GK125" i="1"/>
  <c r="GO125" i="1" s="1"/>
  <c r="AE153" i="1"/>
  <c r="AQ26" i="1"/>
  <c r="F47" i="1"/>
  <c r="AQ182" i="1"/>
  <c r="GM133" i="1"/>
  <c r="GO133" i="1"/>
  <c r="AQ123" i="1"/>
  <c r="F163" i="1"/>
  <c r="GM139" i="1"/>
  <c r="GO139" i="1"/>
  <c r="BY68" i="1"/>
  <c r="CI92" i="1"/>
  <c r="AP92" i="1"/>
  <c r="AX92" i="1"/>
  <c r="CG68" i="1"/>
  <c r="W136" i="1"/>
  <c r="AJ153" i="1" s="1"/>
  <c r="AL37" i="1"/>
  <c r="GM35" i="1"/>
  <c r="GO35" i="1"/>
  <c r="GO72" i="1"/>
  <c r="GM72" i="1"/>
  <c r="CJ26" i="1"/>
  <c r="BA37" i="1"/>
  <c r="AD26" i="1"/>
  <c r="Q37" i="1"/>
  <c r="BB26" i="1"/>
  <c r="F50" i="1"/>
  <c r="BB182" i="1"/>
  <c r="CZ88" i="1"/>
  <c r="Y88" i="1" s="1"/>
  <c r="CY88" i="1"/>
  <c r="X88" i="1" s="1"/>
  <c r="AG26" i="1"/>
  <c r="T37" i="1"/>
  <c r="AO68" i="1"/>
  <c r="F96" i="1"/>
  <c r="AO182" i="1"/>
  <c r="BB68" i="1"/>
  <c r="F105" i="1"/>
  <c r="AP26" i="1"/>
  <c r="F46" i="1"/>
  <c r="AP182" i="1"/>
  <c r="GO75" i="1"/>
  <c r="GM75" i="1"/>
  <c r="CY76" i="1"/>
  <c r="X76" i="1" s="1"/>
  <c r="GO76" i="1" s="1"/>
  <c r="CZ76" i="1"/>
  <c r="Y76" i="1" s="1"/>
  <c r="CY86" i="1"/>
  <c r="X86" i="1" s="1"/>
  <c r="CZ86" i="1"/>
  <c r="Y86" i="1" s="1"/>
  <c r="BC68" i="1"/>
  <c r="F108" i="1"/>
  <c r="W26" i="1"/>
  <c r="F61" i="1"/>
  <c r="CY78" i="1"/>
  <c r="X78" i="1" s="1"/>
  <c r="GO78" i="1" s="1"/>
  <c r="CZ78" i="1"/>
  <c r="Y78" i="1" s="1"/>
  <c r="GO138" i="1"/>
  <c r="GM138" i="1"/>
  <c r="AU123" i="1"/>
  <c r="F172" i="1"/>
  <c r="CZ130" i="1"/>
  <c r="Y130" i="1" s="1"/>
  <c r="GO130" i="1" s="1"/>
  <c r="CY130" i="1"/>
  <c r="X130" i="1" s="1"/>
  <c r="GM130" i="1" s="1"/>
  <c r="GM131" i="1"/>
  <c r="GO131" i="1"/>
  <c r="CZ150" i="1"/>
  <c r="Y150" i="1" s="1"/>
  <c r="GN150" i="1" s="1"/>
  <c r="CB153" i="1" s="1"/>
  <c r="CY150" i="1"/>
  <c r="X150" i="1" s="1"/>
  <c r="GM150" i="1" s="1"/>
  <c r="GM84" i="1"/>
  <c r="GO84" i="1"/>
  <c r="P88" i="1"/>
  <c r="CP88" i="1" s="1"/>
  <c r="O88" i="1" s="1"/>
  <c r="Q88" i="1"/>
  <c r="T88" i="1"/>
  <c r="I89" i="1"/>
  <c r="GX136" i="1"/>
  <c r="CJ153" i="1" s="1"/>
  <c r="AQ68" i="1"/>
  <c r="F102" i="1"/>
  <c r="GM147" i="1"/>
  <c r="GO147" i="1"/>
  <c r="V136" i="1"/>
  <c r="AI153" i="1" s="1"/>
  <c r="CB123" i="1" l="1"/>
  <c r="AS153" i="1"/>
  <c r="X37" i="1"/>
  <c r="AK26" i="1"/>
  <c r="AF123" i="1"/>
  <c r="S153" i="1"/>
  <c r="AT37" i="1"/>
  <c r="CC26" i="1"/>
  <c r="AX26" i="1"/>
  <c r="F44" i="1"/>
  <c r="AX182" i="1"/>
  <c r="GM70" i="1"/>
  <c r="GO70" i="1"/>
  <c r="CH123" i="1"/>
  <c r="AY153" i="1"/>
  <c r="Q89" i="1"/>
  <c r="AD92" i="1" s="1"/>
  <c r="S89" i="1"/>
  <c r="W89" i="1"/>
  <c r="AJ92" i="1" s="1"/>
  <c r="R89" i="1"/>
  <c r="GK89" i="1" s="1"/>
  <c r="P89" i="1"/>
  <c r="CP89" i="1" s="1"/>
  <c r="O89" i="1" s="1"/>
  <c r="T89" i="1"/>
  <c r="AG92" i="1" s="1"/>
  <c r="GX89" i="1"/>
  <c r="CJ92" i="1" s="1"/>
  <c r="U89" i="1"/>
  <c r="AH92" i="1" s="1"/>
  <c r="V89" i="1"/>
  <c r="AI92" i="1" s="1"/>
  <c r="BB22" i="1"/>
  <c r="F195" i="1"/>
  <c r="BB211" i="1"/>
  <c r="F49" i="1"/>
  <c r="Q26" i="1"/>
  <c r="AL26" i="1"/>
  <c r="Y37" i="1"/>
  <c r="AP68" i="1"/>
  <c r="F101" i="1"/>
  <c r="AE123" i="1"/>
  <c r="R153" i="1"/>
  <c r="AF26" i="1"/>
  <c r="S37" i="1"/>
  <c r="AX123" i="1"/>
  <c r="F160" i="1"/>
  <c r="GO144" i="1"/>
  <c r="GM144" i="1"/>
  <c r="GO128" i="1"/>
  <c r="GM128" i="1"/>
  <c r="GM73" i="1"/>
  <c r="AE92" i="1"/>
  <c r="U26" i="1"/>
  <c r="F59" i="1"/>
  <c r="U123" i="1"/>
  <c r="F175" i="1"/>
  <c r="T26" i="1"/>
  <c r="F58" i="1"/>
  <c r="AX68" i="1"/>
  <c r="F99" i="1"/>
  <c r="BC22" i="1"/>
  <c r="BC211" i="1"/>
  <c r="F198" i="1"/>
  <c r="GO86" i="1"/>
  <c r="GM86" i="1"/>
  <c r="CE123" i="1"/>
  <c r="AV153" i="1"/>
  <c r="AI123" i="1"/>
  <c r="V153" i="1"/>
  <c r="AP22" i="1"/>
  <c r="F191" i="1"/>
  <c r="G16" i="2" s="1"/>
  <c r="G18" i="2" s="1"/>
  <c r="AP211" i="1"/>
  <c r="GM76" i="1"/>
  <c r="AJ123" i="1"/>
  <c r="W153" i="1"/>
  <c r="CI68" i="1"/>
  <c r="AZ92" i="1"/>
  <c r="AQ22" i="1"/>
  <c r="F192" i="1"/>
  <c r="AQ211" i="1"/>
  <c r="GM127" i="1"/>
  <c r="GO127" i="1"/>
  <c r="AE26" i="1"/>
  <c r="R37" i="1"/>
  <c r="AD153" i="1"/>
  <c r="F164" i="1"/>
  <c r="AZ123" i="1"/>
  <c r="AG123" i="1"/>
  <c r="T153" i="1"/>
  <c r="AZ26" i="1"/>
  <c r="F48" i="1"/>
  <c r="CF123" i="1"/>
  <c r="AW153" i="1"/>
  <c r="GM88" i="1"/>
  <c r="GP88" i="1"/>
  <c r="AC26" i="1"/>
  <c r="CE37" i="1"/>
  <c r="P37" i="1"/>
  <c r="CF37" i="1"/>
  <c r="CH37" i="1"/>
  <c r="AS68" i="1"/>
  <c r="F109" i="1"/>
  <c r="CJ123" i="1"/>
  <c r="BA153" i="1"/>
  <c r="AO22" i="1"/>
  <c r="F186" i="1"/>
  <c r="AO211" i="1"/>
  <c r="BA26" i="1"/>
  <c r="F57" i="1"/>
  <c r="GM28" i="1"/>
  <c r="CA37" i="1" s="1"/>
  <c r="GN28" i="1"/>
  <c r="CB37" i="1" s="1"/>
  <c r="AB37" i="1"/>
  <c r="CY136" i="1"/>
  <c r="X136" i="1" s="1"/>
  <c r="AK153" i="1" s="1"/>
  <c r="CZ136" i="1"/>
  <c r="Y136" i="1" s="1"/>
  <c r="AL153" i="1" s="1"/>
  <c r="GM134" i="1"/>
  <c r="GO134" i="1"/>
  <c r="AU26" i="1"/>
  <c r="F56" i="1"/>
  <c r="AC92" i="1"/>
  <c r="AB153" i="1"/>
  <c r="P123" i="1"/>
  <c r="F156" i="1"/>
  <c r="CB26" i="1" l="1"/>
  <c r="AS37" i="1"/>
  <c r="BA123" i="1"/>
  <c r="F173" i="1"/>
  <c r="T123" i="1"/>
  <c r="F174" i="1"/>
  <c r="F103" i="1"/>
  <c r="AZ68" i="1"/>
  <c r="V123" i="1"/>
  <c r="F176" i="1"/>
  <c r="X26" i="1"/>
  <c r="F62" i="1"/>
  <c r="AB123" i="1"/>
  <c r="O153" i="1"/>
  <c r="AL123" i="1"/>
  <c r="Y153" i="1"/>
  <c r="CA26" i="1"/>
  <c r="AR37" i="1"/>
  <c r="AO18" i="1"/>
  <c r="F215" i="1"/>
  <c r="CF26" i="1"/>
  <c r="AW37" i="1"/>
  <c r="AZ182" i="1"/>
  <c r="R26" i="1"/>
  <c r="F51" i="1"/>
  <c r="AQ18" i="1"/>
  <c r="F221" i="1"/>
  <c r="AP18" i="1"/>
  <c r="F220" i="1"/>
  <c r="AG68" i="1"/>
  <c r="T92" i="1"/>
  <c r="CY89" i="1"/>
  <c r="X89" i="1" s="1"/>
  <c r="AK92" i="1" s="1"/>
  <c r="CZ89" i="1"/>
  <c r="Y89" i="1" s="1"/>
  <c r="AL92" i="1" s="1"/>
  <c r="AF92" i="1"/>
  <c r="AX22" i="1"/>
  <c r="AX211" i="1"/>
  <c r="F189" i="1"/>
  <c r="AT26" i="1"/>
  <c r="F55" i="1"/>
  <c r="AS123" i="1"/>
  <c r="F170" i="1"/>
  <c r="AD123" i="1"/>
  <c r="Q153" i="1"/>
  <c r="S26" i="1"/>
  <c r="F52" i="1"/>
  <c r="AJ68" i="1"/>
  <c r="W92" i="1"/>
  <c r="S123" i="1"/>
  <c r="F168" i="1"/>
  <c r="X153" i="1"/>
  <c r="AK123" i="1"/>
  <c r="P26" i="1"/>
  <c r="F40" i="1"/>
  <c r="P182" i="1"/>
  <c r="W123" i="1"/>
  <c r="F177" i="1"/>
  <c r="AV123" i="1"/>
  <c r="F158" i="1"/>
  <c r="R123" i="1"/>
  <c r="F167" i="1"/>
  <c r="F63" i="1"/>
  <c r="Y26" i="1"/>
  <c r="AI68" i="1"/>
  <c r="V92" i="1"/>
  <c r="GP89" i="1"/>
  <c r="CD92" i="1" s="1"/>
  <c r="AD68" i="1"/>
  <c r="Q92" i="1"/>
  <c r="CC92" i="1"/>
  <c r="GO136" i="1"/>
  <c r="CC153" i="1" s="1"/>
  <c r="CH26" i="1"/>
  <c r="AY37" i="1"/>
  <c r="CJ68" i="1"/>
  <c r="BA92" i="1"/>
  <c r="P92" i="1"/>
  <c r="CE92" i="1"/>
  <c r="CF92" i="1"/>
  <c r="AC68" i="1"/>
  <c r="CH92" i="1"/>
  <c r="AB26" i="1"/>
  <c r="O37" i="1"/>
  <c r="CE26" i="1"/>
  <c r="AV37" i="1"/>
  <c r="AW123" i="1"/>
  <c r="F159" i="1"/>
  <c r="BC18" i="1"/>
  <c r="F227" i="1"/>
  <c r="AE68" i="1"/>
  <c r="R92" i="1"/>
  <c r="R182" i="1" s="1"/>
  <c r="BB18" i="1"/>
  <c r="F224" i="1"/>
  <c r="AH68" i="1"/>
  <c r="U92" i="1"/>
  <c r="AY123" i="1"/>
  <c r="F161" i="1"/>
  <c r="AB92" i="1"/>
  <c r="GM136" i="1"/>
  <c r="CA153" i="1" s="1"/>
  <c r="CC123" i="1" l="1"/>
  <c r="AT153" i="1"/>
  <c r="R22" i="1"/>
  <c r="F196" i="1"/>
  <c r="R211" i="1"/>
  <c r="CA123" i="1"/>
  <c r="AR153" i="1"/>
  <c r="CC68" i="1"/>
  <c r="AT92" i="1"/>
  <c r="AY26" i="1"/>
  <c r="F45" i="1"/>
  <c r="AY182" i="1"/>
  <c r="Q68" i="1"/>
  <c r="F104" i="1"/>
  <c r="Q182" i="1"/>
  <c r="V68" i="1"/>
  <c r="F115" i="1"/>
  <c r="V182" i="1"/>
  <c r="AS26" i="1"/>
  <c r="F54" i="1"/>
  <c r="AS182" i="1"/>
  <c r="AV26" i="1"/>
  <c r="F42" i="1"/>
  <c r="AV182" i="1"/>
  <c r="CH68" i="1"/>
  <c r="AY92" i="1"/>
  <c r="P68" i="1"/>
  <c r="F95" i="1"/>
  <c r="AF68" i="1"/>
  <c r="S92" i="1"/>
  <c r="AZ22" i="1"/>
  <c r="F193" i="1"/>
  <c r="AZ211" i="1"/>
  <c r="U68" i="1"/>
  <c r="F114" i="1"/>
  <c r="U182" i="1"/>
  <c r="O26" i="1"/>
  <c r="F39" i="1"/>
  <c r="O92" i="1"/>
  <c r="O182" i="1" s="1"/>
  <c r="AB68" i="1"/>
  <c r="CE68" i="1"/>
  <c r="AV92" i="1"/>
  <c r="T68" i="1"/>
  <c r="F113" i="1"/>
  <c r="T182" i="1"/>
  <c r="F179" i="1"/>
  <c r="Y123" i="1"/>
  <c r="BA68" i="1"/>
  <c r="F112" i="1"/>
  <c r="BA182" i="1"/>
  <c r="GM89" i="1"/>
  <c r="CA92" i="1" s="1"/>
  <c r="W68" i="1"/>
  <c r="F116" i="1"/>
  <c r="W182" i="1"/>
  <c r="AL68" i="1"/>
  <c r="Y92" i="1"/>
  <c r="F43" i="1"/>
  <c r="AW26" i="1"/>
  <c r="AW182" i="1"/>
  <c r="AR26" i="1"/>
  <c r="F64" i="1"/>
  <c r="O123" i="1"/>
  <c r="F155" i="1"/>
  <c r="R68" i="1"/>
  <c r="F106" i="1"/>
  <c r="CF68" i="1"/>
  <c r="AW92" i="1"/>
  <c r="CD68" i="1"/>
  <c r="AU92" i="1"/>
  <c r="P22" i="1"/>
  <c r="P211" i="1"/>
  <c r="F185" i="1"/>
  <c r="X123" i="1"/>
  <c r="F178" i="1"/>
  <c r="Q123" i="1"/>
  <c r="F165" i="1"/>
  <c r="AX18" i="1"/>
  <c r="F218" i="1"/>
  <c r="X92" i="1"/>
  <c r="AK68" i="1"/>
  <c r="O22" i="1" l="1"/>
  <c r="O211" i="1"/>
  <c r="F184" i="1"/>
  <c r="U22" i="1"/>
  <c r="F204" i="1"/>
  <c r="U211" i="1"/>
  <c r="AV22" i="1"/>
  <c r="F187" i="1"/>
  <c r="AV211" i="1"/>
  <c r="AU68" i="1"/>
  <c r="F111" i="1"/>
  <c r="AU182" i="1"/>
  <c r="W22" i="1"/>
  <c r="W211" i="1"/>
  <c r="F206" i="1"/>
  <c r="BA22" i="1"/>
  <c r="F202" i="1"/>
  <c r="BA211" i="1"/>
  <c r="AV68" i="1"/>
  <c r="F97" i="1"/>
  <c r="Q22" i="1"/>
  <c r="F194" i="1"/>
  <c r="Q211" i="1"/>
  <c r="F180" i="1"/>
  <c r="AR123" i="1"/>
  <c r="AW22" i="1"/>
  <c r="F188" i="1"/>
  <c r="AW211" i="1"/>
  <c r="O68" i="1"/>
  <c r="F94" i="1"/>
  <c r="T22" i="1"/>
  <c r="F203" i="1"/>
  <c r="T211" i="1"/>
  <c r="S68" i="1"/>
  <c r="F107" i="1"/>
  <c r="S182" i="1"/>
  <c r="AY68" i="1"/>
  <c r="F100" i="1"/>
  <c r="V22" i="1"/>
  <c r="V211" i="1"/>
  <c r="F205" i="1"/>
  <c r="AT123" i="1"/>
  <c r="F171" i="1"/>
  <c r="CA68" i="1"/>
  <c r="AR92" i="1"/>
  <c r="AY22" i="1"/>
  <c r="AY211" i="1"/>
  <c r="F190" i="1"/>
  <c r="X68" i="1"/>
  <c r="F117" i="1"/>
  <c r="X182" i="1"/>
  <c r="P18" i="1"/>
  <c r="F214" i="1"/>
  <c r="F98" i="1"/>
  <c r="AW68" i="1"/>
  <c r="F118" i="1"/>
  <c r="Y68" i="1"/>
  <c r="Y182" i="1"/>
  <c r="AZ18" i="1"/>
  <c r="F222" i="1"/>
  <c r="AS22" i="1"/>
  <c r="F199" i="1"/>
  <c r="E16" i="2" s="1"/>
  <c r="AS211" i="1"/>
  <c r="AT68" i="1"/>
  <c r="F110" i="1"/>
  <c r="AT182" i="1"/>
  <c r="R18" i="1"/>
  <c r="F225" i="1"/>
  <c r="V18" i="1" l="1"/>
  <c r="F234" i="1"/>
  <c r="AS18" i="1"/>
  <c r="F228" i="1"/>
  <c r="X22" i="1"/>
  <c r="F207" i="1"/>
  <c r="X211" i="1"/>
  <c r="AY18" i="1"/>
  <c r="F219" i="1"/>
  <c r="Q18" i="1"/>
  <c r="F223" i="1"/>
  <c r="S22" i="1"/>
  <c r="S211" i="1"/>
  <c r="F197" i="1"/>
  <c r="J16" i="2" s="1"/>
  <c r="J18" i="2" s="1"/>
  <c r="E18" i="2"/>
  <c r="Y22" i="1"/>
  <c r="F208" i="1"/>
  <c r="Y211" i="1"/>
  <c r="BA18" i="1"/>
  <c r="F231" i="1"/>
  <c r="W18" i="1"/>
  <c r="F235" i="1"/>
  <c r="U18" i="1"/>
  <c r="F233" i="1"/>
  <c r="O18" i="1"/>
  <c r="F213" i="1"/>
  <c r="AW18" i="1"/>
  <c r="F217" i="1"/>
  <c r="AU22" i="1"/>
  <c r="AU211" i="1"/>
  <c r="F201" i="1"/>
  <c r="H16" i="2" s="1"/>
  <c r="H18" i="2" s="1"/>
  <c r="AT22" i="1"/>
  <c r="AT211" i="1"/>
  <c r="F200" i="1"/>
  <c r="F16" i="2" s="1"/>
  <c r="F18" i="2" s="1"/>
  <c r="AR68" i="1"/>
  <c r="F119" i="1"/>
  <c r="AR182" i="1"/>
  <c r="T18" i="1"/>
  <c r="F232" i="1"/>
  <c r="AV18" i="1"/>
  <c r="F216" i="1"/>
  <c r="AU18" i="1" l="1"/>
  <c r="F230" i="1"/>
  <c r="Y18" i="1"/>
  <c r="F237" i="1"/>
  <c r="I16" i="2"/>
  <c r="I18" i="2" s="1"/>
  <c r="X18" i="1"/>
  <c r="F236" i="1"/>
  <c r="AR22" i="1"/>
  <c r="F209" i="1"/>
  <c r="AR211" i="1"/>
  <c r="AT18" i="1"/>
  <c r="F229" i="1"/>
  <c r="S18" i="1"/>
  <c r="F226" i="1"/>
  <c r="AR18" i="1" l="1"/>
  <c r="F238" i="1"/>
  <c r="F239" i="1" s="1"/>
  <c r="F240" i="1" l="1"/>
  <c r="F241" i="1" s="1"/>
</calcChain>
</file>

<file path=xl/sharedStrings.xml><?xml version="1.0" encoding="utf-8"?>
<sst xmlns="http://schemas.openxmlformats.org/spreadsheetml/2006/main" count="3272" uniqueCount="426">
  <si>
    <t>Smeta.RU  (495) 974-1589</t>
  </si>
  <si>
    <t>_PS_</t>
  </si>
  <si>
    <t>Smeta.RU</t>
  </si>
  <si>
    <t/>
  </si>
  <si>
    <t>Новый объект 11211</t>
  </si>
  <si>
    <t>Сметные нормы списания</t>
  </si>
  <si>
    <t>Коды ОКП для ТСН-2001 МГЭ</t>
  </si>
  <si>
    <t>ТСН-2001 (МГЭ) - Ремонт</t>
  </si>
  <si>
    <t>Типовой расчет Smeta.ru вер. 10 для ТСН-2001 МГЭ (Ремонт), Доп 51 (от 01.08.2018 г.)</t>
  </si>
  <si>
    <t>Территориальные сметные нормативы для Москвы ТСН-2001 (МГЭ)</t>
  </si>
  <si>
    <t>Поправки для ТСН-2001 от 18.01.2019 г.</t>
  </si>
  <si>
    <t>Новая локальная смета</t>
  </si>
  <si>
    <t>Комплекс электромонтажных работ по адресу: МО, Люберецкий р-н, п. Октябрьский мкр. Западный, Спортивная ул., д. 2, ТУ3714 от 10.12.2019 г. п.п. 1-7</t>
  </si>
  <si>
    <t>Новый раздел</t>
  </si>
  <si>
    <t>Демонтажные работы</t>
  </si>
  <si>
    <t>1</t>
  </si>
  <si>
    <t>6.67-6-1</t>
  </si>
  <si>
    <t>Демонтаж кабеля</t>
  </si>
  <si>
    <t>100 м</t>
  </si>
  <si>
    <t>ТСН-2001.6. Доп. 1-42. Сб. 67, т. 6, поз. 1</t>
  </si>
  <si>
    <t>Ремонтно-строительные работы</t>
  </si>
  <si>
    <t>ТСН-2001.6-67. 67-1...67-8</t>
  </si>
  <si>
    <t>ТСН-2001.6-67-1</t>
  </si>
  <si>
    <t>2</t>
  </si>
  <si>
    <t>4.8-218-2</t>
  </si>
  <si>
    <t>Демонтаж автоматического выключателя</t>
  </si>
  <si>
    <t>1  ШТ.</t>
  </si>
  <si>
    <t>ТСН-2001.4. Доп. 1-42. Сб. 8, т. 218, поз. 2</t>
  </si>
  <si>
    <t>*0</t>
  </si>
  <si>
    <t>*0,3</t>
  </si>
  <si>
    <t>Монтаж оборудования</t>
  </si>
  <si>
    <t>ТСН-2001.4-8. 8-188...8-272</t>
  </si>
  <si>
    <t>ТСН-2001.4-8-18</t>
  </si>
  <si>
    <t>3</t>
  </si>
  <si>
    <t>4.8-215-2</t>
  </si>
  <si>
    <t>Демонтаж предохранителей</t>
  </si>
  <si>
    <t>ТСН-2001.4. Доп. 1-42. Сб. 8, т. 215, поз. 2</t>
  </si>
  <si>
    <t>Поправка: ТСН-2001.4. О.П. п.6.1.1.3  Наименование: Демонтаж оборудования, предназначенного в лом</t>
  </si>
  <si>
    <t>)*0</t>
  </si>
  <si>
    <t>)*0,3</t>
  </si>
  <si>
    <t>Поправка: ТСН-2001.4. О.П. п.6.1.1.3</t>
  </si>
  <si>
    <t>4</t>
  </si>
  <si>
    <t>4.8-59-1</t>
  </si>
  <si>
    <t>Демонтаж контактного основания плавких предохранителей</t>
  </si>
  <si>
    <t>100 шт.</t>
  </si>
  <si>
    <t>ТСН-2001.4. Доп. 1-42. Сб. 8, т. 59, поз. 1</t>
  </si>
  <si>
    <t>ТСН-2001.4-8. 8-28...8-72</t>
  </si>
  <si>
    <t>ТСН-2001.4-8-2</t>
  </si>
  <si>
    <t>5</t>
  </si>
  <si>
    <t>4.8-56-1</t>
  </si>
  <si>
    <t>Демонтаж моста шинного</t>
  </si>
  <si>
    <t>ТСН-2001.4. Доп. 1-42. Сб. 8, т. 56, поз. 1</t>
  </si>
  <si>
    <t>6</t>
  </si>
  <si>
    <t>4.8-26-1</t>
  </si>
  <si>
    <t>Распределительные устройства комплектные 6-10 кВ, шкаф наружной установки с коридором обслуживания с выключателем</t>
  </si>
  <si>
    <t>ТСН-2001.4. Доп. 1-42. Сб. 8, т. 26, поз. 1</t>
  </si>
  <si>
    <t>ТСН-2001.4-8. 8-1...8-27</t>
  </si>
  <si>
    <t>ТСН-2001.4-8-1</t>
  </si>
  <si>
    <t>7</t>
  </si>
  <si>
    <t>4.8-214-30</t>
  </si>
  <si>
    <t>Демонтаж рубильникана ток до 630 А</t>
  </si>
  <si>
    <t>ТСН-2001.4. Доп. 1-42. Сб. 8, т. 214, поз. 30</t>
  </si>
  <si>
    <t>8</t>
  </si>
  <si>
    <t>4.8-76-3</t>
  </si>
  <si>
    <t>Отсоединение жил проводов</t>
  </si>
  <si>
    <t>ТСН-2001.4. Доп. 1-42. Сб. 8, т. 76, поз. 3</t>
  </si>
  <si>
    <t>ТСН-2001.4-8. 8-73...8-80</t>
  </si>
  <si>
    <t>ТСН-2001.4-8-3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</si>
  <si>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</si>
  <si>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</si>
  <si>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</si>
  <si>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</si>
  <si>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</si>
  <si>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</si>
  <si>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</si>
  <si>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</si>
  <si>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</si>
  <si>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</si>
  <si>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</si>
  <si>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</si>
  <si>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</si>
  <si>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</si>
  <si>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</si>
  <si>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</si>
  <si>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</si>
  <si>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</si>
  <si>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</si>
  <si>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</si>
  <si>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</si>
  <si>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</si>
  <si>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</si>
  <si>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</si>
  <si>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</si>
  <si>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</si>
  <si>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</si>
  <si>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</si>
  <si>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</si>
  <si>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</si>
  <si>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</si>
  <si>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</si>
  <si>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</si>
  <si>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</si>
  <si>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</si>
  <si>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</si>
  <si>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</si>
  <si>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</si>
  <si>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</si>
  <si>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</si>
  <si>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</si>
  <si>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</si>
  <si>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</si>
  <si>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</si>
  <si>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</si>
  <si>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</si>
  <si>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</si>
  <si>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</si>
  <si>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</si>
  <si>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</si>
  <si>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</si>
  <si>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</si>
  <si>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Монтажные работы</t>
  </si>
  <si>
    <t>4.8-218-1</t>
  </si>
  <si>
    <t>Выключатели установочные автоматические (автоматы) или неавтоматические, автомат одно-,двух-,трехполюсный, устанавливаемый на конструкции на стене или колонне на ток до 25 А</t>
  </si>
  <si>
    <t>ТСН-2001.4. Доп. 1-42. Сб. 8, т. 218, поз. 1</t>
  </si>
  <si>
    <t>9</t>
  </si>
  <si>
    <t>Выключатели установочные автоматические (автоматы) или неавтоматические, автомат одно-,двух-,трехполюсный, устанавливаемый на конструкции на стене или колонне на ток до 100 А</t>
  </si>
  <si>
    <t>10</t>
  </si>
  <si>
    <t>4.8-252-2</t>
  </si>
  <si>
    <t>Счетчик, устанавливаемый на готовом основании трехфазный</t>
  </si>
  <si>
    <t>ТСН-2001.4. Доп. 1-42. Сб. 8, т. 252, поз. 2</t>
  </si>
  <si>
    <t>11</t>
  </si>
  <si>
    <t>4.8-240-4</t>
  </si>
  <si>
    <t>Пульты и шкафы управления, шкаф (пульт) управления навесной, высота, ширина, глубина до 600х600х350 мм (Монтажный шкаф)</t>
  </si>
  <si>
    <t>ТСН-2001.4. Доп. 1-42. Сб. 8, т. 240, поз. 4</t>
  </si>
  <si>
    <t>12</t>
  </si>
  <si>
    <t>4.8-35-3</t>
  </si>
  <si>
    <t>Трансформаторы напряжения, трансформатор, напряжение до 20 кВ, трехфазный. Прим. Измерительный трансформатор</t>
  </si>
  <si>
    <t>ТСН-2001.4. Доп. 1-42. Сб. 8, т. 35, поз. 3</t>
  </si>
  <si>
    <t>13</t>
  </si>
  <si>
    <t>Предохранитель, устанавливаемый на изолированном основании, на ток, до 250 А</t>
  </si>
  <si>
    <t>14</t>
  </si>
  <si>
    <t>Контактное основание плавких предохранителей</t>
  </si>
  <si>
    <t>15</t>
  </si>
  <si>
    <t>Мосты шинные</t>
  </si>
  <si>
    <t>16</t>
  </si>
  <si>
    <t>4.8-214-28</t>
  </si>
  <si>
    <t>Переключатели (рубильники переключающие), переключатель на плите с приводом, устанавливаемый на металлическом основании, трехполюсный, на ток до 250А</t>
  </si>
  <si>
    <t>ТСН-2001.4. Доп. 1-42. Сб. 8, т. 214, поз. 28</t>
  </si>
  <si>
    <t>17</t>
  </si>
  <si>
    <t>4.10-13-1</t>
  </si>
  <si>
    <t>Кабель или провод питания сечением до 6 мм2</t>
  </si>
  <si>
    <t>100 М КАБЕЛЯ</t>
  </si>
  <si>
    <t>ТСН-2001.4. Доп. 1-42. Сб. 10, т. 13, поз. 1</t>
  </si>
  <si>
    <t>ТСН-2001.4-10. 10-1...10-91</t>
  </si>
  <si>
    <t>ТСН-2001.4-10-1</t>
  </si>
  <si>
    <t>18</t>
  </si>
  <si>
    <t>4.10-13-2</t>
  </si>
  <si>
    <t>Кабель или провод питания сечением 10 мм2</t>
  </si>
  <si>
    <t>ТСН-2001.4. Доп. 1-42. Сб. 10, т. 13, поз. 2</t>
  </si>
  <si>
    <t>19</t>
  </si>
  <si>
    <t>Кабель или провод питания сечением 16 мм2</t>
  </si>
  <si>
    <t>20</t>
  </si>
  <si>
    <t>4.10-13-3</t>
  </si>
  <si>
    <t>Кабель или провод питания сечением 25 мм2</t>
  </si>
  <si>
    <t>ТСН-2001.4. Доп. 1-42. Сб. 10, т. 13, поз. 3</t>
  </si>
  <si>
    <t>21</t>
  </si>
  <si>
    <t>4.10-13-4</t>
  </si>
  <si>
    <t>Кабель или провод питания сечением 35, 70 мм2</t>
  </si>
  <si>
    <t>ТСН-2001.4. Доп. 1-42. Сб. 10, т. 13, поз. 4</t>
  </si>
  <si>
    <t>22</t>
  </si>
  <si>
    <t>Кабель или провод питания сечением 50 мм2</t>
  </si>
  <si>
    <t>23</t>
  </si>
  <si>
    <t>24</t>
  </si>
  <si>
    <t>Присоединение к зажимам жил проводов или кабелей</t>
  </si>
  <si>
    <t>25</t>
  </si>
  <si>
    <t>5.1-158-1</t>
  </si>
  <si>
    <t>Фазировка электрической линии или трансформатора с сетью напряжением до 1 кВ</t>
  </si>
  <si>
    <t>фазировка</t>
  </si>
  <si>
    <t>ТСН-2001.5. Доп. 1-42. Сб. 1, т. 158, поз. 1</t>
  </si>
  <si>
    <t>Пусконаладочные работы</t>
  </si>
  <si>
    <t>ТСН-2001.5-1. 1-1...1-189</t>
  </si>
  <si>
    <t>ТСН-2001.5-1-1</t>
  </si>
  <si>
    <t>26</t>
  </si>
  <si>
    <t>5.1-158-2</t>
  </si>
  <si>
    <t>Фазировка электрической линии или трансформатора с сетью напряжением свыше 1 кВ</t>
  </si>
  <si>
    <t>ТСН-2001.5. Доп. 1-42. Сб. 1, т. 158, поз. 2</t>
  </si>
  <si>
    <t>*0,8</t>
  </si>
  <si>
    <t>27</t>
  </si>
  <si>
    <t>5.1-154-1</t>
  </si>
  <si>
    <t>Замер полного сопротивления цепи "фаза-нуль"</t>
  </si>
  <si>
    <t>токоприемник</t>
  </si>
  <si>
    <t>ТСН-2001.5. Доп. 1-42. Сб. 1, т. 154, поз. 1</t>
  </si>
  <si>
    <t>28</t>
  </si>
  <si>
    <t>5.10-8-1</t>
  </si>
  <si>
    <t>Электротехнические устройства жилого дома</t>
  </si>
  <si>
    <t>1 этаж 1-ой секции</t>
  </si>
  <si>
    <t>ТСН-2001.5. Доп. 1-42. Сб. 10, т. 8, поз. 1</t>
  </si>
  <si>
    <t>ТСН-2001.5-10. 10-4...10-44</t>
  </si>
  <si>
    <t>ТСН-2001.5-10-1</t>
  </si>
  <si>
    <t>Материалы</t>
  </si>
  <si>
    <t>1.21-5-1040</t>
  </si>
  <si>
    <t>Выключатели автоматические, тип S203, трехполюсные, на ток 10 А, 16 А</t>
  </si>
  <si>
    <t>шт.</t>
  </si>
  <si>
    <t>ТСН-2001.1. Доп. 1-42. Р. 21, о. 5, поз. 1040</t>
  </si>
  <si>
    <t>Материалы монтажные</t>
  </si>
  <si>
    <t>ТСН-2001.1 Материалы монтажные</t>
  </si>
  <si>
    <t>ТСН-2001.1-2</t>
  </si>
  <si>
    <t>1.21-5-1041</t>
  </si>
  <si>
    <t>Выключатели автоматические, тип S203, трехполюсные, на ток 20-40 А</t>
  </si>
  <si>
    <t>ТСН-2001.1. Доп. 1-42. Р. 21, о. 5, поз. 1041</t>
  </si>
  <si>
    <t>1.21-5-1042</t>
  </si>
  <si>
    <t>Выключатели автоматические, тип S203, трехполюсные, на ток 50 А, 63 А</t>
  </si>
  <si>
    <t>ТСН-2001.1. Доп. 1-42. Р. 21, о. 5, поз. 1042</t>
  </si>
  <si>
    <t>1.21-5-1043</t>
  </si>
  <si>
    <t>Выключатели автоматические трехполюсные, тип S293C, номинальный ток 80 А, 100 А</t>
  </si>
  <si>
    <t>ТСН-2001.1. Доп. 1-42. Р. 21, о. 5, поз. 1043</t>
  </si>
  <si>
    <t>29</t>
  </si>
  <si>
    <t>1.21-5-451</t>
  </si>
  <si>
    <t>Трансформаторы, тип ОСО-0,25/0,5, понижающие. прим. измерительные</t>
  </si>
  <si>
    <t>ТСН-2001.1. Доп. 1-42. Р. 21, о. 5, поз. 451</t>
  </si>
  <si>
    <t>30</t>
  </si>
  <si>
    <t>1.21-5-1038</t>
  </si>
  <si>
    <t>Выключатели автоматические, тип S201, однополюсные, на ток 32 А, 40 А</t>
  </si>
  <si>
    <t>ТСН-2001.1. Доп. 1-42. Р. 21, о. 5, поз. 1038</t>
  </si>
  <si>
    <t>31</t>
  </si>
  <si>
    <t>1.21-5-1039</t>
  </si>
  <si>
    <t>Выключатели автоматические, тип S201, однополюсные, на ток 50 А, 63А</t>
  </si>
  <si>
    <t>ТСН-2001.1. Доп. 1-42. Р. 21, о. 5, поз. 1039</t>
  </si>
  <si>
    <t>32</t>
  </si>
  <si>
    <t>1.21-5-780</t>
  </si>
  <si>
    <t>Счетчики электрические трехфазные, тип "Меркурий 230 ART"</t>
  </si>
  <si>
    <t>ТСН-2001.1. Доп. 1-42. Р. 21, о. 5, поз. 780</t>
  </si>
  <si>
    <t>33</t>
  </si>
  <si>
    <t>1.21-5-776</t>
  </si>
  <si>
    <t>Счетчики электрические однофазные, тип Меркурий 200.02, многотарифные</t>
  </si>
  <si>
    <t>ТСН-2001.1. Доп. 1-42. Р. 21, о. 5, поз. 776</t>
  </si>
  <si>
    <t>34</t>
  </si>
  <si>
    <t>1.21-4-38</t>
  </si>
  <si>
    <t>Щитки учета (без стоимости электросчетчиков слаботочных устройств), тип ВУ АСУЭ (Монтажный шкаф)</t>
  </si>
  <si>
    <t>ТСН-2001.1. Доп. 1-42. Р. 21, о. 4, поз. 38</t>
  </si>
  <si>
    <t>35</t>
  </si>
  <si>
    <t>1.21-5-553</t>
  </si>
  <si>
    <t>Предохранители ПН-2 на номинальное напряжение 500 В, тип ПН-2-400</t>
  </si>
  <si>
    <t>ТСН-2001.1. Доп. 1-42. Р. 21, о. 5, поз. 553</t>
  </si>
  <si>
    <t>36</t>
  </si>
  <si>
    <t>1.21-5-119</t>
  </si>
  <si>
    <t>Контактное основание предохранителей</t>
  </si>
  <si>
    <t>1000 шт.</t>
  </si>
  <si>
    <t>ТСН-2001.1. Доп. 1-42. Р. 21, о. 5, поз. 119</t>
  </si>
  <si>
    <t>37</t>
  </si>
  <si>
    <t>1.21-5-1053</t>
  </si>
  <si>
    <t>Выключатели нагрузки (рубильники) трехполюсные для установки на DIN-рейку или монтажную плату, тип ОТ100 F3, номинальный ток 100 А</t>
  </si>
  <si>
    <t>ТСН-2001.1. Доп. 1-42. Р. 21, о. 5, поз. 1053</t>
  </si>
  <si>
    <t>38</t>
  </si>
  <si>
    <t>1.21-5-882</t>
  </si>
  <si>
    <t>Мост шинный</t>
  </si>
  <si>
    <t>ТСН-2001.1. Доп. 1-42. Р. 21, о. 5, поз. 882</t>
  </si>
  <si>
    <t>39</t>
  </si>
  <si>
    <t>1.23-13-96</t>
  </si>
  <si>
    <t>Провода силовые с медными жилами в поливинилхлоридной изоляции, марка ПВ3, номинальное напряжение до 450 В, число жил и сечение 1х4 мм2</t>
  </si>
  <si>
    <t>км</t>
  </si>
  <si>
    <t>ТСН-2001.1. Доп. 1-42. Р. 23, о. 13, поз. 96</t>
  </si>
  <si>
    <t>40</t>
  </si>
  <si>
    <t>1.23-13-98</t>
  </si>
  <si>
    <t>Провода силовые с медными жилами в поливинилхлоридной изоляции, марка ПВ3, номинальное напряжение до 450 В, число жил и сечение 1х6 мм2</t>
  </si>
  <si>
    <t>ТСН-2001.1. Доп. 1-42. Р. 23, о. 13, поз. 98</t>
  </si>
  <si>
    <t>41</t>
  </si>
  <si>
    <t>1.23-13-99</t>
  </si>
  <si>
    <t>Провода силовые с медными жилами в поливинилхлоридной изоляции, марка ПВ3, номинальное напряжение до 450 В, число жил и сечение 1х10 мм2</t>
  </si>
  <si>
    <t>ТСН-2001.1. Доп. 1-42. Р. 23, о. 13, поз. 99</t>
  </si>
  <si>
    <t>42</t>
  </si>
  <si>
    <t>1.23-13-100</t>
  </si>
  <si>
    <t>Провода силовые с медными жилами в поливинилхлоридной изоляции, марка ПВ3, номинальное напряжение до 450 В, число жил и сечение 1х16 мм2</t>
  </si>
  <si>
    <t>ТСН-2001.1. Доп. 1-42. Р. 23, о. 13, поз. 100</t>
  </si>
  <si>
    <t>43</t>
  </si>
  <si>
    <t>1.23-13-101</t>
  </si>
  <si>
    <t>Провода силовые с медными жилами в поливинилхлоридной изоляции, марка ПВ3, номинальное напряжение до 450 В, число жил и сечение 1х25 мм2</t>
  </si>
  <si>
    <t>ТСН-2001.1. Доп. 1-42. Р. 23, о. 13, поз. 101</t>
  </si>
  <si>
    <t>44</t>
  </si>
  <si>
    <t>1.23-13-102</t>
  </si>
  <si>
    <t>Провода силовые с медными жилами в поливинилхлоридной изоляции, марка ПВ3, номинальное напряжение до 450 В, число жил и сечение 1х35 мм2</t>
  </si>
  <si>
    <t>ТСН-2001.1. Доп. 1-42. Р. 23, о. 13, поз. 102</t>
  </si>
  <si>
    <t>45</t>
  </si>
  <si>
    <t>1.23-13-103</t>
  </si>
  <si>
    <t>Провода силовые с медными жилами в поливинилхлоридной изоляции, марка ПВ3, номинальное напряжение до 450 В, число жил и сечение 1х50 мм2</t>
  </si>
  <si>
    <t>ТСН-2001.1. Доп. 1-42. Р. 23, о. 13, поз. 103</t>
  </si>
  <si>
    <t>46</t>
  </si>
  <si>
    <t>1.23-13-104</t>
  </si>
  <si>
    <t>Провода силовые с медными жилами в поливинилхлоридной изоляции, марка ПВ3, номинальное напряжение до 450 В, число жил и сечение 1х70 мм2</t>
  </si>
  <si>
    <t>ТСН-2001.1. Доп. 1-42. Р. 23, о. 13, поз. 104</t>
  </si>
  <si>
    <t>47</t>
  </si>
  <si>
    <t>1.21-5-734</t>
  </si>
  <si>
    <t>Наконечники</t>
  </si>
  <si>
    <t>ТСН-2001.1. Доп. 1-42. Р. 21, о. 5, поз. 734</t>
  </si>
  <si>
    <t>48</t>
  </si>
  <si>
    <t>Цена поставщика</t>
  </si>
  <si>
    <t>Огнетушитель оу 1</t>
  </si>
  <si>
    <t>ШТ</t>
  </si>
  <si>
    <t>[2 298,25 / 1,18] +  2% Заг.скл</t>
  </si>
  <si>
    <t>49</t>
  </si>
  <si>
    <t>Перчатки  диэлектрические</t>
  </si>
  <si>
    <t>пара</t>
  </si>
  <si>
    <t>[288 / 1,18] +  2% Заг.скл</t>
  </si>
  <si>
    <t>50</t>
  </si>
  <si>
    <t>Табличка</t>
  </si>
  <si>
    <t>[30 / 1,18] +  2% Заг.скл</t>
  </si>
  <si>
    <t>51</t>
  </si>
  <si>
    <t>Коврик диэлектрический 720х720мм</t>
  </si>
  <si>
    <t>[494,48 / 1,18] +  2% Заг.скл</t>
  </si>
  <si>
    <t>ит</t>
  </si>
  <si>
    <t>Итого</t>
  </si>
  <si>
    <t>ндс</t>
  </si>
  <si>
    <t>НДС, 20%</t>
  </si>
  <si>
    <t>ВС</t>
  </si>
  <si>
    <t>ВСЕГО</t>
  </si>
  <si>
    <t>Уровень цен</t>
  </si>
  <si>
    <t>Сборник индексов</t>
  </si>
  <si>
    <t>ТСН-2001 МГЭ ремонт</t>
  </si>
  <si>
    <t>155</t>
  </si>
  <si>
    <t>_OBSM_</t>
  </si>
  <si>
    <t>9999990008</t>
  </si>
  <si>
    <t>Трудозатраты рабочих</t>
  </si>
  <si>
    <t>чел.-ч.</t>
  </si>
  <si>
    <t>"СОГЛАСОВАНО"</t>
  </si>
  <si>
    <t>"УТВЕРЖДАЮ"</t>
  </si>
  <si>
    <t>Форма № 1б</t>
  </si>
  <si>
    <t>"_____"________________ 2020 г.</t>
  </si>
  <si>
    <t>(наименование стройки)</t>
  </si>
  <si>
    <t>(локальный сметный расчет)</t>
  </si>
  <si>
    <t>(наименование работ и затрат, наименование объекта)</t>
  </si>
  <si>
    <t>базовая    цена</t>
  </si>
  <si>
    <t>текущая   цена</t>
  </si>
  <si>
    <t>Сметная стоимость</t>
  </si>
  <si>
    <t>Строительные работы</t>
  </si>
  <si>
    <t>Оборудование</t>
  </si>
  <si>
    <t>Прочие работы</t>
  </si>
  <si>
    <t>Средства на оплату труда</t>
  </si>
  <si>
    <t xml:space="preserve">Кроме того: </t>
  </si>
  <si>
    <t>№№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</si>
  <si>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</si>
  <si>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</si>
  <si>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</si>
  <si>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</si>
  <si>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 руб.</t>
  </si>
  <si>
    <t>Попра-вочные коэфф.</t>
  </si>
  <si>
    <t>Коэфф. зимних удоро-жаний</t>
  </si>
  <si>
    <t>ВСЕГО в базисном уровне цен, руб.</t>
  </si>
  <si>
    <t>Коэфф. пересчета и нормы НР и СП</t>
  </si>
  <si>
    <t>Всего в текущем уровне цен, руб.</t>
  </si>
  <si>
    <t>Составлен(а) в уровне текущих (прогнозных) цен ТСН-2001 МГЭ ремонт №155 август 2019 года</t>
  </si>
  <si>
    <t>ЗП</t>
  </si>
  <si>
    <t>ЭМ</t>
  </si>
  <si>
    <t>в т.ч. ЗПМ</t>
  </si>
  <si>
    <t>НР от ЗП</t>
  </si>
  <si>
    <t>%</t>
  </si>
  <si>
    <t>СП от ЗП</t>
  </si>
  <si>
    <t>НР и СП от ЗПМ</t>
  </si>
  <si>
    <t>ЗТР</t>
  </si>
  <si>
    <t>чел-ч</t>
  </si>
  <si>
    <t xml:space="preserve">   Итого по ТСН-2001.16</t>
  </si>
  <si>
    <t xml:space="preserve">   Итого возвратных сумм</t>
  </si>
  <si>
    <t>МР</t>
  </si>
  <si>
    <t xml:space="preserve">  тыс.руб</t>
  </si>
  <si>
    <t xml:space="preserve">Составил   </t>
  </si>
  <si>
    <t>[должность,подпись(инициалы,фамилия)]</t>
  </si>
  <si>
    <t xml:space="preserve">Проверил   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</si>
  <si>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</si>
  <si>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</si>
  <si>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</si>
  <si>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</si>
  <si>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</si>
  <si>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0322005</t>
  </si>
  <si>
    <t>Инвестор</t>
  </si>
  <si>
    <t>по ОКПО</t>
  </si>
  <si>
    <t>организация, адрес, телефон, факс</t>
  </si>
  <si>
    <t>Заказчик</t>
  </si>
  <si>
    <t>Подрядчик</t>
  </si>
  <si>
    <t>Стройка</t>
  </si>
  <si>
    <t>наименование, адрес</t>
  </si>
  <si>
    <t>Объект</t>
  </si>
  <si>
    <t>наименование</t>
  </si>
  <si>
    <t xml:space="preserve">Вид деятельности по ОКДП  </t>
  </si>
  <si>
    <t xml:space="preserve">Договор подряда  </t>
  </si>
  <si>
    <t>номер</t>
  </si>
  <si>
    <t>дата</t>
  </si>
  <si>
    <t xml:space="preserve">Вид операции  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</si>
  <si>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</si>
  <si>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</si>
  <si>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</si>
  <si>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</si>
  <si>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</si>
  <si>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</si>
  <si>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</si>
  <si>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Сметная (договорная) стоимость в соответствии с договором подряда (субподряда)</t>
  </si>
  <si>
    <t xml:space="preserve"> тыс.руб</t>
  </si>
  <si>
    <t>Номер</t>
  </si>
  <si>
    <t>п/п</t>
  </si>
  <si>
    <t>поз. по сме-те</t>
  </si>
  <si>
    <t xml:space="preserve">Сдал   </t>
  </si>
  <si>
    <t xml:space="preserve">Принял   </t>
  </si>
  <si>
    <t>Унифицированная форма № КС-3</t>
  </si>
  <si>
    <t>Коды</t>
  </si>
  <si>
    <t xml:space="preserve">Инвестор </t>
  </si>
  <si>
    <t xml:space="preserve">Заказчик (генподрядчик) </t>
  </si>
  <si>
    <t xml:space="preserve">Подрядчик (субподрядчик) </t>
  </si>
  <si>
    <t xml:space="preserve">Стройка </t>
  </si>
  <si>
    <t>Вид деятельности  по ОКДП</t>
  </si>
  <si>
    <t xml:space="preserve">Договор подряда (контракт) </t>
  </si>
  <si>
    <t>Вид операции</t>
  </si>
  <si>
    <t>СПРАВКА</t>
  </si>
  <si>
    <t>СТОИМОСТИ ВЫПОЛНЕННЫХ РАБОТ И ЗАТРАТ</t>
  </si>
  <si>
    <t>№ п/п</t>
  </si>
  <si>
    <t>Наименование пусковых комплексов, объектов, видов работ, оборудования, затрат</t>
  </si>
  <si>
    <t>Стоимость выполненных работ и затрат</t>
  </si>
  <si>
    <t>с начала проведения работ</t>
  </si>
  <si>
    <t>с начала года по отчетный период включительно</t>
  </si>
  <si>
    <t>в том числе за отчетный месяц</t>
  </si>
  <si>
    <t>Всего работ и затрат, включаемых в стоимость</t>
  </si>
  <si>
    <t>В том числе:</t>
  </si>
  <si>
    <t xml:space="preserve">Сумма НДС </t>
  </si>
  <si>
    <t xml:space="preserve">Всего с учетом НДС </t>
  </si>
  <si>
    <t>должность</t>
  </si>
  <si>
    <t>подпись</t>
  </si>
  <si>
    <t>расшифровка подпись</t>
  </si>
  <si>
    <t>МП</t>
  </si>
  <si>
    <t>Комплекс электромонтажных работ по выполнению п.п. 1-6 технических условий №3714 от 10.12.2019г.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</si>
</sst>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18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center" wrapText="1"/>
    </xf>
    <xf numFmtId="164" fontId="11" fillId="0" borderId="0" xfId="0" applyNumberFormat="1" applyFont="1"/>
    <xf numFmtId="0" fontId="11" fillId="0" borderId="0" xfId="0" applyFont="1" applyFill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4" fontId="0" fillId="0" borderId="0" xfId="0" applyNumberFormat="1"/>
    <xf numFmtId="0" fontId="0" fillId="0" borderId="5" xfId="0" applyBorder="1"/>
    <xf numFmtId="0" fontId="17" fillId="0" borderId="0" xfId="0" applyFont="1"/>
    <xf numFmtId="0" fontId="9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1" fillId="0" borderId="1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4" fontId="11" fillId="0" borderId="0" xfId="0" applyNumberFormat="1" applyFont="1"/>
    <xf numFmtId="0" fontId="11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center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wrapText="1"/>
    </xf>
    <xf numFmtId="164" fontId="17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1" fillId="0" borderId="1" xfId="0" applyFont="1" applyBorder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/>
    <xf numFmtId="0" fontId="11" fillId="0" borderId="0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14" fontId="11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11" fillId="0" borderId="3" xfId="0" quotePrefix="1" applyFont="1" applyBorder="1" applyAlignment="1">
      <alignment horizontal="center"/>
    </xf>
    <xf numFmtId="0" fontId="11" fillId="0" borderId="0" xfId="0" applyFont="1" applyAlignment="1">
      <alignment horizontal="right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top" shrinkToFit="1"/>
    </xf>
    <xf numFmtId="0" fontId="11" fillId="0" borderId="8" xfId="0" applyFont="1" applyBorder="1" applyAlignment="1">
      <alignment horizontal="justify" vertical="top" wrapText="1" shrinkToFit="1"/>
    </xf>
    <xf numFmtId="0" fontId="11" fillId="0" borderId="13" xfId="0" applyFont="1" applyBorder="1" applyAlignment="1">
      <alignment horizontal="justify" vertical="top" wrapText="1" shrinkToFit="1"/>
    </xf>
    <xf numFmtId="0" fontId="11" fillId="0" borderId="2" xfId="0" applyFont="1" applyBorder="1" applyAlignment="1">
      <alignment horizontal="justify" vertical="top" wrapText="1" shrinkToFit="1"/>
    </xf>
    <xf numFmtId="0" fontId="11" fillId="0" borderId="9" xfId="0" applyFont="1" applyBorder="1" applyAlignment="1">
      <alignment horizontal="justify" vertical="top" wrapText="1" shrinkToFit="1"/>
    </xf>
    <xf numFmtId="0" fontId="11" fillId="0" borderId="2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0" fontId="11" fillId="0" borderId="0" xfId="0" applyFont="1" applyAlignment="1">
      <alignment horizontal="right" vertical="center" wrapText="1" shrinkToFit="1"/>
    </xf>
    <xf numFmtId="164" fontId="11" fillId="0" borderId="7" xfId="0" applyNumberFormat="1" applyFont="1" applyBorder="1" applyAlignment="1">
      <alignment horizontal="right" vertical="center" wrapText="1" shrinkToFit="1"/>
    </xf>
    <xf numFmtId="0" fontId="11" fillId="0" borderId="9" xfId="0" applyFont="1" applyBorder="1" applyAlignment="1">
      <alignment horizontal="right" vertical="center" wrapText="1" shrinkToFit="1"/>
    </xf>
    <xf numFmtId="164" fontId="11" fillId="0" borderId="8" xfId="0" applyNumberFormat="1" applyFont="1" applyBorder="1" applyAlignment="1">
      <alignment horizontal="right" vertical="center" wrapText="1" shrinkToFit="1"/>
    </xf>
    <xf numFmtId="0" fontId="11" fillId="0" borderId="14" xfId="0" applyFont="1" applyBorder="1" applyAlignment="1">
      <alignment horizontal="right" vertical="center" wrapText="1" shrinkToFit="1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justify" vertical="top" wrapText="1" shrinkToFit="1"/>
    </xf>
    <xf numFmtId="164" fontId="11" fillId="0" borderId="7" xfId="0" applyNumberFormat="1" applyFont="1" applyBorder="1" applyAlignment="1">
      <alignment horizontal="right" wrapText="1" shrinkToFit="1"/>
    </xf>
    <xf numFmtId="0" fontId="11" fillId="0" borderId="2" xfId="0" applyFont="1" applyBorder="1" applyAlignment="1">
      <alignment horizontal="right" wrapText="1" shrinkToFit="1"/>
    </xf>
    <xf numFmtId="0" fontId="11" fillId="0" borderId="9" xfId="0" applyFont="1" applyBorder="1" applyAlignment="1">
      <alignment horizontal="right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14" fontId="11" fillId="0" borderId="14" xfId="0" applyNumberFormat="1" applyFont="1" applyBorder="1" applyAlignment="1">
      <alignment horizontal="center"/>
    </xf>
    <xf numFmtId="14" fontId="11" fillId="0" borderId="13" xfId="0" applyNumberFormat="1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14" fontId="11" fillId="0" borderId="7" xfId="0" applyNumberFormat="1" applyFont="1" applyBorder="1" applyAlignment="1">
      <alignment horizontal="center"/>
    </xf>
    <xf numFmtId="14" fontId="11" fillId="0" borderId="9" xfId="0" applyNumberFormat="1" applyFont="1" applyBorder="1" applyAlignment="1">
      <alignment horizontal="center"/>
    </xf>
    <xf numFmtId="0" fontId="11" fillId="0" borderId="8" xfId="0" applyFont="1" applyBorder="1"/>
    <xf numFmtId="0" fontId="11" fillId="0" borderId="14" xfId="0" applyFont="1" applyBorder="1"/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right"/>
    </xf>
    <xf numFmtId="0" fontId="11" fillId="0" borderId="1" xfId="0" applyFont="1" applyBorder="1"/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4"/>
  <sheetViews>
    <sheetView tabSelected="1" zoomScaleNormal="100" workbookViewId="0"/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6" width="11.7109375" customWidth="1"/>
    <col min="7" max="7" width="12.7109375" customWidth="1"/>
    <col min="8" max="8" width="10.7109375" customWidth="1"/>
    <col min="9" max="11" width="12.7109375" customWidth="1"/>
    <col min="15" max="36" width="0" hidden="1" customWidth="1"/>
    <col min="37" max="37" width="150.7109375" hidden="1" customWidth="1"/>
    <col min="38" max="38" width="104.7109375" hidden="1" customWidth="1"/>
    <col min="39" max="42" width="0" hidden="1" customWidth="1"/>
  </cols>
  <sheetData>
    <row r="1" spans="1:11" x14ac:dyDescent="0.2">
      <c r="A1" s="9" t="str">
        <f>Source!B1</f>
        <v>Smeta.RU  (495) 974-1589</v>
      </c>
    </row>
    <row r="2" spans="1:11" ht="14.2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1" t="s">
        <v>325</v>
      </c>
    </row>
    <row r="3" spans="1:11" ht="16.5" x14ac:dyDescent="0.25">
      <c r="A3" s="12"/>
      <c r="B3" s="67" t="s">
        <v>323</v>
      </c>
      <c r="C3" s="67"/>
      <c r="D3" s="67"/>
      <c r="E3" s="67"/>
      <c r="F3" s="11"/>
      <c r="G3" s="67" t="s">
        <v>324</v>
      </c>
      <c r="H3" s="67"/>
      <c r="I3" s="67"/>
      <c r="J3" s="67"/>
      <c r="K3" s="67"/>
    </row>
    <row r="4" spans="1:11" ht="14.25" x14ac:dyDescent="0.2">
      <c r="A4" s="11"/>
      <c r="B4" s="56"/>
      <c r="C4" s="56"/>
      <c r="D4" s="56"/>
      <c r="E4" s="56"/>
      <c r="F4" s="11"/>
      <c r="G4" s="56"/>
      <c r="H4" s="56"/>
      <c r="I4" s="56"/>
      <c r="J4" s="56"/>
      <c r="K4" s="56"/>
    </row>
    <row r="5" spans="1:11" ht="14.25" x14ac:dyDescent="0.2">
      <c r="A5" s="13"/>
      <c r="B5" s="13"/>
      <c r="C5" s="14"/>
      <c r="D5" s="14"/>
      <c r="E5" s="14"/>
      <c r="F5" s="11"/>
      <c r="G5" s="15"/>
      <c r="H5" s="14"/>
      <c r="I5" s="14"/>
      <c r="J5" s="14"/>
      <c r="K5" s="15"/>
    </row>
    <row r="6" spans="1:11" ht="14.25" x14ac:dyDescent="0.2">
      <c r="A6" s="15"/>
      <c r="B6" s="56" t="str">
        <f>CONCATENATE("______________________ ", IF(Source!AL12&lt;&gt;"", Source!AL12, ""))</f>
        <v xml:space="preserve">______________________ </v>
      </c>
      <c r="C6" s="56"/>
      <c r="D6" s="56"/>
      <c r="E6" s="56"/>
      <c r="F6" s="11"/>
      <c r="G6" s="56" t="str">
        <f>CONCATENATE("______________________ ", IF(Source!AH12&lt;&gt;"", Source!AH12, ""))</f>
        <v xml:space="preserve">______________________ </v>
      </c>
      <c r="H6" s="56"/>
      <c r="I6" s="56"/>
      <c r="J6" s="56"/>
      <c r="K6" s="56"/>
    </row>
    <row r="7" spans="1:11" ht="14.25" x14ac:dyDescent="0.2">
      <c r="A7" s="16"/>
      <c r="B7" s="64" t="s">
        <v>326</v>
      </c>
      <c r="C7" s="64"/>
      <c r="D7" s="64"/>
      <c r="E7" s="64"/>
      <c r="F7" s="11"/>
      <c r="G7" s="64" t="s">
        <v>326</v>
      </c>
      <c r="H7" s="64"/>
      <c r="I7" s="64"/>
      <c r="J7" s="64"/>
      <c r="K7" s="64"/>
    </row>
    <row r="9" spans="1:11" ht="14.25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5.75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1" x14ac:dyDescent="0.2">
      <c r="A11" s="50" t="s">
        <v>327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4.25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5.75" x14ac:dyDescent="0.25">
      <c r="A13" s="65" t="str">
        <f>CONCATENATE( "ЛОКАЛЬНАЯ СМЕТА № ",IF(Source!F12&lt;&gt;"Новый объект", Source!F12, ""))</f>
        <v xml:space="preserve">ЛОКАЛЬНАЯ СМЕТА № 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x14ac:dyDescent="0.2">
      <c r="A14" s="62" t="s">
        <v>328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4.2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8" hidden="1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hidden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18" x14ac:dyDescent="0.25">
      <c r="A18" s="61" t="str">
        <f>IF(Source!G12&lt;&gt;"Новый объект", Source!G12, "")</f>
        <v>Комплекс электромонтажных работ по выполнению п.п. 1-6 технических условий №3714 от 10.12.2019г.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2" t="s">
        <v>329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4.25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14.25" x14ac:dyDescent="0.2">
      <c r="A21" s="47" t="str">
        <f>CONCATENATE( "Основание: чертежи № ", Source!J12)</f>
        <v xml:space="preserve">Основание: чертежи № 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28.5" x14ac:dyDescent="0.2">
      <c r="A22" s="11"/>
      <c r="B22" s="11"/>
      <c r="C22" s="11"/>
      <c r="D22" s="11"/>
      <c r="E22" s="11"/>
      <c r="F22" s="11"/>
      <c r="G22" s="11"/>
      <c r="H22" s="11"/>
      <c r="I22" s="17" t="s">
        <v>330</v>
      </c>
      <c r="J22" s="17" t="s">
        <v>331</v>
      </c>
      <c r="K22" s="11"/>
    </row>
    <row r="23" spans="1:11" ht="14.25" x14ac:dyDescent="0.2">
      <c r="A23" s="11"/>
      <c r="B23" s="11"/>
      <c r="C23" s="11"/>
      <c r="D23" s="11"/>
      <c r="E23" s="11"/>
      <c r="F23" s="56" t="s">
        <v>332</v>
      </c>
      <c r="G23" s="56"/>
      <c r="H23" s="56"/>
      <c r="I23" s="18">
        <f>SUM(O1:O194)/1000</f>
        <v>14.063370000000003</v>
      </c>
      <c r="J23" s="18">
        <f>(Source!F238/1000)</f>
        <v>122.4682</v>
      </c>
      <c r="K23" s="11" t="s">
        <v>362</v>
      </c>
    </row>
    <row r="24" spans="1:11" ht="14.25" x14ac:dyDescent="0.2">
      <c r="A24" s="11"/>
      <c r="B24" s="11"/>
      <c r="C24" s="11"/>
      <c r="D24" s="11"/>
      <c r="E24" s="11"/>
      <c r="F24" s="56" t="s">
        <v>333</v>
      </c>
      <c r="G24" s="56"/>
      <c r="H24" s="56"/>
      <c r="I24" s="18">
        <f>SUM(X1:X194)/1000</f>
        <v>0</v>
      </c>
      <c r="J24" s="18">
        <f>(Source!F228)/1000</f>
        <v>0</v>
      </c>
      <c r="K24" s="11" t="s">
        <v>362</v>
      </c>
    </row>
    <row r="25" spans="1:11" ht="14.25" x14ac:dyDescent="0.2">
      <c r="A25" s="11"/>
      <c r="B25" s="11"/>
      <c r="C25" s="11"/>
      <c r="D25" s="11"/>
      <c r="E25" s="11"/>
      <c r="F25" s="56" t="s">
        <v>120</v>
      </c>
      <c r="G25" s="56"/>
      <c r="H25" s="56"/>
      <c r="I25" s="18">
        <f>SUM(Y1:Y194)/1000</f>
        <v>11.494639999999999</v>
      </c>
      <c r="J25" s="18">
        <f>(Source!F229)/1000</f>
        <v>71.937250000000006</v>
      </c>
      <c r="K25" s="11" t="s">
        <v>362</v>
      </c>
    </row>
    <row r="26" spans="1:11" ht="14.25" x14ac:dyDescent="0.2">
      <c r="A26" s="11"/>
      <c r="B26" s="11"/>
      <c r="C26" s="11"/>
      <c r="D26" s="11"/>
      <c r="E26" s="11"/>
      <c r="F26" s="56" t="s">
        <v>334</v>
      </c>
      <c r="G26" s="56"/>
      <c r="H26" s="56"/>
      <c r="I26" s="18">
        <f>SUM(Z1:Z194)/1000</f>
        <v>0</v>
      </c>
      <c r="J26" s="18">
        <f>(Source!F220)/1000</f>
        <v>0</v>
      </c>
      <c r="K26" s="11" t="s">
        <v>362</v>
      </c>
    </row>
    <row r="27" spans="1:11" ht="14.25" x14ac:dyDescent="0.2">
      <c r="A27" s="11"/>
      <c r="B27" s="11"/>
      <c r="C27" s="11"/>
      <c r="D27" s="11"/>
      <c r="E27" s="11"/>
      <c r="F27" s="56" t="s">
        <v>335</v>
      </c>
      <c r="G27" s="56"/>
      <c r="H27" s="56"/>
      <c r="I27" s="18">
        <f>SUM(AA1:AA194)/1000</f>
        <v>2.56873</v>
      </c>
      <c r="J27" s="18">
        <f>(Source!F230+Source!F231)/1000</f>
        <v>50.530949999999997</v>
      </c>
      <c r="K27" s="11" t="s">
        <v>362</v>
      </c>
    </row>
    <row r="28" spans="1:11" ht="14.25" x14ac:dyDescent="0.2">
      <c r="A28" s="11"/>
      <c r="B28" s="11"/>
      <c r="C28" s="11"/>
      <c r="D28" s="11"/>
      <c r="E28" s="11"/>
      <c r="F28" s="56" t="s">
        <v>336</v>
      </c>
      <c r="G28" s="56"/>
      <c r="H28" s="56"/>
      <c r="I28" s="18">
        <f>SUM(W1:W194)/1000</f>
        <v>1.96557</v>
      </c>
      <c r="J28" s="18">
        <f>(Source!F226+ Source!F225)/1000</f>
        <v>45.326039999999999</v>
      </c>
      <c r="K28" s="11" t="s">
        <v>362</v>
      </c>
    </row>
    <row r="29" spans="1:11" ht="14.25" hidden="1" x14ac:dyDescent="0.2">
      <c r="A29" s="11"/>
      <c r="B29" s="11"/>
      <c r="C29" s="11"/>
      <c r="D29" s="11"/>
      <c r="E29" s="11"/>
      <c r="F29" s="19" t="s">
        <v>337</v>
      </c>
      <c r="G29" s="19"/>
      <c r="H29" s="19"/>
      <c r="I29" s="18"/>
      <c r="J29" s="18"/>
      <c r="K29" s="11"/>
    </row>
    <row r="30" spans="1:11" ht="14.25" hidden="1" x14ac:dyDescent="0.2">
      <c r="A30" s="11"/>
      <c r="B30" s="11"/>
      <c r="C30" s="11"/>
      <c r="D30" s="11"/>
      <c r="E30" s="11"/>
      <c r="F30" s="57" t="s">
        <v>107</v>
      </c>
      <c r="G30" s="58"/>
      <c r="H30" s="58"/>
      <c r="I30" s="18">
        <f>SUM(AE1:AE194)/1000</f>
        <v>0</v>
      </c>
      <c r="J30" s="18">
        <f>SUM(AF1:AF194)/1000</f>
        <v>0</v>
      </c>
      <c r="K30" s="11" t="s">
        <v>362</v>
      </c>
    </row>
    <row r="31" spans="1:11" ht="14.25" x14ac:dyDescent="0.2">
      <c r="A31" s="59" t="s">
        <v>349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1" ht="57" x14ac:dyDescent="0.2">
      <c r="A32" s="20" t="s">
        <v>338</v>
      </c>
      <c r="B32" s="20" t="s">
        <v>339</v>
      </c>
      <c r="C32" s="20" t="s">
        <v>340</v>
      </c>
      <c r="D32" s="20" t="s">
        <v>341</v>
      </c>
      <c r="E32" s="20" t="s">
        <v>342</v>
      </c>
      <c r="F32" s="20" t="s">
        <v>343</v>
      </c>
      <c r="G32" s="21" t="s">
        <v>344</v>
      </c>
      <c r="H32" s="21" t="s">
        <v>345</v>
      </c>
      <c r="I32" s="20" t="s">
        <v>346</v>
      </c>
      <c r="J32" s="20" t="s">
        <v>347</v>
      </c>
      <c r="K32" s="20" t="s">
        <v>348</v>
      </c>
    </row>
    <row r="33" spans="1:37" ht="14.25" x14ac:dyDescent="0.2">
      <c r="A33" s="20">
        <v>1</v>
      </c>
      <c r="B33" s="20">
        <v>2</v>
      </c>
      <c r="C33" s="20">
        <v>3</v>
      </c>
      <c r="D33" s="20">
        <v>4</v>
      </c>
      <c r="E33" s="20">
        <v>5</v>
      </c>
      <c r="F33" s="20">
        <v>6</v>
      </c>
      <c r="G33" s="20">
        <v>7</v>
      </c>
      <c r="H33" s="20">
        <v>8</v>
      </c>
      <c r="I33" s="20">
        <v>9</v>
      </c>
      <c r="J33" s="20">
        <v>10</v>
      </c>
      <c r="K33" s="20">
        <v>11</v>
      </c>
    </row>
    <row r="35" spans="1:37" ht="33" x14ac:dyDescent="0.25">
      <c r="A35" s="55" t="str">
        <f>CONCATENATE("Локальная смета: ",IF(Source!G20&lt;&gt;"Новая локальная смета", Source!G20, ""))</f>
        <v>Локальная смета: Комплекс электромонтажных работ по адресу: МО, Люберецкий р-н, п. Октябрьский мкр. Западный, Спортивная ул., д. 2, ТУ3714 от 10.12.2019 г. п.п. 1-7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AK35" s="22" t="str">
        <f>CONCATENATE("Локальная смета: ",IF(Source!G20&lt;&gt;"Новая локальная смета", Source!G20, ""))</f>
        <v>Локальная смета: Комплекс электромонтажных работ по адресу: МО, Люберецкий р-н, п. Октябрьский мкр. Западный, Спортивная ул., д. 2, ТУ3714 от 10.12.2019 г. п.п. 1-7</v>
      </c>
    </row>
    <row r="37" spans="1:37" ht="16.5" x14ac:dyDescent="0.25">
      <c r="A37" s="55" t="str">
        <f>CONCATENATE("Раздел: ",IF(Source!G24&lt;&gt;"Новый раздел", Source!G24, ""))</f>
        <v>Раздел: Демонтажные работы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37" ht="28.5" x14ac:dyDescent="0.2">
      <c r="A38" s="23" t="str">
        <f>Source!E31</f>
        <v>4</v>
      </c>
      <c r="B38" s="24" t="str">
        <f>Source!F31</f>
        <v>4.8-59-1</v>
      </c>
      <c r="C38" s="24" t="s">
        <v>43</v>
      </c>
      <c r="D38" s="25" t="str">
        <f>Source!H31</f>
        <v>100 шт.</v>
      </c>
      <c r="E38" s="10">
        <f>Source!I31</f>
        <v>0.06</v>
      </c>
      <c r="F38" s="27"/>
      <c r="G38" s="26"/>
      <c r="H38" s="10"/>
      <c r="I38" s="28"/>
      <c r="J38" s="10"/>
      <c r="K38" s="28"/>
      <c r="Q38">
        <f>ROUND((Source!DN31/100)*ROUND((ROUND((Source!AF31*Source!AV31*Source!I31),2)),2), 2)</f>
        <v>10.67</v>
      </c>
      <c r="R38">
        <f>Source!X31</f>
        <v>166.2</v>
      </c>
      <c r="S38">
        <f>ROUND((Source!DO31/100)*ROUND((ROUND((Source!AF31*Source!AV31*Source!I31),2)),2), 2)</f>
        <v>6.27</v>
      </c>
      <c r="T38">
        <f>Source!Y31</f>
        <v>88.49</v>
      </c>
      <c r="U38">
        <f>ROUND((175/100)*ROUND((ROUND((Source!AE31*Source!AV31*Source!I31),2)),2), 2)</f>
        <v>7.0000000000000007E-2</v>
      </c>
      <c r="V38">
        <f>ROUND((157/100)*ROUND(ROUND((ROUND((Source!AE31*Source!AV31*Source!I31),2)*Source!BS31),2), 2), 2)</f>
        <v>1.44</v>
      </c>
    </row>
    <row r="39" spans="1:37" ht="14.25" x14ac:dyDescent="0.2">
      <c r="A39" s="23"/>
      <c r="B39" s="24"/>
      <c r="C39" s="24" t="s">
        <v>350</v>
      </c>
      <c r="D39" s="25"/>
      <c r="E39" s="10"/>
      <c r="F39" s="27">
        <f>Source!AO31</f>
        <v>519.94000000000005</v>
      </c>
      <c r="G39" s="26" t="str">
        <f>Source!DG31</f>
        <v>*0,3</v>
      </c>
      <c r="H39" s="10">
        <f>Source!AV31</f>
        <v>1</v>
      </c>
      <c r="I39" s="28">
        <f>ROUND((ROUND((Source!AF31*Source!AV31*Source!I31),2)),2)</f>
        <v>9.36</v>
      </c>
      <c r="J39" s="10">
        <f>IF(Source!BA31&lt;&gt; 0, Source!BA31, 1)</f>
        <v>23.06</v>
      </c>
      <c r="K39" s="28">
        <f>Source!S31</f>
        <v>215.84</v>
      </c>
      <c r="W39">
        <f>I39</f>
        <v>9.36</v>
      </c>
    </row>
    <row r="40" spans="1:37" ht="14.25" x14ac:dyDescent="0.2">
      <c r="A40" s="23"/>
      <c r="B40" s="24"/>
      <c r="C40" s="24" t="s">
        <v>351</v>
      </c>
      <c r="D40" s="25"/>
      <c r="E40" s="10"/>
      <c r="F40" s="27">
        <f>Source!AM31</f>
        <v>15.41</v>
      </c>
      <c r="G40" s="26" t="str">
        <f>Source!DE31</f>
        <v>*0,3</v>
      </c>
      <c r="H40" s="10">
        <f>Source!AV31</f>
        <v>1</v>
      </c>
      <c r="I40" s="28">
        <f>(ROUND((ROUND((((Source!ET31*0.3))*Source!AV31*Source!I31),2)),2)+ROUND((ROUND(((Source!AE31-((Source!EU31*0.3)))*Source!AV31*Source!I31),2)),2))</f>
        <v>0.28000000000000003</v>
      </c>
      <c r="J40" s="10">
        <f>IF(Source!BB31&lt;&gt; 0, Source!BB31, 1)</f>
        <v>7.95</v>
      </c>
      <c r="K40" s="28">
        <f>Source!Q31</f>
        <v>2.23</v>
      </c>
    </row>
    <row r="41" spans="1:37" ht="14.25" x14ac:dyDescent="0.2">
      <c r="A41" s="23"/>
      <c r="B41" s="24"/>
      <c r="C41" s="24" t="s">
        <v>352</v>
      </c>
      <c r="D41" s="25"/>
      <c r="E41" s="10"/>
      <c r="F41" s="27">
        <f>Source!AN31</f>
        <v>2.39</v>
      </c>
      <c r="G41" s="26" t="str">
        <f>Source!DF31</f>
        <v>*0,3</v>
      </c>
      <c r="H41" s="10">
        <f>Source!AV31</f>
        <v>1</v>
      </c>
      <c r="I41" s="29">
        <f>ROUND((ROUND((Source!AE31*Source!AV31*Source!I31),2)),2)</f>
        <v>0.04</v>
      </c>
      <c r="J41" s="10">
        <f>IF(Source!BS31&lt;&gt; 0, Source!BS31, 1)</f>
        <v>23.06</v>
      </c>
      <c r="K41" s="29">
        <f>Source!R31</f>
        <v>0.92</v>
      </c>
      <c r="W41">
        <f>I41</f>
        <v>0.04</v>
      </c>
    </row>
    <row r="42" spans="1:37" ht="14.25" x14ac:dyDescent="0.2">
      <c r="A42" s="23"/>
      <c r="B42" s="24"/>
      <c r="C42" s="24" t="s">
        <v>353</v>
      </c>
      <c r="D42" s="25" t="s">
        <v>354</v>
      </c>
      <c r="E42" s="10">
        <f>Source!DN31</f>
        <v>114</v>
      </c>
      <c r="F42" s="27"/>
      <c r="G42" s="26"/>
      <c r="H42" s="10"/>
      <c r="I42" s="28">
        <f>SUM(Q38:Q41)</f>
        <v>10.67</v>
      </c>
      <c r="J42" s="10">
        <f>Source!BZ31</f>
        <v>77</v>
      </c>
      <c r="K42" s="28">
        <f>SUM(R38:R41)</f>
        <v>166.2</v>
      </c>
    </row>
    <row r="43" spans="1:37" ht="14.25" x14ac:dyDescent="0.2">
      <c r="A43" s="23"/>
      <c r="B43" s="24"/>
      <c r="C43" s="24" t="s">
        <v>355</v>
      </c>
      <c r="D43" s="25" t="s">
        <v>354</v>
      </c>
      <c r="E43" s="10">
        <f>Source!DO31</f>
        <v>67</v>
      </c>
      <c r="F43" s="27"/>
      <c r="G43" s="26"/>
      <c r="H43" s="10"/>
      <c r="I43" s="28">
        <f>SUM(S38:S42)</f>
        <v>6.27</v>
      </c>
      <c r="J43" s="10">
        <f>Source!CA31</f>
        <v>41</v>
      </c>
      <c r="K43" s="28">
        <f>SUM(T38:T42)</f>
        <v>88.49</v>
      </c>
    </row>
    <row r="44" spans="1:37" ht="14.25" x14ac:dyDescent="0.2">
      <c r="A44" s="23"/>
      <c r="B44" s="24"/>
      <c r="C44" s="24" t="s">
        <v>356</v>
      </c>
      <c r="D44" s="25" t="s">
        <v>354</v>
      </c>
      <c r="E44" s="10">
        <f>175</f>
        <v>175</v>
      </c>
      <c r="F44" s="27"/>
      <c r="G44" s="26"/>
      <c r="H44" s="10"/>
      <c r="I44" s="28">
        <f>SUM(U38:U43)</f>
        <v>7.0000000000000007E-2</v>
      </c>
      <c r="J44" s="10">
        <f>157</f>
        <v>157</v>
      </c>
      <c r="K44" s="28">
        <f>SUM(V38:V43)</f>
        <v>1.44</v>
      </c>
    </row>
    <row r="45" spans="1:37" ht="14.25" x14ac:dyDescent="0.2">
      <c r="A45" s="23"/>
      <c r="B45" s="24"/>
      <c r="C45" s="24" t="s">
        <v>357</v>
      </c>
      <c r="D45" s="25" t="s">
        <v>358</v>
      </c>
      <c r="E45" s="10">
        <f>Source!AQ31</f>
        <v>41.2</v>
      </c>
      <c r="F45" s="27"/>
      <c r="G45" s="26" t="str">
        <f>Source!DI31</f>
        <v>*0,3</v>
      </c>
      <c r="H45" s="10">
        <f>Source!AV31</f>
        <v>1</v>
      </c>
      <c r="I45" s="28">
        <f>Source!U31</f>
        <v>0.74160000000000004</v>
      </c>
      <c r="J45" s="10"/>
      <c r="K45" s="28"/>
    </row>
    <row r="46" spans="1:37" ht="15" x14ac:dyDescent="0.25">
      <c r="A46" s="31"/>
      <c r="B46" s="31"/>
      <c r="C46" s="31"/>
      <c r="D46" s="31"/>
      <c r="E46" s="31"/>
      <c r="F46" s="31"/>
      <c r="G46" s="31"/>
      <c r="H46" s="54">
        <f>I39+I40+I42+I43+I44</f>
        <v>26.65</v>
      </c>
      <c r="I46" s="54"/>
      <c r="J46" s="54">
        <f>K39+K40+K42+K43+K44</f>
        <v>474.2</v>
      </c>
      <c r="K46" s="54"/>
      <c r="O46" s="30">
        <f>I39+I40+I42+I43+I44</f>
        <v>26.65</v>
      </c>
      <c r="P46" s="30">
        <f>K39+K40+K42+K43+K44</f>
        <v>474.2</v>
      </c>
      <c r="X46">
        <f>IF(Source!BI31&lt;=1,I39+I40+I42+I43+I44-0, 0)</f>
        <v>0</v>
      </c>
      <c r="Y46">
        <f>IF(Source!BI31=2,I39+I40+I42+I43+I44-0, 0)</f>
        <v>26.65</v>
      </c>
      <c r="Z46">
        <f>IF(Source!BI31=3,I39+I40+I42+I43+I44-0, 0)</f>
        <v>0</v>
      </c>
      <c r="AA46">
        <f>IF(Source!BI31=4,I39+I40+I42+I43+I44,0)</f>
        <v>0</v>
      </c>
    </row>
    <row r="47" spans="1:37" ht="14.25" x14ac:dyDescent="0.2">
      <c r="A47" s="23" t="str">
        <f>Source!E32</f>
        <v>5</v>
      </c>
      <c r="B47" s="24" t="str">
        <f>Source!F32</f>
        <v>4.8-56-1</v>
      </c>
      <c r="C47" s="24" t="s">
        <v>50</v>
      </c>
      <c r="D47" s="25" t="str">
        <f>Source!H32</f>
        <v>1  ШТ.</v>
      </c>
      <c r="E47" s="10">
        <f>Source!I32</f>
        <v>3</v>
      </c>
      <c r="F47" s="27"/>
      <c r="G47" s="26"/>
      <c r="H47" s="10"/>
      <c r="I47" s="28"/>
      <c r="J47" s="10"/>
      <c r="K47" s="28"/>
      <c r="Q47">
        <f>ROUND((Source!DN32/100)*ROUND((ROUND((Source!AF32*Source!AV32*Source!I32),2)),2), 2)</f>
        <v>173.51</v>
      </c>
      <c r="R47">
        <f>Source!X32</f>
        <v>2702.49</v>
      </c>
      <c r="S47">
        <f>ROUND((Source!DO32/100)*ROUND((ROUND((Source!AF32*Source!AV32*Source!I32),2)),2), 2)</f>
        <v>101.97</v>
      </c>
      <c r="T47">
        <f>Source!Y32</f>
        <v>1438.99</v>
      </c>
      <c r="U47">
        <f>ROUND((175/100)*ROUND((ROUND((Source!AE32*Source!AV32*Source!I32),2)),2), 2)</f>
        <v>5.85</v>
      </c>
      <c r="V47">
        <f>ROUND((157/100)*ROUND(ROUND((ROUND((Source!AE32*Source!AV32*Source!I32),2)*Source!BS32),2), 2), 2)</f>
        <v>120.92</v>
      </c>
    </row>
    <row r="48" spans="1:37" ht="14.25" x14ac:dyDescent="0.2">
      <c r="A48" s="23"/>
      <c r="B48" s="24"/>
      <c r="C48" s="24" t="s">
        <v>350</v>
      </c>
      <c r="D48" s="25"/>
      <c r="E48" s="10"/>
      <c r="F48" s="27">
        <f>Source!AO32</f>
        <v>169.11</v>
      </c>
      <c r="G48" s="26" t="str">
        <f>Source!DG32</f>
        <v>)*0,3</v>
      </c>
      <c r="H48" s="10">
        <f>Source!AV32</f>
        <v>1</v>
      </c>
      <c r="I48" s="28">
        <f>ROUND((ROUND((Source!AF32*Source!AV32*Source!I32),2)),2)</f>
        <v>152.19999999999999</v>
      </c>
      <c r="J48" s="10">
        <f>IF(Source!BA32&lt;&gt; 0, Source!BA32, 1)</f>
        <v>23.06</v>
      </c>
      <c r="K48" s="28">
        <f>Source!S32</f>
        <v>3509.73</v>
      </c>
      <c r="W48">
        <f>I48</f>
        <v>152.19999999999999</v>
      </c>
    </row>
    <row r="49" spans="1:27" ht="14.25" x14ac:dyDescent="0.2">
      <c r="A49" s="23"/>
      <c r="B49" s="24"/>
      <c r="C49" s="24" t="s">
        <v>351</v>
      </c>
      <c r="D49" s="25"/>
      <c r="E49" s="10"/>
      <c r="F49" s="27">
        <f>Source!AM32</f>
        <v>27.48</v>
      </c>
      <c r="G49" s="26" t="str">
        <f>Source!DE32</f>
        <v>)*0,3</v>
      </c>
      <c r="H49" s="10">
        <f>Source!AV32</f>
        <v>1</v>
      </c>
      <c r="I49" s="28">
        <f>(ROUND((ROUND((((Source!ET32*0.3))*Source!AV32*Source!I32),2)),2)+ROUND((ROUND(((Source!AE32-((Source!EU32*0.3)))*Source!AV32*Source!I32),2)),2))</f>
        <v>24.73</v>
      </c>
      <c r="J49" s="10">
        <f>IF(Source!BB32&lt;&gt; 0, Source!BB32, 1)</f>
        <v>7.59</v>
      </c>
      <c r="K49" s="28">
        <f>Source!Q32</f>
        <v>187.7</v>
      </c>
    </row>
    <row r="50" spans="1:27" ht="14.25" x14ac:dyDescent="0.2">
      <c r="A50" s="23"/>
      <c r="B50" s="24"/>
      <c r="C50" s="24" t="s">
        <v>352</v>
      </c>
      <c r="D50" s="25"/>
      <c r="E50" s="10"/>
      <c r="F50" s="27">
        <f>Source!AN32</f>
        <v>3.71</v>
      </c>
      <c r="G50" s="26" t="str">
        <f>Source!DF32</f>
        <v>)*0,3</v>
      </c>
      <c r="H50" s="10">
        <f>Source!AV32</f>
        <v>1</v>
      </c>
      <c r="I50" s="29">
        <f>ROUND((ROUND((Source!AE32*Source!AV32*Source!I32),2)),2)</f>
        <v>3.34</v>
      </c>
      <c r="J50" s="10">
        <f>IF(Source!BS32&lt;&gt; 0, Source!BS32, 1)</f>
        <v>23.06</v>
      </c>
      <c r="K50" s="29">
        <f>Source!R32</f>
        <v>77.02</v>
      </c>
      <c r="W50">
        <f>I50</f>
        <v>3.34</v>
      </c>
    </row>
    <row r="51" spans="1:27" ht="14.25" x14ac:dyDescent="0.2">
      <c r="A51" s="23"/>
      <c r="B51" s="24"/>
      <c r="C51" s="24" t="s">
        <v>353</v>
      </c>
      <c r="D51" s="25" t="s">
        <v>354</v>
      </c>
      <c r="E51" s="10">
        <f>Source!DN32</f>
        <v>114</v>
      </c>
      <c r="F51" s="27"/>
      <c r="G51" s="26"/>
      <c r="H51" s="10"/>
      <c r="I51" s="28">
        <f>SUM(Q47:Q50)</f>
        <v>173.51</v>
      </c>
      <c r="J51" s="10">
        <f>Source!BZ32</f>
        <v>77</v>
      </c>
      <c r="K51" s="28">
        <f>SUM(R47:R50)</f>
        <v>2702.49</v>
      </c>
    </row>
    <row r="52" spans="1:27" ht="14.25" x14ac:dyDescent="0.2">
      <c r="A52" s="23"/>
      <c r="B52" s="24"/>
      <c r="C52" s="24" t="s">
        <v>355</v>
      </c>
      <c r="D52" s="25" t="s">
        <v>354</v>
      </c>
      <c r="E52" s="10">
        <f>Source!DO32</f>
        <v>67</v>
      </c>
      <c r="F52" s="27"/>
      <c r="G52" s="26"/>
      <c r="H52" s="10"/>
      <c r="I52" s="28">
        <f>SUM(S47:S51)</f>
        <v>101.97</v>
      </c>
      <c r="J52" s="10">
        <f>Source!CA32</f>
        <v>41</v>
      </c>
      <c r="K52" s="28">
        <f>SUM(T47:T51)</f>
        <v>1438.99</v>
      </c>
    </row>
    <row r="53" spans="1:27" ht="14.25" x14ac:dyDescent="0.2">
      <c r="A53" s="23"/>
      <c r="B53" s="24"/>
      <c r="C53" s="24" t="s">
        <v>356</v>
      </c>
      <c r="D53" s="25" t="s">
        <v>354</v>
      </c>
      <c r="E53" s="10">
        <f>175</f>
        <v>175</v>
      </c>
      <c r="F53" s="27"/>
      <c r="G53" s="26"/>
      <c r="H53" s="10"/>
      <c r="I53" s="28">
        <f>SUM(U47:U52)</f>
        <v>5.85</v>
      </c>
      <c r="J53" s="10">
        <f>157</f>
        <v>157</v>
      </c>
      <c r="K53" s="28">
        <f>SUM(V47:V52)</f>
        <v>120.92</v>
      </c>
    </row>
    <row r="54" spans="1:27" ht="14.25" x14ac:dyDescent="0.2">
      <c r="A54" s="23"/>
      <c r="B54" s="24"/>
      <c r="C54" s="24" t="s">
        <v>357</v>
      </c>
      <c r="D54" s="25" t="s">
        <v>358</v>
      </c>
      <c r="E54" s="10">
        <f>Source!AQ32</f>
        <v>13.4</v>
      </c>
      <c r="F54" s="27"/>
      <c r="G54" s="26" t="str">
        <f>Source!DI32</f>
        <v>)*0,3</v>
      </c>
      <c r="H54" s="10">
        <f>Source!AV32</f>
        <v>1</v>
      </c>
      <c r="I54" s="28">
        <f>Source!U32</f>
        <v>12.059999999999999</v>
      </c>
      <c r="J54" s="10"/>
      <c r="K54" s="28"/>
    </row>
    <row r="55" spans="1:27" ht="15" x14ac:dyDescent="0.25">
      <c r="A55" s="31"/>
      <c r="B55" s="31"/>
      <c r="C55" s="31"/>
      <c r="D55" s="31"/>
      <c r="E55" s="31"/>
      <c r="F55" s="31"/>
      <c r="G55" s="31"/>
      <c r="H55" s="54">
        <f>I48+I49+I51+I52+I53</f>
        <v>458.26</v>
      </c>
      <c r="I55" s="54"/>
      <c r="J55" s="54">
        <f>K48+K49+K51+K52+K53</f>
        <v>7959.83</v>
      </c>
      <c r="K55" s="54"/>
      <c r="O55" s="30">
        <f>I48+I49+I51+I52+I53</f>
        <v>458.26</v>
      </c>
      <c r="P55" s="30">
        <f>K48+K49+K51+K52+K53</f>
        <v>7959.83</v>
      </c>
      <c r="X55">
        <f>IF(Source!BI32&lt;=1,I48+I49+I51+I52+I53-0, 0)</f>
        <v>0</v>
      </c>
      <c r="Y55">
        <f>IF(Source!BI32=2,I48+I49+I51+I52+I53-0, 0)</f>
        <v>458.26</v>
      </c>
      <c r="Z55">
        <f>IF(Source!BI32=3,I48+I49+I51+I52+I53-0, 0)</f>
        <v>0</v>
      </c>
      <c r="AA55">
        <f>IF(Source!BI32=4,I48+I49+I51+I52+I53,0)</f>
        <v>0</v>
      </c>
    </row>
    <row r="56" spans="1:27" ht="14.25" x14ac:dyDescent="0.2">
      <c r="A56" s="23" t="str">
        <f>Source!E35</f>
        <v>8</v>
      </c>
      <c r="B56" s="24" t="str">
        <f>Source!F35</f>
        <v>4.8-76-3</v>
      </c>
      <c r="C56" s="24" t="s">
        <v>64</v>
      </c>
      <c r="D56" s="25" t="str">
        <f>Source!H35</f>
        <v>100 шт.</v>
      </c>
      <c r="E56" s="10">
        <f>Source!I35</f>
        <v>0.36</v>
      </c>
      <c r="F56" s="27"/>
      <c r="G56" s="26"/>
      <c r="H56" s="10"/>
      <c r="I56" s="28"/>
      <c r="J56" s="10"/>
      <c r="K56" s="28"/>
      <c r="Q56">
        <f>ROUND((Source!DN35/100)*ROUND((ROUND((Source!AF35*Source!AV35*Source!I35),2)),2), 2)</f>
        <v>23.07</v>
      </c>
      <c r="R56">
        <f>Source!X35</f>
        <v>359.38</v>
      </c>
      <c r="S56">
        <f>ROUND((Source!DO35/100)*ROUND((ROUND((Source!AF35*Source!AV35*Source!I35),2)),2), 2)</f>
        <v>13.56</v>
      </c>
      <c r="T56">
        <f>Source!Y35</f>
        <v>191.36</v>
      </c>
      <c r="U56">
        <f>ROUND((175/100)*ROUND((ROUND((Source!AE35*Source!AV35*Source!I35),2)),2), 2)</f>
        <v>0</v>
      </c>
      <c r="V56">
        <f>ROUND((157/100)*ROUND(ROUND((ROUND((Source!AE35*Source!AV35*Source!I35),2)*Source!BS35),2), 2), 2)</f>
        <v>0</v>
      </c>
    </row>
    <row r="57" spans="1:27" ht="14.25" x14ac:dyDescent="0.2">
      <c r="A57" s="23"/>
      <c r="B57" s="24"/>
      <c r="C57" s="24" t="s">
        <v>350</v>
      </c>
      <c r="D57" s="25"/>
      <c r="E57" s="10"/>
      <c r="F57" s="27">
        <f>Source!AO35</f>
        <v>187.42</v>
      </c>
      <c r="G57" s="26" t="str">
        <f>Source!DG35</f>
        <v>*0,3</v>
      </c>
      <c r="H57" s="10">
        <f>Source!AV35</f>
        <v>1</v>
      </c>
      <c r="I57" s="28">
        <f>ROUND((ROUND((Source!AF35*Source!AV35*Source!I35),2)),2)</f>
        <v>20.239999999999998</v>
      </c>
      <c r="J57" s="10">
        <f>IF(Source!BA35&lt;&gt; 0, Source!BA35, 1)</f>
        <v>23.06</v>
      </c>
      <c r="K57" s="28">
        <f>Source!S35</f>
        <v>466.73</v>
      </c>
      <c r="W57">
        <f>I57</f>
        <v>20.239999999999998</v>
      </c>
    </row>
    <row r="58" spans="1:27" ht="14.25" x14ac:dyDescent="0.2">
      <c r="A58" s="23"/>
      <c r="B58" s="24"/>
      <c r="C58" s="24" t="s">
        <v>353</v>
      </c>
      <c r="D58" s="25" t="s">
        <v>354</v>
      </c>
      <c r="E58" s="10">
        <f>Source!DN35</f>
        <v>114</v>
      </c>
      <c r="F58" s="27"/>
      <c r="G58" s="26"/>
      <c r="H58" s="10"/>
      <c r="I58" s="28">
        <f>SUM(Q56:Q57)</f>
        <v>23.07</v>
      </c>
      <c r="J58" s="10">
        <f>Source!BZ35</f>
        <v>77</v>
      </c>
      <c r="K58" s="28">
        <f>SUM(R56:R57)</f>
        <v>359.38</v>
      </c>
    </row>
    <row r="59" spans="1:27" ht="14.25" x14ac:dyDescent="0.2">
      <c r="A59" s="23"/>
      <c r="B59" s="24"/>
      <c r="C59" s="24" t="s">
        <v>355</v>
      </c>
      <c r="D59" s="25" t="s">
        <v>354</v>
      </c>
      <c r="E59" s="10">
        <f>Source!DO35</f>
        <v>67</v>
      </c>
      <c r="F59" s="27"/>
      <c r="G59" s="26"/>
      <c r="H59" s="10"/>
      <c r="I59" s="28">
        <f>SUM(S56:S58)</f>
        <v>13.56</v>
      </c>
      <c r="J59" s="10">
        <f>Source!CA35</f>
        <v>41</v>
      </c>
      <c r="K59" s="28">
        <f>SUM(T56:T58)</f>
        <v>191.36</v>
      </c>
    </row>
    <row r="60" spans="1:27" ht="14.25" x14ac:dyDescent="0.2">
      <c r="A60" s="23"/>
      <c r="B60" s="24"/>
      <c r="C60" s="24" t="s">
        <v>357</v>
      </c>
      <c r="D60" s="25" t="s">
        <v>358</v>
      </c>
      <c r="E60" s="10">
        <f>Source!AQ35</f>
        <v>15.2</v>
      </c>
      <c r="F60" s="27"/>
      <c r="G60" s="26" t="str">
        <f>Source!DI35</f>
        <v>*0,3</v>
      </c>
      <c r="H60" s="10">
        <f>Source!AV35</f>
        <v>1</v>
      </c>
      <c r="I60" s="28">
        <f>Source!U35</f>
        <v>1.6415999999999997</v>
      </c>
      <c r="J60" s="10"/>
      <c r="K60" s="28"/>
    </row>
    <row r="61" spans="1:27" ht="15" x14ac:dyDescent="0.25">
      <c r="A61" s="31"/>
      <c r="B61" s="31"/>
      <c r="C61" s="31"/>
      <c r="D61" s="31"/>
      <c r="E61" s="31"/>
      <c r="F61" s="31"/>
      <c r="G61" s="31"/>
      <c r="H61" s="54">
        <f>I57+I58+I59</f>
        <v>56.870000000000005</v>
      </c>
      <c r="I61" s="54"/>
      <c r="J61" s="54">
        <f>K57+K58+K59</f>
        <v>1017.47</v>
      </c>
      <c r="K61" s="54"/>
      <c r="O61" s="30">
        <f>I57+I58+I59</f>
        <v>56.870000000000005</v>
      </c>
      <c r="P61" s="30">
        <f>K57+K58+K59</f>
        <v>1017.47</v>
      </c>
      <c r="X61">
        <f>IF(Source!BI35&lt;=1,I57+I58+I59-0, 0)</f>
        <v>0</v>
      </c>
      <c r="Y61">
        <f>IF(Source!BI35=2,I57+I58+I59-0, 0)</f>
        <v>56.870000000000005</v>
      </c>
      <c r="Z61">
        <f>IF(Source!BI35=3,I57+I58+I59-0, 0)</f>
        <v>0</v>
      </c>
      <c r="AA61">
        <f>IF(Source!BI35=4,I57+I58+I59,0)</f>
        <v>0</v>
      </c>
    </row>
    <row r="63" spans="1:27" ht="15" x14ac:dyDescent="0.25">
      <c r="A63" s="53" t="str">
        <f>CONCATENATE("Итого по разделу: ",IF(Source!G37&lt;&gt;"Новый раздел", Source!G37, ""))</f>
        <v>Итого по разделу: Демонтажные работы</v>
      </c>
      <c r="B63" s="53"/>
      <c r="C63" s="53"/>
      <c r="D63" s="53"/>
      <c r="E63" s="53"/>
      <c r="F63" s="53"/>
      <c r="G63" s="53"/>
      <c r="H63" s="51">
        <f>SUM(O37:O62)</f>
        <v>541.78</v>
      </c>
      <c r="I63" s="52"/>
      <c r="J63" s="51">
        <f>SUM(P37:P62)</f>
        <v>9451.5</v>
      </c>
      <c r="K63" s="52"/>
    </row>
    <row r="64" spans="1:27" hidden="1" x14ac:dyDescent="0.2">
      <c r="A64" t="s">
        <v>359</v>
      </c>
      <c r="I64">
        <f>SUM(AC37:AC63)</f>
        <v>0</v>
      </c>
      <c r="J64">
        <f>SUM(AD37:AD63)</f>
        <v>0</v>
      </c>
    </row>
    <row r="65" spans="1:27" hidden="1" x14ac:dyDescent="0.2">
      <c r="A65" t="s">
        <v>360</v>
      </c>
      <c r="I65">
        <f>SUM(AE37:AE64)</f>
        <v>0</v>
      </c>
      <c r="J65">
        <f>SUM(AF37:AF64)</f>
        <v>0</v>
      </c>
    </row>
    <row r="67" spans="1:27" ht="16.5" x14ac:dyDescent="0.25">
      <c r="A67" s="55" t="str">
        <f>CONCATENATE("Раздел: ",IF(Source!G66&lt;&gt;"Новый раздел", Source!G66, ""))</f>
        <v>Раздел: Монтажные работы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27" ht="85.5" x14ac:dyDescent="0.2">
      <c r="A68" s="23" t="str">
        <f>Source!E70</f>
        <v>1</v>
      </c>
      <c r="B68" s="24" t="str">
        <f>Source!F70</f>
        <v>4.8-218-1</v>
      </c>
      <c r="C68" s="24" t="s">
        <v>122</v>
      </c>
      <c r="D68" s="25" t="str">
        <f>Source!H70</f>
        <v>1  ШТ.</v>
      </c>
      <c r="E68" s="10">
        <f>Source!I70</f>
        <v>1</v>
      </c>
      <c r="F68" s="27"/>
      <c r="G68" s="26"/>
      <c r="H68" s="10"/>
      <c r="I68" s="28"/>
      <c r="J68" s="10"/>
      <c r="K68" s="28"/>
      <c r="Q68">
        <f>ROUND((Source!DN70/100)*ROUND((ROUND((Source!AF70*Source!AV70*Source!I70),2)),2), 2)</f>
        <v>19.079999999999998</v>
      </c>
      <c r="R68">
        <f>Source!X70</f>
        <v>297.24</v>
      </c>
      <c r="S68">
        <f>ROUND((Source!DO70/100)*ROUND((ROUND((Source!AF70*Source!AV70*Source!I70),2)),2), 2)</f>
        <v>11.22</v>
      </c>
      <c r="T68">
        <f>Source!Y70</f>
        <v>158.27000000000001</v>
      </c>
      <c r="U68">
        <f>ROUND((175/100)*ROUND((ROUND((Source!AE70*Source!AV70*Source!I70),2)),2), 2)</f>
        <v>0.57999999999999996</v>
      </c>
      <c r="V68">
        <f>ROUND((157/100)*ROUND(ROUND((ROUND((Source!AE70*Source!AV70*Source!I70),2)*Source!BS70),2), 2), 2)</f>
        <v>11.95</v>
      </c>
    </row>
    <row r="69" spans="1:27" ht="14.25" x14ac:dyDescent="0.2">
      <c r="A69" s="23"/>
      <c r="B69" s="24"/>
      <c r="C69" s="24" t="s">
        <v>350</v>
      </c>
      <c r="D69" s="25"/>
      <c r="E69" s="10"/>
      <c r="F69" s="27">
        <f>Source!AO70</f>
        <v>16.739999999999998</v>
      </c>
      <c r="G69" s="26" t="str">
        <f>Source!DG70</f>
        <v/>
      </c>
      <c r="H69" s="10">
        <f>Source!AV70</f>
        <v>1</v>
      </c>
      <c r="I69" s="28">
        <f>ROUND((ROUND((Source!AF70*Source!AV70*Source!I70),2)),2)</f>
        <v>16.739999999999998</v>
      </c>
      <c r="J69" s="10">
        <f>IF(Source!BA70&lt;&gt; 0, Source!BA70, 1)</f>
        <v>23.06</v>
      </c>
      <c r="K69" s="28">
        <f>Source!S70</f>
        <v>386.02</v>
      </c>
      <c r="W69">
        <f>I69</f>
        <v>16.739999999999998</v>
      </c>
    </row>
    <row r="70" spans="1:27" ht="14.25" x14ac:dyDescent="0.2">
      <c r="A70" s="23"/>
      <c r="B70" s="24"/>
      <c r="C70" s="24" t="s">
        <v>351</v>
      </c>
      <c r="D70" s="25"/>
      <c r="E70" s="10"/>
      <c r="F70" s="27">
        <f>Source!AM70</f>
        <v>4.93</v>
      </c>
      <c r="G70" s="26" t="str">
        <f>Source!DE70</f>
        <v/>
      </c>
      <c r="H70" s="10">
        <f>Source!AV70</f>
        <v>1</v>
      </c>
      <c r="I70" s="28">
        <f>(ROUND((ROUND(((Source!ET70)*Source!AV70*Source!I70),2)),2)+ROUND((ROUND(((Source!AE70-(Source!EU70))*Source!AV70*Source!I70),2)),2))</f>
        <v>4.93</v>
      </c>
      <c r="J70" s="10">
        <f>IF(Source!BB70&lt;&gt; 0, Source!BB70, 1)</f>
        <v>6.38</v>
      </c>
      <c r="K70" s="28">
        <f>Source!Q70</f>
        <v>31.45</v>
      </c>
    </row>
    <row r="71" spans="1:27" ht="14.25" x14ac:dyDescent="0.2">
      <c r="A71" s="23"/>
      <c r="B71" s="24"/>
      <c r="C71" s="24" t="s">
        <v>352</v>
      </c>
      <c r="D71" s="25"/>
      <c r="E71" s="10"/>
      <c r="F71" s="27">
        <f>Source!AN70</f>
        <v>0.33</v>
      </c>
      <c r="G71" s="26" t="str">
        <f>Source!DF70</f>
        <v/>
      </c>
      <c r="H71" s="10">
        <f>Source!AV70</f>
        <v>1</v>
      </c>
      <c r="I71" s="29">
        <f>ROUND((ROUND((Source!AE70*Source!AV70*Source!I70),2)),2)</f>
        <v>0.33</v>
      </c>
      <c r="J71" s="10">
        <f>IF(Source!BS70&lt;&gt; 0, Source!BS70, 1)</f>
        <v>23.06</v>
      </c>
      <c r="K71" s="29">
        <f>Source!R70</f>
        <v>7.61</v>
      </c>
      <c r="W71">
        <f>I71</f>
        <v>0.33</v>
      </c>
    </row>
    <row r="72" spans="1:27" ht="14.25" x14ac:dyDescent="0.2">
      <c r="A72" s="23"/>
      <c r="B72" s="24"/>
      <c r="C72" s="24" t="s">
        <v>361</v>
      </c>
      <c r="D72" s="25"/>
      <c r="E72" s="10"/>
      <c r="F72" s="27">
        <f>Source!AL70</f>
        <v>15.47</v>
      </c>
      <c r="G72" s="26" t="str">
        <f>Source!DD70</f>
        <v/>
      </c>
      <c r="H72" s="10">
        <f>Source!AW70</f>
        <v>1</v>
      </c>
      <c r="I72" s="28">
        <f>ROUND((ROUND((Source!AC70*Source!AW70*Source!I70),2)),2)</f>
        <v>15.47</v>
      </c>
      <c r="J72" s="10">
        <f>IF(Source!BC70&lt;&gt; 0, Source!BC70, 1)</f>
        <v>5.41</v>
      </c>
      <c r="K72" s="28">
        <f>Source!P70</f>
        <v>83.69</v>
      </c>
    </row>
    <row r="73" spans="1:27" ht="14.25" x14ac:dyDescent="0.2">
      <c r="A73" s="23"/>
      <c r="B73" s="24"/>
      <c r="C73" s="24" t="s">
        <v>353</v>
      </c>
      <c r="D73" s="25" t="s">
        <v>354</v>
      </c>
      <c r="E73" s="10">
        <f>Source!DN70</f>
        <v>114</v>
      </c>
      <c r="F73" s="27"/>
      <c r="G73" s="26"/>
      <c r="H73" s="10"/>
      <c r="I73" s="28">
        <f>SUM(Q68:Q72)</f>
        <v>19.079999999999998</v>
      </c>
      <c r="J73" s="10">
        <f>Source!BZ70</f>
        <v>77</v>
      </c>
      <c r="K73" s="28">
        <f>SUM(R68:R72)</f>
        <v>297.24</v>
      </c>
    </row>
    <row r="74" spans="1:27" ht="14.25" x14ac:dyDescent="0.2">
      <c r="A74" s="23"/>
      <c r="B74" s="24"/>
      <c r="C74" s="24" t="s">
        <v>355</v>
      </c>
      <c r="D74" s="25" t="s">
        <v>354</v>
      </c>
      <c r="E74" s="10">
        <f>Source!DO70</f>
        <v>67</v>
      </c>
      <c r="F74" s="27"/>
      <c r="G74" s="26"/>
      <c r="H74" s="10"/>
      <c r="I74" s="28">
        <f>SUM(S68:S73)</f>
        <v>11.22</v>
      </c>
      <c r="J74" s="10">
        <f>Source!CA70</f>
        <v>41</v>
      </c>
      <c r="K74" s="28">
        <f>SUM(T68:T73)</f>
        <v>158.27000000000001</v>
      </c>
    </row>
    <row r="75" spans="1:27" ht="14.25" x14ac:dyDescent="0.2">
      <c r="A75" s="23"/>
      <c r="B75" s="24"/>
      <c r="C75" s="24" t="s">
        <v>356</v>
      </c>
      <c r="D75" s="25" t="s">
        <v>354</v>
      </c>
      <c r="E75" s="10">
        <f>175</f>
        <v>175</v>
      </c>
      <c r="F75" s="27"/>
      <c r="G75" s="26"/>
      <c r="H75" s="10"/>
      <c r="I75" s="28">
        <f>SUM(U68:U74)</f>
        <v>0.57999999999999996</v>
      </c>
      <c r="J75" s="10">
        <f>157</f>
        <v>157</v>
      </c>
      <c r="K75" s="28">
        <f>SUM(V68:V74)</f>
        <v>11.95</v>
      </c>
    </row>
    <row r="76" spans="1:27" ht="14.25" x14ac:dyDescent="0.2">
      <c r="A76" s="23"/>
      <c r="B76" s="24"/>
      <c r="C76" s="24" t="s">
        <v>357</v>
      </c>
      <c r="D76" s="25" t="s">
        <v>358</v>
      </c>
      <c r="E76" s="10">
        <f>Source!AQ70</f>
        <v>1.34</v>
      </c>
      <c r="F76" s="27"/>
      <c r="G76" s="26" t="str">
        <f>Source!DI70</f>
        <v/>
      </c>
      <c r="H76" s="10">
        <f>Source!AV70</f>
        <v>1</v>
      </c>
      <c r="I76" s="28">
        <f>Source!U70</f>
        <v>1.34</v>
      </c>
      <c r="J76" s="10"/>
      <c r="K76" s="28"/>
    </row>
    <row r="77" spans="1:27" ht="15" x14ac:dyDescent="0.25">
      <c r="A77" s="31"/>
      <c r="B77" s="31"/>
      <c r="C77" s="31"/>
      <c r="D77" s="31"/>
      <c r="E77" s="31"/>
      <c r="F77" s="31"/>
      <c r="G77" s="31"/>
      <c r="H77" s="54">
        <f>I69+I70+I72+I73+I74+I75</f>
        <v>68.02</v>
      </c>
      <c r="I77" s="54"/>
      <c r="J77" s="54">
        <f>K69+K70+K72+K73+K74+K75</f>
        <v>968.62</v>
      </c>
      <c r="K77" s="54"/>
      <c r="O77" s="30">
        <f>I69+I70+I72+I73+I74+I75</f>
        <v>68.02</v>
      </c>
      <c r="P77" s="30">
        <f>K69+K70+K72+K73+K74+K75</f>
        <v>968.62</v>
      </c>
      <c r="X77">
        <f>IF(Source!BI70&lt;=1,I69+I70+I72+I73+I74+I75-0, 0)</f>
        <v>0</v>
      </c>
      <c r="Y77">
        <f>IF(Source!BI70=2,I69+I70+I72+I73+I74+I75-0, 0)</f>
        <v>68.02</v>
      </c>
      <c r="Z77">
        <f>IF(Source!BI70=3,I69+I70+I72+I73+I74+I75-0, 0)</f>
        <v>0</v>
      </c>
      <c r="AA77">
        <f>IF(Source!BI70=4,I69+I70+I72+I73+I74+I75,0)</f>
        <v>0</v>
      </c>
    </row>
    <row r="78" spans="1:27" ht="85.5" x14ac:dyDescent="0.2">
      <c r="A78" s="23" t="str">
        <f>Source!E71</f>
        <v>9</v>
      </c>
      <c r="B78" s="24" t="str">
        <f>Source!F71</f>
        <v>4.8-218-2</v>
      </c>
      <c r="C78" s="24" t="s">
        <v>125</v>
      </c>
      <c r="D78" s="25" t="str">
        <f>Source!H71</f>
        <v>1  ШТ.</v>
      </c>
      <c r="E78" s="10">
        <f>Source!I71</f>
        <v>2</v>
      </c>
      <c r="F78" s="27"/>
      <c r="G78" s="26"/>
      <c r="H78" s="10"/>
      <c r="I78" s="28"/>
      <c r="J78" s="10"/>
      <c r="K78" s="28"/>
      <c r="Q78">
        <f>ROUND((Source!DN71/100)*ROUND((ROUND((Source!AF71*Source!AV71*Source!I71),2)),2), 2)</f>
        <v>56.95</v>
      </c>
      <c r="R78">
        <f>Source!X71</f>
        <v>887.1</v>
      </c>
      <c r="S78">
        <f>ROUND((Source!DO71/100)*ROUND((ROUND((Source!AF71*Source!AV71*Source!I71),2)),2), 2)</f>
        <v>33.47</v>
      </c>
      <c r="T78">
        <f>Source!Y71</f>
        <v>472.35</v>
      </c>
      <c r="U78">
        <f>ROUND((175/100)*ROUND((ROUND((Source!AE71*Source!AV71*Source!I71),2)),2), 2)</f>
        <v>1.37</v>
      </c>
      <c r="V78">
        <f>ROUND((157/100)*ROUND(ROUND((ROUND((Source!AE71*Source!AV71*Source!I71),2)*Source!BS71),2), 2), 2)</f>
        <v>28.24</v>
      </c>
    </row>
    <row r="79" spans="1:27" ht="14.25" x14ac:dyDescent="0.2">
      <c r="A79" s="23"/>
      <c r="B79" s="24"/>
      <c r="C79" s="24" t="s">
        <v>350</v>
      </c>
      <c r="D79" s="25"/>
      <c r="E79" s="10"/>
      <c r="F79" s="27">
        <f>Source!AO71</f>
        <v>24.98</v>
      </c>
      <c r="G79" s="26" t="str">
        <f>Source!DG71</f>
        <v/>
      </c>
      <c r="H79" s="10">
        <f>Source!AV71</f>
        <v>1</v>
      </c>
      <c r="I79" s="28">
        <f>ROUND((ROUND((Source!AF71*Source!AV71*Source!I71),2)),2)</f>
        <v>49.96</v>
      </c>
      <c r="J79" s="10">
        <f>IF(Source!BA71&lt;&gt; 0, Source!BA71, 1)</f>
        <v>23.06</v>
      </c>
      <c r="K79" s="28">
        <f>Source!S71</f>
        <v>1152.08</v>
      </c>
      <c r="W79">
        <f>I79</f>
        <v>49.96</v>
      </c>
    </row>
    <row r="80" spans="1:27" ht="14.25" x14ac:dyDescent="0.2">
      <c r="A80" s="23"/>
      <c r="B80" s="24"/>
      <c r="C80" s="24" t="s">
        <v>351</v>
      </c>
      <c r="D80" s="25"/>
      <c r="E80" s="10"/>
      <c r="F80" s="27">
        <f>Source!AM71</f>
        <v>5.29</v>
      </c>
      <c r="G80" s="26" t="str">
        <f>Source!DE71</f>
        <v/>
      </c>
      <c r="H80" s="10">
        <f>Source!AV71</f>
        <v>1</v>
      </c>
      <c r="I80" s="28">
        <f>(ROUND((ROUND(((Source!ET71)*Source!AV71*Source!I71),2)),2)+ROUND((ROUND(((Source!AE71-(Source!EU71))*Source!AV71*Source!I71),2)),2))</f>
        <v>10.58</v>
      </c>
      <c r="J80" s="10">
        <f>IF(Source!BB71&lt;&gt; 0, Source!BB71, 1)</f>
        <v>6.5</v>
      </c>
      <c r="K80" s="28">
        <f>Source!Q71</f>
        <v>68.77</v>
      </c>
    </row>
    <row r="81" spans="1:27" ht="14.25" x14ac:dyDescent="0.2">
      <c r="A81" s="23"/>
      <c r="B81" s="24"/>
      <c r="C81" s="24" t="s">
        <v>352</v>
      </c>
      <c r="D81" s="25"/>
      <c r="E81" s="10"/>
      <c r="F81" s="27">
        <f>Source!AN71</f>
        <v>0.39</v>
      </c>
      <c r="G81" s="26" t="str">
        <f>Source!DF71</f>
        <v/>
      </c>
      <c r="H81" s="10">
        <f>Source!AV71</f>
        <v>1</v>
      </c>
      <c r="I81" s="29">
        <f>ROUND((ROUND((Source!AE71*Source!AV71*Source!I71),2)),2)</f>
        <v>0.78</v>
      </c>
      <c r="J81" s="10">
        <f>IF(Source!BS71&lt;&gt; 0, Source!BS71, 1)</f>
        <v>23.06</v>
      </c>
      <c r="K81" s="29">
        <f>Source!R71</f>
        <v>17.989999999999998</v>
      </c>
      <c r="W81">
        <f>I81</f>
        <v>0.78</v>
      </c>
    </row>
    <row r="82" spans="1:27" ht="14.25" x14ac:dyDescent="0.2">
      <c r="A82" s="23"/>
      <c r="B82" s="24"/>
      <c r="C82" s="24" t="s">
        <v>361</v>
      </c>
      <c r="D82" s="25"/>
      <c r="E82" s="10"/>
      <c r="F82" s="27">
        <f>Source!AL71</f>
        <v>29.26</v>
      </c>
      <c r="G82" s="26" t="str">
        <f>Source!DD71</f>
        <v/>
      </c>
      <c r="H82" s="10">
        <f>Source!AW71</f>
        <v>1</v>
      </c>
      <c r="I82" s="28">
        <f>ROUND((ROUND((Source!AC71*Source!AW71*Source!I71),2)),2)</f>
        <v>58.52</v>
      </c>
      <c r="J82" s="10">
        <f>IF(Source!BC71&lt;&gt; 0, Source!BC71, 1)</f>
        <v>5.41</v>
      </c>
      <c r="K82" s="28">
        <f>Source!P71</f>
        <v>316.58999999999997</v>
      </c>
    </row>
    <row r="83" spans="1:27" ht="14.25" x14ac:dyDescent="0.2">
      <c r="A83" s="23"/>
      <c r="B83" s="24"/>
      <c r="C83" s="24" t="s">
        <v>353</v>
      </c>
      <c r="D83" s="25" t="s">
        <v>354</v>
      </c>
      <c r="E83" s="10">
        <f>Source!DN71</f>
        <v>114</v>
      </c>
      <c r="F83" s="27"/>
      <c r="G83" s="26"/>
      <c r="H83" s="10"/>
      <c r="I83" s="28">
        <f>SUM(Q78:Q82)</f>
        <v>56.95</v>
      </c>
      <c r="J83" s="10">
        <f>Source!BZ71</f>
        <v>77</v>
      </c>
      <c r="K83" s="28">
        <f>SUM(R78:R82)</f>
        <v>887.1</v>
      </c>
    </row>
    <row r="84" spans="1:27" ht="14.25" x14ac:dyDescent="0.2">
      <c r="A84" s="23"/>
      <c r="B84" s="24"/>
      <c r="C84" s="24" t="s">
        <v>355</v>
      </c>
      <c r="D84" s="25" t="s">
        <v>354</v>
      </c>
      <c r="E84" s="10">
        <f>Source!DO71</f>
        <v>67</v>
      </c>
      <c r="F84" s="27"/>
      <c r="G84" s="26"/>
      <c r="H84" s="10"/>
      <c r="I84" s="28">
        <f>SUM(S78:S83)</f>
        <v>33.47</v>
      </c>
      <c r="J84" s="10">
        <f>Source!CA71</f>
        <v>41</v>
      </c>
      <c r="K84" s="28">
        <f>SUM(T78:T83)</f>
        <v>472.35</v>
      </c>
    </row>
    <row r="85" spans="1:27" ht="14.25" x14ac:dyDescent="0.2">
      <c r="A85" s="23"/>
      <c r="B85" s="24"/>
      <c r="C85" s="24" t="s">
        <v>356</v>
      </c>
      <c r="D85" s="25" t="s">
        <v>354</v>
      </c>
      <c r="E85" s="10">
        <f>175</f>
        <v>175</v>
      </c>
      <c r="F85" s="27"/>
      <c r="G85" s="26"/>
      <c r="H85" s="10"/>
      <c r="I85" s="28">
        <f>SUM(U78:U84)</f>
        <v>1.37</v>
      </c>
      <c r="J85" s="10">
        <f>157</f>
        <v>157</v>
      </c>
      <c r="K85" s="28">
        <f>SUM(V78:V84)</f>
        <v>28.24</v>
      </c>
    </row>
    <row r="86" spans="1:27" ht="14.25" x14ac:dyDescent="0.2">
      <c r="A86" s="23"/>
      <c r="B86" s="24"/>
      <c r="C86" s="24" t="s">
        <v>357</v>
      </c>
      <c r="D86" s="25" t="s">
        <v>358</v>
      </c>
      <c r="E86" s="10">
        <f>Source!AQ71</f>
        <v>2</v>
      </c>
      <c r="F86" s="27"/>
      <c r="G86" s="26" t="str">
        <f>Source!DI71</f>
        <v/>
      </c>
      <c r="H86" s="10">
        <f>Source!AV71</f>
        <v>1</v>
      </c>
      <c r="I86" s="28">
        <f>Source!U71</f>
        <v>4</v>
      </c>
      <c r="J86" s="10"/>
      <c r="K86" s="28"/>
    </row>
    <row r="87" spans="1:27" ht="15" x14ac:dyDescent="0.25">
      <c r="A87" s="31"/>
      <c r="B87" s="31"/>
      <c r="C87" s="31"/>
      <c r="D87" s="31"/>
      <c r="E87" s="31"/>
      <c r="F87" s="31"/>
      <c r="G87" s="31"/>
      <c r="H87" s="54">
        <f>I79+I80+I82+I83+I84+I85</f>
        <v>210.85</v>
      </c>
      <c r="I87" s="54"/>
      <c r="J87" s="54">
        <f>K79+K80+K82+K83+K84+K85</f>
        <v>2925.1299999999997</v>
      </c>
      <c r="K87" s="54"/>
      <c r="O87" s="30">
        <f>I79+I80+I82+I83+I84+I85</f>
        <v>210.85</v>
      </c>
      <c r="P87" s="30">
        <f>K79+K80+K82+K83+K84+K85</f>
        <v>2925.1299999999997</v>
      </c>
      <c r="X87">
        <f>IF(Source!BI71&lt;=1,I79+I80+I82+I83+I84+I85-0, 0)</f>
        <v>0</v>
      </c>
      <c r="Y87">
        <f>IF(Source!BI71=2,I79+I80+I82+I83+I84+I85-0, 0)</f>
        <v>210.85</v>
      </c>
      <c r="Z87">
        <f>IF(Source!BI71=3,I79+I80+I82+I83+I84+I85-0, 0)</f>
        <v>0</v>
      </c>
      <c r="AA87">
        <f>IF(Source!BI71=4,I79+I80+I82+I83+I84+I85,0)</f>
        <v>0</v>
      </c>
    </row>
    <row r="88" spans="1:27" ht="28.5" x14ac:dyDescent="0.2">
      <c r="A88" s="23" t="str">
        <f>Source!E72</f>
        <v>10</v>
      </c>
      <c r="B88" s="24" t="str">
        <f>Source!F72</f>
        <v>4.8-252-2</v>
      </c>
      <c r="C88" s="24" t="s">
        <v>128</v>
      </c>
      <c r="D88" s="25" t="str">
        <f>Source!H72</f>
        <v>1  ШТ.</v>
      </c>
      <c r="E88" s="10">
        <f>Source!I72</f>
        <v>1</v>
      </c>
      <c r="F88" s="27"/>
      <c r="G88" s="26"/>
      <c r="H88" s="10"/>
      <c r="I88" s="28"/>
      <c r="J88" s="10"/>
      <c r="K88" s="28"/>
      <c r="Q88">
        <f>ROUND((Source!DN72/100)*ROUND((ROUND((Source!AF72*Source!AV72*Source!I72),2)),2), 2)</f>
        <v>11.86</v>
      </c>
      <c r="R88">
        <f>Source!X72</f>
        <v>184.66</v>
      </c>
      <c r="S88">
        <f>ROUND((Source!DO72/100)*ROUND((ROUND((Source!AF72*Source!AV72*Source!I72),2)),2), 2)</f>
        <v>6.97</v>
      </c>
      <c r="T88">
        <f>Source!Y72</f>
        <v>98.33</v>
      </c>
      <c r="U88">
        <f>ROUND((175/100)*ROUND((ROUND((Source!AE72*Source!AV72*Source!I72),2)),2), 2)</f>
        <v>0.28000000000000003</v>
      </c>
      <c r="V88">
        <f>ROUND((157/100)*ROUND(ROUND((ROUND((Source!AE72*Source!AV72*Source!I72),2)*Source!BS72),2), 2), 2)</f>
        <v>5.79</v>
      </c>
    </row>
    <row r="89" spans="1:27" ht="14.25" x14ac:dyDescent="0.2">
      <c r="A89" s="23"/>
      <c r="B89" s="24"/>
      <c r="C89" s="24" t="s">
        <v>350</v>
      </c>
      <c r="D89" s="25"/>
      <c r="E89" s="10"/>
      <c r="F89" s="27">
        <f>Source!AO72</f>
        <v>10.4</v>
      </c>
      <c r="G89" s="26" t="str">
        <f>Source!DG72</f>
        <v/>
      </c>
      <c r="H89" s="10">
        <f>Source!AV72</f>
        <v>1</v>
      </c>
      <c r="I89" s="28">
        <f>ROUND((ROUND((Source!AF72*Source!AV72*Source!I72),2)),2)</f>
        <v>10.4</v>
      </c>
      <c r="J89" s="10">
        <f>IF(Source!BA72&lt;&gt; 0, Source!BA72, 1)</f>
        <v>23.06</v>
      </c>
      <c r="K89" s="28">
        <f>Source!S72</f>
        <v>239.82</v>
      </c>
      <c r="W89">
        <f>I89</f>
        <v>10.4</v>
      </c>
    </row>
    <row r="90" spans="1:27" ht="14.25" x14ac:dyDescent="0.2">
      <c r="A90" s="23"/>
      <c r="B90" s="24"/>
      <c r="C90" s="24" t="s">
        <v>351</v>
      </c>
      <c r="D90" s="25"/>
      <c r="E90" s="10"/>
      <c r="F90" s="27">
        <f>Source!AM72</f>
        <v>0.68</v>
      </c>
      <c r="G90" s="26" t="str">
        <f>Source!DE72</f>
        <v/>
      </c>
      <c r="H90" s="10">
        <f>Source!AV72</f>
        <v>1</v>
      </c>
      <c r="I90" s="28">
        <f>(ROUND((ROUND(((Source!ET72)*Source!AV72*Source!I72),2)),2)+ROUND((ROUND(((Source!AE72-(Source!EU72))*Source!AV72*Source!I72),2)),2))</f>
        <v>0.68</v>
      </c>
      <c r="J90" s="10">
        <f>IF(Source!BB72&lt;&gt; 0, Source!BB72, 1)</f>
        <v>9.3800000000000008</v>
      </c>
      <c r="K90" s="28">
        <f>Source!Q72</f>
        <v>6.38</v>
      </c>
    </row>
    <row r="91" spans="1:27" ht="14.25" x14ac:dyDescent="0.2">
      <c r="A91" s="23"/>
      <c r="B91" s="24"/>
      <c r="C91" s="24" t="s">
        <v>352</v>
      </c>
      <c r="D91" s="25"/>
      <c r="E91" s="10"/>
      <c r="F91" s="27">
        <f>Source!AN72</f>
        <v>0.16</v>
      </c>
      <c r="G91" s="26" t="str">
        <f>Source!DF72</f>
        <v/>
      </c>
      <c r="H91" s="10">
        <f>Source!AV72</f>
        <v>1</v>
      </c>
      <c r="I91" s="29">
        <f>ROUND((ROUND((Source!AE72*Source!AV72*Source!I72),2)),2)</f>
        <v>0.16</v>
      </c>
      <c r="J91" s="10">
        <f>IF(Source!BS72&lt;&gt; 0, Source!BS72, 1)</f>
        <v>23.06</v>
      </c>
      <c r="K91" s="29">
        <f>Source!R72</f>
        <v>3.69</v>
      </c>
      <c r="W91">
        <f>I91</f>
        <v>0.16</v>
      </c>
    </row>
    <row r="92" spans="1:27" ht="14.25" x14ac:dyDescent="0.2">
      <c r="A92" s="23"/>
      <c r="B92" s="24"/>
      <c r="C92" s="24" t="s">
        <v>361</v>
      </c>
      <c r="D92" s="25"/>
      <c r="E92" s="10"/>
      <c r="F92" s="27">
        <f>Source!AL72</f>
        <v>0.21</v>
      </c>
      <c r="G92" s="26" t="str">
        <f>Source!DD72</f>
        <v/>
      </c>
      <c r="H92" s="10">
        <f>Source!AW72</f>
        <v>1</v>
      </c>
      <c r="I92" s="28">
        <f>ROUND((ROUND((Source!AC72*Source!AW72*Source!I72),2)),2)</f>
        <v>0.21</v>
      </c>
      <c r="J92" s="10">
        <f>IF(Source!BC72&lt;&gt; 0, Source!BC72, 1)</f>
        <v>5.43</v>
      </c>
      <c r="K92" s="28">
        <f>Source!P72</f>
        <v>1.1399999999999999</v>
      </c>
    </row>
    <row r="93" spans="1:27" ht="14.25" x14ac:dyDescent="0.2">
      <c r="A93" s="23"/>
      <c r="B93" s="24"/>
      <c r="C93" s="24" t="s">
        <v>353</v>
      </c>
      <c r="D93" s="25" t="s">
        <v>354</v>
      </c>
      <c r="E93" s="10">
        <f>Source!DN72</f>
        <v>114</v>
      </c>
      <c r="F93" s="27"/>
      <c r="G93" s="26"/>
      <c r="H93" s="10"/>
      <c r="I93" s="28">
        <f>SUM(Q88:Q92)</f>
        <v>11.86</v>
      </c>
      <c r="J93" s="10">
        <f>Source!BZ72</f>
        <v>77</v>
      </c>
      <c r="K93" s="28">
        <f>SUM(R88:R92)</f>
        <v>184.66</v>
      </c>
    </row>
    <row r="94" spans="1:27" ht="14.25" x14ac:dyDescent="0.2">
      <c r="A94" s="23"/>
      <c r="B94" s="24"/>
      <c r="C94" s="24" t="s">
        <v>355</v>
      </c>
      <c r="D94" s="25" t="s">
        <v>354</v>
      </c>
      <c r="E94" s="10">
        <f>Source!DO72</f>
        <v>67</v>
      </c>
      <c r="F94" s="27"/>
      <c r="G94" s="26"/>
      <c r="H94" s="10"/>
      <c r="I94" s="28">
        <f>SUM(S88:S93)</f>
        <v>6.97</v>
      </c>
      <c r="J94" s="10">
        <f>Source!CA72</f>
        <v>41</v>
      </c>
      <c r="K94" s="28">
        <f>SUM(T88:T93)</f>
        <v>98.33</v>
      </c>
    </row>
    <row r="95" spans="1:27" ht="14.25" x14ac:dyDescent="0.2">
      <c r="A95" s="23"/>
      <c r="B95" s="24"/>
      <c r="C95" s="24" t="s">
        <v>356</v>
      </c>
      <c r="D95" s="25" t="s">
        <v>354</v>
      </c>
      <c r="E95" s="10">
        <f>175</f>
        <v>175</v>
      </c>
      <c r="F95" s="27"/>
      <c r="G95" s="26"/>
      <c r="H95" s="10"/>
      <c r="I95" s="28">
        <f>SUM(U88:U94)</f>
        <v>0.28000000000000003</v>
      </c>
      <c r="J95" s="10">
        <f>157</f>
        <v>157</v>
      </c>
      <c r="K95" s="28">
        <f>SUM(V88:V94)</f>
        <v>5.79</v>
      </c>
    </row>
    <row r="96" spans="1:27" ht="14.25" x14ac:dyDescent="0.2">
      <c r="A96" s="23"/>
      <c r="B96" s="24"/>
      <c r="C96" s="24" t="s">
        <v>357</v>
      </c>
      <c r="D96" s="25" t="s">
        <v>358</v>
      </c>
      <c r="E96" s="10">
        <f>Source!AQ72</f>
        <v>0.8</v>
      </c>
      <c r="F96" s="27"/>
      <c r="G96" s="26" t="str">
        <f>Source!DI72</f>
        <v/>
      </c>
      <c r="H96" s="10">
        <f>Source!AV72</f>
        <v>1</v>
      </c>
      <c r="I96" s="28">
        <f>Source!U72</f>
        <v>0.8</v>
      </c>
      <c r="J96" s="10"/>
      <c r="K96" s="28"/>
    </row>
    <row r="97" spans="1:27" ht="15" x14ac:dyDescent="0.25">
      <c r="A97" s="31"/>
      <c r="B97" s="31"/>
      <c r="C97" s="31"/>
      <c r="D97" s="31"/>
      <c r="E97" s="31"/>
      <c r="F97" s="31"/>
      <c r="G97" s="31"/>
      <c r="H97" s="54">
        <f>I89+I90+I92+I93+I94+I95</f>
        <v>30.4</v>
      </c>
      <c r="I97" s="54"/>
      <c r="J97" s="54">
        <f>K89+K90+K92+K93+K94+K95</f>
        <v>536.12</v>
      </c>
      <c r="K97" s="54"/>
      <c r="O97" s="30">
        <f>I89+I90+I92+I93+I94+I95</f>
        <v>30.4</v>
      </c>
      <c r="P97" s="30">
        <f>K89+K90+K92+K93+K94+K95</f>
        <v>536.12</v>
      </c>
      <c r="X97">
        <f>IF(Source!BI72&lt;=1,I89+I90+I92+I93+I94+I95-0, 0)</f>
        <v>0</v>
      </c>
      <c r="Y97">
        <f>IF(Source!BI72=2,I89+I90+I92+I93+I94+I95-0, 0)</f>
        <v>30.4</v>
      </c>
      <c r="Z97">
        <f>IF(Source!BI72=3,I89+I90+I92+I93+I94+I95-0, 0)</f>
        <v>0</v>
      </c>
      <c r="AA97">
        <f>IF(Source!BI72=4,I89+I90+I92+I93+I94+I95,0)</f>
        <v>0</v>
      </c>
    </row>
    <row r="98" spans="1:27" ht="28.5" x14ac:dyDescent="0.2">
      <c r="A98" s="23" t="str">
        <f>Source!E76</f>
        <v>14</v>
      </c>
      <c r="B98" s="24" t="str">
        <f>Source!F76</f>
        <v>4.8-59-1</v>
      </c>
      <c r="C98" s="24" t="s">
        <v>141</v>
      </c>
      <c r="D98" s="25" t="str">
        <f>Source!H76</f>
        <v>100 шт.</v>
      </c>
      <c r="E98" s="10">
        <f>Source!I76</f>
        <v>0.06</v>
      </c>
      <c r="F98" s="27"/>
      <c r="G98" s="26"/>
      <c r="H98" s="10"/>
      <c r="I98" s="28"/>
      <c r="J98" s="10"/>
      <c r="K98" s="28"/>
      <c r="Q98">
        <f>ROUND((Source!DN76/100)*ROUND((ROUND((Source!AF76*Source!AV76*Source!I76),2)),2), 2)</f>
        <v>35.57</v>
      </c>
      <c r="R98">
        <f>Source!X76</f>
        <v>553.99</v>
      </c>
      <c r="S98">
        <f>ROUND((Source!DO76/100)*ROUND((ROUND((Source!AF76*Source!AV76*Source!I76),2)),2), 2)</f>
        <v>20.9</v>
      </c>
      <c r="T98">
        <f>Source!Y76</f>
        <v>294.98</v>
      </c>
      <c r="U98">
        <f>ROUND((175/100)*ROUND((ROUND((Source!AE76*Source!AV76*Source!I76),2)),2), 2)</f>
        <v>0.25</v>
      </c>
      <c r="V98">
        <f>ROUND((157/100)*ROUND(ROUND((ROUND((Source!AE76*Source!AV76*Source!I76),2)*Source!BS76),2), 2), 2)</f>
        <v>5.07</v>
      </c>
    </row>
    <row r="99" spans="1:27" ht="14.25" x14ac:dyDescent="0.2">
      <c r="A99" s="23"/>
      <c r="B99" s="24"/>
      <c r="C99" s="24" t="s">
        <v>350</v>
      </c>
      <c r="D99" s="25"/>
      <c r="E99" s="10"/>
      <c r="F99" s="27">
        <f>Source!AO76</f>
        <v>519.94000000000005</v>
      </c>
      <c r="G99" s="26" t="str">
        <f>Source!DG76</f>
        <v/>
      </c>
      <c r="H99" s="10">
        <f>Source!AV76</f>
        <v>1</v>
      </c>
      <c r="I99" s="28">
        <f>ROUND((ROUND((Source!AF76*Source!AV76*Source!I76),2)),2)</f>
        <v>31.2</v>
      </c>
      <c r="J99" s="10">
        <f>IF(Source!BA76&lt;&gt; 0, Source!BA76, 1)</f>
        <v>23.06</v>
      </c>
      <c r="K99" s="28">
        <f>Source!S76</f>
        <v>719.47</v>
      </c>
      <c r="W99">
        <f>I99</f>
        <v>31.2</v>
      </c>
    </row>
    <row r="100" spans="1:27" ht="14.25" x14ac:dyDescent="0.2">
      <c r="A100" s="23"/>
      <c r="B100" s="24"/>
      <c r="C100" s="24" t="s">
        <v>351</v>
      </c>
      <c r="D100" s="25"/>
      <c r="E100" s="10"/>
      <c r="F100" s="27">
        <f>Source!AM76</f>
        <v>15.41</v>
      </c>
      <c r="G100" s="26" t="str">
        <f>Source!DE76</f>
        <v/>
      </c>
      <c r="H100" s="10">
        <f>Source!AV76</f>
        <v>1</v>
      </c>
      <c r="I100" s="28">
        <f>(ROUND((ROUND(((Source!ET76)*Source!AV76*Source!I76),2)),2)+ROUND((ROUND(((Source!AE76-(Source!EU76))*Source!AV76*Source!I76),2)),2))</f>
        <v>0.92</v>
      </c>
      <c r="J100" s="10">
        <f>IF(Source!BB76&lt;&gt; 0, Source!BB76, 1)</f>
        <v>7.95</v>
      </c>
      <c r="K100" s="28">
        <f>Source!Q76</f>
        <v>7.31</v>
      </c>
    </row>
    <row r="101" spans="1:27" ht="14.25" x14ac:dyDescent="0.2">
      <c r="A101" s="23"/>
      <c r="B101" s="24"/>
      <c r="C101" s="24" t="s">
        <v>352</v>
      </c>
      <c r="D101" s="25"/>
      <c r="E101" s="10"/>
      <c r="F101" s="27">
        <f>Source!AN76</f>
        <v>2.39</v>
      </c>
      <c r="G101" s="26" t="str">
        <f>Source!DF76</f>
        <v/>
      </c>
      <c r="H101" s="10">
        <f>Source!AV76</f>
        <v>1</v>
      </c>
      <c r="I101" s="29">
        <f>ROUND((ROUND((Source!AE76*Source!AV76*Source!I76),2)),2)</f>
        <v>0.14000000000000001</v>
      </c>
      <c r="J101" s="10">
        <f>IF(Source!BS76&lt;&gt; 0, Source!BS76, 1)</f>
        <v>23.06</v>
      </c>
      <c r="K101" s="29">
        <f>Source!R76</f>
        <v>3.23</v>
      </c>
      <c r="W101">
        <f>I101</f>
        <v>0.14000000000000001</v>
      </c>
    </row>
    <row r="102" spans="1:27" ht="14.25" x14ac:dyDescent="0.2">
      <c r="A102" s="23"/>
      <c r="B102" s="24"/>
      <c r="C102" s="24" t="s">
        <v>361</v>
      </c>
      <c r="D102" s="25"/>
      <c r="E102" s="10"/>
      <c r="F102" s="27">
        <f>Source!AL76</f>
        <v>84.7</v>
      </c>
      <c r="G102" s="26" t="str">
        <f>Source!DD76</f>
        <v/>
      </c>
      <c r="H102" s="10">
        <f>Source!AW76</f>
        <v>1</v>
      </c>
      <c r="I102" s="28">
        <f>ROUND((ROUND((Source!AC76*Source!AW76*Source!I76),2)),2)</f>
        <v>5.08</v>
      </c>
      <c r="J102" s="10">
        <f>IF(Source!BC76&lt;&gt; 0, Source!BC76, 1)</f>
        <v>5.41</v>
      </c>
      <c r="K102" s="28">
        <f>Source!P76</f>
        <v>27.48</v>
      </c>
    </row>
    <row r="103" spans="1:27" ht="14.25" x14ac:dyDescent="0.2">
      <c r="A103" s="23"/>
      <c r="B103" s="24"/>
      <c r="C103" s="24" t="s">
        <v>353</v>
      </c>
      <c r="D103" s="25" t="s">
        <v>354</v>
      </c>
      <c r="E103" s="10">
        <f>Source!DN76</f>
        <v>114</v>
      </c>
      <c r="F103" s="27"/>
      <c r="G103" s="26"/>
      <c r="H103" s="10"/>
      <c r="I103" s="28">
        <f>SUM(Q98:Q102)</f>
        <v>35.57</v>
      </c>
      <c r="J103" s="10">
        <f>Source!BZ76</f>
        <v>77</v>
      </c>
      <c r="K103" s="28">
        <f>SUM(R98:R102)</f>
        <v>553.99</v>
      </c>
    </row>
    <row r="104" spans="1:27" ht="14.25" x14ac:dyDescent="0.2">
      <c r="A104" s="23"/>
      <c r="B104" s="24"/>
      <c r="C104" s="24" t="s">
        <v>355</v>
      </c>
      <c r="D104" s="25" t="s">
        <v>354</v>
      </c>
      <c r="E104" s="10">
        <f>Source!DO76</f>
        <v>67</v>
      </c>
      <c r="F104" s="27"/>
      <c r="G104" s="26"/>
      <c r="H104" s="10"/>
      <c r="I104" s="28">
        <f>SUM(S98:S103)</f>
        <v>20.9</v>
      </c>
      <c r="J104" s="10">
        <f>Source!CA76</f>
        <v>41</v>
      </c>
      <c r="K104" s="28">
        <f>SUM(T98:T103)</f>
        <v>294.98</v>
      </c>
    </row>
    <row r="105" spans="1:27" ht="14.25" x14ac:dyDescent="0.2">
      <c r="A105" s="23"/>
      <c r="B105" s="24"/>
      <c r="C105" s="24" t="s">
        <v>356</v>
      </c>
      <c r="D105" s="25" t="s">
        <v>354</v>
      </c>
      <c r="E105" s="10">
        <f>175</f>
        <v>175</v>
      </c>
      <c r="F105" s="27"/>
      <c r="G105" s="26"/>
      <c r="H105" s="10"/>
      <c r="I105" s="28">
        <f>SUM(U98:U104)</f>
        <v>0.25</v>
      </c>
      <c r="J105" s="10">
        <f>157</f>
        <v>157</v>
      </c>
      <c r="K105" s="28">
        <f>SUM(V98:V104)</f>
        <v>5.07</v>
      </c>
    </row>
    <row r="106" spans="1:27" ht="14.25" x14ac:dyDescent="0.2">
      <c r="A106" s="23"/>
      <c r="B106" s="24"/>
      <c r="C106" s="24" t="s">
        <v>357</v>
      </c>
      <c r="D106" s="25" t="s">
        <v>358</v>
      </c>
      <c r="E106" s="10">
        <f>Source!AQ76</f>
        <v>41.2</v>
      </c>
      <c r="F106" s="27"/>
      <c r="G106" s="26" t="str">
        <f>Source!DI76</f>
        <v/>
      </c>
      <c r="H106" s="10">
        <f>Source!AV76</f>
        <v>1</v>
      </c>
      <c r="I106" s="28">
        <f>Source!U76</f>
        <v>2.472</v>
      </c>
      <c r="J106" s="10"/>
      <c r="K106" s="28"/>
    </row>
    <row r="107" spans="1:27" ht="15" x14ac:dyDescent="0.25">
      <c r="A107" s="31"/>
      <c r="B107" s="31"/>
      <c r="C107" s="31"/>
      <c r="D107" s="31"/>
      <c r="E107" s="31"/>
      <c r="F107" s="31"/>
      <c r="G107" s="31"/>
      <c r="H107" s="54">
        <f>I99+I100+I102+I103+I104+I105</f>
        <v>93.919999999999987</v>
      </c>
      <c r="I107" s="54"/>
      <c r="J107" s="54">
        <f>K99+K100+K102+K103+K104+K105</f>
        <v>1608.3</v>
      </c>
      <c r="K107" s="54"/>
      <c r="O107" s="30">
        <f>I99+I100+I102+I103+I104+I105</f>
        <v>93.919999999999987</v>
      </c>
      <c r="P107" s="30">
        <f>K99+K100+K102+K103+K104+K105</f>
        <v>1608.3</v>
      </c>
      <c r="X107">
        <f>IF(Source!BI76&lt;=1,I99+I100+I102+I103+I104+I105-0, 0)</f>
        <v>0</v>
      </c>
      <c r="Y107">
        <f>IF(Source!BI76=2,I99+I100+I102+I103+I104+I105-0, 0)</f>
        <v>93.919999999999987</v>
      </c>
      <c r="Z107">
        <f>IF(Source!BI76=3,I99+I100+I102+I103+I104+I105-0, 0)</f>
        <v>0</v>
      </c>
      <c r="AA107">
        <f>IF(Source!BI76=4,I99+I100+I102+I103+I104+I105,0)</f>
        <v>0</v>
      </c>
    </row>
    <row r="108" spans="1:27" ht="14.25" x14ac:dyDescent="0.2">
      <c r="A108" s="23" t="str">
        <f>Source!E77</f>
        <v>15</v>
      </c>
      <c r="B108" s="24" t="str">
        <f>Source!F77</f>
        <v>4.8-56-1</v>
      </c>
      <c r="C108" s="24" t="s">
        <v>143</v>
      </c>
      <c r="D108" s="25" t="str">
        <f>Source!H77</f>
        <v>1  ШТ.</v>
      </c>
      <c r="E108" s="10">
        <f>Source!I77</f>
        <v>3</v>
      </c>
      <c r="F108" s="27"/>
      <c r="G108" s="26"/>
      <c r="H108" s="10"/>
      <c r="I108" s="28"/>
      <c r="J108" s="10"/>
      <c r="K108" s="28"/>
      <c r="Q108">
        <f>ROUND((Source!DN77/100)*ROUND((ROUND((Source!AF77*Source!AV77*Source!I77),2)),2), 2)</f>
        <v>578.36</v>
      </c>
      <c r="R108">
        <f>Source!X77</f>
        <v>9008.25</v>
      </c>
      <c r="S108">
        <f>ROUND((Source!DO77/100)*ROUND((ROUND((Source!AF77*Source!AV77*Source!I77),2)),2), 2)</f>
        <v>339.91</v>
      </c>
      <c r="T108">
        <f>Source!Y77</f>
        <v>4796.6000000000004</v>
      </c>
      <c r="U108">
        <f>ROUND((175/100)*ROUND((ROUND((Source!AE77*Source!AV77*Source!I77),2)),2), 2)</f>
        <v>19.48</v>
      </c>
      <c r="V108">
        <f>ROUND((157/100)*ROUND(ROUND((ROUND((Source!AE77*Source!AV77*Source!I77),2)*Source!BS77),2), 2), 2)</f>
        <v>402.96</v>
      </c>
    </row>
    <row r="109" spans="1:27" ht="14.25" x14ac:dyDescent="0.2">
      <c r="A109" s="23"/>
      <c r="B109" s="24"/>
      <c r="C109" s="24" t="s">
        <v>350</v>
      </c>
      <c r="D109" s="25"/>
      <c r="E109" s="10"/>
      <c r="F109" s="27">
        <f>Source!AO77</f>
        <v>169.11</v>
      </c>
      <c r="G109" s="26" t="str">
        <f>Source!DG77</f>
        <v/>
      </c>
      <c r="H109" s="10">
        <f>Source!AV77</f>
        <v>1</v>
      </c>
      <c r="I109" s="28">
        <f>ROUND((ROUND((Source!AF77*Source!AV77*Source!I77),2)),2)</f>
        <v>507.33</v>
      </c>
      <c r="J109" s="10">
        <f>IF(Source!BA77&lt;&gt; 0, Source!BA77, 1)</f>
        <v>23.06</v>
      </c>
      <c r="K109" s="28">
        <f>Source!S77</f>
        <v>11699.03</v>
      </c>
      <c r="W109">
        <f>I109</f>
        <v>507.33</v>
      </c>
    </row>
    <row r="110" spans="1:27" ht="14.25" x14ac:dyDescent="0.2">
      <c r="A110" s="23"/>
      <c r="B110" s="24"/>
      <c r="C110" s="24" t="s">
        <v>351</v>
      </c>
      <c r="D110" s="25"/>
      <c r="E110" s="10"/>
      <c r="F110" s="27">
        <f>Source!AM77</f>
        <v>27.48</v>
      </c>
      <c r="G110" s="26" t="str">
        <f>Source!DE77</f>
        <v/>
      </c>
      <c r="H110" s="10">
        <f>Source!AV77</f>
        <v>1</v>
      </c>
      <c r="I110" s="28">
        <f>(ROUND((ROUND(((Source!ET77)*Source!AV77*Source!I77),2)),2)+ROUND((ROUND(((Source!AE77-(Source!EU77))*Source!AV77*Source!I77),2)),2))</f>
        <v>82.44</v>
      </c>
      <c r="J110" s="10">
        <f>IF(Source!BB77&lt;&gt; 0, Source!BB77, 1)</f>
        <v>7.59</v>
      </c>
      <c r="K110" s="28">
        <f>Source!Q77</f>
        <v>625.72</v>
      </c>
    </row>
    <row r="111" spans="1:27" ht="14.25" x14ac:dyDescent="0.2">
      <c r="A111" s="23"/>
      <c r="B111" s="24"/>
      <c r="C111" s="24" t="s">
        <v>352</v>
      </c>
      <c r="D111" s="25"/>
      <c r="E111" s="10"/>
      <c r="F111" s="27">
        <f>Source!AN77</f>
        <v>3.71</v>
      </c>
      <c r="G111" s="26" t="str">
        <f>Source!DF77</f>
        <v/>
      </c>
      <c r="H111" s="10">
        <f>Source!AV77</f>
        <v>1</v>
      </c>
      <c r="I111" s="29">
        <f>ROUND((ROUND((Source!AE77*Source!AV77*Source!I77),2)),2)</f>
        <v>11.13</v>
      </c>
      <c r="J111" s="10">
        <f>IF(Source!BS77&lt;&gt; 0, Source!BS77, 1)</f>
        <v>23.06</v>
      </c>
      <c r="K111" s="29">
        <f>Source!R77</f>
        <v>256.66000000000003</v>
      </c>
      <c r="W111">
        <f>I111</f>
        <v>11.13</v>
      </c>
    </row>
    <row r="112" spans="1:27" ht="14.25" x14ac:dyDescent="0.2">
      <c r="A112" s="23"/>
      <c r="B112" s="24"/>
      <c r="C112" s="24" t="s">
        <v>361</v>
      </c>
      <c r="D112" s="25"/>
      <c r="E112" s="10"/>
      <c r="F112" s="27">
        <f>Source!AL77</f>
        <v>68.39</v>
      </c>
      <c r="G112" s="26" t="str">
        <f>Source!DD77</f>
        <v/>
      </c>
      <c r="H112" s="10">
        <f>Source!AW77</f>
        <v>1</v>
      </c>
      <c r="I112" s="28">
        <f>ROUND((ROUND((Source!AC77*Source!AW77*Source!I77),2)),2)</f>
        <v>205.17</v>
      </c>
      <c r="J112" s="10">
        <f>IF(Source!BC77&lt;&gt; 0, Source!BC77, 1)</f>
        <v>5.41</v>
      </c>
      <c r="K112" s="28">
        <f>Source!P77</f>
        <v>1109.97</v>
      </c>
    </row>
    <row r="113" spans="1:27" ht="14.25" x14ac:dyDescent="0.2">
      <c r="A113" s="23"/>
      <c r="B113" s="24"/>
      <c r="C113" s="24" t="s">
        <v>353</v>
      </c>
      <c r="D113" s="25" t="s">
        <v>354</v>
      </c>
      <c r="E113" s="10">
        <f>Source!DN77</f>
        <v>114</v>
      </c>
      <c r="F113" s="27"/>
      <c r="G113" s="26"/>
      <c r="H113" s="10"/>
      <c r="I113" s="28">
        <f>SUM(Q108:Q112)</f>
        <v>578.36</v>
      </c>
      <c r="J113" s="10">
        <f>Source!BZ77</f>
        <v>77</v>
      </c>
      <c r="K113" s="28">
        <f>SUM(R108:R112)</f>
        <v>9008.25</v>
      </c>
    </row>
    <row r="114" spans="1:27" ht="14.25" x14ac:dyDescent="0.2">
      <c r="A114" s="23"/>
      <c r="B114" s="24"/>
      <c r="C114" s="24" t="s">
        <v>355</v>
      </c>
      <c r="D114" s="25" t="s">
        <v>354</v>
      </c>
      <c r="E114" s="10">
        <f>Source!DO77</f>
        <v>67</v>
      </c>
      <c r="F114" s="27"/>
      <c r="G114" s="26"/>
      <c r="H114" s="10"/>
      <c r="I114" s="28">
        <f>SUM(S108:S113)</f>
        <v>339.91</v>
      </c>
      <c r="J114" s="10">
        <f>Source!CA77</f>
        <v>41</v>
      </c>
      <c r="K114" s="28">
        <f>SUM(T108:T113)</f>
        <v>4796.6000000000004</v>
      </c>
    </row>
    <row r="115" spans="1:27" ht="14.25" x14ac:dyDescent="0.2">
      <c r="A115" s="23"/>
      <c r="B115" s="24"/>
      <c r="C115" s="24" t="s">
        <v>356</v>
      </c>
      <c r="D115" s="25" t="s">
        <v>354</v>
      </c>
      <c r="E115" s="10">
        <f>175</f>
        <v>175</v>
      </c>
      <c r="F115" s="27"/>
      <c r="G115" s="26"/>
      <c r="H115" s="10"/>
      <c r="I115" s="28">
        <f>SUM(U108:U114)</f>
        <v>19.48</v>
      </c>
      <c r="J115" s="10">
        <f>157</f>
        <v>157</v>
      </c>
      <c r="K115" s="28">
        <f>SUM(V108:V114)</f>
        <v>402.96</v>
      </c>
    </row>
    <row r="116" spans="1:27" ht="14.25" x14ac:dyDescent="0.2">
      <c r="A116" s="23"/>
      <c r="B116" s="24"/>
      <c r="C116" s="24" t="s">
        <v>357</v>
      </c>
      <c r="D116" s="25" t="s">
        <v>358</v>
      </c>
      <c r="E116" s="10">
        <f>Source!AQ77</f>
        <v>13.4</v>
      </c>
      <c r="F116" s="27"/>
      <c r="G116" s="26" t="str">
        <f>Source!DI77</f>
        <v/>
      </c>
      <c r="H116" s="10">
        <f>Source!AV77</f>
        <v>1</v>
      </c>
      <c r="I116" s="28">
        <f>Source!U77</f>
        <v>40.200000000000003</v>
      </c>
      <c r="J116" s="10"/>
      <c r="K116" s="28"/>
    </row>
    <row r="117" spans="1:27" ht="15" x14ac:dyDescent="0.25">
      <c r="A117" s="31"/>
      <c r="B117" s="31"/>
      <c r="C117" s="31"/>
      <c r="D117" s="31"/>
      <c r="E117" s="31"/>
      <c r="F117" s="31"/>
      <c r="G117" s="31"/>
      <c r="H117" s="54">
        <f>I109+I110+I112+I113+I114+I115</f>
        <v>1732.69</v>
      </c>
      <c r="I117" s="54"/>
      <c r="J117" s="54">
        <f>K109+K110+K112+K113+K114+K115</f>
        <v>27642.53</v>
      </c>
      <c r="K117" s="54"/>
      <c r="O117" s="30">
        <f>I109+I110+I112+I113+I114+I115</f>
        <v>1732.69</v>
      </c>
      <c r="P117" s="30">
        <f>K109+K110+K112+K113+K114+K115</f>
        <v>27642.53</v>
      </c>
      <c r="X117">
        <f>IF(Source!BI77&lt;=1,I109+I110+I112+I113+I114+I115-0, 0)</f>
        <v>0</v>
      </c>
      <c r="Y117">
        <f>IF(Source!BI77=2,I109+I110+I112+I113+I114+I115-0, 0)</f>
        <v>1732.69</v>
      </c>
      <c r="Z117">
        <f>IF(Source!BI77=3,I109+I110+I112+I113+I114+I115-0, 0)</f>
        <v>0</v>
      </c>
      <c r="AA117">
        <f>IF(Source!BI77=4,I109+I110+I112+I113+I114+I115,0)</f>
        <v>0</v>
      </c>
    </row>
    <row r="118" spans="1:27" ht="28.5" x14ac:dyDescent="0.2">
      <c r="A118" s="23" t="str">
        <f>Source!E79</f>
        <v>17</v>
      </c>
      <c r="B118" s="24" t="str">
        <f>Source!F79</f>
        <v>4.10-13-1</v>
      </c>
      <c r="C118" s="24" t="s">
        <v>150</v>
      </c>
      <c r="D118" s="25" t="str">
        <f>Source!H79</f>
        <v>100 М КАБЕЛЯ</v>
      </c>
      <c r="E118" s="10">
        <f>Source!I79</f>
        <v>0.05</v>
      </c>
      <c r="F118" s="27"/>
      <c r="G118" s="26"/>
      <c r="H118" s="10"/>
      <c r="I118" s="28"/>
      <c r="J118" s="10"/>
      <c r="K118" s="28"/>
      <c r="Q118">
        <f>ROUND((Source!DN79/100)*ROUND((ROUND((Source!AF79*Source!AV79*Source!I79),2)),2), 2)</f>
        <v>8.1300000000000008</v>
      </c>
      <c r="R118">
        <f>Source!X79</f>
        <v>126.6</v>
      </c>
      <c r="S118">
        <f>ROUND((Source!DO79/100)*ROUND((ROUND((Source!AF79*Source!AV79*Source!I79),2)),2), 2)</f>
        <v>4.78</v>
      </c>
      <c r="T118">
        <f>Source!Y79</f>
        <v>67.41</v>
      </c>
      <c r="U118">
        <f>ROUND((175/100)*ROUND((ROUND((Source!AE79*Source!AV79*Source!I79),2)),2), 2)</f>
        <v>0.67</v>
      </c>
      <c r="V118">
        <f>ROUND((157/100)*ROUND(ROUND((ROUND((Source!AE79*Source!AV79*Source!I79),2)*Source!BS79),2), 2), 2)</f>
        <v>13.75</v>
      </c>
    </row>
    <row r="119" spans="1:27" ht="14.25" x14ac:dyDescent="0.2">
      <c r="A119" s="23"/>
      <c r="B119" s="24"/>
      <c r="C119" s="24" t="s">
        <v>350</v>
      </c>
      <c r="D119" s="25"/>
      <c r="E119" s="10"/>
      <c r="F119" s="27">
        <f>Source!AO79</f>
        <v>142.61000000000001</v>
      </c>
      <c r="G119" s="26" t="str">
        <f>Source!DG79</f>
        <v/>
      </c>
      <c r="H119" s="10">
        <f>Source!AV79</f>
        <v>1</v>
      </c>
      <c r="I119" s="28">
        <f>ROUND((ROUND((Source!AF79*Source!AV79*Source!I79),2)),2)</f>
        <v>7.13</v>
      </c>
      <c r="J119" s="10">
        <f>IF(Source!BA79&lt;&gt; 0, Source!BA79, 1)</f>
        <v>23.06</v>
      </c>
      <c r="K119" s="28">
        <f>Source!S79</f>
        <v>164.42</v>
      </c>
      <c r="W119">
        <f>I119</f>
        <v>7.13</v>
      </c>
    </row>
    <row r="120" spans="1:27" ht="14.25" x14ac:dyDescent="0.2">
      <c r="A120" s="23"/>
      <c r="B120" s="24"/>
      <c r="C120" s="24" t="s">
        <v>351</v>
      </c>
      <c r="D120" s="25"/>
      <c r="E120" s="10"/>
      <c r="F120" s="27">
        <f>Source!AM79</f>
        <v>32.85</v>
      </c>
      <c r="G120" s="26" t="str">
        <f>Source!DE79</f>
        <v/>
      </c>
      <c r="H120" s="10">
        <f>Source!AV79</f>
        <v>1</v>
      </c>
      <c r="I120" s="28">
        <f>(ROUND((ROUND(((Source!ET79)*Source!AV79*Source!I79),2)),2)+ROUND((ROUND(((Source!AE79-(Source!EU79))*Source!AV79*Source!I79),2)),2))</f>
        <v>1.64</v>
      </c>
      <c r="J120" s="10">
        <f>IF(Source!BB79&lt;&gt; 0, Source!BB79, 1)</f>
        <v>9.32</v>
      </c>
      <c r="K120" s="28">
        <f>Source!Q79</f>
        <v>15.28</v>
      </c>
    </row>
    <row r="121" spans="1:27" ht="14.25" x14ac:dyDescent="0.2">
      <c r="A121" s="23"/>
      <c r="B121" s="24"/>
      <c r="C121" s="24" t="s">
        <v>352</v>
      </c>
      <c r="D121" s="25"/>
      <c r="E121" s="10"/>
      <c r="F121" s="27">
        <f>Source!AN79</f>
        <v>7.6</v>
      </c>
      <c r="G121" s="26" t="str">
        <f>Source!DF79</f>
        <v/>
      </c>
      <c r="H121" s="10">
        <f>Source!AV79</f>
        <v>1</v>
      </c>
      <c r="I121" s="29">
        <f>ROUND((ROUND((Source!AE79*Source!AV79*Source!I79),2)),2)</f>
        <v>0.38</v>
      </c>
      <c r="J121" s="10">
        <f>IF(Source!BS79&lt;&gt; 0, Source!BS79, 1)</f>
        <v>23.06</v>
      </c>
      <c r="K121" s="29">
        <f>Source!R79</f>
        <v>8.76</v>
      </c>
      <c r="W121">
        <f>I121</f>
        <v>0.38</v>
      </c>
    </row>
    <row r="122" spans="1:27" ht="14.25" x14ac:dyDescent="0.2">
      <c r="A122" s="23"/>
      <c r="B122" s="24"/>
      <c r="C122" s="24" t="s">
        <v>361</v>
      </c>
      <c r="D122" s="25"/>
      <c r="E122" s="10"/>
      <c r="F122" s="27">
        <f>Source!AL79</f>
        <v>1.54</v>
      </c>
      <c r="G122" s="26" t="str">
        <f>Source!DD79</f>
        <v/>
      </c>
      <c r="H122" s="10">
        <f>Source!AW79</f>
        <v>1</v>
      </c>
      <c r="I122" s="28">
        <f>ROUND((ROUND((Source!AC79*Source!AW79*Source!I79),2)),2)</f>
        <v>0.08</v>
      </c>
      <c r="J122" s="10">
        <f>IF(Source!BC79&lt;&gt; 0, Source!BC79, 1)</f>
        <v>5.41</v>
      </c>
      <c r="K122" s="28">
        <f>Source!P79</f>
        <v>0.43</v>
      </c>
    </row>
    <row r="123" spans="1:27" ht="14.25" x14ac:dyDescent="0.2">
      <c r="A123" s="23"/>
      <c r="B123" s="24"/>
      <c r="C123" s="24" t="s">
        <v>353</v>
      </c>
      <c r="D123" s="25" t="s">
        <v>354</v>
      </c>
      <c r="E123" s="10">
        <f>Source!DN79</f>
        <v>114</v>
      </c>
      <c r="F123" s="27"/>
      <c r="G123" s="26"/>
      <c r="H123" s="10"/>
      <c r="I123" s="28">
        <f>SUM(Q118:Q122)</f>
        <v>8.1300000000000008</v>
      </c>
      <c r="J123" s="10">
        <f>Source!BZ79</f>
        <v>77</v>
      </c>
      <c r="K123" s="28">
        <f>SUM(R118:R122)</f>
        <v>126.6</v>
      </c>
    </row>
    <row r="124" spans="1:27" ht="14.25" x14ac:dyDescent="0.2">
      <c r="A124" s="23"/>
      <c r="B124" s="24"/>
      <c r="C124" s="24" t="s">
        <v>355</v>
      </c>
      <c r="D124" s="25" t="s">
        <v>354</v>
      </c>
      <c r="E124" s="10">
        <f>Source!DO79</f>
        <v>67</v>
      </c>
      <c r="F124" s="27"/>
      <c r="G124" s="26"/>
      <c r="H124" s="10"/>
      <c r="I124" s="28">
        <f>SUM(S118:S123)</f>
        <v>4.78</v>
      </c>
      <c r="J124" s="10">
        <f>Source!CA79</f>
        <v>41</v>
      </c>
      <c r="K124" s="28">
        <f>SUM(T118:T123)</f>
        <v>67.41</v>
      </c>
    </row>
    <row r="125" spans="1:27" ht="14.25" x14ac:dyDescent="0.2">
      <c r="A125" s="23"/>
      <c r="B125" s="24"/>
      <c r="C125" s="24" t="s">
        <v>356</v>
      </c>
      <c r="D125" s="25" t="s">
        <v>354</v>
      </c>
      <c r="E125" s="10">
        <f>175</f>
        <v>175</v>
      </c>
      <c r="F125" s="27"/>
      <c r="G125" s="26"/>
      <c r="H125" s="10"/>
      <c r="I125" s="28">
        <f>SUM(U118:U124)</f>
        <v>0.67</v>
      </c>
      <c r="J125" s="10">
        <f>157</f>
        <v>157</v>
      </c>
      <c r="K125" s="28">
        <f>SUM(V118:V124)</f>
        <v>13.75</v>
      </c>
    </row>
    <row r="126" spans="1:27" ht="14.25" x14ac:dyDescent="0.2">
      <c r="A126" s="23"/>
      <c r="B126" s="24"/>
      <c r="C126" s="24" t="s">
        <v>357</v>
      </c>
      <c r="D126" s="25" t="s">
        <v>358</v>
      </c>
      <c r="E126" s="10">
        <f>Source!AQ79</f>
        <v>11.3</v>
      </c>
      <c r="F126" s="27"/>
      <c r="G126" s="26" t="str">
        <f>Source!DI79</f>
        <v/>
      </c>
      <c r="H126" s="10">
        <f>Source!AV79</f>
        <v>1</v>
      </c>
      <c r="I126" s="28">
        <f>Source!U79</f>
        <v>0.56500000000000006</v>
      </c>
      <c r="J126" s="10"/>
      <c r="K126" s="28"/>
    </row>
    <row r="127" spans="1:27" ht="15" x14ac:dyDescent="0.25">
      <c r="A127" s="31"/>
      <c r="B127" s="31"/>
      <c r="C127" s="31"/>
      <c r="D127" s="31"/>
      <c r="E127" s="31"/>
      <c r="F127" s="31"/>
      <c r="G127" s="31"/>
      <c r="H127" s="54">
        <f>I119+I120+I122+I123+I124+I125</f>
        <v>22.430000000000003</v>
      </c>
      <c r="I127" s="54"/>
      <c r="J127" s="54">
        <f>K119+K120+K122+K123+K124+K125</f>
        <v>387.89</v>
      </c>
      <c r="K127" s="54"/>
      <c r="O127" s="30">
        <f>I119+I120+I122+I123+I124+I125</f>
        <v>22.430000000000003</v>
      </c>
      <c r="P127" s="30">
        <f>K119+K120+K122+K123+K124+K125</f>
        <v>387.89</v>
      </c>
      <c r="X127">
        <f>IF(Source!BI79&lt;=1,I119+I120+I122+I123+I124+I125-0, 0)</f>
        <v>0</v>
      </c>
      <c r="Y127">
        <f>IF(Source!BI79=2,I119+I120+I122+I123+I124+I125-0, 0)</f>
        <v>22.430000000000003</v>
      </c>
      <c r="Z127">
        <f>IF(Source!BI79=3,I119+I120+I122+I123+I124+I125-0, 0)</f>
        <v>0</v>
      </c>
      <c r="AA127">
        <f>IF(Source!BI79=4,I119+I120+I122+I123+I124+I125,0)</f>
        <v>0</v>
      </c>
    </row>
    <row r="128" spans="1:27" ht="28.5" x14ac:dyDescent="0.2">
      <c r="A128" s="23" t="str">
        <f>Source!E85</f>
        <v>23</v>
      </c>
      <c r="B128" s="24" t="str">
        <f>Source!F85</f>
        <v>4.10-13-4</v>
      </c>
      <c r="C128" s="24" t="s">
        <v>167</v>
      </c>
      <c r="D128" s="25" t="str">
        <f>Source!H85</f>
        <v>100 М КАБЕЛЯ</v>
      </c>
      <c r="E128" s="10">
        <f>Source!I85</f>
        <v>0.09</v>
      </c>
      <c r="F128" s="27"/>
      <c r="G128" s="26"/>
      <c r="H128" s="10"/>
      <c r="I128" s="28"/>
      <c r="J128" s="10"/>
      <c r="K128" s="28"/>
      <c r="Q128">
        <f>ROUND((Source!DN85/100)*ROUND((ROUND((Source!AF85*Source!AV85*Source!I85),2)),2), 2)</f>
        <v>31.08</v>
      </c>
      <c r="R128">
        <f>Source!X85</f>
        <v>484.04</v>
      </c>
      <c r="S128">
        <f>ROUND((Source!DO85/100)*ROUND((ROUND((Source!AF85*Source!AV85*Source!I85),2)),2), 2)</f>
        <v>18.260000000000002</v>
      </c>
      <c r="T128">
        <f>Source!Y85</f>
        <v>257.73</v>
      </c>
      <c r="U128">
        <f>ROUND((175/100)*ROUND((ROUND((Source!AE85*Source!AV85*Source!I85),2)),2), 2)</f>
        <v>2.66</v>
      </c>
      <c r="V128">
        <f>ROUND((157/100)*ROUND(ROUND((ROUND((Source!AE85*Source!AV85*Source!I85),2)*Source!BS85),2), 2), 2)</f>
        <v>55.03</v>
      </c>
    </row>
    <row r="129" spans="1:27" ht="14.25" x14ac:dyDescent="0.2">
      <c r="A129" s="23"/>
      <c r="B129" s="24"/>
      <c r="C129" s="24" t="s">
        <v>350</v>
      </c>
      <c r="D129" s="25"/>
      <c r="E129" s="10"/>
      <c r="F129" s="27">
        <f>Source!AO85</f>
        <v>302.88</v>
      </c>
      <c r="G129" s="26" t="str">
        <f>Source!DG85</f>
        <v/>
      </c>
      <c r="H129" s="10">
        <f>Source!AV85</f>
        <v>1</v>
      </c>
      <c r="I129" s="28">
        <f>ROUND((ROUND((Source!AF85*Source!AV85*Source!I85),2)),2)</f>
        <v>27.26</v>
      </c>
      <c r="J129" s="10">
        <f>IF(Source!BA85&lt;&gt; 0, Source!BA85, 1)</f>
        <v>23.06</v>
      </c>
      <c r="K129" s="28">
        <f>Source!S85</f>
        <v>628.62</v>
      </c>
      <c r="W129">
        <f>I129</f>
        <v>27.26</v>
      </c>
    </row>
    <row r="130" spans="1:27" ht="14.25" x14ac:dyDescent="0.2">
      <c r="A130" s="23"/>
      <c r="B130" s="24"/>
      <c r="C130" s="24" t="s">
        <v>351</v>
      </c>
      <c r="D130" s="25"/>
      <c r="E130" s="10"/>
      <c r="F130" s="27">
        <f>Source!AM85</f>
        <v>73</v>
      </c>
      <c r="G130" s="26" t="str">
        <f>Source!DE85</f>
        <v/>
      </c>
      <c r="H130" s="10">
        <f>Source!AV85</f>
        <v>1</v>
      </c>
      <c r="I130" s="28">
        <f>(ROUND((ROUND(((Source!ET85)*Source!AV85*Source!I85),2)),2)+ROUND((ROUND(((Source!AE85-(Source!EU85))*Source!AV85*Source!I85),2)),2))</f>
        <v>6.57</v>
      </c>
      <c r="J130" s="10">
        <f>IF(Source!BB85&lt;&gt; 0, Source!BB85, 1)</f>
        <v>9.32</v>
      </c>
      <c r="K130" s="28">
        <f>Source!Q85</f>
        <v>61.23</v>
      </c>
    </row>
    <row r="131" spans="1:27" ht="14.25" x14ac:dyDescent="0.2">
      <c r="A131" s="23"/>
      <c r="B131" s="24"/>
      <c r="C131" s="24" t="s">
        <v>352</v>
      </c>
      <c r="D131" s="25"/>
      <c r="E131" s="10"/>
      <c r="F131" s="27">
        <f>Source!AN85</f>
        <v>16.899999999999999</v>
      </c>
      <c r="G131" s="26" t="str">
        <f>Source!DF85</f>
        <v/>
      </c>
      <c r="H131" s="10">
        <f>Source!AV85</f>
        <v>1</v>
      </c>
      <c r="I131" s="29">
        <f>ROUND((ROUND((Source!AE85*Source!AV85*Source!I85),2)),2)</f>
        <v>1.52</v>
      </c>
      <c r="J131" s="10">
        <f>IF(Source!BS85&lt;&gt; 0, Source!BS85, 1)</f>
        <v>23.06</v>
      </c>
      <c r="K131" s="29">
        <f>Source!R85</f>
        <v>35.049999999999997</v>
      </c>
      <c r="W131">
        <f>I131</f>
        <v>1.52</v>
      </c>
    </row>
    <row r="132" spans="1:27" ht="14.25" x14ac:dyDescent="0.2">
      <c r="A132" s="23"/>
      <c r="B132" s="24"/>
      <c r="C132" s="24" t="s">
        <v>361</v>
      </c>
      <c r="D132" s="25"/>
      <c r="E132" s="10"/>
      <c r="F132" s="27">
        <f>Source!AL85</f>
        <v>2.8</v>
      </c>
      <c r="G132" s="26" t="str">
        <f>Source!DD85</f>
        <v/>
      </c>
      <c r="H132" s="10">
        <f>Source!AW85</f>
        <v>1</v>
      </c>
      <c r="I132" s="28">
        <f>ROUND((ROUND((Source!AC85*Source!AW85*Source!I85),2)),2)</f>
        <v>0.25</v>
      </c>
      <c r="J132" s="10">
        <f>IF(Source!BC85&lt;&gt; 0, Source!BC85, 1)</f>
        <v>5.41</v>
      </c>
      <c r="K132" s="28">
        <f>Source!P85</f>
        <v>1.35</v>
      </c>
    </row>
    <row r="133" spans="1:27" ht="14.25" x14ac:dyDescent="0.2">
      <c r="A133" s="23"/>
      <c r="B133" s="24"/>
      <c r="C133" s="24" t="s">
        <v>353</v>
      </c>
      <c r="D133" s="25" t="s">
        <v>354</v>
      </c>
      <c r="E133" s="10">
        <f>Source!DN85</f>
        <v>114</v>
      </c>
      <c r="F133" s="27"/>
      <c r="G133" s="26"/>
      <c r="H133" s="10"/>
      <c r="I133" s="28">
        <f>SUM(Q128:Q132)</f>
        <v>31.08</v>
      </c>
      <c r="J133" s="10">
        <f>Source!BZ85</f>
        <v>77</v>
      </c>
      <c r="K133" s="28">
        <f>SUM(R128:R132)</f>
        <v>484.04</v>
      </c>
    </row>
    <row r="134" spans="1:27" ht="14.25" x14ac:dyDescent="0.2">
      <c r="A134" s="23"/>
      <c r="B134" s="24"/>
      <c r="C134" s="24" t="s">
        <v>355</v>
      </c>
      <c r="D134" s="25" t="s">
        <v>354</v>
      </c>
      <c r="E134" s="10">
        <f>Source!DO85</f>
        <v>67</v>
      </c>
      <c r="F134" s="27"/>
      <c r="G134" s="26"/>
      <c r="H134" s="10"/>
      <c r="I134" s="28">
        <f>SUM(S128:S133)</f>
        <v>18.260000000000002</v>
      </c>
      <c r="J134" s="10">
        <f>Source!CA85</f>
        <v>41</v>
      </c>
      <c r="K134" s="28">
        <f>SUM(T128:T133)</f>
        <v>257.73</v>
      </c>
    </row>
    <row r="135" spans="1:27" ht="14.25" x14ac:dyDescent="0.2">
      <c r="A135" s="23"/>
      <c r="B135" s="24"/>
      <c r="C135" s="24" t="s">
        <v>356</v>
      </c>
      <c r="D135" s="25" t="s">
        <v>354</v>
      </c>
      <c r="E135" s="10">
        <f>175</f>
        <v>175</v>
      </c>
      <c r="F135" s="27"/>
      <c r="G135" s="26"/>
      <c r="H135" s="10"/>
      <c r="I135" s="28">
        <f>SUM(U128:U134)</f>
        <v>2.66</v>
      </c>
      <c r="J135" s="10">
        <f>157</f>
        <v>157</v>
      </c>
      <c r="K135" s="28">
        <f>SUM(V128:V134)</f>
        <v>55.03</v>
      </c>
    </row>
    <row r="136" spans="1:27" ht="14.25" x14ac:dyDescent="0.2">
      <c r="A136" s="23"/>
      <c r="B136" s="24"/>
      <c r="C136" s="24" t="s">
        <v>357</v>
      </c>
      <c r="D136" s="25" t="s">
        <v>358</v>
      </c>
      <c r="E136" s="10">
        <f>Source!AQ85</f>
        <v>24</v>
      </c>
      <c r="F136" s="27"/>
      <c r="G136" s="26" t="str">
        <f>Source!DI85</f>
        <v/>
      </c>
      <c r="H136" s="10">
        <f>Source!AV85</f>
        <v>1</v>
      </c>
      <c r="I136" s="28">
        <f>Source!U85</f>
        <v>2.16</v>
      </c>
      <c r="J136" s="10"/>
      <c r="K136" s="28"/>
    </row>
    <row r="137" spans="1:27" ht="15" x14ac:dyDescent="0.25">
      <c r="A137" s="31"/>
      <c r="B137" s="31"/>
      <c r="C137" s="31"/>
      <c r="D137" s="31"/>
      <c r="E137" s="31"/>
      <c r="F137" s="31"/>
      <c r="G137" s="31"/>
      <c r="H137" s="54">
        <f>I129+I130+I132+I133+I134+I135</f>
        <v>86.08</v>
      </c>
      <c r="I137" s="54"/>
      <c r="J137" s="54">
        <f>K129+K130+K132+K133+K134+K135</f>
        <v>1488</v>
      </c>
      <c r="K137" s="54"/>
      <c r="O137" s="30">
        <f>I129+I130+I132+I133+I134+I135</f>
        <v>86.08</v>
      </c>
      <c r="P137" s="30">
        <f>K129+K130+K132+K133+K134+K135</f>
        <v>1488</v>
      </c>
      <c r="X137">
        <f>IF(Source!BI85&lt;=1,I129+I130+I132+I133+I134+I135-0, 0)</f>
        <v>0</v>
      </c>
      <c r="Y137">
        <f>IF(Source!BI85=2,I129+I130+I132+I133+I134+I135-0, 0)</f>
        <v>86.08</v>
      </c>
      <c r="Z137">
        <f>IF(Source!BI85=3,I129+I130+I132+I133+I134+I135-0, 0)</f>
        <v>0</v>
      </c>
      <c r="AA137">
        <f>IF(Source!BI85=4,I129+I130+I132+I133+I134+I135,0)</f>
        <v>0</v>
      </c>
    </row>
    <row r="138" spans="1:27" ht="28.5" x14ac:dyDescent="0.2">
      <c r="A138" s="23" t="str">
        <f>Source!E86</f>
        <v>24</v>
      </c>
      <c r="B138" s="24" t="str">
        <f>Source!F86</f>
        <v>4.8-76-3</v>
      </c>
      <c r="C138" s="24" t="s">
        <v>173</v>
      </c>
      <c r="D138" s="25" t="str">
        <f>Source!H86</f>
        <v>100 шт.</v>
      </c>
      <c r="E138" s="10">
        <f>Source!I86</f>
        <v>0.36</v>
      </c>
      <c r="F138" s="27"/>
      <c r="G138" s="26"/>
      <c r="H138" s="10"/>
      <c r="I138" s="28"/>
      <c r="J138" s="10"/>
      <c r="K138" s="28"/>
      <c r="Q138">
        <f>ROUND((Source!DN86/100)*ROUND((ROUND((Source!AF86*Source!AV86*Source!I86),2)),2), 2)</f>
        <v>76.92</v>
      </c>
      <c r="R138">
        <f>Source!X86</f>
        <v>1198.01</v>
      </c>
      <c r="S138">
        <f>ROUND((Source!DO86/100)*ROUND((ROUND((Source!AF86*Source!AV86*Source!I86),2)),2), 2)</f>
        <v>45.2</v>
      </c>
      <c r="T138">
        <f>Source!Y86</f>
        <v>637.9</v>
      </c>
      <c r="U138">
        <f>ROUND((175/100)*ROUND((ROUND((Source!AE86*Source!AV86*Source!I86),2)),2), 2)</f>
        <v>0</v>
      </c>
      <c r="V138">
        <f>ROUND((157/100)*ROUND(ROUND((ROUND((Source!AE86*Source!AV86*Source!I86),2)*Source!BS86),2), 2), 2)</f>
        <v>0</v>
      </c>
    </row>
    <row r="139" spans="1:27" ht="14.25" x14ac:dyDescent="0.2">
      <c r="A139" s="23"/>
      <c r="B139" s="24"/>
      <c r="C139" s="24" t="s">
        <v>350</v>
      </c>
      <c r="D139" s="25"/>
      <c r="E139" s="10"/>
      <c r="F139" s="27">
        <f>Source!AO86</f>
        <v>187.42</v>
      </c>
      <c r="G139" s="26" t="str">
        <f>Source!DG86</f>
        <v/>
      </c>
      <c r="H139" s="10">
        <f>Source!AV86</f>
        <v>1</v>
      </c>
      <c r="I139" s="28">
        <f>ROUND((ROUND((Source!AF86*Source!AV86*Source!I86),2)),2)</f>
        <v>67.47</v>
      </c>
      <c r="J139" s="10">
        <f>IF(Source!BA86&lt;&gt; 0, Source!BA86, 1)</f>
        <v>23.06</v>
      </c>
      <c r="K139" s="28">
        <f>Source!S86</f>
        <v>1555.86</v>
      </c>
      <c r="W139">
        <f>I139</f>
        <v>67.47</v>
      </c>
    </row>
    <row r="140" spans="1:27" ht="14.25" x14ac:dyDescent="0.2">
      <c r="A140" s="23"/>
      <c r="B140" s="24"/>
      <c r="C140" s="24" t="s">
        <v>361</v>
      </c>
      <c r="D140" s="25"/>
      <c r="E140" s="10"/>
      <c r="F140" s="27">
        <f>Source!AL86</f>
        <v>1.4</v>
      </c>
      <c r="G140" s="26" t="str">
        <f>Source!DD86</f>
        <v/>
      </c>
      <c r="H140" s="10">
        <f>Source!AW86</f>
        <v>1</v>
      </c>
      <c r="I140" s="28">
        <f>ROUND((ROUND((Source!AC86*Source!AW86*Source!I86),2)),2)</f>
        <v>0.5</v>
      </c>
      <c r="J140" s="10">
        <f>IF(Source!BC86&lt;&gt; 0, Source!BC86, 1)</f>
        <v>5.41</v>
      </c>
      <c r="K140" s="28">
        <f>Source!P86</f>
        <v>2.71</v>
      </c>
    </row>
    <row r="141" spans="1:27" ht="14.25" x14ac:dyDescent="0.2">
      <c r="A141" s="23"/>
      <c r="B141" s="24"/>
      <c r="C141" s="24" t="s">
        <v>353</v>
      </c>
      <c r="D141" s="25" t="s">
        <v>354</v>
      </c>
      <c r="E141" s="10">
        <f>Source!DN86</f>
        <v>114</v>
      </c>
      <c r="F141" s="27"/>
      <c r="G141" s="26"/>
      <c r="H141" s="10"/>
      <c r="I141" s="28">
        <f>SUM(Q138:Q140)</f>
        <v>76.92</v>
      </c>
      <c r="J141" s="10">
        <f>Source!BZ86</f>
        <v>77</v>
      </c>
      <c r="K141" s="28">
        <f>SUM(R138:R140)</f>
        <v>1198.01</v>
      </c>
    </row>
    <row r="142" spans="1:27" ht="14.25" x14ac:dyDescent="0.2">
      <c r="A142" s="23"/>
      <c r="B142" s="24"/>
      <c r="C142" s="24" t="s">
        <v>355</v>
      </c>
      <c r="D142" s="25" t="s">
        <v>354</v>
      </c>
      <c r="E142" s="10">
        <f>Source!DO86</f>
        <v>67</v>
      </c>
      <c r="F142" s="27"/>
      <c r="G142" s="26"/>
      <c r="H142" s="10"/>
      <c r="I142" s="28">
        <f>SUM(S138:S141)</f>
        <v>45.2</v>
      </c>
      <c r="J142" s="10">
        <f>Source!CA86</f>
        <v>41</v>
      </c>
      <c r="K142" s="28">
        <f>SUM(T138:T141)</f>
        <v>637.9</v>
      </c>
    </row>
    <row r="143" spans="1:27" ht="14.25" x14ac:dyDescent="0.2">
      <c r="A143" s="23"/>
      <c r="B143" s="24"/>
      <c r="C143" s="24" t="s">
        <v>357</v>
      </c>
      <c r="D143" s="25" t="s">
        <v>358</v>
      </c>
      <c r="E143" s="10">
        <f>Source!AQ86</f>
        <v>15.2</v>
      </c>
      <c r="F143" s="27"/>
      <c r="G143" s="26" t="str">
        <f>Source!DI86</f>
        <v/>
      </c>
      <c r="H143" s="10">
        <f>Source!AV86</f>
        <v>1</v>
      </c>
      <c r="I143" s="28">
        <f>Source!U86</f>
        <v>5.4719999999999995</v>
      </c>
      <c r="J143" s="10"/>
      <c r="K143" s="28"/>
    </row>
    <row r="144" spans="1:27" ht="15" x14ac:dyDescent="0.25">
      <c r="A144" s="31"/>
      <c r="B144" s="31"/>
      <c r="C144" s="31"/>
      <c r="D144" s="31"/>
      <c r="E144" s="31"/>
      <c r="F144" s="31"/>
      <c r="G144" s="31"/>
      <c r="H144" s="54">
        <f>I139+I140+I141+I142</f>
        <v>190.08999999999997</v>
      </c>
      <c r="I144" s="54"/>
      <c r="J144" s="54">
        <f>K139+K140+K141+K142</f>
        <v>3394.48</v>
      </c>
      <c r="K144" s="54"/>
      <c r="O144" s="30">
        <f>I139+I140+I141+I142</f>
        <v>190.08999999999997</v>
      </c>
      <c r="P144" s="30">
        <f>K139+K140+K141+K142</f>
        <v>3394.48</v>
      </c>
      <c r="X144">
        <f>IF(Source!BI86&lt;=1,I139+I140+I141+I142-0, 0)</f>
        <v>0</v>
      </c>
      <c r="Y144">
        <f>IF(Source!BI86=2,I139+I140+I141+I142-0, 0)</f>
        <v>190.08999999999997</v>
      </c>
      <c r="Z144">
        <f>IF(Source!BI86=3,I139+I140+I141+I142-0, 0)</f>
        <v>0</v>
      </c>
      <c r="AA144">
        <f>IF(Source!BI86=4,I139+I140+I141+I142,0)</f>
        <v>0</v>
      </c>
    </row>
    <row r="145" spans="1:27" ht="42.75" x14ac:dyDescent="0.2">
      <c r="A145" s="23" t="str">
        <f>Source!E88</f>
        <v>26</v>
      </c>
      <c r="B145" s="24" t="str">
        <f>Source!F88</f>
        <v>5.1-158-2</v>
      </c>
      <c r="C145" s="24" t="s">
        <v>184</v>
      </c>
      <c r="D145" s="25" t="str">
        <f>Source!H88</f>
        <v>фазировка</v>
      </c>
      <c r="E145" s="10">
        <f>Source!I88</f>
        <v>36</v>
      </c>
      <c r="F145" s="27"/>
      <c r="G145" s="26"/>
      <c r="H145" s="10"/>
      <c r="I145" s="28"/>
      <c r="J145" s="10"/>
      <c r="K145" s="28"/>
      <c r="Q145">
        <f>ROUND((Source!DN88/100)*ROUND((ROUND((Source!AF88*Source!AV88*Source!I88),2)),2), 2)</f>
        <v>615.38</v>
      </c>
      <c r="R145">
        <f>Source!X88</f>
        <v>12866.25</v>
      </c>
      <c r="S145">
        <f>ROUND((Source!DO88/100)*ROUND((ROUND((Source!AF88*Source!AV88*Source!I88),2)),2), 2)</f>
        <v>574.36</v>
      </c>
      <c r="T145">
        <f>Source!Y88</f>
        <v>7757.59</v>
      </c>
      <c r="U145">
        <f>ROUND((175/100)*ROUND((ROUND((Source!AE88*Source!AV88*Source!I88),2)),2), 2)</f>
        <v>0</v>
      </c>
      <c r="V145">
        <f>ROUND((157/100)*ROUND(ROUND((ROUND((Source!AE88*Source!AV88*Source!I88),2)*Source!BS88),2), 2), 2)</f>
        <v>0</v>
      </c>
    </row>
    <row r="146" spans="1:27" x14ac:dyDescent="0.2">
      <c r="C146" s="33" t="str">
        <f>"Объем: "&amp;Source!I88&amp;"="&amp;Source!I86&amp;"*"&amp;"100"</f>
        <v>Объем: 36=0,36*100</v>
      </c>
    </row>
    <row r="147" spans="1:27" ht="14.25" x14ac:dyDescent="0.2">
      <c r="A147" s="23"/>
      <c r="B147" s="24"/>
      <c r="C147" s="24" t="s">
        <v>350</v>
      </c>
      <c r="D147" s="25"/>
      <c r="E147" s="10"/>
      <c r="F147" s="27">
        <f>Source!AO88</f>
        <v>28.49</v>
      </c>
      <c r="G147" s="26" t="str">
        <f>Source!DG88</f>
        <v>*0,8</v>
      </c>
      <c r="H147" s="10">
        <f>Source!AV88</f>
        <v>1</v>
      </c>
      <c r="I147" s="28">
        <f>ROUND((ROUND((Source!AF88*Source!AV88*Source!I88),2)),2)</f>
        <v>820.51</v>
      </c>
      <c r="J147" s="10">
        <f>IF(Source!BA88&lt;&gt; 0, Source!BA88, 1)</f>
        <v>23.06</v>
      </c>
      <c r="K147" s="28">
        <f>Source!S88</f>
        <v>18920.96</v>
      </c>
      <c r="W147">
        <f>I147</f>
        <v>820.51</v>
      </c>
    </row>
    <row r="148" spans="1:27" ht="14.25" x14ac:dyDescent="0.2">
      <c r="A148" s="23"/>
      <c r="B148" s="24"/>
      <c r="C148" s="24" t="s">
        <v>353</v>
      </c>
      <c r="D148" s="25" t="s">
        <v>354</v>
      </c>
      <c r="E148" s="10">
        <f>Source!DN88</f>
        <v>75</v>
      </c>
      <c r="F148" s="27"/>
      <c r="G148" s="26"/>
      <c r="H148" s="10"/>
      <c r="I148" s="28">
        <f>SUM(Q145:Q147)</f>
        <v>615.38</v>
      </c>
      <c r="J148" s="10">
        <f>Source!BZ88</f>
        <v>68</v>
      </c>
      <c r="K148" s="28">
        <f>SUM(R145:R147)</f>
        <v>12866.25</v>
      </c>
    </row>
    <row r="149" spans="1:27" ht="14.25" x14ac:dyDescent="0.2">
      <c r="A149" s="23"/>
      <c r="B149" s="24"/>
      <c r="C149" s="24" t="s">
        <v>355</v>
      </c>
      <c r="D149" s="25" t="s">
        <v>354</v>
      </c>
      <c r="E149" s="10">
        <f>Source!DO88</f>
        <v>70</v>
      </c>
      <c r="F149" s="27"/>
      <c r="G149" s="26"/>
      <c r="H149" s="10"/>
      <c r="I149" s="28">
        <f>SUM(S145:S148)</f>
        <v>574.36</v>
      </c>
      <c r="J149" s="10">
        <f>Source!CA88</f>
        <v>41</v>
      </c>
      <c r="K149" s="28">
        <f>SUM(T145:T148)</f>
        <v>7757.59</v>
      </c>
    </row>
    <row r="150" spans="1:27" ht="14.25" x14ac:dyDescent="0.2">
      <c r="A150" s="23"/>
      <c r="B150" s="24"/>
      <c r="C150" s="24" t="s">
        <v>357</v>
      </c>
      <c r="D150" s="25" t="s">
        <v>358</v>
      </c>
      <c r="E150" s="10">
        <f>Source!AQ88</f>
        <v>1.8</v>
      </c>
      <c r="F150" s="27"/>
      <c r="G150" s="26" t="str">
        <f>Source!DI88</f>
        <v>*0,8</v>
      </c>
      <c r="H150" s="10">
        <f>Source!AV88</f>
        <v>1</v>
      </c>
      <c r="I150" s="28">
        <f>Source!U88</f>
        <v>51.84</v>
      </c>
      <c r="J150" s="10"/>
      <c r="K150" s="28"/>
    </row>
    <row r="151" spans="1:27" ht="15" x14ac:dyDescent="0.25">
      <c r="A151" s="31"/>
      <c r="B151" s="31"/>
      <c r="C151" s="31"/>
      <c r="D151" s="31"/>
      <c r="E151" s="31"/>
      <c r="F151" s="31"/>
      <c r="G151" s="31"/>
      <c r="H151" s="54">
        <f>I147+I148+I149</f>
        <v>2010.25</v>
      </c>
      <c r="I151" s="54"/>
      <c r="J151" s="54">
        <f>K147+K148+K149</f>
        <v>39544.800000000003</v>
      </c>
      <c r="K151" s="54"/>
      <c r="O151" s="30">
        <f>I147+I148+I149</f>
        <v>2010.25</v>
      </c>
      <c r="P151" s="30">
        <f>K147+K148+K149</f>
        <v>39544.800000000003</v>
      </c>
      <c r="X151">
        <f>IF(Source!BI88&lt;=1,I147+I148+I149-0, 0)</f>
        <v>0</v>
      </c>
      <c r="Y151">
        <f>IF(Source!BI88=2,I147+I148+I149-0, 0)</f>
        <v>0</v>
      </c>
      <c r="Z151">
        <f>IF(Source!BI88=3,I147+I148+I149-0, 0)</f>
        <v>0</v>
      </c>
      <c r="AA151">
        <f>IF(Source!BI88=4,I147+I148+I149,0)</f>
        <v>2010.25</v>
      </c>
    </row>
    <row r="152" spans="1:27" ht="28.5" x14ac:dyDescent="0.2">
      <c r="A152" s="23" t="str">
        <f>Source!E89</f>
        <v>27</v>
      </c>
      <c r="B152" s="24" t="str">
        <f>Source!F89</f>
        <v>5.1-154-1</v>
      </c>
      <c r="C152" s="24" t="s">
        <v>189</v>
      </c>
      <c r="D152" s="25" t="str">
        <f>Source!H89</f>
        <v>токоприемник</v>
      </c>
      <c r="E152" s="10">
        <f>Source!I89</f>
        <v>18</v>
      </c>
      <c r="F152" s="27"/>
      <c r="G152" s="26"/>
      <c r="H152" s="10"/>
      <c r="I152" s="28"/>
      <c r="J152" s="10"/>
      <c r="K152" s="28"/>
      <c r="Q152">
        <f>ROUND((Source!DN89/100)*ROUND((ROUND((Source!AF89*Source!AV89*Source!I89),2)),2), 2)</f>
        <v>170.96</v>
      </c>
      <c r="R152">
        <f>Source!X89</f>
        <v>3574.44</v>
      </c>
      <c r="S152">
        <f>ROUND((Source!DO89/100)*ROUND((ROUND((Source!AF89*Source!AV89*Source!I89),2)),2), 2)</f>
        <v>159.57</v>
      </c>
      <c r="T152">
        <f>Source!Y89</f>
        <v>2155.1799999999998</v>
      </c>
      <c r="U152">
        <f>ROUND((175/100)*ROUND((ROUND((Source!AE89*Source!AV89*Source!I89),2)),2), 2)</f>
        <v>0</v>
      </c>
      <c r="V152">
        <f>ROUND((157/100)*ROUND(ROUND((ROUND((Source!AE89*Source!AV89*Source!I89),2)*Source!BS89),2), 2), 2)</f>
        <v>0</v>
      </c>
    </row>
    <row r="153" spans="1:27" x14ac:dyDescent="0.2">
      <c r="C153" s="33" t="str">
        <f>"Объем: "&amp;Source!I89&amp;"="&amp;Source!I88&amp;"/"&amp;"2"</f>
        <v>Объем: 18=36/2</v>
      </c>
    </row>
    <row r="154" spans="1:27" ht="14.25" x14ac:dyDescent="0.2">
      <c r="A154" s="23"/>
      <c r="B154" s="24"/>
      <c r="C154" s="24" t="s">
        <v>350</v>
      </c>
      <c r="D154" s="25"/>
      <c r="E154" s="10"/>
      <c r="F154" s="27">
        <f>Source!AO89</f>
        <v>15.83</v>
      </c>
      <c r="G154" s="26" t="str">
        <f>Source!DG89</f>
        <v>*0,8</v>
      </c>
      <c r="H154" s="10">
        <f>Source!AV89</f>
        <v>1</v>
      </c>
      <c r="I154" s="28">
        <f>ROUND((ROUND((Source!AF89*Source!AV89*Source!I89),2)),2)</f>
        <v>227.95</v>
      </c>
      <c r="J154" s="10">
        <f>IF(Source!BA89&lt;&gt; 0, Source!BA89, 1)</f>
        <v>23.06</v>
      </c>
      <c r="K154" s="28">
        <f>Source!S89</f>
        <v>5256.53</v>
      </c>
      <c r="W154">
        <f>I154</f>
        <v>227.95</v>
      </c>
    </row>
    <row r="155" spans="1:27" ht="14.25" x14ac:dyDescent="0.2">
      <c r="A155" s="23"/>
      <c r="B155" s="24"/>
      <c r="C155" s="24" t="s">
        <v>353</v>
      </c>
      <c r="D155" s="25" t="s">
        <v>354</v>
      </c>
      <c r="E155" s="10">
        <f>Source!DN89</f>
        <v>75</v>
      </c>
      <c r="F155" s="27"/>
      <c r="G155" s="26"/>
      <c r="H155" s="10"/>
      <c r="I155" s="28">
        <f>SUM(Q152:Q154)</f>
        <v>170.96</v>
      </c>
      <c r="J155" s="10">
        <f>Source!BZ89</f>
        <v>68</v>
      </c>
      <c r="K155" s="28">
        <f>SUM(R152:R154)</f>
        <v>3574.44</v>
      </c>
    </row>
    <row r="156" spans="1:27" ht="14.25" x14ac:dyDescent="0.2">
      <c r="A156" s="23"/>
      <c r="B156" s="24"/>
      <c r="C156" s="24" t="s">
        <v>355</v>
      </c>
      <c r="D156" s="25" t="s">
        <v>354</v>
      </c>
      <c r="E156" s="10">
        <f>Source!DO89</f>
        <v>70</v>
      </c>
      <c r="F156" s="27"/>
      <c r="G156" s="26"/>
      <c r="H156" s="10"/>
      <c r="I156" s="28">
        <f>SUM(S152:S155)</f>
        <v>159.57</v>
      </c>
      <c r="J156" s="10">
        <f>Source!CA89</f>
        <v>41</v>
      </c>
      <c r="K156" s="28">
        <f>SUM(T152:T155)</f>
        <v>2155.1799999999998</v>
      </c>
    </row>
    <row r="157" spans="1:27" ht="14.25" x14ac:dyDescent="0.2">
      <c r="A157" s="23"/>
      <c r="B157" s="24"/>
      <c r="C157" s="24" t="s">
        <v>357</v>
      </c>
      <c r="D157" s="25" t="s">
        <v>358</v>
      </c>
      <c r="E157" s="10">
        <f>Source!AQ89</f>
        <v>1</v>
      </c>
      <c r="F157" s="27"/>
      <c r="G157" s="26" t="str">
        <f>Source!DI89</f>
        <v>*0,8</v>
      </c>
      <c r="H157" s="10">
        <f>Source!AV89</f>
        <v>1</v>
      </c>
      <c r="I157" s="28">
        <f>Source!U89</f>
        <v>14.4</v>
      </c>
      <c r="J157" s="10"/>
      <c r="K157" s="28"/>
    </row>
    <row r="158" spans="1:27" ht="15" x14ac:dyDescent="0.25">
      <c r="A158" s="31"/>
      <c r="B158" s="31"/>
      <c r="C158" s="31"/>
      <c r="D158" s="31"/>
      <c r="E158" s="31"/>
      <c r="F158" s="31"/>
      <c r="G158" s="31"/>
      <c r="H158" s="54">
        <f>I154+I155+I156</f>
        <v>558.48</v>
      </c>
      <c r="I158" s="54"/>
      <c r="J158" s="54">
        <f>K154+K155+K156</f>
        <v>10986.15</v>
      </c>
      <c r="K158" s="54"/>
      <c r="O158" s="30">
        <f>I154+I155+I156</f>
        <v>558.48</v>
      </c>
      <c r="P158" s="30">
        <f>K154+K155+K156</f>
        <v>10986.15</v>
      </c>
      <c r="X158">
        <f>IF(Source!BI89&lt;=1,I154+I155+I156-0, 0)</f>
        <v>0</v>
      </c>
      <c r="Y158">
        <f>IF(Source!BI89=2,I154+I155+I156-0, 0)</f>
        <v>0</v>
      </c>
      <c r="Z158">
        <f>IF(Source!BI89=3,I154+I155+I156-0, 0)</f>
        <v>0</v>
      </c>
      <c r="AA158">
        <f>IF(Source!BI89=4,I154+I155+I156,0)</f>
        <v>558.48</v>
      </c>
    </row>
    <row r="160" spans="1:27" ht="15" x14ac:dyDescent="0.25">
      <c r="A160" s="53" t="str">
        <f>CONCATENATE("Итого по разделу: ",IF(Source!G92&lt;&gt;"Новый раздел", Source!G92, ""))</f>
        <v>Итого по разделу: Монтажные работы</v>
      </c>
      <c r="B160" s="53"/>
      <c r="C160" s="53"/>
      <c r="D160" s="53"/>
      <c r="E160" s="53"/>
      <c r="F160" s="53"/>
      <c r="G160" s="53"/>
      <c r="H160" s="51">
        <f>SUM(O67:O159)</f>
        <v>5003.2099999999991</v>
      </c>
      <c r="I160" s="52"/>
      <c r="J160" s="51">
        <f>SUM(P67:P159)</f>
        <v>89482.01999999999</v>
      </c>
      <c r="K160" s="52"/>
    </row>
    <row r="161" spans="1:27" hidden="1" x14ac:dyDescent="0.2">
      <c r="A161" t="s">
        <v>359</v>
      </c>
      <c r="I161">
        <f>SUM(AC67:AC160)</f>
        <v>0</v>
      </c>
      <c r="J161">
        <f>SUM(AD67:AD160)</f>
        <v>0</v>
      </c>
    </row>
    <row r="162" spans="1:27" hidden="1" x14ac:dyDescent="0.2">
      <c r="A162" t="s">
        <v>360</v>
      </c>
      <c r="I162">
        <f>SUM(AE67:AE161)</f>
        <v>0</v>
      </c>
      <c r="J162">
        <f>SUM(AF67:AF161)</f>
        <v>0</v>
      </c>
    </row>
    <row r="164" spans="1:27" ht="16.5" x14ac:dyDescent="0.25">
      <c r="A164" s="55" t="str">
        <f>CONCATENATE("Раздел: ",IF(Source!G121&lt;&gt;"Новый раздел", Source!G121, ""))</f>
        <v>Раздел: Материалы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27" ht="28.5" x14ac:dyDescent="0.2">
      <c r="A165" s="23" t="str">
        <f>Source!E126</f>
        <v>26</v>
      </c>
      <c r="B165" s="24" t="str">
        <f>Source!F126</f>
        <v>1.21-5-1041</v>
      </c>
      <c r="C165" s="24" t="s">
        <v>208</v>
      </c>
      <c r="D165" s="25" t="str">
        <f>Source!H126</f>
        <v>шт.</v>
      </c>
      <c r="E165" s="10">
        <f>Source!I126</f>
        <v>3</v>
      </c>
      <c r="F165" s="27">
        <f>Source!AL126</f>
        <v>295.54000000000002</v>
      </c>
      <c r="G165" s="26" t="str">
        <f>Source!DD126</f>
        <v/>
      </c>
      <c r="H165" s="10">
        <f>Source!AW126</f>
        <v>1</v>
      </c>
      <c r="I165" s="28">
        <f>ROUND((ROUND((Source!AC126*Source!AW126*Source!I126),2)),2)</f>
        <v>886.62</v>
      </c>
      <c r="J165" s="10">
        <f>IF(Source!BC126&lt;&gt; 0, Source!BC126, 1)</f>
        <v>3.91</v>
      </c>
      <c r="K165" s="28">
        <f>Source!P126</f>
        <v>3466.68</v>
      </c>
      <c r="Q165">
        <f>ROUND((Source!DN126/100)*ROUND((ROUND((Source!AF126*Source!AV126*Source!I126),2)),2), 2)</f>
        <v>0</v>
      </c>
      <c r="R165">
        <f>Source!X126</f>
        <v>0</v>
      </c>
      <c r="S165">
        <f>ROUND((Source!DO126/100)*ROUND((ROUND((Source!AF126*Source!AV126*Source!I126),2)),2), 2)</f>
        <v>0</v>
      </c>
      <c r="T165">
        <f>Source!Y126</f>
        <v>0</v>
      </c>
      <c r="U165">
        <f>ROUND((175/100)*ROUND((ROUND((Source!AE126*Source!AV126*Source!I126),2)),2), 2)</f>
        <v>0</v>
      </c>
      <c r="V165">
        <f>ROUND((157/100)*ROUND(ROUND((ROUND((Source!AE126*Source!AV126*Source!I126),2)*Source!BS126),2), 2), 2)</f>
        <v>0</v>
      </c>
    </row>
    <row r="166" spans="1:27" ht="15" x14ac:dyDescent="0.25">
      <c r="A166" s="31"/>
      <c r="B166" s="31"/>
      <c r="C166" s="31"/>
      <c r="D166" s="31"/>
      <c r="E166" s="31"/>
      <c r="F166" s="31"/>
      <c r="G166" s="31"/>
      <c r="H166" s="54">
        <f>I165</f>
        <v>886.62</v>
      </c>
      <c r="I166" s="54"/>
      <c r="J166" s="54">
        <f>K165</f>
        <v>3466.68</v>
      </c>
      <c r="K166" s="54"/>
      <c r="O166" s="30">
        <f>I165</f>
        <v>886.62</v>
      </c>
      <c r="P166" s="30">
        <f>K165</f>
        <v>3466.68</v>
      </c>
      <c r="X166">
        <f>IF(Source!BI126&lt;=1,I165-0, 0)</f>
        <v>0</v>
      </c>
      <c r="Y166">
        <f>IF(Source!BI126=2,I165-0, 0)</f>
        <v>886.62</v>
      </c>
      <c r="Z166">
        <f>IF(Source!BI126=3,I165-0, 0)</f>
        <v>0</v>
      </c>
      <c r="AA166">
        <f>IF(Source!BI126=4,I165,0)</f>
        <v>0</v>
      </c>
    </row>
    <row r="167" spans="1:27" ht="28.5" x14ac:dyDescent="0.2">
      <c r="A167" s="23" t="str">
        <f>Source!E132</f>
        <v>32</v>
      </c>
      <c r="B167" s="24" t="str">
        <f>Source!F132</f>
        <v>1.21-5-780</v>
      </c>
      <c r="C167" s="24" t="s">
        <v>230</v>
      </c>
      <c r="D167" s="25" t="str">
        <f>Source!H132</f>
        <v>шт.</v>
      </c>
      <c r="E167" s="10">
        <f>Source!I132</f>
        <v>1</v>
      </c>
      <c r="F167" s="27">
        <f>Source!AL132</f>
        <v>847.25</v>
      </c>
      <c r="G167" s="26" t="str">
        <f>Source!DD132</f>
        <v/>
      </c>
      <c r="H167" s="10">
        <f>Source!AW132</f>
        <v>1</v>
      </c>
      <c r="I167" s="28">
        <f>ROUND((ROUND((Source!AC132*Source!AW132*Source!I132),2)),2)</f>
        <v>847.25</v>
      </c>
      <c r="J167" s="10">
        <f>IF(Source!BC132&lt;&gt; 0, Source!BC132, 1)</f>
        <v>4.8099999999999996</v>
      </c>
      <c r="K167" s="28">
        <f>Source!P132</f>
        <v>4075.27</v>
      </c>
      <c r="Q167">
        <f>ROUND((Source!DN132/100)*ROUND((ROUND((Source!AF132*Source!AV132*Source!I132),2)),2), 2)</f>
        <v>0</v>
      </c>
      <c r="R167">
        <f>Source!X132</f>
        <v>0</v>
      </c>
      <c r="S167">
        <f>ROUND((Source!DO132/100)*ROUND((ROUND((Source!AF132*Source!AV132*Source!I132),2)),2), 2)</f>
        <v>0</v>
      </c>
      <c r="T167">
        <f>Source!Y132</f>
        <v>0</v>
      </c>
      <c r="U167">
        <f>ROUND((175/100)*ROUND((ROUND((Source!AE132*Source!AV132*Source!I132),2)),2), 2)</f>
        <v>0</v>
      </c>
      <c r="V167">
        <f>ROUND((157/100)*ROUND(ROUND((ROUND((Source!AE132*Source!AV132*Source!I132),2)*Source!BS132),2), 2), 2)</f>
        <v>0</v>
      </c>
    </row>
    <row r="168" spans="1:27" ht="15" x14ac:dyDescent="0.25">
      <c r="A168" s="31"/>
      <c r="B168" s="31"/>
      <c r="C168" s="31"/>
      <c r="D168" s="31"/>
      <c r="E168" s="31"/>
      <c r="F168" s="31"/>
      <c r="G168" s="31"/>
      <c r="H168" s="54">
        <f>I167</f>
        <v>847.25</v>
      </c>
      <c r="I168" s="54"/>
      <c r="J168" s="54">
        <f>K167</f>
        <v>4075.27</v>
      </c>
      <c r="K168" s="54"/>
      <c r="O168" s="30">
        <f>I167</f>
        <v>847.25</v>
      </c>
      <c r="P168" s="30">
        <f>K167</f>
        <v>4075.27</v>
      </c>
      <c r="X168">
        <f>IF(Source!BI132&lt;=1,I167-0, 0)</f>
        <v>0</v>
      </c>
      <c r="Y168">
        <f>IF(Source!BI132=2,I167-0, 0)</f>
        <v>847.25</v>
      </c>
      <c r="Z168">
        <f>IF(Source!BI132=3,I167-0, 0)</f>
        <v>0</v>
      </c>
      <c r="AA168">
        <f>IF(Source!BI132=4,I167,0)</f>
        <v>0</v>
      </c>
    </row>
    <row r="169" spans="1:27" ht="28.5" x14ac:dyDescent="0.2">
      <c r="A169" s="23" t="str">
        <f>Source!E136</f>
        <v>36</v>
      </c>
      <c r="B169" s="24" t="str">
        <f>Source!F136</f>
        <v>1.21-5-119</v>
      </c>
      <c r="C169" s="24" t="s">
        <v>246</v>
      </c>
      <c r="D169" s="25" t="str">
        <f>Source!H136</f>
        <v>1000 шт.</v>
      </c>
      <c r="E169" s="10">
        <f>Source!I136</f>
        <v>6.0000000000000001E-3</v>
      </c>
      <c r="F169" s="27">
        <f>Source!AL136</f>
        <v>4534.92</v>
      </c>
      <c r="G169" s="26" t="str">
        <f>Source!DD136</f>
        <v/>
      </c>
      <c r="H169" s="10">
        <f>Source!AW136</f>
        <v>1</v>
      </c>
      <c r="I169" s="28">
        <f>ROUND((ROUND((Source!AC136*Source!AW136*Source!I136),2)),2)</f>
        <v>27.21</v>
      </c>
      <c r="J169" s="10">
        <f>IF(Source!BC136&lt;&gt; 0, Source!BC136, 1)</f>
        <v>6.69</v>
      </c>
      <c r="K169" s="28">
        <f>Source!P136</f>
        <v>182.03</v>
      </c>
      <c r="Q169">
        <f>ROUND((Source!DN136/100)*ROUND((ROUND((Source!AF136*Source!AV136*Source!I136),2)),2), 2)</f>
        <v>0</v>
      </c>
      <c r="R169">
        <f>Source!X136</f>
        <v>0</v>
      </c>
      <c r="S169">
        <f>ROUND((Source!DO136/100)*ROUND((ROUND((Source!AF136*Source!AV136*Source!I136),2)),2), 2)</f>
        <v>0</v>
      </c>
      <c r="T169">
        <f>Source!Y136</f>
        <v>0</v>
      </c>
      <c r="U169">
        <f>ROUND((175/100)*ROUND((ROUND((Source!AE136*Source!AV136*Source!I136),2)),2), 2)</f>
        <v>0</v>
      </c>
      <c r="V169">
        <f>ROUND((157/100)*ROUND(ROUND((ROUND((Source!AE136*Source!AV136*Source!I136),2)*Source!BS136),2), 2), 2)</f>
        <v>0</v>
      </c>
    </row>
    <row r="170" spans="1:27" x14ac:dyDescent="0.2">
      <c r="C170" s="33" t="str">
        <f>"Объем: "&amp;Source!I136&amp;"="&amp;Source!I76&amp;"*"&amp;"100/"&amp;"1000"</f>
        <v>Объем: 0,006=0,06*100/1000</v>
      </c>
    </row>
    <row r="171" spans="1:27" ht="15" x14ac:dyDescent="0.25">
      <c r="A171" s="31"/>
      <c r="B171" s="31"/>
      <c r="C171" s="31"/>
      <c r="D171" s="31"/>
      <c r="E171" s="31"/>
      <c r="F171" s="31"/>
      <c r="G171" s="31"/>
      <c r="H171" s="54">
        <f>I169</f>
        <v>27.21</v>
      </c>
      <c r="I171" s="54"/>
      <c r="J171" s="54">
        <f>K169</f>
        <v>182.03</v>
      </c>
      <c r="K171" s="54"/>
      <c r="O171" s="30">
        <f>I169</f>
        <v>27.21</v>
      </c>
      <c r="P171" s="30">
        <f>K169</f>
        <v>182.03</v>
      </c>
      <c r="X171">
        <f>IF(Source!BI136&lt;=1,I169-0, 0)</f>
        <v>0</v>
      </c>
      <c r="Y171">
        <f>IF(Source!BI136=2,I169-0, 0)</f>
        <v>27.21</v>
      </c>
      <c r="Z171">
        <f>IF(Source!BI136=3,I169-0, 0)</f>
        <v>0</v>
      </c>
      <c r="AA171">
        <f>IF(Source!BI136=4,I169,0)</f>
        <v>0</v>
      </c>
    </row>
    <row r="172" spans="1:27" ht="14.25" x14ac:dyDescent="0.2">
      <c r="A172" s="23" t="str">
        <f>Source!E138</f>
        <v>38</v>
      </c>
      <c r="B172" s="24" t="str">
        <f>Source!F138</f>
        <v>1.21-5-882</v>
      </c>
      <c r="C172" s="24" t="s">
        <v>255</v>
      </c>
      <c r="D172" s="25" t="str">
        <f>Source!H138</f>
        <v>шт.</v>
      </c>
      <c r="E172" s="10">
        <f>Source!I138</f>
        <v>3</v>
      </c>
      <c r="F172" s="27">
        <f>Source!AL138</f>
        <v>1016.95</v>
      </c>
      <c r="G172" s="26" t="str">
        <f>Source!DD138</f>
        <v/>
      </c>
      <c r="H172" s="10">
        <f>Source!AW138</f>
        <v>1</v>
      </c>
      <c r="I172" s="28">
        <f>ROUND((ROUND((Source!AC138*Source!AW138*Source!I138),2)),2)</f>
        <v>3050.85</v>
      </c>
      <c r="J172" s="10">
        <f>IF(Source!BC138&lt;&gt; 0, Source!BC138, 1)</f>
        <v>1.9</v>
      </c>
      <c r="K172" s="28">
        <f>Source!P138</f>
        <v>5796.62</v>
      </c>
      <c r="Q172">
        <f>ROUND((Source!DN138/100)*ROUND((ROUND((Source!AF138*Source!AV138*Source!I138),2)),2), 2)</f>
        <v>0</v>
      </c>
      <c r="R172">
        <f>Source!X138</f>
        <v>0</v>
      </c>
      <c r="S172">
        <f>ROUND((Source!DO138/100)*ROUND((ROUND((Source!AF138*Source!AV138*Source!I138),2)),2), 2)</f>
        <v>0</v>
      </c>
      <c r="T172">
        <f>Source!Y138</f>
        <v>0</v>
      </c>
      <c r="U172">
        <f>ROUND((175/100)*ROUND((ROUND((Source!AE138*Source!AV138*Source!I138),2)),2), 2)</f>
        <v>0</v>
      </c>
      <c r="V172">
        <f>ROUND((157/100)*ROUND(ROUND((ROUND((Source!AE138*Source!AV138*Source!I138),2)*Source!BS138),2), 2), 2)</f>
        <v>0</v>
      </c>
    </row>
    <row r="173" spans="1:27" ht="15" x14ac:dyDescent="0.25">
      <c r="A173" s="31"/>
      <c r="B173" s="31"/>
      <c r="C173" s="31"/>
      <c r="D173" s="31"/>
      <c r="E173" s="31"/>
      <c r="F173" s="31"/>
      <c r="G173" s="31"/>
      <c r="H173" s="54">
        <f>I172</f>
        <v>3050.85</v>
      </c>
      <c r="I173" s="54"/>
      <c r="J173" s="54">
        <f>K172</f>
        <v>5796.62</v>
      </c>
      <c r="K173" s="54"/>
      <c r="O173" s="30">
        <f>I172</f>
        <v>3050.85</v>
      </c>
      <c r="P173" s="30">
        <f>K172</f>
        <v>5796.62</v>
      </c>
      <c r="X173">
        <f>IF(Source!BI138&lt;=1,I172-0, 0)</f>
        <v>0</v>
      </c>
      <c r="Y173">
        <f>IF(Source!BI138=2,I172-0, 0)</f>
        <v>3050.85</v>
      </c>
      <c r="Z173">
        <f>IF(Source!BI138=3,I172-0, 0)</f>
        <v>0</v>
      </c>
      <c r="AA173">
        <f>IF(Source!BI138=4,I172,0)</f>
        <v>0</v>
      </c>
    </row>
    <row r="174" spans="1:27" ht="57" x14ac:dyDescent="0.2">
      <c r="A174" s="23" t="str">
        <f>Source!E139</f>
        <v>39</v>
      </c>
      <c r="B174" s="24" t="str">
        <f>Source!F139</f>
        <v>1.23-13-96</v>
      </c>
      <c r="C174" s="24" t="s">
        <v>259</v>
      </c>
      <c r="D174" s="25" t="str">
        <f>Source!H139</f>
        <v>км</v>
      </c>
      <c r="E174" s="10">
        <f>Source!I139</f>
        <v>5.1000000000000004E-3</v>
      </c>
      <c r="F174" s="27">
        <f>Source!AL139</f>
        <v>4352.82</v>
      </c>
      <c r="G174" s="26" t="str">
        <f>Source!DD139</f>
        <v/>
      </c>
      <c r="H174" s="10">
        <f>Source!AW139</f>
        <v>1</v>
      </c>
      <c r="I174" s="28">
        <f>ROUND((ROUND((Source!AC139*Source!AW139*Source!I139),2)),2)</f>
        <v>22.2</v>
      </c>
      <c r="J174" s="10">
        <f>IF(Source!BC139&lt;&gt; 0, Source!BC139, 1)</f>
        <v>4.43</v>
      </c>
      <c r="K174" s="28">
        <f>Source!P139</f>
        <v>98.35</v>
      </c>
      <c r="Q174">
        <f>ROUND((Source!DN139/100)*ROUND((ROUND((Source!AF139*Source!AV139*Source!I139),2)),2), 2)</f>
        <v>0</v>
      </c>
      <c r="R174">
        <f>Source!X139</f>
        <v>0</v>
      </c>
      <c r="S174">
        <f>ROUND((Source!DO139/100)*ROUND((ROUND((Source!AF139*Source!AV139*Source!I139),2)),2), 2)</f>
        <v>0</v>
      </c>
      <c r="T174">
        <f>Source!Y139</f>
        <v>0</v>
      </c>
      <c r="U174">
        <f>ROUND((175/100)*ROUND((ROUND((Source!AE139*Source!AV139*Source!I139),2)),2), 2)</f>
        <v>0</v>
      </c>
      <c r="V174">
        <f>ROUND((157/100)*ROUND(ROUND((ROUND((Source!AE139*Source!AV139*Source!I139),2)*Source!BS139),2), 2), 2)</f>
        <v>0</v>
      </c>
    </row>
    <row r="175" spans="1:27" x14ac:dyDescent="0.2">
      <c r="C175" s="33" t="str">
        <f>"Объем: "&amp;Source!I139&amp;"="&amp;Source!I79&amp;"*"&amp;"100/"&amp;"1000*"&amp;"1,02"</f>
        <v>Объем: 0,0051=0,05*100/1000*1,02</v>
      </c>
    </row>
    <row r="176" spans="1:27" ht="15" x14ac:dyDescent="0.25">
      <c r="A176" s="31"/>
      <c r="B176" s="31"/>
      <c r="C176" s="31"/>
      <c r="D176" s="31"/>
      <c r="E176" s="31"/>
      <c r="F176" s="31"/>
      <c r="G176" s="31"/>
      <c r="H176" s="54">
        <f>I174</f>
        <v>22.2</v>
      </c>
      <c r="I176" s="54"/>
      <c r="J176" s="54">
        <f>K174</f>
        <v>98.35</v>
      </c>
      <c r="K176" s="54"/>
      <c r="O176" s="30">
        <f>I174</f>
        <v>22.2</v>
      </c>
      <c r="P176" s="30">
        <f>K174</f>
        <v>98.35</v>
      </c>
      <c r="X176">
        <f>IF(Source!BI139&lt;=1,I174-0, 0)</f>
        <v>0</v>
      </c>
      <c r="Y176">
        <f>IF(Source!BI139=2,I174-0, 0)</f>
        <v>22.2</v>
      </c>
      <c r="Z176">
        <f>IF(Source!BI139=3,I174-0, 0)</f>
        <v>0</v>
      </c>
      <c r="AA176">
        <f>IF(Source!BI139=4,I174,0)</f>
        <v>0</v>
      </c>
    </row>
    <row r="177" spans="1:38" ht="57" x14ac:dyDescent="0.2">
      <c r="A177" s="23" t="str">
        <f>Source!E146</f>
        <v>46</v>
      </c>
      <c r="B177" s="24" t="str">
        <f>Source!F146</f>
        <v>1.23-13-104</v>
      </c>
      <c r="C177" s="24" t="s">
        <v>288</v>
      </c>
      <c r="D177" s="25" t="str">
        <f>Source!H146</f>
        <v>км</v>
      </c>
      <c r="E177" s="10">
        <f>Source!I146</f>
        <v>9.1800000000000007E-3</v>
      </c>
      <c r="F177" s="27">
        <f>Source!AL146</f>
        <v>55922.54</v>
      </c>
      <c r="G177" s="26" t="str">
        <f>Source!DD146</f>
        <v/>
      </c>
      <c r="H177" s="10">
        <f>Source!AW146</f>
        <v>1</v>
      </c>
      <c r="I177" s="28">
        <f>ROUND((ROUND((Source!AC146*Source!AW146*Source!I146),2)),2)</f>
        <v>513.37</v>
      </c>
      <c r="J177" s="10">
        <f>IF(Source!BC146&lt;&gt; 0, Source!BC146, 1)</f>
        <v>5.85</v>
      </c>
      <c r="K177" s="28">
        <f>Source!P146</f>
        <v>3003.21</v>
      </c>
      <c r="Q177">
        <f>ROUND((Source!DN146/100)*ROUND((ROUND((Source!AF146*Source!AV146*Source!I146),2)),2), 2)</f>
        <v>0</v>
      </c>
      <c r="R177">
        <f>Source!X146</f>
        <v>0</v>
      </c>
      <c r="S177">
        <f>ROUND((Source!DO146/100)*ROUND((ROUND((Source!AF146*Source!AV146*Source!I146),2)),2), 2)</f>
        <v>0</v>
      </c>
      <c r="T177">
        <f>Source!Y146</f>
        <v>0</v>
      </c>
      <c r="U177">
        <f>ROUND((175/100)*ROUND((ROUND((Source!AE146*Source!AV146*Source!I146),2)),2), 2)</f>
        <v>0</v>
      </c>
      <c r="V177">
        <f>ROUND((157/100)*ROUND(ROUND((ROUND((Source!AE146*Source!AV146*Source!I146),2)*Source!BS146),2), 2), 2)</f>
        <v>0</v>
      </c>
    </row>
    <row r="178" spans="1:38" x14ac:dyDescent="0.2">
      <c r="C178" s="33" t="str">
        <f>"Объем: "&amp;Source!I146&amp;"="&amp;Source!I85&amp;"*"&amp;"100/"&amp;"1000*"&amp;"1,02"</f>
        <v>Объем: 0,00918=0,09*100/1000*1,02</v>
      </c>
    </row>
    <row r="179" spans="1:38" ht="15" x14ac:dyDescent="0.25">
      <c r="A179" s="31"/>
      <c r="B179" s="31"/>
      <c r="C179" s="31"/>
      <c r="D179" s="31"/>
      <c r="E179" s="31"/>
      <c r="F179" s="31"/>
      <c r="G179" s="31"/>
      <c r="H179" s="54">
        <f>I177</f>
        <v>513.37</v>
      </c>
      <c r="I179" s="54"/>
      <c r="J179" s="54">
        <f>K177</f>
        <v>3003.21</v>
      </c>
      <c r="K179" s="54"/>
      <c r="O179" s="30">
        <f>I177</f>
        <v>513.37</v>
      </c>
      <c r="P179" s="30">
        <f>K177</f>
        <v>3003.21</v>
      </c>
      <c r="X179">
        <f>IF(Source!BI146&lt;=1,I177-0, 0)</f>
        <v>0</v>
      </c>
      <c r="Y179">
        <f>IF(Source!BI146=2,I177-0, 0)</f>
        <v>513.37</v>
      </c>
      <c r="Z179">
        <f>IF(Source!BI146=3,I177-0, 0)</f>
        <v>0</v>
      </c>
      <c r="AA179">
        <f>IF(Source!BI146=4,I177,0)</f>
        <v>0</v>
      </c>
    </row>
    <row r="180" spans="1:38" ht="14.25" x14ac:dyDescent="0.2">
      <c r="A180" s="23" t="str">
        <f>Source!E147</f>
        <v>47</v>
      </c>
      <c r="B180" s="24" t="str">
        <f>Source!F147</f>
        <v>1.21-5-734</v>
      </c>
      <c r="C180" s="24" t="s">
        <v>292</v>
      </c>
      <c r="D180" s="25" t="str">
        <f>Source!H147</f>
        <v>шт.</v>
      </c>
      <c r="E180" s="10">
        <f>Source!I147</f>
        <v>36</v>
      </c>
      <c r="F180" s="27">
        <f>Source!AL147</f>
        <v>88.08</v>
      </c>
      <c r="G180" s="26" t="str">
        <f>Source!DD147</f>
        <v/>
      </c>
      <c r="H180" s="10">
        <f>Source!AW147</f>
        <v>1</v>
      </c>
      <c r="I180" s="28">
        <f>ROUND((ROUND((Source!AC147*Source!AW147*Source!I147),2)),2)</f>
        <v>3170.88</v>
      </c>
      <c r="J180" s="10">
        <f>IF(Source!BC147&lt;&gt; 0, Source!BC147, 1)</f>
        <v>2.1800000000000002</v>
      </c>
      <c r="K180" s="28">
        <f>Source!P147</f>
        <v>6912.52</v>
      </c>
      <c r="Q180">
        <f>ROUND((Source!DN147/100)*ROUND((ROUND((Source!AF147*Source!AV147*Source!I147),2)),2), 2)</f>
        <v>0</v>
      </c>
      <c r="R180">
        <f>Source!X147</f>
        <v>0</v>
      </c>
      <c r="S180">
        <f>ROUND((Source!DO147/100)*ROUND((ROUND((Source!AF147*Source!AV147*Source!I147),2)),2), 2)</f>
        <v>0</v>
      </c>
      <c r="T180">
        <f>Source!Y147</f>
        <v>0</v>
      </c>
      <c r="U180">
        <f>ROUND((175/100)*ROUND((ROUND((Source!AE147*Source!AV147*Source!I147),2)),2), 2)</f>
        <v>0</v>
      </c>
      <c r="V180">
        <f>ROUND((157/100)*ROUND(ROUND((ROUND((Source!AE147*Source!AV147*Source!I147),2)*Source!BS147),2), 2), 2)</f>
        <v>0</v>
      </c>
    </row>
    <row r="181" spans="1:38" x14ac:dyDescent="0.2">
      <c r="C181" s="33" t="str">
        <f>"Объем: "&amp;Source!I147&amp;"="&amp;Source!I86&amp;"*"&amp;"100"</f>
        <v>Объем: 36=0,36*100</v>
      </c>
    </row>
    <row r="182" spans="1:38" ht="15" x14ac:dyDescent="0.25">
      <c r="A182" s="31"/>
      <c r="B182" s="31"/>
      <c r="C182" s="31"/>
      <c r="D182" s="31"/>
      <c r="E182" s="31"/>
      <c r="F182" s="31"/>
      <c r="G182" s="31"/>
      <c r="H182" s="54">
        <f>I180</f>
        <v>3170.88</v>
      </c>
      <c r="I182" s="54"/>
      <c r="J182" s="54">
        <f>K180</f>
        <v>6912.52</v>
      </c>
      <c r="K182" s="54"/>
      <c r="O182" s="30">
        <f>I180</f>
        <v>3170.88</v>
      </c>
      <c r="P182" s="30">
        <f>K180</f>
        <v>6912.52</v>
      </c>
      <c r="X182">
        <f>IF(Source!BI147&lt;=1,I180-0, 0)</f>
        <v>0</v>
      </c>
      <c r="Y182">
        <f>IF(Source!BI147=2,I180-0, 0)</f>
        <v>3170.88</v>
      </c>
      <c r="Z182">
        <f>IF(Source!BI147=3,I180-0, 0)</f>
        <v>0</v>
      </c>
      <c r="AA182">
        <f>IF(Source!BI147=4,I180,0)</f>
        <v>0</v>
      </c>
    </row>
    <row r="184" spans="1:38" ht="15" x14ac:dyDescent="0.25">
      <c r="A184" s="53" t="str">
        <f>CONCATENATE("Итого по разделу: ",IF(Source!G153&lt;&gt;"Новый раздел", Source!G153, ""))</f>
        <v>Итого по разделу: Материалы</v>
      </c>
      <c r="B184" s="53"/>
      <c r="C184" s="53"/>
      <c r="D184" s="53"/>
      <c r="E184" s="53"/>
      <c r="F184" s="53"/>
      <c r="G184" s="53"/>
      <c r="H184" s="51">
        <f>SUM(O164:O183)</f>
        <v>8518.380000000001</v>
      </c>
      <c r="I184" s="52"/>
      <c r="J184" s="51">
        <f>SUM(P164:P183)</f>
        <v>23534.68</v>
      </c>
      <c r="K184" s="52"/>
    </row>
    <row r="185" spans="1:38" hidden="1" x14ac:dyDescent="0.2">
      <c r="A185" t="s">
        <v>359</v>
      </c>
      <c r="I185">
        <f>SUM(AC164:AC184)</f>
        <v>0</v>
      </c>
      <c r="J185">
        <f>SUM(AD164:AD184)</f>
        <v>0</v>
      </c>
    </row>
    <row r="186" spans="1:38" hidden="1" x14ac:dyDescent="0.2">
      <c r="A186" t="s">
        <v>360</v>
      </c>
      <c r="I186">
        <f>SUM(AE164:AE185)</f>
        <v>0</v>
      </c>
      <c r="J186">
        <f>SUM(AF164:AF185)</f>
        <v>0</v>
      </c>
    </row>
    <row r="188" spans="1:38" ht="30" x14ac:dyDescent="0.25">
      <c r="A188" s="53" t="str">
        <f>CONCATENATE("Итого по локальной смете: ",IF(Source!G182&lt;&gt;"Новая локальная смета", Source!G182, ""))</f>
        <v>Итого по локальной смете: Комплекс электромонтажных работ по адресу: МО, Люберецкий р-н, п. Октябрьский мкр. Западный, Спортивная ул., д. 2, ТУ3714 от 10.12.2019 г. п.п. 1-7</v>
      </c>
      <c r="B188" s="53"/>
      <c r="C188" s="53"/>
      <c r="D188" s="53"/>
      <c r="E188" s="53"/>
      <c r="F188" s="53"/>
      <c r="G188" s="53"/>
      <c r="H188" s="51">
        <f>SUM(O35:O187)</f>
        <v>14063.370000000003</v>
      </c>
      <c r="I188" s="52"/>
      <c r="J188" s="51">
        <f>SUM(P35:P187)</f>
        <v>122468.2</v>
      </c>
      <c r="K188" s="52"/>
      <c r="AL188" s="34" t="str">
        <f>CONCATENATE("Итого по локальной смете: ",IF(Source!G182&lt;&gt;"Новая локальная смета", Source!G182, ""))</f>
        <v>Итого по локальной смете: Комплекс электромонтажных работ по адресу: МО, Люберецкий р-н, п. Октябрьский мкр. Западный, Спортивная ул., д. 2, ТУ3714 от 10.12.2019 г. п.п. 1-7</v>
      </c>
    </row>
    <row r="189" spans="1:38" hidden="1" x14ac:dyDescent="0.2">
      <c r="A189" t="s">
        <v>359</v>
      </c>
      <c r="I189">
        <f>SUM(AC35:AC188)</f>
        <v>0</v>
      </c>
      <c r="J189">
        <f>SUM(AD35:AD188)</f>
        <v>0</v>
      </c>
    </row>
    <row r="190" spans="1:38" hidden="1" x14ac:dyDescent="0.2">
      <c r="A190" t="s">
        <v>360</v>
      </c>
      <c r="I190">
        <f>SUM(AE35:AE189)</f>
        <v>0</v>
      </c>
      <c r="J190">
        <f>SUM(AF35:AF189)</f>
        <v>0</v>
      </c>
    </row>
    <row r="192" spans="1:38" ht="15" x14ac:dyDescent="0.25">
      <c r="A192" s="53" t="str">
        <f>CONCATENATE("Итого по смете: ",IF(Source!G211&lt;&gt;"Новый объект", Source!G211, ""))</f>
        <v>Итого по смете: Комплекс электромонтажных работ по выполнению п.п. 1-6 технических условий №3714 от 10.12.2019г.</v>
      </c>
      <c r="B192" s="53"/>
      <c r="C192" s="53"/>
      <c r="D192" s="53"/>
      <c r="E192" s="53"/>
      <c r="F192" s="53"/>
      <c r="G192" s="53"/>
      <c r="H192" s="51">
        <f>SUM(O1:O191)</f>
        <v>14063.370000000003</v>
      </c>
      <c r="I192" s="52"/>
      <c r="J192" s="51">
        <f>SUM(P1:P191)</f>
        <v>122468.2</v>
      </c>
      <c r="K192" s="52"/>
    </row>
    <row r="193" spans="1:11" hidden="1" x14ac:dyDescent="0.2">
      <c r="A193" t="s">
        <v>359</v>
      </c>
      <c r="I193">
        <f>SUM(AC1:AC192)</f>
        <v>0</v>
      </c>
      <c r="J193">
        <f>SUM(AD1:AD192)</f>
        <v>0</v>
      </c>
    </row>
    <row r="194" spans="1:11" hidden="1" x14ac:dyDescent="0.2">
      <c r="A194" t="s">
        <v>360</v>
      </c>
      <c r="I194">
        <f>SUM(AE1:AE193)</f>
        <v>0</v>
      </c>
      <c r="J194">
        <f>SUM(AF1:AF193)</f>
        <v>0</v>
      </c>
    </row>
    <row r="195" spans="1:11" ht="14.25" x14ac:dyDescent="0.2">
      <c r="C195" s="47" t="str">
        <f>Source!H239</f>
        <v>Итого</v>
      </c>
      <c r="D195" s="47"/>
      <c r="E195" s="47"/>
      <c r="F195" s="47"/>
      <c r="G195" s="47"/>
      <c r="H195" s="47"/>
      <c r="I195" s="47"/>
      <c r="J195" s="48">
        <f>IF(Source!F239=0, "", Source!F239)</f>
        <v>122468.2</v>
      </c>
      <c r="K195" s="48"/>
    </row>
    <row r="196" spans="1:11" ht="14.25" x14ac:dyDescent="0.2">
      <c r="C196" s="47" t="str">
        <f>Source!H240</f>
        <v>НДС, 20%</v>
      </c>
      <c r="D196" s="47"/>
      <c r="E196" s="47"/>
      <c r="F196" s="47"/>
      <c r="G196" s="47"/>
      <c r="H196" s="47"/>
      <c r="I196" s="47"/>
      <c r="J196" s="48">
        <f>IF(Source!F240=0, "", Source!F240)</f>
        <v>24493.64</v>
      </c>
      <c r="K196" s="48"/>
    </row>
    <row r="197" spans="1:11" ht="14.25" x14ac:dyDescent="0.2">
      <c r="C197" s="47" t="str">
        <f>Source!H241</f>
        <v>ВСЕГО</v>
      </c>
      <c r="D197" s="47"/>
      <c r="E197" s="47"/>
      <c r="F197" s="47"/>
      <c r="G197" s="47"/>
      <c r="H197" s="47"/>
      <c r="I197" s="47"/>
      <c r="J197" s="48">
        <f>IF(Source!F241=0, "", Source!F241)</f>
        <v>146961.84</v>
      </c>
      <c r="K197" s="48"/>
    </row>
    <row r="200" spans="1:11" ht="14.25" x14ac:dyDescent="0.2">
      <c r="A200" s="49" t="s">
        <v>363</v>
      </c>
      <c r="B200" s="49"/>
      <c r="C200" s="35" t="str">
        <f>IF(Source!AC12&lt;&gt;"", Source!AC12," ")</f>
        <v xml:space="preserve"> </v>
      </c>
      <c r="D200" s="35"/>
      <c r="E200" s="35"/>
      <c r="F200" s="35"/>
      <c r="G200" s="35"/>
      <c r="H200" s="11" t="str">
        <f>IF(Source!AB12&lt;&gt;"", Source!AB12," ")</f>
        <v xml:space="preserve"> </v>
      </c>
      <c r="I200" s="11"/>
      <c r="J200" s="11"/>
      <c r="K200" s="11"/>
    </row>
    <row r="201" spans="1:11" ht="14.25" x14ac:dyDescent="0.2">
      <c r="A201" s="11"/>
      <c r="B201" s="11"/>
      <c r="C201" s="50" t="s">
        <v>364</v>
      </c>
      <c r="D201" s="50"/>
      <c r="E201" s="50"/>
      <c r="F201" s="50"/>
      <c r="G201" s="50"/>
      <c r="H201" s="11"/>
      <c r="I201" s="11"/>
      <c r="J201" s="11"/>
      <c r="K201" s="11"/>
    </row>
    <row r="202" spans="1:11" ht="14.2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</row>
    <row r="203" spans="1:11" ht="14.25" x14ac:dyDescent="0.2">
      <c r="A203" s="49" t="s">
        <v>365</v>
      </c>
      <c r="B203" s="49"/>
      <c r="C203" s="35" t="str">
        <f>IF(Source!AE12&lt;&gt;"", Source!AE12," ")</f>
        <v xml:space="preserve"> </v>
      </c>
      <c r="D203" s="35"/>
      <c r="E203" s="35"/>
      <c r="F203" s="35"/>
      <c r="G203" s="35"/>
      <c r="H203" s="11" t="str">
        <f>IF(Source!AD12&lt;&gt;"", Source!AD12," ")</f>
        <v xml:space="preserve"> </v>
      </c>
      <c r="I203" s="11"/>
      <c r="J203" s="11"/>
      <c r="K203" s="11"/>
    </row>
    <row r="204" spans="1:11" ht="14.25" x14ac:dyDescent="0.2">
      <c r="A204" s="11"/>
      <c r="B204" s="11"/>
      <c r="C204" s="50" t="s">
        <v>364</v>
      </c>
      <c r="D204" s="50"/>
      <c r="E204" s="50"/>
      <c r="F204" s="50"/>
      <c r="G204" s="50"/>
      <c r="H204" s="11"/>
      <c r="I204" s="11"/>
      <c r="J204" s="11"/>
      <c r="K204" s="11"/>
    </row>
  </sheetData>
  <mergeCells count="93">
    <mergeCell ref="A14:K14"/>
    <mergeCell ref="B3:E3"/>
    <mergeCell ref="G3:K3"/>
    <mergeCell ref="B4:E4"/>
    <mergeCell ref="G4:K4"/>
    <mergeCell ref="B6:E6"/>
    <mergeCell ref="G6:K6"/>
    <mergeCell ref="B7:E7"/>
    <mergeCell ref="G7:K7"/>
    <mergeCell ref="A10:K10"/>
    <mergeCell ref="A11:K11"/>
    <mergeCell ref="A13:K13"/>
    <mergeCell ref="A31:K31"/>
    <mergeCell ref="A16:K16"/>
    <mergeCell ref="A18:K18"/>
    <mergeCell ref="A19:K19"/>
    <mergeCell ref="A21:K21"/>
    <mergeCell ref="F23:H23"/>
    <mergeCell ref="F24:H24"/>
    <mergeCell ref="F25:H25"/>
    <mergeCell ref="F26:H26"/>
    <mergeCell ref="F27:H27"/>
    <mergeCell ref="F28:H28"/>
    <mergeCell ref="F30:H30"/>
    <mergeCell ref="A67:K67"/>
    <mergeCell ref="A35:K35"/>
    <mergeCell ref="A37:K37"/>
    <mergeCell ref="J46:K46"/>
    <mergeCell ref="H46:I46"/>
    <mergeCell ref="J55:K55"/>
    <mergeCell ref="H55:I55"/>
    <mergeCell ref="J61:K61"/>
    <mergeCell ref="H61:I61"/>
    <mergeCell ref="J63:K63"/>
    <mergeCell ref="H63:I63"/>
    <mergeCell ref="A63:G63"/>
    <mergeCell ref="J77:K77"/>
    <mergeCell ref="H77:I77"/>
    <mergeCell ref="J87:K87"/>
    <mergeCell ref="H87:I87"/>
    <mergeCell ref="J97:K97"/>
    <mergeCell ref="H97:I97"/>
    <mergeCell ref="J107:K107"/>
    <mergeCell ref="H107:I107"/>
    <mergeCell ref="J117:K117"/>
    <mergeCell ref="H117:I117"/>
    <mergeCell ref="J127:K127"/>
    <mergeCell ref="H127:I127"/>
    <mergeCell ref="A164:K164"/>
    <mergeCell ref="J137:K137"/>
    <mergeCell ref="H137:I137"/>
    <mergeCell ref="J144:K144"/>
    <mergeCell ref="H144:I144"/>
    <mergeCell ref="J151:K151"/>
    <mergeCell ref="H151:I151"/>
    <mergeCell ref="J158:K158"/>
    <mergeCell ref="H158:I158"/>
    <mergeCell ref="J160:K160"/>
    <mergeCell ref="H160:I160"/>
    <mergeCell ref="A160:G160"/>
    <mergeCell ref="J166:K166"/>
    <mergeCell ref="H166:I166"/>
    <mergeCell ref="J168:K168"/>
    <mergeCell ref="H168:I168"/>
    <mergeCell ref="J171:K171"/>
    <mergeCell ref="H171:I171"/>
    <mergeCell ref="J188:K188"/>
    <mergeCell ref="H188:I188"/>
    <mergeCell ref="A188:G188"/>
    <mergeCell ref="J173:K173"/>
    <mergeCell ref="H173:I173"/>
    <mergeCell ref="J176:K176"/>
    <mergeCell ref="H176:I176"/>
    <mergeCell ref="J179:K179"/>
    <mergeCell ref="H179:I179"/>
    <mergeCell ref="J182:K182"/>
    <mergeCell ref="H182:I182"/>
    <mergeCell ref="J184:K184"/>
    <mergeCell ref="H184:I184"/>
    <mergeCell ref="A184:G184"/>
    <mergeCell ref="C204:G204"/>
    <mergeCell ref="J192:K192"/>
    <mergeCell ref="H192:I192"/>
    <mergeCell ref="A192:G192"/>
    <mergeCell ref="C195:I195"/>
    <mergeCell ref="J195:K195"/>
    <mergeCell ref="C196:I196"/>
    <mergeCell ref="J196:K196"/>
    <mergeCell ref="C197:I197"/>
    <mergeCell ref="J197:K197"/>
    <mergeCell ref="A200:B200"/>
    <mergeCell ref="C201:G201"/>
    <mergeCell ref="A203:B203"/>
  </mergeCells>
  <pageMargins left="0.4" right="0.2" top="0.2" bottom="0.4" header="0.2" footer="0.2"/>
  <pageSetup paperSize="9" scale="64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09"/>
  <sheetViews>
    <sheetView zoomScaleNormal="100" workbookViewId="0"/>
  </sheetViews>
  <sheetFormatPr defaultRowHeight="12.75" x14ac:dyDescent="0.2"/>
  <cols>
    <col min="1" max="2" width="5.7109375" customWidth="1"/>
    <col min="3" max="3" width="11.7109375" customWidth="1"/>
    <col min="4" max="4" width="40.7109375" customWidth="1"/>
    <col min="5" max="7" width="11.7109375" customWidth="1"/>
    <col min="8" max="8" width="12.7109375" customWidth="1"/>
    <col min="9" max="9" width="10.7109375" customWidth="1"/>
    <col min="10" max="12" width="12.7109375" customWidth="1"/>
    <col min="15" max="36" width="0" hidden="1" customWidth="1"/>
    <col min="37" max="37" width="155.7109375" hidden="1" customWidth="1"/>
    <col min="38" max="38" width="109.7109375" hidden="1" customWidth="1"/>
    <col min="39" max="42" width="0" hidden="1" customWidth="1"/>
  </cols>
  <sheetData>
    <row r="1" spans="1:12" x14ac:dyDescent="0.2">
      <c r="A1" s="9" t="str">
        <f>Source!B1</f>
        <v>Smeta.RU  (495) 974-1589</v>
      </c>
    </row>
    <row r="2" spans="1:12" ht="15" x14ac:dyDescent="0.25">
      <c r="A2" s="11"/>
      <c r="B2" s="11"/>
      <c r="C2" s="32"/>
      <c r="D2" s="32"/>
      <c r="E2" s="32"/>
      <c r="F2" s="11"/>
      <c r="G2" s="11"/>
      <c r="H2" s="11"/>
      <c r="I2" s="84" t="s">
        <v>366</v>
      </c>
      <c r="J2" s="84"/>
      <c r="K2" s="84"/>
      <c r="L2" s="84"/>
    </row>
    <row r="3" spans="1:12" ht="14.25" x14ac:dyDescent="0.2">
      <c r="A3" s="11"/>
      <c r="B3" s="11"/>
      <c r="C3" s="11"/>
      <c r="D3" s="11"/>
      <c r="E3" s="11"/>
      <c r="F3" s="11"/>
      <c r="G3" s="11"/>
      <c r="H3" s="11"/>
      <c r="I3" s="84" t="s">
        <v>367</v>
      </c>
      <c r="J3" s="84"/>
      <c r="K3" s="84"/>
      <c r="L3" s="84"/>
    </row>
    <row r="4" spans="1:12" ht="14.25" x14ac:dyDescent="0.2">
      <c r="A4" s="11"/>
      <c r="B4" s="11"/>
      <c r="C4" s="11"/>
      <c r="D4" s="11"/>
      <c r="E4" s="11"/>
      <c r="F4" s="11"/>
      <c r="G4" s="11"/>
      <c r="H4" s="11"/>
      <c r="I4" s="84" t="s">
        <v>368</v>
      </c>
      <c r="J4" s="84"/>
      <c r="K4" s="84"/>
      <c r="L4" s="84"/>
    </row>
    <row r="5" spans="1:12" ht="14.25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4.25" x14ac:dyDescent="0.2">
      <c r="A6" s="11"/>
      <c r="B6" s="11"/>
      <c r="C6" s="11"/>
      <c r="D6" s="11"/>
      <c r="E6" s="11"/>
      <c r="F6" s="11"/>
      <c r="G6" s="11"/>
      <c r="H6" s="11"/>
      <c r="I6" s="11"/>
      <c r="J6" s="73" t="s">
        <v>369</v>
      </c>
      <c r="K6" s="73"/>
      <c r="L6" s="73"/>
    </row>
    <row r="7" spans="1:12" ht="14.25" x14ac:dyDescent="0.2">
      <c r="A7" s="11"/>
      <c r="B7" s="11"/>
      <c r="C7" s="11"/>
      <c r="D7" s="11"/>
      <c r="E7" s="11"/>
      <c r="F7" s="11"/>
      <c r="G7" s="11"/>
      <c r="H7" s="11"/>
      <c r="I7" s="10" t="s">
        <v>370</v>
      </c>
      <c r="J7" s="85" t="s">
        <v>371</v>
      </c>
      <c r="K7" s="85"/>
      <c r="L7" s="85"/>
    </row>
    <row r="8" spans="1:12" ht="14.25" x14ac:dyDescent="0.2">
      <c r="A8" s="11"/>
      <c r="B8" s="11"/>
      <c r="C8" s="11"/>
      <c r="D8" s="11"/>
      <c r="E8" s="11"/>
      <c r="F8" s="11"/>
      <c r="G8" s="11"/>
      <c r="H8" s="11"/>
      <c r="I8" s="11"/>
      <c r="J8" s="73" t="str">
        <f>IF(Source!AT15 &lt;&gt; "", Source!AT15, "")</f>
        <v/>
      </c>
      <c r="K8" s="73"/>
      <c r="L8" s="73"/>
    </row>
    <row r="9" spans="1:12" ht="14.25" x14ac:dyDescent="0.2">
      <c r="A9" s="11" t="s">
        <v>372</v>
      </c>
      <c r="B9" s="11"/>
      <c r="C9" s="59" t="str">
        <f>IF(Source!BA15 &lt;&gt; "", Source!BA15, IF(Source!AU15 &lt;&gt; "", Source!AU15, ""))</f>
        <v/>
      </c>
      <c r="D9" s="59"/>
      <c r="E9" s="59"/>
      <c r="F9" s="59"/>
      <c r="G9" s="59"/>
      <c r="H9" s="59"/>
      <c r="I9" s="10" t="s">
        <v>373</v>
      </c>
      <c r="J9" s="73"/>
      <c r="K9" s="73"/>
      <c r="L9" s="73"/>
    </row>
    <row r="10" spans="1:12" ht="14.25" x14ac:dyDescent="0.2">
      <c r="A10" s="11"/>
      <c r="B10" s="11"/>
      <c r="C10" s="50" t="s">
        <v>374</v>
      </c>
      <c r="D10" s="50"/>
      <c r="E10" s="50"/>
      <c r="F10" s="50"/>
      <c r="G10" s="50"/>
      <c r="H10" s="50"/>
      <c r="I10" s="11"/>
      <c r="J10" s="73" t="str">
        <f>IF(Source!AK15 &lt;&gt; "", Source!AK15, "")</f>
        <v/>
      </c>
      <c r="K10" s="73"/>
      <c r="L10" s="73"/>
    </row>
    <row r="11" spans="1:12" ht="14.25" x14ac:dyDescent="0.2">
      <c r="A11" s="11" t="s">
        <v>375</v>
      </c>
      <c r="B11" s="11"/>
      <c r="C11" s="59" t="str">
        <f>IF(Source!AX12&lt;&gt; "", Source!AX12, IF(Source!AJ12 &lt;&gt; "", Source!AJ12, ""))</f>
        <v/>
      </c>
      <c r="D11" s="59"/>
      <c r="E11" s="59"/>
      <c r="F11" s="59"/>
      <c r="G11" s="59"/>
      <c r="H11" s="59"/>
      <c r="I11" s="10" t="s">
        <v>373</v>
      </c>
      <c r="J11" s="73"/>
      <c r="K11" s="73"/>
      <c r="L11" s="73"/>
    </row>
    <row r="12" spans="1:12" ht="14.25" x14ac:dyDescent="0.2">
      <c r="A12" s="11"/>
      <c r="B12" s="11"/>
      <c r="C12" s="50" t="s">
        <v>374</v>
      </c>
      <c r="D12" s="50"/>
      <c r="E12" s="50"/>
      <c r="F12" s="50"/>
      <c r="G12" s="50"/>
      <c r="H12" s="50"/>
      <c r="I12" s="11"/>
      <c r="J12" s="73" t="str">
        <f>IF(Source!AO15 &lt;&gt; "", Source!AO15, "")</f>
        <v/>
      </c>
      <c r="K12" s="73"/>
      <c r="L12" s="73"/>
    </row>
    <row r="13" spans="1:12" ht="14.25" x14ac:dyDescent="0.2">
      <c r="A13" s="11" t="s">
        <v>376</v>
      </c>
      <c r="B13" s="11"/>
      <c r="C13" s="59" t="str">
        <f>IF(Source!AY12&lt;&gt; "", Source!AY12, IF(Source!AN12 &lt;&gt; "", Source!AN12, ""))</f>
        <v/>
      </c>
      <c r="D13" s="59"/>
      <c r="E13" s="59"/>
      <c r="F13" s="59"/>
      <c r="G13" s="59"/>
      <c r="H13" s="59"/>
      <c r="I13" s="10" t="s">
        <v>373</v>
      </c>
      <c r="J13" s="73"/>
      <c r="K13" s="73"/>
      <c r="L13" s="73"/>
    </row>
    <row r="14" spans="1:12" ht="14.25" x14ac:dyDescent="0.2">
      <c r="A14" s="11"/>
      <c r="B14" s="11"/>
      <c r="C14" s="50" t="s">
        <v>374</v>
      </c>
      <c r="D14" s="50"/>
      <c r="E14" s="50"/>
      <c r="F14" s="50"/>
      <c r="G14" s="50"/>
      <c r="H14" s="50"/>
      <c r="I14" s="11"/>
      <c r="J14" s="73" t="str">
        <f>IF(Source!CO15 &lt;&gt; "", Source!CO15, "")</f>
        <v/>
      </c>
      <c r="K14" s="73"/>
      <c r="L14" s="73"/>
    </row>
    <row r="15" spans="1:12" ht="14.25" x14ac:dyDescent="0.2">
      <c r="A15" s="11" t="s">
        <v>377</v>
      </c>
      <c r="B15" s="11"/>
      <c r="C15" s="59" t="s">
        <v>4</v>
      </c>
      <c r="D15" s="59"/>
      <c r="E15" s="59"/>
      <c r="F15" s="59"/>
      <c r="G15" s="59"/>
      <c r="H15" s="59"/>
      <c r="I15" s="11"/>
      <c r="J15" s="73"/>
      <c r="K15" s="73"/>
      <c r="L15" s="73"/>
    </row>
    <row r="16" spans="1:12" ht="14.25" x14ac:dyDescent="0.2">
      <c r="A16" s="11"/>
      <c r="B16" s="11"/>
      <c r="C16" s="50" t="s">
        <v>378</v>
      </c>
      <c r="D16" s="50"/>
      <c r="E16" s="50"/>
      <c r="F16" s="50"/>
      <c r="G16" s="50"/>
      <c r="H16" s="50"/>
      <c r="I16" s="11"/>
      <c r="J16" s="73" t="str">
        <f>IF(Source!CP15 &lt;&gt; "", Source!CP15, "")</f>
        <v/>
      </c>
      <c r="K16" s="73"/>
      <c r="L16" s="73"/>
    </row>
    <row r="17" spans="1:12" ht="14.25" x14ac:dyDescent="0.2">
      <c r="A17" s="11" t="s">
        <v>379</v>
      </c>
      <c r="B17" s="11"/>
      <c r="C17" s="64" t="str">
        <f>IF(Source!G12&lt;&gt;"Новый объект", Source!G12, "")</f>
        <v>Комплекс электромонтажных работ по выполнению п.п. 1-6 технических условий №3714 от 10.12.2019г.</v>
      </c>
      <c r="D17" s="64"/>
      <c r="E17" s="64"/>
      <c r="F17" s="64"/>
      <c r="G17" s="64"/>
      <c r="H17" s="64"/>
      <c r="I17" s="11"/>
      <c r="J17" s="73"/>
      <c r="K17" s="73"/>
      <c r="L17" s="73"/>
    </row>
    <row r="18" spans="1:12" ht="14.25" x14ac:dyDescent="0.2">
      <c r="A18" s="11"/>
      <c r="B18" s="11"/>
      <c r="C18" s="50" t="s">
        <v>380</v>
      </c>
      <c r="D18" s="50"/>
      <c r="E18" s="50"/>
      <c r="F18" s="50"/>
      <c r="G18" s="50"/>
      <c r="H18" s="50"/>
      <c r="I18" s="11"/>
      <c r="J18" s="11"/>
      <c r="K18" s="11"/>
      <c r="L18" s="11"/>
    </row>
    <row r="19" spans="1:12" ht="14.25" x14ac:dyDescent="0.2">
      <c r="A19" s="11"/>
      <c r="B19" s="11"/>
      <c r="C19" s="11"/>
      <c r="D19" s="11"/>
      <c r="E19" s="11"/>
      <c r="F19" s="11"/>
      <c r="G19" s="80" t="s">
        <v>381</v>
      </c>
      <c r="H19" s="80"/>
      <c r="I19" s="81"/>
      <c r="J19" s="73" t="str">
        <f>IF(Source!CQ15 &lt;&gt; "", Source!CQ15, "")</f>
        <v/>
      </c>
      <c r="K19" s="73"/>
      <c r="L19" s="73"/>
    </row>
    <row r="20" spans="1:12" ht="14.25" x14ac:dyDescent="0.2">
      <c r="A20" s="11"/>
      <c r="B20" s="11"/>
      <c r="C20" s="11"/>
      <c r="D20" s="11"/>
      <c r="E20" s="11"/>
      <c r="F20" s="11"/>
      <c r="G20" s="80" t="s">
        <v>382</v>
      </c>
      <c r="H20" s="82"/>
      <c r="I20" s="36" t="s">
        <v>383</v>
      </c>
      <c r="J20" s="73" t="str">
        <f>IF(Source!CR15 &lt;&gt; "", Source!CR15, "")</f>
        <v/>
      </c>
      <c r="K20" s="73"/>
      <c r="L20" s="73"/>
    </row>
    <row r="21" spans="1:12" ht="14.25" x14ac:dyDescent="0.2">
      <c r="A21" s="11"/>
      <c r="B21" s="11"/>
      <c r="C21" s="11"/>
      <c r="D21" s="11"/>
      <c r="E21" s="11"/>
      <c r="F21" s="11"/>
      <c r="G21" s="11"/>
      <c r="H21" s="11"/>
      <c r="I21" s="37" t="s">
        <v>384</v>
      </c>
      <c r="J21" s="83" t="str">
        <f>IF(Source!CS15 &lt;&gt; 0, Source!CS15, "")</f>
        <v/>
      </c>
      <c r="K21" s="83"/>
      <c r="L21" s="83"/>
    </row>
    <row r="22" spans="1:12" ht="14.25" x14ac:dyDescent="0.2">
      <c r="A22" s="11"/>
      <c r="B22" s="11"/>
      <c r="C22" s="11"/>
      <c r="D22" s="11"/>
      <c r="E22" s="11"/>
      <c r="F22" s="11"/>
      <c r="G22" s="11"/>
      <c r="H22" s="11"/>
      <c r="I22" s="10" t="s">
        <v>385</v>
      </c>
      <c r="J22" s="73" t="str">
        <f>IF(Source!CT15 &lt;&gt; "", Source!CT15, "")</f>
        <v/>
      </c>
      <c r="K22" s="73"/>
      <c r="L22" s="73"/>
    </row>
    <row r="23" spans="1:12" ht="14.2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 x14ac:dyDescent="0.2">
      <c r="A24" s="11"/>
      <c r="B24" s="11"/>
      <c r="C24" s="11"/>
      <c r="D24" s="11"/>
      <c r="E24" s="11"/>
      <c r="F24" s="11"/>
      <c r="G24" s="74" t="s">
        <v>386</v>
      </c>
      <c r="H24" s="76" t="s">
        <v>387</v>
      </c>
      <c r="I24" s="76" t="s">
        <v>388</v>
      </c>
      <c r="J24" s="78"/>
      <c r="K24" s="11"/>
      <c r="L24" s="11"/>
    </row>
    <row r="25" spans="1:12" ht="14.25" x14ac:dyDescent="0.2">
      <c r="A25" s="11"/>
      <c r="B25" s="11"/>
      <c r="C25" s="11"/>
      <c r="D25" s="11"/>
      <c r="E25" s="11"/>
      <c r="F25" s="11"/>
      <c r="G25" s="75"/>
      <c r="H25" s="77"/>
      <c r="I25" s="38" t="s">
        <v>389</v>
      </c>
      <c r="J25" s="39" t="s">
        <v>390</v>
      </c>
      <c r="K25" s="11"/>
      <c r="L25" s="11"/>
    </row>
    <row r="26" spans="1:12" ht="14.25" x14ac:dyDescent="0.2">
      <c r="A26" s="11"/>
      <c r="B26" s="11"/>
      <c r="C26" s="11"/>
      <c r="D26" s="11"/>
      <c r="E26" s="11"/>
      <c r="F26" s="11"/>
      <c r="G26" s="37" t="str">
        <f>IF(Source!CN15 &lt;&gt; "", Source!CN15, "")</f>
        <v/>
      </c>
      <c r="H26" s="40">
        <v>43854.38521990741</v>
      </c>
      <c r="I26" s="37"/>
      <c r="J26" s="41"/>
      <c r="K26" s="11"/>
      <c r="L26" s="11"/>
    </row>
    <row r="27" spans="1:12" ht="14.2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ht="18" x14ac:dyDescent="0.25">
      <c r="A28" s="79" t="s">
        <v>391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</row>
    <row r="29" spans="1:12" ht="18" x14ac:dyDescent="0.25">
      <c r="A29" s="79" t="s">
        <v>392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1:12" ht="14.25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ht="15" x14ac:dyDescent="0.25">
      <c r="A31" s="11" t="s">
        <v>393</v>
      </c>
      <c r="B31" s="11"/>
      <c r="C31" s="11"/>
      <c r="D31" s="11"/>
      <c r="E31" s="11"/>
      <c r="F31" s="11"/>
      <c r="G31" s="11"/>
      <c r="H31" s="72">
        <f>(Source!F238/1000)</f>
        <v>122.4682</v>
      </c>
      <c r="I31" s="72"/>
      <c r="J31" s="11" t="s">
        <v>394</v>
      </c>
      <c r="K31" s="11"/>
      <c r="L31" s="11"/>
    </row>
    <row r="32" spans="1:12" ht="14.25" x14ac:dyDescent="0.2">
      <c r="A32" s="59" t="s">
        <v>349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</row>
    <row r="33" spans="1:37" ht="14.25" x14ac:dyDescent="0.2">
      <c r="A33" s="68" t="s">
        <v>395</v>
      </c>
      <c r="B33" s="68"/>
      <c r="C33" s="68" t="s">
        <v>339</v>
      </c>
      <c r="D33" s="68" t="s">
        <v>340</v>
      </c>
      <c r="E33" s="68" t="s">
        <v>341</v>
      </c>
      <c r="F33" s="68" t="s">
        <v>342</v>
      </c>
      <c r="G33" s="68" t="s">
        <v>343</v>
      </c>
      <c r="H33" s="69" t="s">
        <v>344</v>
      </c>
      <c r="I33" s="69" t="s">
        <v>345</v>
      </c>
      <c r="J33" s="68" t="s">
        <v>346</v>
      </c>
      <c r="K33" s="68" t="s">
        <v>347</v>
      </c>
      <c r="L33" s="68" t="s">
        <v>348</v>
      </c>
    </row>
    <row r="34" spans="1:37" x14ac:dyDescent="0.2">
      <c r="A34" s="69" t="s">
        <v>396</v>
      </c>
      <c r="B34" s="69" t="s">
        <v>397</v>
      </c>
      <c r="C34" s="68"/>
      <c r="D34" s="68"/>
      <c r="E34" s="68"/>
      <c r="F34" s="68"/>
      <c r="G34" s="68"/>
      <c r="H34" s="70"/>
      <c r="I34" s="70"/>
      <c r="J34" s="68"/>
      <c r="K34" s="68"/>
      <c r="L34" s="68"/>
    </row>
    <row r="35" spans="1:37" x14ac:dyDescent="0.2">
      <c r="A35" s="70"/>
      <c r="B35" s="70"/>
      <c r="C35" s="68"/>
      <c r="D35" s="68"/>
      <c r="E35" s="68"/>
      <c r="F35" s="68"/>
      <c r="G35" s="68"/>
      <c r="H35" s="70"/>
      <c r="I35" s="70"/>
      <c r="J35" s="68"/>
      <c r="K35" s="68"/>
      <c r="L35" s="68"/>
    </row>
    <row r="36" spans="1:37" ht="20.100000000000001" customHeight="1" x14ac:dyDescent="0.2">
      <c r="A36" s="70"/>
      <c r="B36" s="70"/>
      <c r="C36" s="68"/>
      <c r="D36" s="68"/>
      <c r="E36" s="68"/>
      <c r="F36" s="68"/>
      <c r="G36" s="68"/>
      <c r="H36" s="70"/>
      <c r="I36" s="70"/>
      <c r="J36" s="68"/>
      <c r="K36" s="68"/>
      <c r="L36" s="68"/>
    </row>
    <row r="37" spans="1:37" ht="20.100000000000001" customHeight="1" x14ac:dyDescent="0.2">
      <c r="A37" s="71"/>
      <c r="B37" s="71"/>
      <c r="C37" s="68"/>
      <c r="D37" s="68"/>
      <c r="E37" s="68"/>
      <c r="F37" s="68"/>
      <c r="G37" s="68"/>
      <c r="H37" s="71"/>
      <c r="I37" s="71"/>
      <c r="J37" s="68"/>
      <c r="K37" s="68"/>
      <c r="L37" s="68"/>
    </row>
    <row r="38" spans="1:37" ht="14.25" x14ac:dyDescent="0.2">
      <c r="A38" s="20">
        <v>1</v>
      </c>
      <c r="B38" s="20">
        <v>2</v>
      </c>
      <c r="C38" s="20">
        <v>3</v>
      </c>
      <c r="D38" s="20">
        <v>4</v>
      </c>
      <c r="E38" s="20">
        <v>5</v>
      </c>
      <c r="F38" s="20">
        <v>6</v>
      </c>
      <c r="G38" s="20">
        <v>7</v>
      </c>
      <c r="H38" s="20">
        <v>8</v>
      </c>
      <c r="I38" s="20">
        <v>9</v>
      </c>
      <c r="J38" s="20">
        <v>10</v>
      </c>
      <c r="K38" s="20">
        <v>11</v>
      </c>
      <c r="L38" s="20">
        <v>12</v>
      </c>
    </row>
    <row r="40" spans="1:37" ht="33" x14ac:dyDescent="0.25">
      <c r="A40" s="55" t="str">
        <f>CONCATENATE("Локальная смета: ",IF(Source!G20&lt;&gt;"Новая локальная смета", Source!G20, ""))</f>
        <v>Локальная смета: Комплекс электромонтажных работ по адресу: МО, Люберецкий р-н, п. Октябрьский мкр. Западный, Спортивная ул., д. 2, ТУ3714 от 10.12.2019 г. п.п. 1-7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AK40" s="22" t="str">
        <f>CONCATENATE("Локальная смета: ",IF(Source!G20&lt;&gt;"Новая локальная смета", Source!G20, ""))</f>
        <v>Локальная смета: Комплекс электромонтажных работ по адресу: МО, Люберецкий р-н, п. Октябрьский мкр. Западный, Спортивная ул., д. 2, ТУ3714 от 10.12.2019 г. п.п. 1-7</v>
      </c>
    </row>
    <row r="42" spans="1:37" ht="16.5" x14ac:dyDescent="0.25">
      <c r="A42" s="55" t="str">
        <f>CONCATENATE("Раздел: ",IF(Source!G24&lt;&gt;"Новый раздел", Source!G24, ""))</f>
        <v>Раздел: Демонтажные работы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1:37" ht="28.5" x14ac:dyDescent="0.2">
      <c r="A43" s="23">
        <v>1</v>
      </c>
      <c r="B43" s="23" t="str">
        <f>Source!E31</f>
        <v>4</v>
      </c>
      <c r="C43" s="24" t="str">
        <f>Source!F31</f>
        <v>4.8-59-1</v>
      </c>
      <c r="D43" s="24" t="s">
        <v>43</v>
      </c>
      <c r="E43" s="25" t="str">
        <f>Source!H31</f>
        <v>100 шт.</v>
      </c>
      <c r="F43" s="10">
        <f>Source!I31</f>
        <v>0.06</v>
      </c>
      <c r="G43" s="27"/>
      <c r="H43" s="26"/>
      <c r="I43" s="10"/>
      <c r="J43" s="28"/>
      <c r="K43" s="10"/>
      <c r="L43" s="28"/>
      <c r="Q43">
        <f>ROUND((Source!DN31/100)*ROUND((ROUND((Source!AF31*Source!AV31*Source!I31),2)),2), 2)</f>
        <v>10.67</v>
      </c>
      <c r="R43">
        <f>Source!X31</f>
        <v>166.2</v>
      </c>
      <c r="S43">
        <f>ROUND((Source!DO31/100)*ROUND((ROUND((Source!AF31*Source!AV31*Source!I31),2)),2), 2)</f>
        <v>6.27</v>
      </c>
      <c r="T43">
        <f>Source!Y31</f>
        <v>88.49</v>
      </c>
      <c r="U43">
        <f>ROUND((175/100)*ROUND((ROUND((Source!AE31*Source!AV31*Source!I31),2)),2), 2)</f>
        <v>7.0000000000000007E-2</v>
      </c>
      <c r="V43">
        <f>ROUND((157/100)*ROUND(ROUND((ROUND((Source!AE31*Source!AV31*Source!I31),2)*Source!BS31),2), 2), 2)</f>
        <v>1.44</v>
      </c>
    </row>
    <row r="44" spans="1:37" ht="14.25" x14ac:dyDescent="0.2">
      <c r="A44" s="23"/>
      <c r="B44" s="23"/>
      <c r="C44" s="24"/>
      <c r="D44" s="24" t="s">
        <v>350</v>
      </c>
      <c r="E44" s="25"/>
      <c r="F44" s="10"/>
      <c r="G44" s="27">
        <f>Source!AO31</f>
        <v>519.94000000000005</v>
      </c>
      <c r="H44" s="26" t="str">
        <f>Source!DG31</f>
        <v>*0,3</v>
      </c>
      <c r="I44" s="10">
        <f>Source!AV31</f>
        <v>1</v>
      </c>
      <c r="J44" s="28">
        <f>ROUND((ROUND((Source!AF31*Source!AV31*Source!I31),2)),2)</f>
        <v>9.36</v>
      </c>
      <c r="K44" s="10">
        <f>IF(Source!BA31&lt;&gt; 0, Source!BA31, 1)</f>
        <v>23.06</v>
      </c>
      <c r="L44" s="28">
        <f>Source!S31</f>
        <v>215.84</v>
      </c>
      <c r="W44">
        <f>J44</f>
        <v>9.36</v>
      </c>
    </row>
    <row r="45" spans="1:37" ht="14.25" x14ac:dyDescent="0.2">
      <c r="A45" s="23"/>
      <c r="B45" s="23"/>
      <c r="C45" s="24"/>
      <c r="D45" s="24" t="s">
        <v>351</v>
      </c>
      <c r="E45" s="25"/>
      <c r="F45" s="10"/>
      <c r="G45" s="27">
        <f>Source!AM31</f>
        <v>15.41</v>
      </c>
      <c r="H45" s="26" t="str">
        <f>Source!DE31</f>
        <v>*0,3</v>
      </c>
      <c r="I45" s="10">
        <f>Source!AV31</f>
        <v>1</v>
      </c>
      <c r="J45" s="28">
        <f>(ROUND((ROUND((((Source!ET31*0.3))*Source!AV31*Source!I31),2)),2)+ROUND((ROUND(((Source!AE31-((Source!EU31*0.3)))*Source!AV31*Source!I31),2)),2))</f>
        <v>0.28000000000000003</v>
      </c>
      <c r="K45" s="10">
        <f>IF(Source!BB31&lt;&gt; 0, Source!BB31, 1)</f>
        <v>7.95</v>
      </c>
      <c r="L45" s="28">
        <f>Source!Q31</f>
        <v>2.23</v>
      </c>
    </row>
    <row r="46" spans="1:37" ht="14.25" x14ac:dyDescent="0.2">
      <c r="A46" s="23"/>
      <c r="B46" s="23"/>
      <c r="C46" s="24"/>
      <c r="D46" s="24" t="s">
        <v>352</v>
      </c>
      <c r="E46" s="25"/>
      <c r="F46" s="10"/>
      <c r="G46" s="27">
        <f>Source!AN31</f>
        <v>2.39</v>
      </c>
      <c r="H46" s="26" t="str">
        <f>Source!DF31</f>
        <v>*0,3</v>
      </c>
      <c r="I46" s="10">
        <f>Source!AV31</f>
        <v>1</v>
      </c>
      <c r="J46" s="29">
        <f>ROUND((ROUND((Source!AE31*Source!AV31*Source!I31),2)),2)</f>
        <v>0.04</v>
      </c>
      <c r="K46" s="10">
        <f>IF(Source!BS31&lt;&gt; 0, Source!BS31, 1)</f>
        <v>23.06</v>
      </c>
      <c r="L46" s="29">
        <f>Source!R31</f>
        <v>0.92</v>
      </c>
      <c r="W46">
        <f>J46</f>
        <v>0.04</v>
      </c>
    </row>
    <row r="47" spans="1:37" ht="14.25" x14ac:dyDescent="0.2">
      <c r="A47" s="23"/>
      <c r="B47" s="23"/>
      <c r="C47" s="24"/>
      <c r="D47" s="24" t="s">
        <v>353</v>
      </c>
      <c r="E47" s="25" t="s">
        <v>354</v>
      </c>
      <c r="F47" s="10">
        <f>Source!DN31</f>
        <v>114</v>
      </c>
      <c r="G47" s="27"/>
      <c r="H47" s="26"/>
      <c r="I47" s="10"/>
      <c r="J47" s="28">
        <f>SUM(Q43:Q46)</f>
        <v>10.67</v>
      </c>
      <c r="K47" s="10">
        <f>Source!BZ31</f>
        <v>77</v>
      </c>
      <c r="L47" s="28">
        <f>SUM(R43:R46)</f>
        <v>166.2</v>
      </c>
    </row>
    <row r="48" spans="1:37" ht="14.25" x14ac:dyDescent="0.2">
      <c r="A48" s="23"/>
      <c r="B48" s="23"/>
      <c r="C48" s="24"/>
      <c r="D48" s="24" t="s">
        <v>355</v>
      </c>
      <c r="E48" s="25" t="s">
        <v>354</v>
      </c>
      <c r="F48" s="10">
        <f>Source!DO31</f>
        <v>67</v>
      </c>
      <c r="G48" s="27"/>
      <c r="H48" s="26"/>
      <c r="I48" s="10"/>
      <c r="J48" s="28">
        <f>SUM(S43:S47)</f>
        <v>6.27</v>
      </c>
      <c r="K48" s="10">
        <f>Source!CA31</f>
        <v>41</v>
      </c>
      <c r="L48" s="28">
        <f>SUM(T43:T47)</f>
        <v>88.49</v>
      </c>
    </row>
    <row r="49" spans="1:27" ht="14.25" x14ac:dyDescent="0.2">
      <c r="A49" s="23"/>
      <c r="B49" s="23"/>
      <c r="C49" s="24"/>
      <c r="D49" s="24" t="s">
        <v>356</v>
      </c>
      <c r="E49" s="25" t="s">
        <v>354</v>
      </c>
      <c r="F49" s="10">
        <f>175</f>
        <v>175</v>
      </c>
      <c r="G49" s="27"/>
      <c r="H49" s="26"/>
      <c r="I49" s="10"/>
      <c r="J49" s="28">
        <f>SUM(U43:U48)</f>
        <v>7.0000000000000007E-2</v>
      </c>
      <c r="K49" s="10">
        <f>157</f>
        <v>157</v>
      </c>
      <c r="L49" s="28">
        <f>SUM(V43:V48)</f>
        <v>1.44</v>
      </c>
    </row>
    <row r="50" spans="1:27" ht="14.25" x14ac:dyDescent="0.2">
      <c r="A50" s="23"/>
      <c r="B50" s="23"/>
      <c r="C50" s="24"/>
      <c r="D50" s="24" t="s">
        <v>357</v>
      </c>
      <c r="E50" s="25" t="s">
        <v>358</v>
      </c>
      <c r="F50" s="10">
        <f>Source!AQ31</f>
        <v>41.2</v>
      </c>
      <c r="G50" s="27"/>
      <c r="H50" s="26" t="str">
        <f>Source!DI31</f>
        <v>*0,3</v>
      </c>
      <c r="I50" s="10">
        <f>Source!AV31</f>
        <v>1</v>
      </c>
      <c r="J50" s="28">
        <f>Source!U31</f>
        <v>0.74160000000000004</v>
      </c>
      <c r="K50" s="10"/>
      <c r="L50" s="28"/>
    </row>
    <row r="51" spans="1:27" ht="15" x14ac:dyDescent="0.25">
      <c r="A51" s="31"/>
      <c r="B51" s="31"/>
      <c r="C51" s="31"/>
      <c r="D51" s="31"/>
      <c r="E51" s="31"/>
      <c r="F51" s="31"/>
      <c r="G51" s="31"/>
      <c r="H51" s="31"/>
      <c r="I51" s="54">
        <f>J44+J45+J47+J48+J49</f>
        <v>26.65</v>
      </c>
      <c r="J51" s="54"/>
      <c r="K51" s="54">
        <f>L44+L45+L47+L48+L49</f>
        <v>474.2</v>
      </c>
      <c r="L51" s="54"/>
      <c r="O51" s="30">
        <f>J44+J45+J47+J48+J49</f>
        <v>26.65</v>
      </c>
      <c r="P51" s="30">
        <f>L44+L45+L47+L48+L49</f>
        <v>474.2</v>
      </c>
      <c r="X51">
        <f>IF(Source!BI31&lt;=1,J44+J45+J47+J48+J49-0, 0)</f>
        <v>0</v>
      </c>
      <c r="Y51">
        <f>IF(Source!BI31=2,J44+J45+J47+J48+J49-0, 0)</f>
        <v>26.65</v>
      </c>
      <c r="Z51">
        <f>IF(Source!BI31=3,J44+J45+J47+J48+J49-0, 0)</f>
        <v>0</v>
      </c>
      <c r="AA51">
        <f>IF(Source!BI31=4,J44+J45+J47+J48+J49,0)</f>
        <v>0</v>
      </c>
    </row>
    <row r="52" spans="1:27" ht="14.25" x14ac:dyDescent="0.2">
      <c r="A52" s="23">
        <v>2</v>
      </c>
      <c r="B52" s="23" t="str">
        <f>Source!E32</f>
        <v>5</v>
      </c>
      <c r="C52" s="24" t="str">
        <f>Source!F32</f>
        <v>4.8-56-1</v>
      </c>
      <c r="D52" s="24" t="s">
        <v>50</v>
      </c>
      <c r="E52" s="25" t="str">
        <f>Source!H32</f>
        <v>1  ШТ.</v>
      </c>
      <c r="F52" s="10">
        <f>Source!I32</f>
        <v>3</v>
      </c>
      <c r="G52" s="27"/>
      <c r="H52" s="26"/>
      <c r="I52" s="10"/>
      <c r="J52" s="28"/>
      <c r="K52" s="10"/>
      <c r="L52" s="28"/>
      <c r="Q52">
        <f>ROUND((Source!DN32/100)*ROUND((ROUND((Source!AF32*Source!AV32*Source!I32),2)),2), 2)</f>
        <v>173.51</v>
      </c>
      <c r="R52">
        <f>Source!X32</f>
        <v>2702.49</v>
      </c>
      <c r="S52">
        <f>ROUND((Source!DO32/100)*ROUND((ROUND((Source!AF32*Source!AV32*Source!I32),2)),2), 2)</f>
        <v>101.97</v>
      </c>
      <c r="T52">
        <f>Source!Y32</f>
        <v>1438.99</v>
      </c>
      <c r="U52">
        <f>ROUND((175/100)*ROUND((ROUND((Source!AE32*Source!AV32*Source!I32),2)),2), 2)</f>
        <v>5.85</v>
      </c>
      <c r="V52">
        <f>ROUND((157/100)*ROUND(ROUND((ROUND((Source!AE32*Source!AV32*Source!I32),2)*Source!BS32),2), 2), 2)</f>
        <v>120.92</v>
      </c>
    </row>
    <row r="53" spans="1:27" ht="14.25" x14ac:dyDescent="0.2">
      <c r="A53" s="23"/>
      <c r="B53" s="23"/>
      <c r="C53" s="24"/>
      <c r="D53" s="24" t="s">
        <v>350</v>
      </c>
      <c r="E53" s="25"/>
      <c r="F53" s="10"/>
      <c r="G53" s="27">
        <f>Source!AO32</f>
        <v>169.11</v>
      </c>
      <c r="H53" s="26" t="str">
        <f>Source!DG32</f>
        <v>)*0,3</v>
      </c>
      <c r="I53" s="10">
        <f>Source!AV32</f>
        <v>1</v>
      </c>
      <c r="J53" s="28">
        <f>ROUND((ROUND((Source!AF32*Source!AV32*Source!I32),2)),2)</f>
        <v>152.19999999999999</v>
      </c>
      <c r="K53" s="10">
        <f>IF(Source!BA32&lt;&gt; 0, Source!BA32, 1)</f>
        <v>23.06</v>
      </c>
      <c r="L53" s="28">
        <f>Source!S32</f>
        <v>3509.73</v>
      </c>
      <c r="W53">
        <f>J53</f>
        <v>152.19999999999999</v>
      </c>
    </row>
    <row r="54" spans="1:27" ht="14.25" x14ac:dyDescent="0.2">
      <c r="A54" s="23"/>
      <c r="B54" s="23"/>
      <c r="C54" s="24"/>
      <c r="D54" s="24" t="s">
        <v>351</v>
      </c>
      <c r="E54" s="25"/>
      <c r="F54" s="10"/>
      <c r="G54" s="27">
        <f>Source!AM32</f>
        <v>27.48</v>
      </c>
      <c r="H54" s="26" t="str">
        <f>Source!DE32</f>
        <v>)*0,3</v>
      </c>
      <c r="I54" s="10">
        <f>Source!AV32</f>
        <v>1</v>
      </c>
      <c r="J54" s="28">
        <f>(ROUND((ROUND((((Source!ET32*0.3))*Source!AV32*Source!I32),2)),2)+ROUND((ROUND(((Source!AE32-((Source!EU32*0.3)))*Source!AV32*Source!I32),2)),2))</f>
        <v>24.73</v>
      </c>
      <c r="K54" s="10">
        <f>IF(Source!BB32&lt;&gt; 0, Source!BB32, 1)</f>
        <v>7.59</v>
      </c>
      <c r="L54" s="28">
        <f>Source!Q32</f>
        <v>187.7</v>
      </c>
    </row>
    <row r="55" spans="1:27" ht="14.25" x14ac:dyDescent="0.2">
      <c r="A55" s="23"/>
      <c r="B55" s="23"/>
      <c r="C55" s="24"/>
      <c r="D55" s="24" t="s">
        <v>352</v>
      </c>
      <c r="E55" s="25"/>
      <c r="F55" s="10"/>
      <c r="G55" s="27">
        <f>Source!AN32</f>
        <v>3.71</v>
      </c>
      <c r="H55" s="26" t="str">
        <f>Source!DF32</f>
        <v>)*0,3</v>
      </c>
      <c r="I55" s="10">
        <f>Source!AV32</f>
        <v>1</v>
      </c>
      <c r="J55" s="29">
        <f>ROUND((ROUND((Source!AE32*Source!AV32*Source!I32),2)),2)</f>
        <v>3.34</v>
      </c>
      <c r="K55" s="10">
        <f>IF(Source!BS32&lt;&gt; 0, Source!BS32, 1)</f>
        <v>23.06</v>
      </c>
      <c r="L55" s="29">
        <f>Source!R32</f>
        <v>77.02</v>
      </c>
      <c r="W55">
        <f>J55</f>
        <v>3.34</v>
      </c>
    </row>
    <row r="56" spans="1:27" ht="14.25" x14ac:dyDescent="0.2">
      <c r="A56" s="23"/>
      <c r="B56" s="23"/>
      <c r="C56" s="24"/>
      <c r="D56" s="24" t="s">
        <v>353</v>
      </c>
      <c r="E56" s="25" t="s">
        <v>354</v>
      </c>
      <c r="F56" s="10">
        <f>Source!DN32</f>
        <v>114</v>
      </c>
      <c r="G56" s="27"/>
      <c r="H56" s="26"/>
      <c r="I56" s="10"/>
      <c r="J56" s="28">
        <f>SUM(Q52:Q55)</f>
        <v>173.51</v>
      </c>
      <c r="K56" s="10">
        <f>Source!BZ32</f>
        <v>77</v>
      </c>
      <c r="L56" s="28">
        <f>SUM(R52:R55)</f>
        <v>2702.49</v>
      </c>
    </row>
    <row r="57" spans="1:27" ht="14.25" x14ac:dyDescent="0.2">
      <c r="A57" s="23"/>
      <c r="B57" s="23"/>
      <c r="C57" s="24"/>
      <c r="D57" s="24" t="s">
        <v>355</v>
      </c>
      <c r="E57" s="25" t="s">
        <v>354</v>
      </c>
      <c r="F57" s="10">
        <f>Source!DO32</f>
        <v>67</v>
      </c>
      <c r="G57" s="27"/>
      <c r="H57" s="26"/>
      <c r="I57" s="10"/>
      <c r="J57" s="28">
        <f>SUM(S52:S56)</f>
        <v>101.97</v>
      </c>
      <c r="K57" s="10">
        <f>Source!CA32</f>
        <v>41</v>
      </c>
      <c r="L57" s="28">
        <f>SUM(T52:T56)</f>
        <v>1438.99</v>
      </c>
    </row>
    <row r="58" spans="1:27" ht="14.25" x14ac:dyDescent="0.2">
      <c r="A58" s="23"/>
      <c r="B58" s="23"/>
      <c r="C58" s="24"/>
      <c r="D58" s="24" t="s">
        <v>356</v>
      </c>
      <c r="E58" s="25" t="s">
        <v>354</v>
      </c>
      <c r="F58" s="10">
        <f>175</f>
        <v>175</v>
      </c>
      <c r="G58" s="27"/>
      <c r="H58" s="26"/>
      <c r="I58" s="10"/>
      <c r="J58" s="28">
        <f>SUM(U52:U57)</f>
        <v>5.85</v>
      </c>
      <c r="K58" s="10">
        <f>157</f>
        <v>157</v>
      </c>
      <c r="L58" s="28">
        <f>SUM(V52:V57)</f>
        <v>120.92</v>
      </c>
    </row>
    <row r="59" spans="1:27" ht="14.25" x14ac:dyDescent="0.2">
      <c r="A59" s="23"/>
      <c r="B59" s="23"/>
      <c r="C59" s="24"/>
      <c r="D59" s="24" t="s">
        <v>357</v>
      </c>
      <c r="E59" s="25" t="s">
        <v>358</v>
      </c>
      <c r="F59" s="10">
        <f>Source!AQ32</f>
        <v>13.4</v>
      </c>
      <c r="G59" s="27"/>
      <c r="H59" s="26" t="str">
        <f>Source!DI32</f>
        <v>)*0,3</v>
      </c>
      <c r="I59" s="10">
        <f>Source!AV32</f>
        <v>1</v>
      </c>
      <c r="J59" s="28">
        <f>Source!U32</f>
        <v>12.059999999999999</v>
      </c>
      <c r="K59" s="10"/>
      <c r="L59" s="28"/>
    </row>
    <row r="60" spans="1:27" ht="15" x14ac:dyDescent="0.25">
      <c r="A60" s="31"/>
      <c r="B60" s="31"/>
      <c r="C60" s="31"/>
      <c r="D60" s="31"/>
      <c r="E60" s="31"/>
      <c r="F60" s="31"/>
      <c r="G60" s="31"/>
      <c r="H60" s="31"/>
      <c r="I60" s="54">
        <f>J53+J54+J56+J57+J58</f>
        <v>458.26</v>
      </c>
      <c r="J60" s="54"/>
      <c r="K60" s="54">
        <f>L53+L54+L56+L57+L58</f>
        <v>7959.83</v>
      </c>
      <c r="L60" s="54"/>
      <c r="O60" s="30">
        <f>J53+J54+J56+J57+J58</f>
        <v>458.26</v>
      </c>
      <c r="P60" s="30">
        <f>L53+L54+L56+L57+L58</f>
        <v>7959.83</v>
      </c>
      <c r="X60">
        <f>IF(Source!BI32&lt;=1,J53+J54+J56+J57+J58-0, 0)</f>
        <v>0</v>
      </c>
      <c r="Y60">
        <f>IF(Source!BI32=2,J53+J54+J56+J57+J58-0, 0)</f>
        <v>458.26</v>
      </c>
      <c r="Z60">
        <f>IF(Source!BI32=3,J53+J54+J56+J57+J58-0, 0)</f>
        <v>0</v>
      </c>
      <c r="AA60">
        <f>IF(Source!BI32=4,J53+J54+J56+J57+J58,0)</f>
        <v>0</v>
      </c>
    </row>
    <row r="61" spans="1:27" ht="14.25" x14ac:dyDescent="0.2">
      <c r="A61" s="23">
        <v>3</v>
      </c>
      <c r="B61" s="23" t="str">
        <f>Source!E35</f>
        <v>8</v>
      </c>
      <c r="C61" s="24" t="str">
        <f>Source!F35</f>
        <v>4.8-76-3</v>
      </c>
      <c r="D61" s="24" t="s">
        <v>64</v>
      </c>
      <c r="E61" s="25" t="str">
        <f>Source!H35</f>
        <v>100 шт.</v>
      </c>
      <c r="F61" s="10">
        <f>Source!I35</f>
        <v>0.36</v>
      </c>
      <c r="G61" s="27"/>
      <c r="H61" s="26"/>
      <c r="I61" s="10"/>
      <c r="J61" s="28"/>
      <c r="K61" s="10"/>
      <c r="L61" s="28"/>
      <c r="Q61">
        <f>ROUND((Source!DN35/100)*ROUND((ROUND((Source!AF35*Source!AV35*Source!I35),2)),2), 2)</f>
        <v>23.07</v>
      </c>
      <c r="R61">
        <f>Source!X35</f>
        <v>359.38</v>
      </c>
      <c r="S61">
        <f>ROUND((Source!DO35/100)*ROUND((ROUND((Source!AF35*Source!AV35*Source!I35),2)),2), 2)</f>
        <v>13.56</v>
      </c>
      <c r="T61">
        <f>Source!Y35</f>
        <v>191.36</v>
      </c>
      <c r="U61">
        <f>ROUND((175/100)*ROUND((ROUND((Source!AE35*Source!AV35*Source!I35),2)),2), 2)</f>
        <v>0</v>
      </c>
      <c r="V61">
        <f>ROUND((157/100)*ROUND(ROUND((ROUND((Source!AE35*Source!AV35*Source!I35),2)*Source!BS35),2), 2), 2)</f>
        <v>0</v>
      </c>
    </row>
    <row r="62" spans="1:27" ht="14.25" x14ac:dyDescent="0.2">
      <c r="A62" s="23"/>
      <c r="B62" s="23"/>
      <c r="C62" s="24"/>
      <c r="D62" s="24" t="s">
        <v>350</v>
      </c>
      <c r="E62" s="25"/>
      <c r="F62" s="10"/>
      <c r="G62" s="27">
        <f>Source!AO35</f>
        <v>187.42</v>
      </c>
      <c r="H62" s="26" t="str">
        <f>Source!DG35</f>
        <v>*0,3</v>
      </c>
      <c r="I62" s="10">
        <f>Source!AV35</f>
        <v>1</v>
      </c>
      <c r="J62" s="28">
        <f>ROUND((ROUND((Source!AF35*Source!AV35*Source!I35),2)),2)</f>
        <v>20.239999999999998</v>
      </c>
      <c r="K62" s="10">
        <f>IF(Source!BA35&lt;&gt; 0, Source!BA35, 1)</f>
        <v>23.06</v>
      </c>
      <c r="L62" s="28">
        <f>Source!S35</f>
        <v>466.73</v>
      </c>
      <c r="W62">
        <f>J62</f>
        <v>20.239999999999998</v>
      </c>
    </row>
    <row r="63" spans="1:27" ht="14.25" x14ac:dyDescent="0.2">
      <c r="A63" s="23"/>
      <c r="B63" s="23"/>
      <c r="C63" s="24"/>
      <c r="D63" s="24" t="s">
        <v>353</v>
      </c>
      <c r="E63" s="25" t="s">
        <v>354</v>
      </c>
      <c r="F63" s="10">
        <f>Source!DN35</f>
        <v>114</v>
      </c>
      <c r="G63" s="27"/>
      <c r="H63" s="26"/>
      <c r="I63" s="10"/>
      <c r="J63" s="28">
        <f>SUM(Q61:Q62)</f>
        <v>23.07</v>
      </c>
      <c r="K63" s="10">
        <f>Source!BZ35</f>
        <v>77</v>
      </c>
      <c r="L63" s="28">
        <f>SUM(R61:R62)</f>
        <v>359.38</v>
      </c>
    </row>
    <row r="64" spans="1:27" ht="14.25" x14ac:dyDescent="0.2">
      <c r="A64" s="23"/>
      <c r="B64" s="23"/>
      <c r="C64" s="24"/>
      <c r="D64" s="24" t="s">
        <v>355</v>
      </c>
      <c r="E64" s="25" t="s">
        <v>354</v>
      </c>
      <c r="F64" s="10">
        <f>Source!DO35</f>
        <v>67</v>
      </c>
      <c r="G64" s="27"/>
      <c r="H64" s="26"/>
      <c r="I64" s="10"/>
      <c r="J64" s="28">
        <f>SUM(S61:S63)</f>
        <v>13.56</v>
      </c>
      <c r="K64" s="10">
        <f>Source!CA35</f>
        <v>41</v>
      </c>
      <c r="L64" s="28">
        <f>SUM(T61:T63)</f>
        <v>191.36</v>
      </c>
    </row>
    <row r="65" spans="1:27" ht="14.25" x14ac:dyDescent="0.2">
      <c r="A65" s="23"/>
      <c r="B65" s="23"/>
      <c r="C65" s="24"/>
      <c r="D65" s="24" t="s">
        <v>357</v>
      </c>
      <c r="E65" s="25" t="s">
        <v>358</v>
      </c>
      <c r="F65" s="10">
        <f>Source!AQ35</f>
        <v>15.2</v>
      </c>
      <c r="G65" s="27"/>
      <c r="H65" s="26" t="str">
        <f>Source!DI35</f>
        <v>*0,3</v>
      </c>
      <c r="I65" s="10">
        <f>Source!AV35</f>
        <v>1</v>
      </c>
      <c r="J65" s="28">
        <f>Source!U35</f>
        <v>1.6415999999999997</v>
      </c>
      <c r="K65" s="10"/>
      <c r="L65" s="28"/>
    </row>
    <row r="66" spans="1:27" ht="15" x14ac:dyDescent="0.25">
      <c r="A66" s="31"/>
      <c r="B66" s="31"/>
      <c r="C66" s="31"/>
      <c r="D66" s="31"/>
      <c r="E66" s="31"/>
      <c r="F66" s="31"/>
      <c r="G66" s="31"/>
      <c r="H66" s="31"/>
      <c r="I66" s="54">
        <f>J62+J63+J64</f>
        <v>56.870000000000005</v>
      </c>
      <c r="J66" s="54"/>
      <c r="K66" s="54">
        <f>L62+L63+L64</f>
        <v>1017.47</v>
      </c>
      <c r="L66" s="54"/>
      <c r="O66" s="30">
        <f>J62+J63+J64</f>
        <v>56.870000000000005</v>
      </c>
      <c r="P66" s="30">
        <f>L62+L63+L64</f>
        <v>1017.47</v>
      </c>
      <c r="X66">
        <f>IF(Source!BI35&lt;=1,J62+J63+J64-0, 0)</f>
        <v>0</v>
      </c>
      <c r="Y66">
        <f>IF(Source!BI35=2,J62+J63+J64-0, 0)</f>
        <v>56.870000000000005</v>
      </c>
      <c r="Z66">
        <f>IF(Source!BI35=3,J62+J63+J64-0, 0)</f>
        <v>0</v>
      </c>
      <c r="AA66">
        <f>IF(Source!BI35=4,J62+J63+J64,0)</f>
        <v>0</v>
      </c>
    </row>
    <row r="68" spans="1:27" ht="15" x14ac:dyDescent="0.25">
      <c r="A68" s="53" t="str">
        <f>CONCATENATE("Итого по разделу: ",IF(Source!G37&lt;&gt;"Новый раздел", Source!G37, ""))</f>
        <v>Итого по разделу: Демонтажные работы</v>
      </c>
      <c r="B68" s="53"/>
      <c r="C68" s="53"/>
      <c r="D68" s="53"/>
      <c r="E68" s="53"/>
      <c r="F68" s="53"/>
      <c r="G68" s="53"/>
      <c r="H68" s="53"/>
      <c r="I68" s="51">
        <f>SUM(O42:O67)</f>
        <v>541.78</v>
      </c>
      <c r="J68" s="52"/>
      <c r="K68" s="51">
        <f>SUM(P42:P67)</f>
        <v>9451.5</v>
      </c>
      <c r="L68" s="52"/>
    </row>
    <row r="69" spans="1:27" hidden="1" x14ac:dyDescent="0.2">
      <c r="A69" t="s">
        <v>359</v>
      </c>
      <c r="J69">
        <f>SUM(AC42:AC68)</f>
        <v>0</v>
      </c>
      <c r="K69">
        <f>SUM(AD42:AD68)</f>
        <v>0</v>
      </c>
    </row>
    <row r="70" spans="1:27" hidden="1" x14ac:dyDescent="0.2">
      <c r="A70" t="s">
        <v>360</v>
      </c>
      <c r="J70">
        <f>SUM(AE42:AE69)</f>
        <v>0</v>
      </c>
      <c r="K70">
        <f>SUM(AF42:AF69)</f>
        <v>0</v>
      </c>
    </row>
    <row r="72" spans="1:27" ht="16.5" x14ac:dyDescent="0.25">
      <c r="A72" s="55" t="str">
        <f>CONCATENATE("Раздел: ",IF(Source!G66&lt;&gt;"Новый раздел", Source!G66, ""))</f>
        <v>Раздел: Монтажные работы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  <row r="73" spans="1:27" ht="85.5" x14ac:dyDescent="0.2">
      <c r="A73" s="23">
        <v>4</v>
      </c>
      <c r="B73" s="23" t="str">
        <f>Source!E70</f>
        <v>1</v>
      </c>
      <c r="C73" s="24" t="str">
        <f>Source!F70</f>
        <v>4.8-218-1</v>
      </c>
      <c r="D73" s="24" t="s">
        <v>122</v>
      </c>
      <c r="E73" s="25" t="str">
        <f>Source!H70</f>
        <v>1  ШТ.</v>
      </c>
      <c r="F73" s="10">
        <f>Source!I70</f>
        <v>1</v>
      </c>
      <c r="G73" s="27"/>
      <c r="H73" s="26"/>
      <c r="I73" s="10"/>
      <c r="J73" s="28"/>
      <c r="K73" s="10"/>
      <c r="L73" s="28"/>
      <c r="Q73">
        <f>ROUND((Source!DN70/100)*ROUND((ROUND((Source!AF70*Source!AV70*Source!I70),2)),2), 2)</f>
        <v>19.079999999999998</v>
      </c>
      <c r="R73">
        <f>Source!X70</f>
        <v>297.24</v>
      </c>
      <c r="S73">
        <f>ROUND((Source!DO70/100)*ROUND((ROUND((Source!AF70*Source!AV70*Source!I70),2)),2), 2)</f>
        <v>11.22</v>
      </c>
      <c r="T73">
        <f>Source!Y70</f>
        <v>158.27000000000001</v>
      </c>
      <c r="U73">
        <f>ROUND((175/100)*ROUND((ROUND((Source!AE70*Source!AV70*Source!I70),2)),2), 2)</f>
        <v>0.57999999999999996</v>
      </c>
      <c r="V73">
        <f>ROUND((157/100)*ROUND(ROUND((ROUND((Source!AE70*Source!AV70*Source!I70),2)*Source!BS70),2), 2), 2)</f>
        <v>11.95</v>
      </c>
    </row>
    <row r="74" spans="1:27" ht="14.25" x14ac:dyDescent="0.2">
      <c r="A74" s="23"/>
      <c r="B74" s="23"/>
      <c r="C74" s="24"/>
      <c r="D74" s="24" t="s">
        <v>350</v>
      </c>
      <c r="E74" s="25"/>
      <c r="F74" s="10"/>
      <c r="G74" s="27">
        <f>Source!AO70</f>
        <v>16.739999999999998</v>
      </c>
      <c r="H74" s="26" t="str">
        <f>Source!DG70</f>
        <v/>
      </c>
      <c r="I74" s="10">
        <f>Source!AV70</f>
        <v>1</v>
      </c>
      <c r="J74" s="28">
        <f>ROUND((ROUND((Source!AF70*Source!AV70*Source!I70),2)),2)</f>
        <v>16.739999999999998</v>
      </c>
      <c r="K74" s="10">
        <f>IF(Source!BA70&lt;&gt; 0, Source!BA70, 1)</f>
        <v>23.06</v>
      </c>
      <c r="L74" s="28">
        <f>Source!S70</f>
        <v>386.02</v>
      </c>
      <c r="W74">
        <f>J74</f>
        <v>16.739999999999998</v>
      </c>
    </row>
    <row r="75" spans="1:27" ht="14.25" x14ac:dyDescent="0.2">
      <c r="A75" s="23"/>
      <c r="B75" s="23"/>
      <c r="C75" s="24"/>
      <c r="D75" s="24" t="s">
        <v>351</v>
      </c>
      <c r="E75" s="25"/>
      <c r="F75" s="10"/>
      <c r="G75" s="27">
        <f>Source!AM70</f>
        <v>4.93</v>
      </c>
      <c r="H75" s="26" t="str">
        <f>Source!DE70</f>
        <v/>
      </c>
      <c r="I75" s="10">
        <f>Source!AV70</f>
        <v>1</v>
      </c>
      <c r="J75" s="28">
        <f>(ROUND((ROUND(((Source!ET70)*Source!AV70*Source!I70),2)),2)+ROUND((ROUND(((Source!AE70-(Source!EU70))*Source!AV70*Source!I70),2)),2))</f>
        <v>4.93</v>
      </c>
      <c r="K75" s="10">
        <f>IF(Source!BB70&lt;&gt; 0, Source!BB70, 1)</f>
        <v>6.38</v>
      </c>
      <c r="L75" s="28">
        <f>Source!Q70</f>
        <v>31.45</v>
      </c>
    </row>
    <row r="76" spans="1:27" ht="14.25" x14ac:dyDescent="0.2">
      <c r="A76" s="23"/>
      <c r="B76" s="23"/>
      <c r="C76" s="24"/>
      <c r="D76" s="24" t="s">
        <v>352</v>
      </c>
      <c r="E76" s="25"/>
      <c r="F76" s="10"/>
      <c r="G76" s="27">
        <f>Source!AN70</f>
        <v>0.33</v>
      </c>
      <c r="H76" s="26" t="str">
        <f>Source!DF70</f>
        <v/>
      </c>
      <c r="I76" s="10">
        <f>Source!AV70</f>
        <v>1</v>
      </c>
      <c r="J76" s="29">
        <f>ROUND((ROUND((Source!AE70*Source!AV70*Source!I70),2)),2)</f>
        <v>0.33</v>
      </c>
      <c r="K76" s="10">
        <f>IF(Source!BS70&lt;&gt; 0, Source!BS70, 1)</f>
        <v>23.06</v>
      </c>
      <c r="L76" s="29">
        <f>Source!R70</f>
        <v>7.61</v>
      </c>
      <c r="W76">
        <f>J76</f>
        <v>0.33</v>
      </c>
    </row>
    <row r="77" spans="1:27" ht="14.25" x14ac:dyDescent="0.2">
      <c r="A77" s="23"/>
      <c r="B77" s="23"/>
      <c r="C77" s="24"/>
      <c r="D77" s="24" t="s">
        <v>361</v>
      </c>
      <c r="E77" s="25"/>
      <c r="F77" s="10"/>
      <c r="G77" s="27">
        <f>Source!AL70</f>
        <v>15.47</v>
      </c>
      <c r="H77" s="26" t="str">
        <f>Source!DD70</f>
        <v/>
      </c>
      <c r="I77" s="10">
        <f>Source!AW70</f>
        <v>1</v>
      </c>
      <c r="J77" s="28">
        <f>ROUND((ROUND((Source!AC70*Source!AW70*Source!I70),2)),2)</f>
        <v>15.47</v>
      </c>
      <c r="K77" s="10">
        <f>IF(Source!BC70&lt;&gt; 0, Source!BC70, 1)</f>
        <v>5.41</v>
      </c>
      <c r="L77" s="28">
        <f>Source!P70</f>
        <v>83.69</v>
      </c>
    </row>
    <row r="78" spans="1:27" ht="14.25" x14ac:dyDescent="0.2">
      <c r="A78" s="23"/>
      <c r="B78" s="23"/>
      <c r="C78" s="24"/>
      <c r="D78" s="24" t="s">
        <v>353</v>
      </c>
      <c r="E78" s="25" t="s">
        <v>354</v>
      </c>
      <c r="F78" s="10">
        <f>Source!DN70</f>
        <v>114</v>
      </c>
      <c r="G78" s="27"/>
      <c r="H78" s="26"/>
      <c r="I78" s="10"/>
      <c r="J78" s="28">
        <f>SUM(Q73:Q77)</f>
        <v>19.079999999999998</v>
      </c>
      <c r="K78" s="10">
        <f>Source!BZ70</f>
        <v>77</v>
      </c>
      <c r="L78" s="28">
        <f>SUM(R73:R77)</f>
        <v>297.24</v>
      </c>
    </row>
    <row r="79" spans="1:27" ht="14.25" x14ac:dyDescent="0.2">
      <c r="A79" s="23"/>
      <c r="B79" s="23"/>
      <c r="C79" s="24"/>
      <c r="D79" s="24" t="s">
        <v>355</v>
      </c>
      <c r="E79" s="25" t="s">
        <v>354</v>
      </c>
      <c r="F79" s="10">
        <f>Source!DO70</f>
        <v>67</v>
      </c>
      <c r="G79" s="27"/>
      <c r="H79" s="26"/>
      <c r="I79" s="10"/>
      <c r="J79" s="28">
        <f>SUM(S73:S78)</f>
        <v>11.22</v>
      </c>
      <c r="K79" s="10">
        <f>Source!CA70</f>
        <v>41</v>
      </c>
      <c r="L79" s="28">
        <f>SUM(T73:T78)</f>
        <v>158.27000000000001</v>
      </c>
    </row>
    <row r="80" spans="1:27" ht="14.25" x14ac:dyDescent="0.2">
      <c r="A80" s="23"/>
      <c r="B80" s="23"/>
      <c r="C80" s="24"/>
      <c r="D80" s="24" t="s">
        <v>356</v>
      </c>
      <c r="E80" s="25" t="s">
        <v>354</v>
      </c>
      <c r="F80" s="10">
        <f>175</f>
        <v>175</v>
      </c>
      <c r="G80" s="27"/>
      <c r="H80" s="26"/>
      <c r="I80" s="10"/>
      <c r="J80" s="28">
        <f>SUM(U73:U79)</f>
        <v>0.57999999999999996</v>
      </c>
      <c r="K80" s="10">
        <f>157</f>
        <v>157</v>
      </c>
      <c r="L80" s="28">
        <f>SUM(V73:V79)</f>
        <v>11.95</v>
      </c>
    </row>
    <row r="81" spans="1:27" ht="14.25" x14ac:dyDescent="0.2">
      <c r="A81" s="23"/>
      <c r="B81" s="23"/>
      <c r="C81" s="24"/>
      <c r="D81" s="24" t="s">
        <v>357</v>
      </c>
      <c r="E81" s="25" t="s">
        <v>358</v>
      </c>
      <c r="F81" s="10">
        <f>Source!AQ70</f>
        <v>1.34</v>
      </c>
      <c r="G81" s="27"/>
      <c r="H81" s="26" t="str">
        <f>Source!DI70</f>
        <v/>
      </c>
      <c r="I81" s="10">
        <f>Source!AV70</f>
        <v>1</v>
      </c>
      <c r="J81" s="28">
        <f>Source!U70</f>
        <v>1.34</v>
      </c>
      <c r="K81" s="10"/>
      <c r="L81" s="28"/>
    </row>
    <row r="82" spans="1:27" ht="15" x14ac:dyDescent="0.25">
      <c r="A82" s="31"/>
      <c r="B82" s="31"/>
      <c r="C82" s="31"/>
      <c r="D82" s="31"/>
      <c r="E82" s="31"/>
      <c r="F82" s="31"/>
      <c r="G82" s="31"/>
      <c r="H82" s="31"/>
      <c r="I82" s="54">
        <f>J74+J75+J77+J78+J79+J80</f>
        <v>68.02</v>
      </c>
      <c r="J82" s="54"/>
      <c r="K82" s="54">
        <f>L74+L75+L77+L78+L79+L80</f>
        <v>968.62</v>
      </c>
      <c r="L82" s="54"/>
      <c r="O82" s="30">
        <f>J74+J75+J77+J78+J79+J80</f>
        <v>68.02</v>
      </c>
      <c r="P82" s="30">
        <f>L74+L75+L77+L78+L79+L80</f>
        <v>968.62</v>
      </c>
      <c r="X82">
        <f>IF(Source!BI70&lt;=1,J74+J75+J77+J78+J79+J80-0, 0)</f>
        <v>0</v>
      </c>
      <c r="Y82">
        <f>IF(Source!BI70=2,J74+J75+J77+J78+J79+J80-0, 0)</f>
        <v>68.02</v>
      </c>
      <c r="Z82">
        <f>IF(Source!BI70=3,J74+J75+J77+J78+J79+J80-0, 0)</f>
        <v>0</v>
      </c>
      <c r="AA82">
        <f>IF(Source!BI70=4,J74+J75+J77+J78+J79+J80,0)</f>
        <v>0</v>
      </c>
    </row>
    <row r="83" spans="1:27" ht="85.5" x14ac:dyDescent="0.2">
      <c r="A83" s="23">
        <v>5</v>
      </c>
      <c r="B83" s="23" t="str">
        <f>Source!E71</f>
        <v>9</v>
      </c>
      <c r="C83" s="24" t="str">
        <f>Source!F71</f>
        <v>4.8-218-2</v>
      </c>
      <c r="D83" s="24" t="s">
        <v>125</v>
      </c>
      <c r="E83" s="25" t="str">
        <f>Source!H71</f>
        <v>1  ШТ.</v>
      </c>
      <c r="F83" s="10">
        <f>Source!I71</f>
        <v>2</v>
      </c>
      <c r="G83" s="27"/>
      <c r="H83" s="26"/>
      <c r="I83" s="10"/>
      <c r="J83" s="28"/>
      <c r="K83" s="10"/>
      <c r="L83" s="28"/>
      <c r="Q83">
        <f>ROUND((Source!DN71/100)*ROUND((ROUND((Source!AF71*Source!AV71*Source!I71),2)),2), 2)</f>
        <v>56.95</v>
      </c>
      <c r="R83">
        <f>Source!X71</f>
        <v>887.1</v>
      </c>
      <c r="S83">
        <f>ROUND((Source!DO71/100)*ROUND((ROUND((Source!AF71*Source!AV71*Source!I71),2)),2), 2)</f>
        <v>33.47</v>
      </c>
      <c r="T83">
        <f>Source!Y71</f>
        <v>472.35</v>
      </c>
      <c r="U83">
        <f>ROUND((175/100)*ROUND((ROUND((Source!AE71*Source!AV71*Source!I71),2)),2), 2)</f>
        <v>1.37</v>
      </c>
      <c r="V83">
        <f>ROUND((157/100)*ROUND(ROUND((ROUND((Source!AE71*Source!AV71*Source!I71),2)*Source!BS71),2), 2), 2)</f>
        <v>28.24</v>
      </c>
    </row>
    <row r="84" spans="1:27" ht="14.25" x14ac:dyDescent="0.2">
      <c r="A84" s="23"/>
      <c r="B84" s="23"/>
      <c r="C84" s="24"/>
      <c r="D84" s="24" t="s">
        <v>350</v>
      </c>
      <c r="E84" s="25"/>
      <c r="F84" s="10"/>
      <c r="G84" s="27">
        <f>Source!AO71</f>
        <v>24.98</v>
      </c>
      <c r="H84" s="26" t="str">
        <f>Source!DG71</f>
        <v/>
      </c>
      <c r="I84" s="10">
        <f>Source!AV71</f>
        <v>1</v>
      </c>
      <c r="J84" s="28">
        <f>ROUND((ROUND((Source!AF71*Source!AV71*Source!I71),2)),2)</f>
        <v>49.96</v>
      </c>
      <c r="K84" s="10">
        <f>IF(Source!BA71&lt;&gt; 0, Source!BA71, 1)</f>
        <v>23.06</v>
      </c>
      <c r="L84" s="28">
        <f>Source!S71</f>
        <v>1152.08</v>
      </c>
      <c r="W84">
        <f>J84</f>
        <v>49.96</v>
      </c>
    </row>
    <row r="85" spans="1:27" ht="14.25" x14ac:dyDescent="0.2">
      <c r="A85" s="23"/>
      <c r="B85" s="23"/>
      <c r="C85" s="24"/>
      <c r="D85" s="24" t="s">
        <v>351</v>
      </c>
      <c r="E85" s="25"/>
      <c r="F85" s="10"/>
      <c r="G85" s="27">
        <f>Source!AM71</f>
        <v>5.29</v>
      </c>
      <c r="H85" s="26" t="str">
        <f>Source!DE71</f>
        <v/>
      </c>
      <c r="I85" s="10">
        <f>Source!AV71</f>
        <v>1</v>
      </c>
      <c r="J85" s="28">
        <f>(ROUND((ROUND(((Source!ET71)*Source!AV71*Source!I71),2)),2)+ROUND((ROUND(((Source!AE71-(Source!EU71))*Source!AV71*Source!I71),2)),2))</f>
        <v>10.58</v>
      </c>
      <c r="K85" s="10">
        <f>IF(Source!BB71&lt;&gt; 0, Source!BB71, 1)</f>
        <v>6.5</v>
      </c>
      <c r="L85" s="28">
        <f>Source!Q71</f>
        <v>68.77</v>
      </c>
    </row>
    <row r="86" spans="1:27" ht="14.25" x14ac:dyDescent="0.2">
      <c r="A86" s="23"/>
      <c r="B86" s="23"/>
      <c r="C86" s="24"/>
      <c r="D86" s="24" t="s">
        <v>352</v>
      </c>
      <c r="E86" s="25"/>
      <c r="F86" s="10"/>
      <c r="G86" s="27">
        <f>Source!AN71</f>
        <v>0.39</v>
      </c>
      <c r="H86" s="26" t="str">
        <f>Source!DF71</f>
        <v/>
      </c>
      <c r="I86" s="10">
        <f>Source!AV71</f>
        <v>1</v>
      </c>
      <c r="J86" s="29">
        <f>ROUND((ROUND((Source!AE71*Source!AV71*Source!I71),2)),2)</f>
        <v>0.78</v>
      </c>
      <c r="K86" s="10">
        <f>IF(Source!BS71&lt;&gt; 0, Source!BS71, 1)</f>
        <v>23.06</v>
      </c>
      <c r="L86" s="29">
        <f>Source!R71</f>
        <v>17.989999999999998</v>
      </c>
      <c r="W86">
        <f>J86</f>
        <v>0.78</v>
      </c>
    </row>
    <row r="87" spans="1:27" ht="14.25" x14ac:dyDescent="0.2">
      <c r="A87" s="23"/>
      <c r="B87" s="23"/>
      <c r="C87" s="24"/>
      <c r="D87" s="24" t="s">
        <v>361</v>
      </c>
      <c r="E87" s="25"/>
      <c r="F87" s="10"/>
      <c r="G87" s="27">
        <f>Source!AL71</f>
        <v>29.26</v>
      </c>
      <c r="H87" s="26" t="str">
        <f>Source!DD71</f>
        <v/>
      </c>
      <c r="I87" s="10">
        <f>Source!AW71</f>
        <v>1</v>
      </c>
      <c r="J87" s="28">
        <f>ROUND((ROUND((Source!AC71*Source!AW71*Source!I71),2)),2)</f>
        <v>58.52</v>
      </c>
      <c r="K87" s="10">
        <f>IF(Source!BC71&lt;&gt; 0, Source!BC71, 1)</f>
        <v>5.41</v>
      </c>
      <c r="L87" s="28">
        <f>Source!P71</f>
        <v>316.58999999999997</v>
      </c>
    </row>
    <row r="88" spans="1:27" ht="14.25" x14ac:dyDescent="0.2">
      <c r="A88" s="23"/>
      <c r="B88" s="23"/>
      <c r="C88" s="24"/>
      <c r="D88" s="24" t="s">
        <v>353</v>
      </c>
      <c r="E88" s="25" t="s">
        <v>354</v>
      </c>
      <c r="F88" s="10">
        <f>Source!DN71</f>
        <v>114</v>
      </c>
      <c r="G88" s="27"/>
      <c r="H88" s="26"/>
      <c r="I88" s="10"/>
      <c r="J88" s="28">
        <f>SUM(Q83:Q87)</f>
        <v>56.95</v>
      </c>
      <c r="K88" s="10">
        <f>Source!BZ71</f>
        <v>77</v>
      </c>
      <c r="L88" s="28">
        <f>SUM(R83:R87)</f>
        <v>887.1</v>
      </c>
    </row>
    <row r="89" spans="1:27" ht="14.25" x14ac:dyDescent="0.2">
      <c r="A89" s="23"/>
      <c r="B89" s="23"/>
      <c r="C89" s="24"/>
      <c r="D89" s="24" t="s">
        <v>355</v>
      </c>
      <c r="E89" s="25" t="s">
        <v>354</v>
      </c>
      <c r="F89" s="10">
        <f>Source!DO71</f>
        <v>67</v>
      </c>
      <c r="G89" s="27"/>
      <c r="H89" s="26"/>
      <c r="I89" s="10"/>
      <c r="J89" s="28">
        <f>SUM(S83:S88)</f>
        <v>33.47</v>
      </c>
      <c r="K89" s="10">
        <f>Source!CA71</f>
        <v>41</v>
      </c>
      <c r="L89" s="28">
        <f>SUM(T83:T88)</f>
        <v>472.35</v>
      </c>
    </row>
    <row r="90" spans="1:27" ht="14.25" x14ac:dyDescent="0.2">
      <c r="A90" s="23"/>
      <c r="B90" s="23"/>
      <c r="C90" s="24"/>
      <c r="D90" s="24" t="s">
        <v>356</v>
      </c>
      <c r="E90" s="25" t="s">
        <v>354</v>
      </c>
      <c r="F90" s="10">
        <f>175</f>
        <v>175</v>
      </c>
      <c r="G90" s="27"/>
      <c r="H90" s="26"/>
      <c r="I90" s="10"/>
      <c r="J90" s="28">
        <f>SUM(U83:U89)</f>
        <v>1.37</v>
      </c>
      <c r="K90" s="10">
        <f>157</f>
        <v>157</v>
      </c>
      <c r="L90" s="28">
        <f>SUM(V83:V89)</f>
        <v>28.24</v>
      </c>
    </row>
    <row r="91" spans="1:27" ht="14.25" x14ac:dyDescent="0.2">
      <c r="A91" s="23"/>
      <c r="B91" s="23"/>
      <c r="C91" s="24"/>
      <c r="D91" s="24" t="s">
        <v>357</v>
      </c>
      <c r="E91" s="25" t="s">
        <v>358</v>
      </c>
      <c r="F91" s="10">
        <f>Source!AQ71</f>
        <v>2</v>
      </c>
      <c r="G91" s="27"/>
      <c r="H91" s="26" t="str">
        <f>Source!DI71</f>
        <v/>
      </c>
      <c r="I91" s="10">
        <f>Source!AV71</f>
        <v>1</v>
      </c>
      <c r="J91" s="28">
        <f>Source!U71</f>
        <v>4</v>
      </c>
      <c r="K91" s="10"/>
      <c r="L91" s="28"/>
    </row>
    <row r="92" spans="1:27" ht="15" x14ac:dyDescent="0.25">
      <c r="A92" s="31"/>
      <c r="B92" s="31"/>
      <c r="C92" s="31"/>
      <c r="D92" s="31"/>
      <c r="E92" s="31"/>
      <c r="F92" s="31"/>
      <c r="G92" s="31"/>
      <c r="H92" s="31"/>
      <c r="I92" s="54">
        <f>J84+J85+J87+J88+J89+J90</f>
        <v>210.85</v>
      </c>
      <c r="J92" s="54"/>
      <c r="K92" s="54">
        <f>L84+L85+L87+L88+L89+L90</f>
        <v>2925.1299999999997</v>
      </c>
      <c r="L92" s="54"/>
      <c r="O92" s="30">
        <f>J84+J85+J87+J88+J89+J90</f>
        <v>210.85</v>
      </c>
      <c r="P92" s="30">
        <f>L84+L85+L87+L88+L89+L90</f>
        <v>2925.1299999999997</v>
      </c>
      <c r="X92">
        <f>IF(Source!BI71&lt;=1,J84+J85+J87+J88+J89+J90-0, 0)</f>
        <v>0</v>
      </c>
      <c r="Y92">
        <f>IF(Source!BI71=2,J84+J85+J87+J88+J89+J90-0, 0)</f>
        <v>210.85</v>
      </c>
      <c r="Z92">
        <f>IF(Source!BI71=3,J84+J85+J87+J88+J89+J90-0, 0)</f>
        <v>0</v>
      </c>
      <c r="AA92">
        <f>IF(Source!BI71=4,J84+J85+J87+J88+J89+J90,0)</f>
        <v>0</v>
      </c>
    </row>
    <row r="93" spans="1:27" ht="28.5" x14ac:dyDescent="0.2">
      <c r="A93" s="23">
        <v>6</v>
      </c>
      <c r="B93" s="23" t="str">
        <f>Source!E72</f>
        <v>10</v>
      </c>
      <c r="C93" s="24" t="str">
        <f>Source!F72</f>
        <v>4.8-252-2</v>
      </c>
      <c r="D93" s="24" t="s">
        <v>128</v>
      </c>
      <c r="E93" s="25" t="str">
        <f>Source!H72</f>
        <v>1  ШТ.</v>
      </c>
      <c r="F93" s="10">
        <f>Source!I72</f>
        <v>1</v>
      </c>
      <c r="G93" s="27"/>
      <c r="H93" s="26"/>
      <c r="I93" s="10"/>
      <c r="J93" s="28"/>
      <c r="K93" s="10"/>
      <c r="L93" s="28"/>
      <c r="Q93">
        <f>ROUND((Source!DN72/100)*ROUND((ROUND((Source!AF72*Source!AV72*Source!I72),2)),2), 2)</f>
        <v>11.86</v>
      </c>
      <c r="R93">
        <f>Source!X72</f>
        <v>184.66</v>
      </c>
      <c r="S93">
        <f>ROUND((Source!DO72/100)*ROUND((ROUND((Source!AF72*Source!AV72*Source!I72),2)),2), 2)</f>
        <v>6.97</v>
      </c>
      <c r="T93">
        <f>Source!Y72</f>
        <v>98.33</v>
      </c>
      <c r="U93">
        <f>ROUND((175/100)*ROUND((ROUND((Source!AE72*Source!AV72*Source!I72),2)),2), 2)</f>
        <v>0.28000000000000003</v>
      </c>
      <c r="V93">
        <f>ROUND((157/100)*ROUND(ROUND((ROUND((Source!AE72*Source!AV72*Source!I72),2)*Source!BS72),2), 2), 2)</f>
        <v>5.79</v>
      </c>
    </row>
    <row r="94" spans="1:27" ht="14.25" x14ac:dyDescent="0.2">
      <c r="A94" s="23"/>
      <c r="B94" s="23"/>
      <c r="C94" s="24"/>
      <c r="D94" s="24" t="s">
        <v>350</v>
      </c>
      <c r="E94" s="25"/>
      <c r="F94" s="10"/>
      <c r="G94" s="27">
        <f>Source!AO72</f>
        <v>10.4</v>
      </c>
      <c r="H94" s="26" t="str">
        <f>Source!DG72</f>
        <v/>
      </c>
      <c r="I94" s="10">
        <f>Source!AV72</f>
        <v>1</v>
      </c>
      <c r="J94" s="28">
        <f>ROUND((ROUND((Source!AF72*Source!AV72*Source!I72),2)),2)</f>
        <v>10.4</v>
      </c>
      <c r="K94" s="10">
        <f>IF(Source!BA72&lt;&gt; 0, Source!BA72, 1)</f>
        <v>23.06</v>
      </c>
      <c r="L94" s="28">
        <f>Source!S72</f>
        <v>239.82</v>
      </c>
      <c r="W94">
        <f>J94</f>
        <v>10.4</v>
      </c>
    </row>
    <row r="95" spans="1:27" ht="14.25" x14ac:dyDescent="0.2">
      <c r="A95" s="23"/>
      <c r="B95" s="23"/>
      <c r="C95" s="24"/>
      <c r="D95" s="24" t="s">
        <v>351</v>
      </c>
      <c r="E95" s="25"/>
      <c r="F95" s="10"/>
      <c r="G95" s="27">
        <f>Source!AM72</f>
        <v>0.68</v>
      </c>
      <c r="H95" s="26" t="str">
        <f>Source!DE72</f>
        <v/>
      </c>
      <c r="I95" s="10">
        <f>Source!AV72</f>
        <v>1</v>
      </c>
      <c r="J95" s="28">
        <f>(ROUND((ROUND(((Source!ET72)*Source!AV72*Source!I72),2)),2)+ROUND((ROUND(((Source!AE72-(Source!EU72))*Source!AV72*Source!I72),2)),2))</f>
        <v>0.68</v>
      </c>
      <c r="K95" s="10">
        <f>IF(Source!BB72&lt;&gt; 0, Source!BB72, 1)</f>
        <v>9.3800000000000008</v>
      </c>
      <c r="L95" s="28">
        <f>Source!Q72</f>
        <v>6.38</v>
      </c>
    </row>
    <row r="96" spans="1:27" ht="14.25" x14ac:dyDescent="0.2">
      <c r="A96" s="23"/>
      <c r="B96" s="23"/>
      <c r="C96" s="24"/>
      <c r="D96" s="24" t="s">
        <v>352</v>
      </c>
      <c r="E96" s="25"/>
      <c r="F96" s="10"/>
      <c r="G96" s="27">
        <f>Source!AN72</f>
        <v>0.16</v>
      </c>
      <c r="H96" s="26" t="str">
        <f>Source!DF72</f>
        <v/>
      </c>
      <c r="I96" s="10">
        <f>Source!AV72</f>
        <v>1</v>
      </c>
      <c r="J96" s="29">
        <f>ROUND((ROUND((Source!AE72*Source!AV72*Source!I72),2)),2)</f>
        <v>0.16</v>
      </c>
      <c r="K96" s="10">
        <f>IF(Source!BS72&lt;&gt; 0, Source!BS72, 1)</f>
        <v>23.06</v>
      </c>
      <c r="L96" s="29">
        <f>Source!R72</f>
        <v>3.69</v>
      </c>
      <c r="W96">
        <f>J96</f>
        <v>0.16</v>
      </c>
    </row>
    <row r="97" spans="1:27" ht="14.25" x14ac:dyDescent="0.2">
      <c r="A97" s="23"/>
      <c r="B97" s="23"/>
      <c r="C97" s="24"/>
      <c r="D97" s="24" t="s">
        <v>361</v>
      </c>
      <c r="E97" s="25"/>
      <c r="F97" s="10"/>
      <c r="G97" s="27">
        <f>Source!AL72</f>
        <v>0.21</v>
      </c>
      <c r="H97" s="26" t="str">
        <f>Source!DD72</f>
        <v/>
      </c>
      <c r="I97" s="10">
        <f>Source!AW72</f>
        <v>1</v>
      </c>
      <c r="J97" s="28">
        <f>ROUND((ROUND((Source!AC72*Source!AW72*Source!I72),2)),2)</f>
        <v>0.21</v>
      </c>
      <c r="K97" s="10">
        <f>IF(Source!BC72&lt;&gt; 0, Source!BC72, 1)</f>
        <v>5.43</v>
      </c>
      <c r="L97" s="28">
        <f>Source!P72</f>
        <v>1.1399999999999999</v>
      </c>
    </row>
    <row r="98" spans="1:27" ht="14.25" x14ac:dyDescent="0.2">
      <c r="A98" s="23"/>
      <c r="B98" s="23"/>
      <c r="C98" s="24"/>
      <c r="D98" s="24" t="s">
        <v>353</v>
      </c>
      <c r="E98" s="25" t="s">
        <v>354</v>
      </c>
      <c r="F98" s="10">
        <f>Source!DN72</f>
        <v>114</v>
      </c>
      <c r="G98" s="27"/>
      <c r="H98" s="26"/>
      <c r="I98" s="10"/>
      <c r="J98" s="28">
        <f>SUM(Q93:Q97)</f>
        <v>11.86</v>
      </c>
      <c r="K98" s="10">
        <f>Source!BZ72</f>
        <v>77</v>
      </c>
      <c r="L98" s="28">
        <f>SUM(R93:R97)</f>
        <v>184.66</v>
      </c>
    </row>
    <row r="99" spans="1:27" ht="14.25" x14ac:dyDescent="0.2">
      <c r="A99" s="23"/>
      <c r="B99" s="23"/>
      <c r="C99" s="24"/>
      <c r="D99" s="24" t="s">
        <v>355</v>
      </c>
      <c r="E99" s="25" t="s">
        <v>354</v>
      </c>
      <c r="F99" s="10">
        <f>Source!DO72</f>
        <v>67</v>
      </c>
      <c r="G99" s="27"/>
      <c r="H99" s="26"/>
      <c r="I99" s="10"/>
      <c r="J99" s="28">
        <f>SUM(S93:S98)</f>
        <v>6.97</v>
      </c>
      <c r="K99" s="10">
        <f>Source!CA72</f>
        <v>41</v>
      </c>
      <c r="L99" s="28">
        <f>SUM(T93:T98)</f>
        <v>98.33</v>
      </c>
    </row>
    <row r="100" spans="1:27" ht="14.25" x14ac:dyDescent="0.2">
      <c r="A100" s="23"/>
      <c r="B100" s="23"/>
      <c r="C100" s="24"/>
      <c r="D100" s="24" t="s">
        <v>356</v>
      </c>
      <c r="E100" s="25" t="s">
        <v>354</v>
      </c>
      <c r="F100" s="10">
        <f>175</f>
        <v>175</v>
      </c>
      <c r="G100" s="27"/>
      <c r="H100" s="26"/>
      <c r="I100" s="10"/>
      <c r="J100" s="28">
        <f>SUM(U93:U99)</f>
        <v>0.28000000000000003</v>
      </c>
      <c r="K100" s="10">
        <f>157</f>
        <v>157</v>
      </c>
      <c r="L100" s="28">
        <f>SUM(V93:V99)</f>
        <v>5.79</v>
      </c>
    </row>
    <row r="101" spans="1:27" ht="14.25" x14ac:dyDescent="0.2">
      <c r="A101" s="23"/>
      <c r="B101" s="23"/>
      <c r="C101" s="24"/>
      <c r="D101" s="24" t="s">
        <v>357</v>
      </c>
      <c r="E101" s="25" t="s">
        <v>358</v>
      </c>
      <c r="F101" s="10">
        <f>Source!AQ72</f>
        <v>0.8</v>
      </c>
      <c r="G101" s="27"/>
      <c r="H101" s="26" t="str">
        <f>Source!DI72</f>
        <v/>
      </c>
      <c r="I101" s="10">
        <f>Source!AV72</f>
        <v>1</v>
      </c>
      <c r="J101" s="28">
        <f>Source!U72</f>
        <v>0.8</v>
      </c>
      <c r="K101" s="10"/>
      <c r="L101" s="28"/>
    </row>
    <row r="102" spans="1:27" ht="15" x14ac:dyDescent="0.25">
      <c r="A102" s="31"/>
      <c r="B102" s="31"/>
      <c r="C102" s="31"/>
      <c r="D102" s="31"/>
      <c r="E102" s="31"/>
      <c r="F102" s="31"/>
      <c r="G102" s="31"/>
      <c r="H102" s="31"/>
      <c r="I102" s="54">
        <f>J94+J95+J97+J98+J99+J100</f>
        <v>30.4</v>
      </c>
      <c r="J102" s="54"/>
      <c r="K102" s="54">
        <f>L94+L95+L97+L98+L99+L100</f>
        <v>536.12</v>
      </c>
      <c r="L102" s="54"/>
      <c r="O102" s="30">
        <f>J94+J95+J97+J98+J99+J100</f>
        <v>30.4</v>
      </c>
      <c r="P102" s="30">
        <f>L94+L95+L97+L98+L99+L100</f>
        <v>536.12</v>
      </c>
      <c r="X102">
        <f>IF(Source!BI72&lt;=1,J94+J95+J97+J98+J99+J100-0, 0)</f>
        <v>0</v>
      </c>
      <c r="Y102">
        <f>IF(Source!BI72=2,J94+J95+J97+J98+J99+J100-0, 0)</f>
        <v>30.4</v>
      </c>
      <c r="Z102">
        <f>IF(Source!BI72=3,J94+J95+J97+J98+J99+J100-0, 0)</f>
        <v>0</v>
      </c>
      <c r="AA102">
        <f>IF(Source!BI72=4,J94+J95+J97+J98+J99+J100,0)</f>
        <v>0</v>
      </c>
    </row>
    <row r="103" spans="1:27" ht="28.5" x14ac:dyDescent="0.2">
      <c r="A103" s="23">
        <v>7</v>
      </c>
      <c r="B103" s="23" t="str">
        <f>Source!E76</f>
        <v>14</v>
      </c>
      <c r="C103" s="24" t="str">
        <f>Source!F76</f>
        <v>4.8-59-1</v>
      </c>
      <c r="D103" s="24" t="s">
        <v>141</v>
      </c>
      <c r="E103" s="25" t="str">
        <f>Source!H76</f>
        <v>100 шт.</v>
      </c>
      <c r="F103" s="10">
        <f>Source!I76</f>
        <v>0.06</v>
      </c>
      <c r="G103" s="27"/>
      <c r="H103" s="26"/>
      <c r="I103" s="10"/>
      <c r="J103" s="28"/>
      <c r="K103" s="10"/>
      <c r="L103" s="28"/>
      <c r="Q103">
        <f>ROUND((Source!DN76/100)*ROUND((ROUND((Source!AF76*Source!AV76*Source!I76),2)),2), 2)</f>
        <v>35.57</v>
      </c>
      <c r="R103">
        <f>Source!X76</f>
        <v>553.99</v>
      </c>
      <c r="S103">
        <f>ROUND((Source!DO76/100)*ROUND((ROUND((Source!AF76*Source!AV76*Source!I76),2)),2), 2)</f>
        <v>20.9</v>
      </c>
      <c r="T103">
        <f>Source!Y76</f>
        <v>294.98</v>
      </c>
      <c r="U103">
        <f>ROUND((175/100)*ROUND((ROUND((Source!AE76*Source!AV76*Source!I76),2)),2), 2)</f>
        <v>0.25</v>
      </c>
      <c r="V103">
        <f>ROUND((157/100)*ROUND(ROUND((ROUND((Source!AE76*Source!AV76*Source!I76),2)*Source!BS76),2), 2), 2)</f>
        <v>5.07</v>
      </c>
    </row>
    <row r="104" spans="1:27" ht="14.25" x14ac:dyDescent="0.2">
      <c r="A104" s="23"/>
      <c r="B104" s="23"/>
      <c r="C104" s="24"/>
      <c r="D104" s="24" t="s">
        <v>350</v>
      </c>
      <c r="E104" s="25"/>
      <c r="F104" s="10"/>
      <c r="G104" s="27">
        <f>Source!AO76</f>
        <v>519.94000000000005</v>
      </c>
      <c r="H104" s="26" t="str">
        <f>Source!DG76</f>
        <v/>
      </c>
      <c r="I104" s="10">
        <f>Source!AV76</f>
        <v>1</v>
      </c>
      <c r="J104" s="28">
        <f>ROUND((ROUND((Source!AF76*Source!AV76*Source!I76),2)),2)</f>
        <v>31.2</v>
      </c>
      <c r="K104" s="10">
        <f>IF(Source!BA76&lt;&gt; 0, Source!BA76, 1)</f>
        <v>23.06</v>
      </c>
      <c r="L104" s="28">
        <f>Source!S76</f>
        <v>719.47</v>
      </c>
      <c r="W104">
        <f>J104</f>
        <v>31.2</v>
      </c>
    </row>
    <row r="105" spans="1:27" ht="14.25" x14ac:dyDescent="0.2">
      <c r="A105" s="23"/>
      <c r="B105" s="23"/>
      <c r="C105" s="24"/>
      <c r="D105" s="24" t="s">
        <v>351</v>
      </c>
      <c r="E105" s="25"/>
      <c r="F105" s="10"/>
      <c r="G105" s="27">
        <f>Source!AM76</f>
        <v>15.41</v>
      </c>
      <c r="H105" s="26" t="str">
        <f>Source!DE76</f>
        <v/>
      </c>
      <c r="I105" s="10">
        <f>Source!AV76</f>
        <v>1</v>
      </c>
      <c r="J105" s="28">
        <f>(ROUND((ROUND(((Source!ET76)*Source!AV76*Source!I76),2)),2)+ROUND((ROUND(((Source!AE76-(Source!EU76))*Source!AV76*Source!I76),2)),2))</f>
        <v>0.92</v>
      </c>
      <c r="K105" s="10">
        <f>IF(Source!BB76&lt;&gt; 0, Source!BB76, 1)</f>
        <v>7.95</v>
      </c>
      <c r="L105" s="28">
        <f>Source!Q76</f>
        <v>7.31</v>
      </c>
    </row>
    <row r="106" spans="1:27" ht="14.25" x14ac:dyDescent="0.2">
      <c r="A106" s="23"/>
      <c r="B106" s="23"/>
      <c r="C106" s="24"/>
      <c r="D106" s="24" t="s">
        <v>352</v>
      </c>
      <c r="E106" s="25"/>
      <c r="F106" s="10"/>
      <c r="G106" s="27">
        <f>Source!AN76</f>
        <v>2.39</v>
      </c>
      <c r="H106" s="26" t="str">
        <f>Source!DF76</f>
        <v/>
      </c>
      <c r="I106" s="10">
        <f>Source!AV76</f>
        <v>1</v>
      </c>
      <c r="J106" s="29">
        <f>ROUND((ROUND((Source!AE76*Source!AV76*Source!I76),2)),2)</f>
        <v>0.14000000000000001</v>
      </c>
      <c r="K106" s="10">
        <f>IF(Source!BS76&lt;&gt; 0, Source!BS76, 1)</f>
        <v>23.06</v>
      </c>
      <c r="L106" s="29">
        <f>Source!R76</f>
        <v>3.23</v>
      </c>
      <c r="W106">
        <f>J106</f>
        <v>0.14000000000000001</v>
      </c>
    </row>
    <row r="107" spans="1:27" ht="14.25" x14ac:dyDescent="0.2">
      <c r="A107" s="23"/>
      <c r="B107" s="23"/>
      <c r="C107" s="24"/>
      <c r="D107" s="24" t="s">
        <v>361</v>
      </c>
      <c r="E107" s="25"/>
      <c r="F107" s="10"/>
      <c r="G107" s="27">
        <f>Source!AL76</f>
        <v>84.7</v>
      </c>
      <c r="H107" s="26" t="str">
        <f>Source!DD76</f>
        <v/>
      </c>
      <c r="I107" s="10">
        <f>Source!AW76</f>
        <v>1</v>
      </c>
      <c r="J107" s="28">
        <f>ROUND((ROUND((Source!AC76*Source!AW76*Source!I76),2)),2)</f>
        <v>5.08</v>
      </c>
      <c r="K107" s="10">
        <f>IF(Source!BC76&lt;&gt; 0, Source!BC76, 1)</f>
        <v>5.41</v>
      </c>
      <c r="L107" s="28">
        <f>Source!P76</f>
        <v>27.48</v>
      </c>
    </row>
    <row r="108" spans="1:27" ht="14.25" x14ac:dyDescent="0.2">
      <c r="A108" s="23"/>
      <c r="B108" s="23"/>
      <c r="C108" s="24"/>
      <c r="D108" s="24" t="s">
        <v>353</v>
      </c>
      <c r="E108" s="25" t="s">
        <v>354</v>
      </c>
      <c r="F108" s="10">
        <f>Source!DN76</f>
        <v>114</v>
      </c>
      <c r="G108" s="27"/>
      <c r="H108" s="26"/>
      <c r="I108" s="10"/>
      <c r="J108" s="28">
        <f>SUM(Q103:Q107)</f>
        <v>35.57</v>
      </c>
      <c r="K108" s="10">
        <f>Source!BZ76</f>
        <v>77</v>
      </c>
      <c r="L108" s="28">
        <f>SUM(R103:R107)</f>
        <v>553.99</v>
      </c>
    </row>
    <row r="109" spans="1:27" ht="14.25" x14ac:dyDescent="0.2">
      <c r="A109" s="23"/>
      <c r="B109" s="23"/>
      <c r="C109" s="24"/>
      <c r="D109" s="24" t="s">
        <v>355</v>
      </c>
      <c r="E109" s="25" t="s">
        <v>354</v>
      </c>
      <c r="F109" s="10">
        <f>Source!DO76</f>
        <v>67</v>
      </c>
      <c r="G109" s="27"/>
      <c r="H109" s="26"/>
      <c r="I109" s="10"/>
      <c r="J109" s="28">
        <f>SUM(S103:S108)</f>
        <v>20.9</v>
      </c>
      <c r="K109" s="10">
        <f>Source!CA76</f>
        <v>41</v>
      </c>
      <c r="L109" s="28">
        <f>SUM(T103:T108)</f>
        <v>294.98</v>
      </c>
    </row>
    <row r="110" spans="1:27" ht="14.25" x14ac:dyDescent="0.2">
      <c r="A110" s="23"/>
      <c r="B110" s="23"/>
      <c r="C110" s="24"/>
      <c r="D110" s="24" t="s">
        <v>356</v>
      </c>
      <c r="E110" s="25" t="s">
        <v>354</v>
      </c>
      <c r="F110" s="10">
        <f>175</f>
        <v>175</v>
      </c>
      <c r="G110" s="27"/>
      <c r="H110" s="26"/>
      <c r="I110" s="10"/>
      <c r="J110" s="28">
        <f>SUM(U103:U109)</f>
        <v>0.25</v>
      </c>
      <c r="K110" s="10">
        <f>157</f>
        <v>157</v>
      </c>
      <c r="L110" s="28">
        <f>SUM(V103:V109)</f>
        <v>5.07</v>
      </c>
    </row>
    <row r="111" spans="1:27" ht="14.25" x14ac:dyDescent="0.2">
      <c r="A111" s="23"/>
      <c r="B111" s="23"/>
      <c r="C111" s="24"/>
      <c r="D111" s="24" t="s">
        <v>357</v>
      </c>
      <c r="E111" s="25" t="s">
        <v>358</v>
      </c>
      <c r="F111" s="10">
        <f>Source!AQ76</f>
        <v>41.2</v>
      </c>
      <c r="G111" s="27"/>
      <c r="H111" s="26" t="str">
        <f>Source!DI76</f>
        <v/>
      </c>
      <c r="I111" s="10">
        <f>Source!AV76</f>
        <v>1</v>
      </c>
      <c r="J111" s="28">
        <f>Source!U76</f>
        <v>2.472</v>
      </c>
      <c r="K111" s="10"/>
      <c r="L111" s="28"/>
    </row>
    <row r="112" spans="1:27" ht="15" x14ac:dyDescent="0.25">
      <c r="A112" s="31"/>
      <c r="B112" s="31"/>
      <c r="C112" s="31"/>
      <c r="D112" s="31"/>
      <c r="E112" s="31"/>
      <c r="F112" s="31"/>
      <c r="G112" s="31"/>
      <c r="H112" s="31"/>
      <c r="I112" s="54">
        <f>J104+J105+J107+J108+J109+J110</f>
        <v>93.919999999999987</v>
      </c>
      <c r="J112" s="54"/>
      <c r="K112" s="54">
        <f>L104+L105+L107+L108+L109+L110</f>
        <v>1608.3</v>
      </c>
      <c r="L112" s="54"/>
      <c r="O112" s="30">
        <f>J104+J105+J107+J108+J109+J110</f>
        <v>93.919999999999987</v>
      </c>
      <c r="P112" s="30">
        <f>L104+L105+L107+L108+L109+L110</f>
        <v>1608.3</v>
      </c>
      <c r="X112">
        <f>IF(Source!BI76&lt;=1,J104+J105+J107+J108+J109+J110-0, 0)</f>
        <v>0</v>
      </c>
      <c r="Y112">
        <f>IF(Source!BI76=2,J104+J105+J107+J108+J109+J110-0, 0)</f>
        <v>93.919999999999987</v>
      </c>
      <c r="Z112">
        <f>IF(Source!BI76=3,J104+J105+J107+J108+J109+J110-0, 0)</f>
        <v>0</v>
      </c>
      <c r="AA112">
        <f>IF(Source!BI76=4,J104+J105+J107+J108+J109+J110,0)</f>
        <v>0</v>
      </c>
    </row>
    <row r="113" spans="1:27" ht="14.25" x14ac:dyDescent="0.2">
      <c r="A113" s="23">
        <v>8</v>
      </c>
      <c r="B113" s="23" t="str">
        <f>Source!E77</f>
        <v>15</v>
      </c>
      <c r="C113" s="24" t="str">
        <f>Source!F77</f>
        <v>4.8-56-1</v>
      </c>
      <c r="D113" s="24" t="s">
        <v>143</v>
      </c>
      <c r="E113" s="25" t="str">
        <f>Source!H77</f>
        <v>1  ШТ.</v>
      </c>
      <c r="F113" s="10">
        <f>Source!I77</f>
        <v>3</v>
      </c>
      <c r="G113" s="27"/>
      <c r="H113" s="26"/>
      <c r="I113" s="10"/>
      <c r="J113" s="28"/>
      <c r="K113" s="10"/>
      <c r="L113" s="28"/>
      <c r="Q113">
        <f>ROUND((Source!DN77/100)*ROUND((ROUND((Source!AF77*Source!AV77*Source!I77),2)),2), 2)</f>
        <v>578.36</v>
      </c>
      <c r="R113">
        <f>Source!X77</f>
        <v>9008.25</v>
      </c>
      <c r="S113">
        <f>ROUND((Source!DO77/100)*ROUND((ROUND((Source!AF77*Source!AV77*Source!I77),2)),2), 2)</f>
        <v>339.91</v>
      </c>
      <c r="T113">
        <f>Source!Y77</f>
        <v>4796.6000000000004</v>
      </c>
      <c r="U113">
        <f>ROUND((175/100)*ROUND((ROUND((Source!AE77*Source!AV77*Source!I77),2)),2), 2)</f>
        <v>19.48</v>
      </c>
      <c r="V113">
        <f>ROUND((157/100)*ROUND(ROUND((ROUND((Source!AE77*Source!AV77*Source!I77),2)*Source!BS77),2), 2), 2)</f>
        <v>402.96</v>
      </c>
    </row>
    <row r="114" spans="1:27" ht="14.25" x14ac:dyDescent="0.2">
      <c r="A114" s="23"/>
      <c r="B114" s="23"/>
      <c r="C114" s="24"/>
      <c r="D114" s="24" t="s">
        <v>350</v>
      </c>
      <c r="E114" s="25"/>
      <c r="F114" s="10"/>
      <c r="G114" s="27">
        <f>Source!AO77</f>
        <v>169.11</v>
      </c>
      <c r="H114" s="26" t="str">
        <f>Source!DG77</f>
        <v/>
      </c>
      <c r="I114" s="10">
        <f>Source!AV77</f>
        <v>1</v>
      </c>
      <c r="J114" s="28">
        <f>ROUND((ROUND((Source!AF77*Source!AV77*Source!I77),2)),2)</f>
        <v>507.33</v>
      </c>
      <c r="K114" s="10">
        <f>IF(Source!BA77&lt;&gt; 0, Source!BA77, 1)</f>
        <v>23.06</v>
      </c>
      <c r="L114" s="28">
        <f>Source!S77</f>
        <v>11699.03</v>
      </c>
      <c r="W114">
        <f>J114</f>
        <v>507.33</v>
      </c>
    </row>
    <row r="115" spans="1:27" ht="14.25" x14ac:dyDescent="0.2">
      <c r="A115" s="23"/>
      <c r="B115" s="23"/>
      <c r="C115" s="24"/>
      <c r="D115" s="24" t="s">
        <v>351</v>
      </c>
      <c r="E115" s="25"/>
      <c r="F115" s="10"/>
      <c r="G115" s="27">
        <f>Source!AM77</f>
        <v>27.48</v>
      </c>
      <c r="H115" s="26" t="str">
        <f>Source!DE77</f>
        <v/>
      </c>
      <c r="I115" s="10">
        <f>Source!AV77</f>
        <v>1</v>
      </c>
      <c r="J115" s="28">
        <f>(ROUND((ROUND(((Source!ET77)*Source!AV77*Source!I77),2)),2)+ROUND((ROUND(((Source!AE77-(Source!EU77))*Source!AV77*Source!I77),2)),2))</f>
        <v>82.44</v>
      </c>
      <c r="K115" s="10">
        <f>IF(Source!BB77&lt;&gt; 0, Source!BB77, 1)</f>
        <v>7.59</v>
      </c>
      <c r="L115" s="28">
        <f>Source!Q77</f>
        <v>625.72</v>
      </c>
    </row>
    <row r="116" spans="1:27" ht="14.25" x14ac:dyDescent="0.2">
      <c r="A116" s="23"/>
      <c r="B116" s="23"/>
      <c r="C116" s="24"/>
      <c r="D116" s="24" t="s">
        <v>352</v>
      </c>
      <c r="E116" s="25"/>
      <c r="F116" s="10"/>
      <c r="G116" s="27">
        <f>Source!AN77</f>
        <v>3.71</v>
      </c>
      <c r="H116" s="26" t="str">
        <f>Source!DF77</f>
        <v/>
      </c>
      <c r="I116" s="10">
        <f>Source!AV77</f>
        <v>1</v>
      </c>
      <c r="J116" s="29">
        <f>ROUND((ROUND((Source!AE77*Source!AV77*Source!I77),2)),2)</f>
        <v>11.13</v>
      </c>
      <c r="K116" s="10">
        <f>IF(Source!BS77&lt;&gt; 0, Source!BS77, 1)</f>
        <v>23.06</v>
      </c>
      <c r="L116" s="29">
        <f>Source!R77</f>
        <v>256.66000000000003</v>
      </c>
      <c r="W116">
        <f>J116</f>
        <v>11.13</v>
      </c>
    </row>
    <row r="117" spans="1:27" ht="14.25" x14ac:dyDescent="0.2">
      <c r="A117" s="23"/>
      <c r="B117" s="23"/>
      <c r="C117" s="24"/>
      <c r="D117" s="24" t="s">
        <v>361</v>
      </c>
      <c r="E117" s="25"/>
      <c r="F117" s="10"/>
      <c r="G117" s="27">
        <f>Source!AL77</f>
        <v>68.39</v>
      </c>
      <c r="H117" s="26" t="str">
        <f>Source!DD77</f>
        <v/>
      </c>
      <c r="I117" s="10">
        <f>Source!AW77</f>
        <v>1</v>
      </c>
      <c r="J117" s="28">
        <f>ROUND((ROUND((Source!AC77*Source!AW77*Source!I77),2)),2)</f>
        <v>205.17</v>
      </c>
      <c r="K117" s="10">
        <f>IF(Source!BC77&lt;&gt; 0, Source!BC77, 1)</f>
        <v>5.41</v>
      </c>
      <c r="L117" s="28">
        <f>Source!P77</f>
        <v>1109.97</v>
      </c>
    </row>
    <row r="118" spans="1:27" ht="14.25" x14ac:dyDescent="0.2">
      <c r="A118" s="23"/>
      <c r="B118" s="23"/>
      <c r="C118" s="24"/>
      <c r="D118" s="24" t="s">
        <v>353</v>
      </c>
      <c r="E118" s="25" t="s">
        <v>354</v>
      </c>
      <c r="F118" s="10">
        <f>Source!DN77</f>
        <v>114</v>
      </c>
      <c r="G118" s="27"/>
      <c r="H118" s="26"/>
      <c r="I118" s="10"/>
      <c r="J118" s="28">
        <f>SUM(Q113:Q117)</f>
        <v>578.36</v>
      </c>
      <c r="K118" s="10">
        <f>Source!BZ77</f>
        <v>77</v>
      </c>
      <c r="L118" s="28">
        <f>SUM(R113:R117)</f>
        <v>9008.25</v>
      </c>
    </row>
    <row r="119" spans="1:27" ht="14.25" x14ac:dyDescent="0.2">
      <c r="A119" s="23"/>
      <c r="B119" s="23"/>
      <c r="C119" s="24"/>
      <c r="D119" s="24" t="s">
        <v>355</v>
      </c>
      <c r="E119" s="25" t="s">
        <v>354</v>
      </c>
      <c r="F119" s="10">
        <f>Source!DO77</f>
        <v>67</v>
      </c>
      <c r="G119" s="27"/>
      <c r="H119" s="26"/>
      <c r="I119" s="10"/>
      <c r="J119" s="28">
        <f>SUM(S113:S118)</f>
        <v>339.91</v>
      </c>
      <c r="K119" s="10">
        <f>Source!CA77</f>
        <v>41</v>
      </c>
      <c r="L119" s="28">
        <f>SUM(T113:T118)</f>
        <v>4796.6000000000004</v>
      </c>
    </row>
    <row r="120" spans="1:27" ht="14.25" x14ac:dyDescent="0.2">
      <c r="A120" s="23"/>
      <c r="B120" s="23"/>
      <c r="C120" s="24"/>
      <c r="D120" s="24" t="s">
        <v>356</v>
      </c>
      <c r="E120" s="25" t="s">
        <v>354</v>
      </c>
      <c r="F120" s="10">
        <f>175</f>
        <v>175</v>
      </c>
      <c r="G120" s="27"/>
      <c r="H120" s="26"/>
      <c r="I120" s="10"/>
      <c r="J120" s="28">
        <f>SUM(U113:U119)</f>
        <v>19.48</v>
      </c>
      <c r="K120" s="10">
        <f>157</f>
        <v>157</v>
      </c>
      <c r="L120" s="28">
        <f>SUM(V113:V119)</f>
        <v>402.96</v>
      </c>
    </row>
    <row r="121" spans="1:27" ht="14.25" x14ac:dyDescent="0.2">
      <c r="A121" s="23"/>
      <c r="B121" s="23"/>
      <c r="C121" s="24"/>
      <c r="D121" s="24" t="s">
        <v>357</v>
      </c>
      <c r="E121" s="25" t="s">
        <v>358</v>
      </c>
      <c r="F121" s="10">
        <f>Source!AQ77</f>
        <v>13.4</v>
      </c>
      <c r="G121" s="27"/>
      <c r="H121" s="26" t="str">
        <f>Source!DI77</f>
        <v/>
      </c>
      <c r="I121" s="10">
        <f>Source!AV77</f>
        <v>1</v>
      </c>
      <c r="J121" s="28">
        <f>Source!U77</f>
        <v>40.200000000000003</v>
      </c>
      <c r="K121" s="10"/>
      <c r="L121" s="28"/>
    </row>
    <row r="122" spans="1:27" ht="15" x14ac:dyDescent="0.25">
      <c r="A122" s="31"/>
      <c r="B122" s="31"/>
      <c r="C122" s="31"/>
      <c r="D122" s="31"/>
      <c r="E122" s="31"/>
      <c r="F122" s="31"/>
      <c r="G122" s="31"/>
      <c r="H122" s="31"/>
      <c r="I122" s="54">
        <f>J114+J115+J117+J118+J119+J120</f>
        <v>1732.69</v>
      </c>
      <c r="J122" s="54"/>
      <c r="K122" s="54">
        <f>L114+L115+L117+L118+L119+L120</f>
        <v>27642.53</v>
      </c>
      <c r="L122" s="54"/>
      <c r="O122" s="30">
        <f>J114+J115+J117+J118+J119+J120</f>
        <v>1732.69</v>
      </c>
      <c r="P122" s="30">
        <f>L114+L115+L117+L118+L119+L120</f>
        <v>27642.53</v>
      </c>
      <c r="X122">
        <f>IF(Source!BI77&lt;=1,J114+J115+J117+J118+J119+J120-0, 0)</f>
        <v>0</v>
      </c>
      <c r="Y122">
        <f>IF(Source!BI77=2,J114+J115+J117+J118+J119+J120-0, 0)</f>
        <v>1732.69</v>
      </c>
      <c r="Z122">
        <f>IF(Source!BI77=3,J114+J115+J117+J118+J119+J120-0, 0)</f>
        <v>0</v>
      </c>
      <c r="AA122">
        <f>IF(Source!BI77=4,J114+J115+J117+J118+J119+J120,0)</f>
        <v>0</v>
      </c>
    </row>
    <row r="123" spans="1:27" ht="28.5" x14ac:dyDescent="0.2">
      <c r="A123" s="23">
        <v>9</v>
      </c>
      <c r="B123" s="23" t="str">
        <f>Source!E79</f>
        <v>17</v>
      </c>
      <c r="C123" s="24" t="str">
        <f>Source!F79</f>
        <v>4.10-13-1</v>
      </c>
      <c r="D123" s="24" t="s">
        <v>150</v>
      </c>
      <c r="E123" s="25" t="str">
        <f>Source!H79</f>
        <v>100 М КАБЕЛЯ</v>
      </c>
      <c r="F123" s="10">
        <f>Source!I79</f>
        <v>0.05</v>
      </c>
      <c r="G123" s="27"/>
      <c r="H123" s="26"/>
      <c r="I123" s="10"/>
      <c r="J123" s="28"/>
      <c r="K123" s="10"/>
      <c r="L123" s="28"/>
      <c r="Q123">
        <f>ROUND((Source!DN79/100)*ROUND((ROUND((Source!AF79*Source!AV79*Source!I79),2)),2), 2)</f>
        <v>8.1300000000000008</v>
      </c>
      <c r="R123">
        <f>Source!X79</f>
        <v>126.6</v>
      </c>
      <c r="S123">
        <f>ROUND((Source!DO79/100)*ROUND((ROUND((Source!AF79*Source!AV79*Source!I79),2)),2), 2)</f>
        <v>4.78</v>
      </c>
      <c r="T123">
        <f>Source!Y79</f>
        <v>67.41</v>
      </c>
      <c r="U123">
        <f>ROUND((175/100)*ROUND((ROUND((Source!AE79*Source!AV79*Source!I79),2)),2), 2)</f>
        <v>0.67</v>
      </c>
      <c r="V123">
        <f>ROUND((157/100)*ROUND(ROUND((ROUND((Source!AE79*Source!AV79*Source!I79),2)*Source!BS79),2), 2), 2)</f>
        <v>13.75</v>
      </c>
    </row>
    <row r="124" spans="1:27" ht="14.25" x14ac:dyDescent="0.2">
      <c r="A124" s="23"/>
      <c r="B124" s="23"/>
      <c r="C124" s="24"/>
      <c r="D124" s="24" t="s">
        <v>350</v>
      </c>
      <c r="E124" s="25"/>
      <c r="F124" s="10"/>
      <c r="G124" s="27">
        <f>Source!AO79</f>
        <v>142.61000000000001</v>
      </c>
      <c r="H124" s="26" t="str">
        <f>Source!DG79</f>
        <v/>
      </c>
      <c r="I124" s="10">
        <f>Source!AV79</f>
        <v>1</v>
      </c>
      <c r="J124" s="28">
        <f>ROUND((ROUND((Source!AF79*Source!AV79*Source!I79),2)),2)</f>
        <v>7.13</v>
      </c>
      <c r="K124" s="10">
        <f>IF(Source!BA79&lt;&gt; 0, Source!BA79, 1)</f>
        <v>23.06</v>
      </c>
      <c r="L124" s="28">
        <f>Source!S79</f>
        <v>164.42</v>
      </c>
      <c r="W124">
        <f>J124</f>
        <v>7.13</v>
      </c>
    </row>
    <row r="125" spans="1:27" ht="14.25" x14ac:dyDescent="0.2">
      <c r="A125" s="23"/>
      <c r="B125" s="23"/>
      <c r="C125" s="24"/>
      <c r="D125" s="24" t="s">
        <v>351</v>
      </c>
      <c r="E125" s="25"/>
      <c r="F125" s="10"/>
      <c r="G125" s="27">
        <f>Source!AM79</f>
        <v>32.85</v>
      </c>
      <c r="H125" s="26" t="str">
        <f>Source!DE79</f>
        <v/>
      </c>
      <c r="I125" s="10">
        <f>Source!AV79</f>
        <v>1</v>
      </c>
      <c r="J125" s="28">
        <f>(ROUND((ROUND(((Source!ET79)*Source!AV79*Source!I79),2)),2)+ROUND((ROUND(((Source!AE79-(Source!EU79))*Source!AV79*Source!I79),2)),2))</f>
        <v>1.64</v>
      </c>
      <c r="K125" s="10">
        <f>IF(Source!BB79&lt;&gt; 0, Source!BB79, 1)</f>
        <v>9.32</v>
      </c>
      <c r="L125" s="28">
        <f>Source!Q79</f>
        <v>15.28</v>
      </c>
    </row>
    <row r="126" spans="1:27" ht="14.25" x14ac:dyDescent="0.2">
      <c r="A126" s="23"/>
      <c r="B126" s="23"/>
      <c r="C126" s="24"/>
      <c r="D126" s="24" t="s">
        <v>352</v>
      </c>
      <c r="E126" s="25"/>
      <c r="F126" s="10"/>
      <c r="G126" s="27">
        <f>Source!AN79</f>
        <v>7.6</v>
      </c>
      <c r="H126" s="26" t="str">
        <f>Source!DF79</f>
        <v/>
      </c>
      <c r="I126" s="10">
        <f>Source!AV79</f>
        <v>1</v>
      </c>
      <c r="J126" s="29">
        <f>ROUND((ROUND((Source!AE79*Source!AV79*Source!I79),2)),2)</f>
        <v>0.38</v>
      </c>
      <c r="K126" s="10">
        <f>IF(Source!BS79&lt;&gt; 0, Source!BS79, 1)</f>
        <v>23.06</v>
      </c>
      <c r="L126" s="29">
        <f>Source!R79</f>
        <v>8.76</v>
      </c>
      <c r="W126">
        <f>J126</f>
        <v>0.38</v>
      </c>
    </row>
    <row r="127" spans="1:27" ht="14.25" x14ac:dyDescent="0.2">
      <c r="A127" s="23"/>
      <c r="B127" s="23"/>
      <c r="C127" s="24"/>
      <c r="D127" s="24" t="s">
        <v>361</v>
      </c>
      <c r="E127" s="25"/>
      <c r="F127" s="10"/>
      <c r="G127" s="27">
        <f>Source!AL79</f>
        <v>1.54</v>
      </c>
      <c r="H127" s="26" t="str">
        <f>Source!DD79</f>
        <v/>
      </c>
      <c r="I127" s="10">
        <f>Source!AW79</f>
        <v>1</v>
      </c>
      <c r="J127" s="28">
        <f>ROUND((ROUND((Source!AC79*Source!AW79*Source!I79),2)),2)</f>
        <v>0.08</v>
      </c>
      <c r="K127" s="10">
        <f>IF(Source!BC79&lt;&gt; 0, Source!BC79, 1)</f>
        <v>5.41</v>
      </c>
      <c r="L127" s="28">
        <f>Source!P79</f>
        <v>0.43</v>
      </c>
    </row>
    <row r="128" spans="1:27" ht="14.25" x14ac:dyDescent="0.2">
      <c r="A128" s="23"/>
      <c r="B128" s="23"/>
      <c r="C128" s="24"/>
      <c r="D128" s="24" t="s">
        <v>353</v>
      </c>
      <c r="E128" s="25" t="s">
        <v>354</v>
      </c>
      <c r="F128" s="10">
        <f>Source!DN79</f>
        <v>114</v>
      </c>
      <c r="G128" s="27"/>
      <c r="H128" s="26"/>
      <c r="I128" s="10"/>
      <c r="J128" s="28">
        <f>SUM(Q123:Q127)</f>
        <v>8.1300000000000008</v>
      </c>
      <c r="K128" s="10">
        <f>Source!BZ79</f>
        <v>77</v>
      </c>
      <c r="L128" s="28">
        <f>SUM(R123:R127)</f>
        <v>126.6</v>
      </c>
    </row>
    <row r="129" spans="1:27" ht="14.25" x14ac:dyDescent="0.2">
      <c r="A129" s="23"/>
      <c r="B129" s="23"/>
      <c r="C129" s="24"/>
      <c r="D129" s="24" t="s">
        <v>355</v>
      </c>
      <c r="E129" s="25" t="s">
        <v>354</v>
      </c>
      <c r="F129" s="10">
        <f>Source!DO79</f>
        <v>67</v>
      </c>
      <c r="G129" s="27"/>
      <c r="H129" s="26"/>
      <c r="I129" s="10"/>
      <c r="J129" s="28">
        <f>SUM(S123:S128)</f>
        <v>4.78</v>
      </c>
      <c r="K129" s="10">
        <f>Source!CA79</f>
        <v>41</v>
      </c>
      <c r="L129" s="28">
        <f>SUM(T123:T128)</f>
        <v>67.41</v>
      </c>
    </row>
    <row r="130" spans="1:27" ht="14.25" x14ac:dyDescent="0.2">
      <c r="A130" s="23"/>
      <c r="B130" s="23"/>
      <c r="C130" s="24"/>
      <c r="D130" s="24" t="s">
        <v>356</v>
      </c>
      <c r="E130" s="25" t="s">
        <v>354</v>
      </c>
      <c r="F130" s="10">
        <f>175</f>
        <v>175</v>
      </c>
      <c r="G130" s="27"/>
      <c r="H130" s="26"/>
      <c r="I130" s="10"/>
      <c r="J130" s="28">
        <f>SUM(U123:U129)</f>
        <v>0.67</v>
      </c>
      <c r="K130" s="10">
        <f>157</f>
        <v>157</v>
      </c>
      <c r="L130" s="28">
        <f>SUM(V123:V129)</f>
        <v>13.75</v>
      </c>
    </row>
    <row r="131" spans="1:27" ht="14.25" x14ac:dyDescent="0.2">
      <c r="A131" s="23"/>
      <c r="B131" s="23"/>
      <c r="C131" s="24"/>
      <c r="D131" s="24" t="s">
        <v>357</v>
      </c>
      <c r="E131" s="25" t="s">
        <v>358</v>
      </c>
      <c r="F131" s="10">
        <f>Source!AQ79</f>
        <v>11.3</v>
      </c>
      <c r="G131" s="27"/>
      <c r="H131" s="26" t="str">
        <f>Source!DI79</f>
        <v/>
      </c>
      <c r="I131" s="10">
        <f>Source!AV79</f>
        <v>1</v>
      </c>
      <c r="J131" s="28">
        <f>Source!U79</f>
        <v>0.56500000000000006</v>
      </c>
      <c r="K131" s="10"/>
      <c r="L131" s="28"/>
    </row>
    <row r="132" spans="1:27" ht="15" x14ac:dyDescent="0.25">
      <c r="A132" s="31"/>
      <c r="B132" s="31"/>
      <c r="C132" s="31"/>
      <c r="D132" s="31"/>
      <c r="E132" s="31"/>
      <c r="F132" s="31"/>
      <c r="G132" s="31"/>
      <c r="H132" s="31"/>
      <c r="I132" s="54">
        <f>J124+J125+J127+J128+J129+J130</f>
        <v>22.430000000000003</v>
      </c>
      <c r="J132" s="54"/>
      <c r="K132" s="54">
        <f>L124+L125+L127+L128+L129+L130</f>
        <v>387.89</v>
      </c>
      <c r="L132" s="54"/>
      <c r="O132" s="30">
        <f>J124+J125+J127+J128+J129+J130</f>
        <v>22.430000000000003</v>
      </c>
      <c r="P132" s="30">
        <f>L124+L125+L127+L128+L129+L130</f>
        <v>387.89</v>
      </c>
      <c r="X132">
        <f>IF(Source!BI79&lt;=1,J124+J125+J127+J128+J129+J130-0, 0)</f>
        <v>0</v>
      </c>
      <c r="Y132">
        <f>IF(Source!BI79=2,J124+J125+J127+J128+J129+J130-0, 0)</f>
        <v>22.430000000000003</v>
      </c>
      <c r="Z132">
        <f>IF(Source!BI79=3,J124+J125+J127+J128+J129+J130-0, 0)</f>
        <v>0</v>
      </c>
      <c r="AA132">
        <f>IF(Source!BI79=4,J124+J125+J127+J128+J129+J130,0)</f>
        <v>0</v>
      </c>
    </row>
    <row r="133" spans="1:27" ht="28.5" x14ac:dyDescent="0.2">
      <c r="A133" s="23">
        <v>10</v>
      </c>
      <c r="B133" s="23" t="str">
        <f>Source!E85</f>
        <v>23</v>
      </c>
      <c r="C133" s="24" t="str">
        <f>Source!F85</f>
        <v>4.10-13-4</v>
      </c>
      <c r="D133" s="24" t="s">
        <v>167</v>
      </c>
      <c r="E133" s="25" t="str">
        <f>Source!H85</f>
        <v>100 М КАБЕЛЯ</v>
      </c>
      <c r="F133" s="10">
        <f>Source!I85</f>
        <v>0.09</v>
      </c>
      <c r="G133" s="27"/>
      <c r="H133" s="26"/>
      <c r="I133" s="10"/>
      <c r="J133" s="28"/>
      <c r="K133" s="10"/>
      <c r="L133" s="28"/>
      <c r="Q133">
        <f>ROUND((Source!DN85/100)*ROUND((ROUND((Source!AF85*Source!AV85*Source!I85),2)),2), 2)</f>
        <v>31.08</v>
      </c>
      <c r="R133">
        <f>Source!X85</f>
        <v>484.04</v>
      </c>
      <c r="S133">
        <f>ROUND((Source!DO85/100)*ROUND((ROUND((Source!AF85*Source!AV85*Source!I85),2)),2), 2)</f>
        <v>18.260000000000002</v>
      </c>
      <c r="T133">
        <f>Source!Y85</f>
        <v>257.73</v>
      </c>
      <c r="U133">
        <f>ROUND((175/100)*ROUND((ROUND((Source!AE85*Source!AV85*Source!I85),2)),2), 2)</f>
        <v>2.66</v>
      </c>
      <c r="V133">
        <f>ROUND((157/100)*ROUND(ROUND((ROUND((Source!AE85*Source!AV85*Source!I85),2)*Source!BS85),2), 2), 2)</f>
        <v>55.03</v>
      </c>
    </row>
    <row r="134" spans="1:27" ht="14.25" x14ac:dyDescent="0.2">
      <c r="A134" s="23"/>
      <c r="B134" s="23"/>
      <c r="C134" s="24"/>
      <c r="D134" s="24" t="s">
        <v>350</v>
      </c>
      <c r="E134" s="25"/>
      <c r="F134" s="10"/>
      <c r="G134" s="27">
        <f>Source!AO85</f>
        <v>302.88</v>
      </c>
      <c r="H134" s="26" t="str">
        <f>Source!DG85</f>
        <v/>
      </c>
      <c r="I134" s="10">
        <f>Source!AV85</f>
        <v>1</v>
      </c>
      <c r="J134" s="28">
        <f>ROUND((ROUND((Source!AF85*Source!AV85*Source!I85),2)),2)</f>
        <v>27.26</v>
      </c>
      <c r="K134" s="10">
        <f>IF(Source!BA85&lt;&gt; 0, Source!BA85, 1)</f>
        <v>23.06</v>
      </c>
      <c r="L134" s="28">
        <f>Source!S85</f>
        <v>628.62</v>
      </c>
      <c r="W134">
        <f>J134</f>
        <v>27.26</v>
      </c>
    </row>
    <row r="135" spans="1:27" ht="14.25" x14ac:dyDescent="0.2">
      <c r="A135" s="23"/>
      <c r="B135" s="23"/>
      <c r="C135" s="24"/>
      <c r="D135" s="24" t="s">
        <v>351</v>
      </c>
      <c r="E135" s="25"/>
      <c r="F135" s="10"/>
      <c r="G135" s="27">
        <f>Source!AM85</f>
        <v>73</v>
      </c>
      <c r="H135" s="26" t="str">
        <f>Source!DE85</f>
        <v/>
      </c>
      <c r="I135" s="10">
        <f>Source!AV85</f>
        <v>1</v>
      </c>
      <c r="J135" s="28">
        <f>(ROUND((ROUND(((Source!ET85)*Source!AV85*Source!I85),2)),2)+ROUND((ROUND(((Source!AE85-(Source!EU85))*Source!AV85*Source!I85),2)),2))</f>
        <v>6.57</v>
      </c>
      <c r="K135" s="10">
        <f>IF(Source!BB85&lt;&gt; 0, Source!BB85, 1)</f>
        <v>9.32</v>
      </c>
      <c r="L135" s="28">
        <f>Source!Q85</f>
        <v>61.23</v>
      </c>
    </row>
    <row r="136" spans="1:27" ht="14.25" x14ac:dyDescent="0.2">
      <c r="A136" s="23"/>
      <c r="B136" s="23"/>
      <c r="C136" s="24"/>
      <c r="D136" s="24" t="s">
        <v>352</v>
      </c>
      <c r="E136" s="25"/>
      <c r="F136" s="10"/>
      <c r="G136" s="27">
        <f>Source!AN85</f>
        <v>16.899999999999999</v>
      </c>
      <c r="H136" s="26" t="str">
        <f>Source!DF85</f>
        <v/>
      </c>
      <c r="I136" s="10">
        <f>Source!AV85</f>
        <v>1</v>
      </c>
      <c r="J136" s="29">
        <f>ROUND((ROUND((Source!AE85*Source!AV85*Source!I85),2)),2)</f>
        <v>1.52</v>
      </c>
      <c r="K136" s="10">
        <f>IF(Source!BS85&lt;&gt; 0, Source!BS85, 1)</f>
        <v>23.06</v>
      </c>
      <c r="L136" s="29">
        <f>Source!R85</f>
        <v>35.049999999999997</v>
      </c>
      <c r="W136">
        <f>J136</f>
        <v>1.52</v>
      </c>
    </row>
    <row r="137" spans="1:27" ht="14.25" x14ac:dyDescent="0.2">
      <c r="A137" s="23"/>
      <c r="B137" s="23"/>
      <c r="C137" s="24"/>
      <c r="D137" s="24" t="s">
        <v>361</v>
      </c>
      <c r="E137" s="25"/>
      <c r="F137" s="10"/>
      <c r="G137" s="27">
        <f>Source!AL85</f>
        <v>2.8</v>
      </c>
      <c r="H137" s="26" t="str">
        <f>Source!DD85</f>
        <v/>
      </c>
      <c r="I137" s="10">
        <f>Source!AW85</f>
        <v>1</v>
      </c>
      <c r="J137" s="28">
        <f>ROUND((ROUND((Source!AC85*Source!AW85*Source!I85),2)),2)</f>
        <v>0.25</v>
      </c>
      <c r="K137" s="10">
        <f>IF(Source!BC85&lt;&gt; 0, Source!BC85, 1)</f>
        <v>5.41</v>
      </c>
      <c r="L137" s="28">
        <f>Source!P85</f>
        <v>1.35</v>
      </c>
    </row>
    <row r="138" spans="1:27" ht="14.25" x14ac:dyDescent="0.2">
      <c r="A138" s="23"/>
      <c r="B138" s="23"/>
      <c r="C138" s="24"/>
      <c r="D138" s="24" t="s">
        <v>353</v>
      </c>
      <c r="E138" s="25" t="s">
        <v>354</v>
      </c>
      <c r="F138" s="10">
        <f>Source!DN85</f>
        <v>114</v>
      </c>
      <c r="G138" s="27"/>
      <c r="H138" s="26"/>
      <c r="I138" s="10"/>
      <c r="J138" s="28">
        <f>SUM(Q133:Q137)</f>
        <v>31.08</v>
      </c>
      <c r="K138" s="10">
        <f>Source!BZ85</f>
        <v>77</v>
      </c>
      <c r="L138" s="28">
        <f>SUM(R133:R137)</f>
        <v>484.04</v>
      </c>
    </row>
    <row r="139" spans="1:27" ht="14.25" x14ac:dyDescent="0.2">
      <c r="A139" s="23"/>
      <c r="B139" s="23"/>
      <c r="C139" s="24"/>
      <c r="D139" s="24" t="s">
        <v>355</v>
      </c>
      <c r="E139" s="25" t="s">
        <v>354</v>
      </c>
      <c r="F139" s="10">
        <f>Source!DO85</f>
        <v>67</v>
      </c>
      <c r="G139" s="27"/>
      <c r="H139" s="26"/>
      <c r="I139" s="10"/>
      <c r="J139" s="28">
        <f>SUM(S133:S138)</f>
        <v>18.260000000000002</v>
      </c>
      <c r="K139" s="10">
        <f>Source!CA85</f>
        <v>41</v>
      </c>
      <c r="L139" s="28">
        <f>SUM(T133:T138)</f>
        <v>257.73</v>
      </c>
    </row>
    <row r="140" spans="1:27" ht="14.25" x14ac:dyDescent="0.2">
      <c r="A140" s="23"/>
      <c r="B140" s="23"/>
      <c r="C140" s="24"/>
      <c r="D140" s="24" t="s">
        <v>356</v>
      </c>
      <c r="E140" s="25" t="s">
        <v>354</v>
      </c>
      <c r="F140" s="10">
        <f>175</f>
        <v>175</v>
      </c>
      <c r="G140" s="27"/>
      <c r="H140" s="26"/>
      <c r="I140" s="10"/>
      <c r="J140" s="28">
        <f>SUM(U133:U139)</f>
        <v>2.66</v>
      </c>
      <c r="K140" s="10">
        <f>157</f>
        <v>157</v>
      </c>
      <c r="L140" s="28">
        <f>SUM(V133:V139)</f>
        <v>55.03</v>
      </c>
    </row>
    <row r="141" spans="1:27" ht="14.25" x14ac:dyDescent="0.2">
      <c r="A141" s="23"/>
      <c r="B141" s="23"/>
      <c r="C141" s="24"/>
      <c r="D141" s="24" t="s">
        <v>357</v>
      </c>
      <c r="E141" s="25" t="s">
        <v>358</v>
      </c>
      <c r="F141" s="10">
        <f>Source!AQ85</f>
        <v>24</v>
      </c>
      <c r="G141" s="27"/>
      <c r="H141" s="26" t="str">
        <f>Source!DI85</f>
        <v/>
      </c>
      <c r="I141" s="10">
        <f>Source!AV85</f>
        <v>1</v>
      </c>
      <c r="J141" s="28">
        <f>Source!U85</f>
        <v>2.16</v>
      </c>
      <c r="K141" s="10"/>
      <c r="L141" s="28"/>
    </row>
    <row r="142" spans="1:27" ht="15" x14ac:dyDescent="0.25">
      <c r="A142" s="31"/>
      <c r="B142" s="31"/>
      <c r="C142" s="31"/>
      <c r="D142" s="31"/>
      <c r="E142" s="31"/>
      <c r="F142" s="31"/>
      <c r="G142" s="31"/>
      <c r="H142" s="31"/>
      <c r="I142" s="54">
        <f>J134+J135+J137+J138+J139+J140</f>
        <v>86.08</v>
      </c>
      <c r="J142" s="54"/>
      <c r="K142" s="54">
        <f>L134+L135+L137+L138+L139+L140</f>
        <v>1488</v>
      </c>
      <c r="L142" s="54"/>
      <c r="O142" s="30">
        <f>J134+J135+J137+J138+J139+J140</f>
        <v>86.08</v>
      </c>
      <c r="P142" s="30">
        <f>L134+L135+L137+L138+L139+L140</f>
        <v>1488</v>
      </c>
      <c r="X142">
        <f>IF(Source!BI85&lt;=1,J134+J135+J137+J138+J139+J140-0, 0)</f>
        <v>0</v>
      </c>
      <c r="Y142">
        <f>IF(Source!BI85=2,J134+J135+J137+J138+J139+J140-0, 0)</f>
        <v>86.08</v>
      </c>
      <c r="Z142">
        <f>IF(Source!BI85=3,J134+J135+J137+J138+J139+J140-0, 0)</f>
        <v>0</v>
      </c>
      <c r="AA142">
        <f>IF(Source!BI85=4,J134+J135+J137+J138+J139+J140,0)</f>
        <v>0</v>
      </c>
    </row>
    <row r="143" spans="1:27" ht="28.5" x14ac:dyDescent="0.2">
      <c r="A143" s="23">
        <v>11</v>
      </c>
      <c r="B143" s="23" t="str">
        <f>Source!E86</f>
        <v>24</v>
      </c>
      <c r="C143" s="24" t="str">
        <f>Source!F86</f>
        <v>4.8-76-3</v>
      </c>
      <c r="D143" s="24" t="s">
        <v>173</v>
      </c>
      <c r="E143" s="25" t="str">
        <f>Source!H86</f>
        <v>100 шт.</v>
      </c>
      <c r="F143" s="10">
        <f>Source!I86</f>
        <v>0.36</v>
      </c>
      <c r="G143" s="27"/>
      <c r="H143" s="26"/>
      <c r="I143" s="10"/>
      <c r="J143" s="28"/>
      <c r="K143" s="10"/>
      <c r="L143" s="28"/>
      <c r="Q143">
        <f>ROUND((Source!DN86/100)*ROUND((ROUND((Source!AF86*Source!AV86*Source!I86),2)),2), 2)</f>
        <v>76.92</v>
      </c>
      <c r="R143">
        <f>Source!X86</f>
        <v>1198.01</v>
      </c>
      <c r="S143">
        <f>ROUND((Source!DO86/100)*ROUND((ROUND((Source!AF86*Source!AV86*Source!I86),2)),2), 2)</f>
        <v>45.2</v>
      </c>
      <c r="T143">
        <f>Source!Y86</f>
        <v>637.9</v>
      </c>
      <c r="U143">
        <f>ROUND((175/100)*ROUND((ROUND((Source!AE86*Source!AV86*Source!I86),2)),2), 2)</f>
        <v>0</v>
      </c>
      <c r="V143">
        <f>ROUND((157/100)*ROUND(ROUND((ROUND((Source!AE86*Source!AV86*Source!I86),2)*Source!BS86),2), 2), 2)</f>
        <v>0</v>
      </c>
    </row>
    <row r="144" spans="1:27" ht="14.25" x14ac:dyDescent="0.2">
      <c r="A144" s="23"/>
      <c r="B144" s="23"/>
      <c r="C144" s="24"/>
      <c r="D144" s="24" t="s">
        <v>350</v>
      </c>
      <c r="E144" s="25"/>
      <c r="F144" s="10"/>
      <c r="G144" s="27">
        <f>Source!AO86</f>
        <v>187.42</v>
      </c>
      <c r="H144" s="26" t="str">
        <f>Source!DG86</f>
        <v/>
      </c>
      <c r="I144" s="10">
        <f>Source!AV86</f>
        <v>1</v>
      </c>
      <c r="J144" s="28">
        <f>ROUND((ROUND((Source!AF86*Source!AV86*Source!I86),2)),2)</f>
        <v>67.47</v>
      </c>
      <c r="K144" s="10">
        <f>IF(Source!BA86&lt;&gt; 0, Source!BA86, 1)</f>
        <v>23.06</v>
      </c>
      <c r="L144" s="28">
        <f>Source!S86</f>
        <v>1555.86</v>
      </c>
      <c r="W144">
        <f>J144</f>
        <v>67.47</v>
      </c>
    </row>
    <row r="145" spans="1:27" ht="14.25" x14ac:dyDescent="0.2">
      <c r="A145" s="23"/>
      <c r="B145" s="23"/>
      <c r="C145" s="24"/>
      <c r="D145" s="24" t="s">
        <v>361</v>
      </c>
      <c r="E145" s="25"/>
      <c r="F145" s="10"/>
      <c r="G145" s="27">
        <f>Source!AL86</f>
        <v>1.4</v>
      </c>
      <c r="H145" s="26" t="str">
        <f>Source!DD86</f>
        <v/>
      </c>
      <c r="I145" s="10">
        <f>Source!AW86</f>
        <v>1</v>
      </c>
      <c r="J145" s="28">
        <f>ROUND((ROUND((Source!AC86*Source!AW86*Source!I86),2)),2)</f>
        <v>0.5</v>
      </c>
      <c r="K145" s="10">
        <f>IF(Source!BC86&lt;&gt; 0, Source!BC86, 1)</f>
        <v>5.41</v>
      </c>
      <c r="L145" s="28">
        <f>Source!P86</f>
        <v>2.71</v>
      </c>
    </row>
    <row r="146" spans="1:27" ht="14.25" x14ac:dyDescent="0.2">
      <c r="A146" s="23"/>
      <c r="B146" s="23"/>
      <c r="C146" s="24"/>
      <c r="D146" s="24" t="s">
        <v>353</v>
      </c>
      <c r="E146" s="25" t="s">
        <v>354</v>
      </c>
      <c r="F146" s="10">
        <f>Source!DN86</f>
        <v>114</v>
      </c>
      <c r="G146" s="27"/>
      <c r="H146" s="26"/>
      <c r="I146" s="10"/>
      <c r="J146" s="28">
        <f>SUM(Q143:Q145)</f>
        <v>76.92</v>
      </c>
      <c r="K146" s="10">
        <f>Source!BZ86</f>
        <v>77</v>
      </c>
      <c r="L146" s="28">
        <f>SUM(R143:R145)</f>
        <v>1198.01</v>
      </c>
    </row>
    <row r="147" spans="1:27" ht="14.25" x14ac:dyDescent="0.2">
      <c r="A147" s="23"/>
      <c r="B147" s="23"/>
      <c r="C147" s="24"/>
      <c r="D147" s="24" t="s">
        <v>355</v>
      </c>
      <c r="E147" s="25" t="s">
        <v>354</v>
      </c>
      <c r="F147" s="10">
        <f>Source!DO86</f>
        <v>67</v>
      </c>
      <c r="G147" s="27"/>
      <c r="H147" s="26"/>
      <c r="I147" s="10"/>
      <c r="J147" s="28">
        <f>SUM(S143:S146)</f>
        <v>45.2</v>
      </c>
      <c r="K147" s="10">
        <f>Source!CA86</f>
        <v>41</v>
      </c>
      <c r="L147" s="28">
        <f>SUM(T143:T146)</f>
        <v>637.9</v>
      </c>
    </row>
    <row r="148" spans="1:27" ht="14.25" x14ac:dyDescent="0.2">
      <c r="A148" s="23"/>
      <c r="B148" s="23"/>
      <c r="C148" s="24"/>
      <c r="D148" s="24" t="s">
        <v>357</v>
      </c>
      <c r="E148" s="25" t="s">
        <v>358</v>
      </c>
      <c r="F148" s="10">
        <f>Source!AQ86</f>
        <v>15.2</v>
      </c>
      <c r="G148" s="27"/>
      <c r="H148" s="26" t="str">
        <f>Source!DI86</f>
        <v/>
      </c>
      <c r="I148" s="10">
        <f>Source!AV86</f>
        <v>1</v>
      </c>
      <c r="J148" s="28">
        <f>Source!U86</f>
        <v>5.4719999999999995</v>
      </c>
      <c r="K148" s="10"/>
      <c r="L148" s="28"/>
    </row>
    <row r="149" spans="1:27" ht="15" x14ac:dyDescent="0.25">
      <c r="A149" s="31"/>
      <c r="B149" s="31"/>
      <c r="C149" s="31"/>
      <c r="D149" s="31"/>
      <c r="E149" s="31"/>
      <c r="F149" s="31"/>
      <c r="G149" s="31"/>
      <c r="H149" s="31"/>
      <c r="I149" s="54">
        <f>J144+J145+J146+J147</f>
        <v>190.08999999999997</v>
      </c>
      <c r="J149" s="54"/>
      <c r="K149" s="54">
        <f>L144+L145+L146+L147</f>
        <v>3394.48</v>
      </c>
      <c r="L149" s="54"/>
      <c r="O149" s="30">
        <f>J144+J145+J146+J147</f>
        <v>190.08999999999997</v>
      </c>
      <c r="P149" s="30">
        <f>L144+L145+L146+L147</f>
        <v>3394.48</v>
      </c>
      <c r="X149">
        <f>IF(Source!BI86&lt;=1,J144+J145+J146+J147-0, 0)</f>
        <v>0</v>
      </c>
      <c r="Y149">
        <f>IF(Source!BI86=2,J144+J145+J146+J147-0, 0)</f>
        <v>190.08999999999997</v>
      </c>
      <c r="Z149">
        <f>IF(Source!BI86=3,J144+J145+J146+J147-0, 0)</f>
        <v>0</v>
      </c>
      <c r="AA149">
        <f>IF(Source!BI86=4,J144+J145+J146+J147,0)</f>
        <v>0</v>
      </c>
    </row>
    <row r="150" spans="1:27" ht="42.75" x14ac:dyDescent="0.2">
      <c r="A150" s="23">
        <v>12</v>
      </c>
      <c r="B150" s="23" t="str">
        <f>Source!E88</f>
        <v>26</v>
      </c>
      <c r="C150" s="24" t="str">
        <f>Source!F88</f>
        <v>5.1-158-2</v>
      </c>
      <c r="D150" s="24" t="s">
        <v>184</v>
      </c>
      <c r="E150" s="25" t="str">
        <f>Source!H88</f>
        <v>фазировка</v>
      </c>
      <c r="F150" s="10">
        <f>Source!I88</f>
        <v>36</v>
      </c>
      <c r="G150" s="27"/>
      <c r="H150" s="26"/>
      <c r="I150" s="10"/>
      <c r="J150" s="28"/>
      <c r="K150" s="10"/>
      <c r="L150" s="28"/>
      <c r="Q150">
        <f>ROUND((Source!DN88/100)*ROUND((ROUND((Source!AF88*Source!AV88*Source!I88),2)),2), 2)</f>
        <v>615.38</v>
      </c>
      <c r="R150">
        <f>Source!X88</f>
        <v>12866.25</v>
      </c>
      <c r="S150">
        <f>ROUND((Source!DO88/100)*ROUND((ROUND((Source!AF88*Source!AV88*Source!I88),2)),2), 2)</f>
        <v>574.36</v>
      </c>
      <c r="T150">
        <f>Source!Y88</f>
        <v>7757.59</v>
      </c>
      <c r="U150">
        <f>ROUND((175/100)*ROUND((ROUND((Source!AE88*Source!AV88*Source!I88),2)),2), 2)</f>
        <v>0</v>
      </c>
      <c r="V150">
        <f>ROUND((157/100)*ROUND(ROUND((ROUND((Source!AE88*Source!AV88*Source!I88),2)*Source!BS88),2), 2), 2)</f>
        <v>0</v>
      </c>
    </row>
    <row r="151" spans="1:27" x14ac:dyDescent="0.2">
      <c r="D151" s="33" t="str">
        <f>"Объем: "&amp;Source!I88&amp;"="&amp;Source!I86&amp;"*"&amp;"100"</f>
        <v>Объем: 36=0,36*100</v>
      </c>
    </row>
    <row r="152" spans="1:27" ht="14.25" x14ac:dyDescent="0.2">
      <c r="A152" s="23"/>
      <c r="B152" s="23"/>
      <c r="C152" s="24"/>
      <c r="D152" s="24" t="s">
        <v>350</v>
      </c>
      <c r="E152" s="25"/>
      <c r="F152" s="10"/>
      <c r="G152" s="27">
        <f>Source!AO88</f>
        <v>28.49</v>
      </c>
      <c r="H152" s="26" t="str">
        <f>Source!DG88</f>
        <v>*0,8</v>
      </c>
      <c r="I152" s="10">
        <f>Source!AV88</f>
        <v>1</v>
      </c>
      <c r="J152" s="28">
        <f>ROUND((ROUND((Source!AF88*Source!AV88*Source!I88),2)),2)</f>
        <v>820.51</v>
      </c>
      <c r="K152" s="10">
        <f>IF(Source!BA88&lt;&gt; 0, Source!BA88, 1)</f>
        <v>23.06</v>
      </c>
      <c r="L152" s="28">
        <f>Source!S88</f>
        <v>18920.96</v>
      </c>
      <c r="W152">
        <f>J152</f>
        <v>820.51</v>
      </c>
    </row>
    <row r="153" spans="1:27" ht="14.25" x14ac:dyDescent="0.2">
      <c r="A153" s="23"/>
      <c r="B153" s="23"/>
      <c r="C153" s="24"/>
      <c r="D153" s="24" t="s">
        <v>353</v>
      </c>
      <c r="E153" s="25" t="s">
        <v>354</v>
      </c>
      <c r="F153" s="10">
        <f>Source!DN88</f>
        <v>75</v>
      </c>
      <c r="G153" s="27"/>
      <c r="H153" s="26"/>
      <c r="I153" s="10"/>
      <c r="J153" s="28">
        <f>SUM(Q150:Q152)</f>
        <v>615.38</v>
      </c>
      <c r="K153" s="10">
        <f>Source!BZ88</f>
        <v>68</v>
      </c>
      <c r="L153" s="28">
        <f>SUM(R150:R152)</f>
        <v>12866.25</v>
      </c>
    </row>
    <row r="154" spans="1:27" ht="14.25" x14ac:dyDescent="0.2">
      <c r="A154" s="23"/>
      <c r="B154" s="23"/>
      <c r="C154" s="24"/>
      <c r="D154" s="24" t="s">
        <v>355</v>
      </c>
      <c r="E154" s="25" t="s">
        <v>354</v>
      </c>
      <c r="F154" s="10">
        <f>Source!DO88</f>
        <v>70</v>
      </c>
      <c r="G154" s="27"/>
      <c r="H154" s="26"/>
      <c r="I154" s="10"/>
      <c r="J154" s="28">
        <f>SUM(S150:S153)</f>
        <v>574.36</v>
      </c>
      <c r="K154" s="10">
        <f>Source!CA88</f>
        <v>41</v>
      </c>
      <c r="L154" s="28">
        <f>SUM(T150:T153)</f>
        <v>7757.59</v>
      </c>
    </row>
    <row r="155" spans="1:27" ht="14.25" x14ac:dyDescent="0.2">
      <c r="A155" s="23"/>
      <c r="B155" s="23"/>
      <c r="C155" s="24"/>
      <c r="D155" s="24" t="s">
        <v>357</v>
      </c>
      <c r="E155" s="25" t="s">
        <v>358</v>
      </c>
      <c r="F155" s="10">
        <f>Source!AQ88</f>
        <v>1.8</v>
      </c>
      <c r="G155" s="27"/>
      <c r="H155" s="26" t="str">
        <f>Source!DI88</f>
        <v>*0,8</v>
      </c>
      <c r="I155" s="10">
        <f>Source!AV88</f>
        <v>1</v>
      </c>
      <c r="J155" s="28">
        <f>Source!U88</f>
        <v>51.84</v>
      </c>
      <c r="K155" s="10"/>
      <c r="L155" s="28"/>
    </row>
    <row r="156" spans="1:27" ht="15" x14ac:dyDescent="0.25">
      <c r="A156" s="31"/>
      <c r="B156" s="31"/>
      <c r="C156" s="31"/>
      <c r="D156" s="31"/>
      <c r="E156" s="31"/>
      <c r="F156" s="31"/>
      <c r="G156" s="31"/>
      <c r="H156" s="31"/>
      <c r="I156" s="54">
        <f>J152+J153+J154</f>
        <v>2010.25</v>
      </c>
      <c r="J156" s="54"/>
      <c r="K156" s="54">
        <f>L152+L153+L154</f>
        <v>39544.800000000003</v>
      </c>
      <c r="L156" s="54"/>
      <c r="O156" s="30">
        <f>J152+J153+J154</f>
        <v>2010.25</v>
      </c>
      <c r="P156" s="30">
        <f>L152+L153+L154</f>
        <v>39544.800000000003</v>
      </c>
      <c r="X156">
        <f>IF(Source!BI88&lt;=1,J152+J153+J154-0, 0)</f>
        <v>0</v>
      </c>
      <c r="Y156">
        <f>IF(Source!BI88=2,J152+J153+J154-0, 0)</f>
        <v>0</v>
      </c>
      <c r="Z156">
        <f>IF(Source!BI88=3,J152+J153+J154-0, 0)</f>
        <v>0</v>
      </c>
      <c r="AA156">
        <f>IF(Source!BI88=4,J152+J153+J154,0)</f>
        <v>2010.25</v>
      </c>
    </row>
    <row r="157" spans="1:27" ht="28.5" x14ac:dyDescent="0.2">
      <c r="A157" s="23">
        <v>13</v>
      </c>
      <c r="B157" s="23" t="str">
        <f>Source!E89</f>
        <v>27</v>
      </c>
      <c r="C157" s="24" t="str">
        <f>Source!F89</f>
        <v>5.1-154-1</v>
      </c>
      <c r="D157" s="24" t="s">
        <v>189</v>
      </c>
      <c r="E157" s="25" t="str">
        <f>Source!H89</f>
        <v>токоприемник</v>
      </c>
      <c r="F157" s="10">
        <f>Source!I89</f>
        <v>18</v>
      </c>
      <c r="G157" s="27"/>
      <c r="H157" s="26"/>
      <c r="I157" s="10"/>
      <c r="J157" s="28"/>
      <c r="K157" s="10"/>
      <c r="L157" s="28"/>
      <c r="Q157">
        <f>ROUND((Source!DN89/100)*ROUND((ROUND((Source!AF89*Source!AV89*Source!I89),2)),2), 2)</f>
        <v>170.96</v>
      </c>
      <c r="R157">
        <f>Source!X89</f>
        <v>3574.44</v>
      </c>
      <c r="S157">
        <f>ROUND((Source!DO89/100)*ROUND((ROUND((Source!AF89*Source!AV89*Source!I89),2)),2), 2)</f>
        <v>159.57</v>
      </c>
      <c r="T157">
        <f>Source!Y89</f>
        <v>2155.1799999999998</v>
      </c>
      <c r="U157">
        <f>ROUND((175/100)*ROUND((ROUND((Source!AE89*Source!AV89*Source!I89),2)),2), 2)</f>
        <v>0</v>
      </c>
      <c r="V157">
        <f>ROUND((157/100)*ROUND(ROUND((ROUND((Source!AE89*Source!AV89*Source!I89),2)*Source!BS89),2), 2), 2)</f>
        <v>0</v>
      </c>
    </row>
    <row r="158" spans="1:27" x14ac:dyDescent="0.2">
      <c r="D158" s="33" t="str">
        <f>"Объем: "&amp;Source!I89&amp;"="&amp;Source!I88&amp;"/"&amp;"2"</f>
        <v>Объем: 18=36/2</v>
      </c>
    </row>
    <row r="159" spans="1:27" ht="14.25" x14ac:dyDescent="0.2">
      <c r="A159" s="23"/>
      <c r="B159" s="23"/>
      <c r="C159" s="24"/>
      <c r="D159" s="24" t="s">
        <v>350</v>
      </c>
      <c r="E159" s="25"/>
      <c r="F159" s="10"/>
      <c r="G159" s="27">
        <f>Source!AO89</f>
        <v>15.83</v>
      </c>
      <c r="H159" s="26" t="str">
        <f>Source!DG89</f>
        <v>*0,8</v>
      </c>
      <c r="I159" s="10">
        <f>Source!AV89</f>
        <v>1</v>
      </c>
      <c r="J159" s="28">
        <f>ROUND((ROUND((Source!AF89*Source!AV89*Source!I89),2)),2)</f>
        <v>227.95</v>
      </c>
      <c r="K159" s="10">
        <f>IF(Source!BA89&lt;&gt; 0, Source!BA89, 1)</f>
        <v>23.06</v>
      </c>
      <c r="L159" s="28">
        <f>Source!S89</f>
        <v>5256.53</v>
      </c>
      <c r="W159">
        <f>J159</f>
        <v>227.95</v>
      </c>
    </row>
    <row r="160" spans="1:27" ht="14.25" x14ac:dyDescent="0.2">
      <c r="A160" s="23"/>
      <c r="B160" s="23"/>
      <c r="C160" s="24"/>
      <c r="D160" s="24" t="s">
        <v>353</v>
      </c>
      <c r="E160" s="25" t="s">
        <v>354</v>
      </c>
      <c r="F160" s="10">
        <f>Source!DN89</f>
        <v>75</v>
      </c>
      <c r="G160" s="27"/>
      <c r="H160" s="26"/>
      <c r="I160" s="10"/>
      <c r="J160" s="28">
        <f>SUM(Q157:Q159)</f>
        <v>170.96</v>
      </c>
      <c r="K160" s="10">
        <f>Source!BZ89</f>
        <v>68</v>
      </c>
      <c r="L160" s="28">
        <f>SUM(R157:R159)</f>
        <v>3574.44</v>
      </c>
    </row>
    <row r="161" spans="1:27" ht="14.25" x14ac:dyDescent="0.2">
      <c r="A161" s="23"/>
      <c r="B161" s="23"/>
      <c r="C161" s="24"/>
      <c r="D161" s="24" t="s">
        <v>355</v>
      </c>
      <c r="E161" s="25" t="s">
        <v>354</v>
      </c>
      <c r="F161" s="10">
        <f>Source!DO89</f>
        <v>70</v>
      </c>
      <c r="G161" s="27"/>
      <c r="H161" s="26"/>
      <c r="I161" s="10"/>
      <c r="J161" s="28">
        <f>SUM(S157:S160)</f>
        <v>159.57</v>
      </c>
      <c r="K161" s="10">
        <f>Source!CA89</f>
        <v>41</v>
      </c>
      <c r="L161" s="28">
        <f>SUM(T157:T160)</f>
        <v>2155.1799999999998</v>
      </c>
    </row>
    <row r="162" spans="1:27" ht="14.25" x14ac:dyDescent="0.2">
      <c r="A162" s="23"/>
      <c r="B162" s="23"/>
      <c r="C162" s="24"/>
      <c r="D162" s="24" t="s">
        <v>357</v>
      </c>
      <c r="E162" s="25" t="s">
        <v>358</v>
      </c>
      <c r="F162" s="10">
        <f>Source!AQ89</f>
        <v>1</v>
      </c>
      <c r="G162" s="27"/>
      <c r="H162" s="26" t="str">
        <f>Source!DI89</f>
        <v>*0,8</v>
      </c>
      <c r="I162" s="10">
        <f>Source!AV89</f>
        <v>1</v>
      </c>
      <c r="J162" s="28">
        <f>Source!U89</f>
        <v>14.4</v>
      </c>
      <c r="K162" s="10"/>
      <c r="L162" s="28"/>
    </row>
    <row r="163" spans="1:27" ht="15" x14ac:dyDescent="0.25">
      <c r="A163" s="31"/>
      <c r="B163" s="31"/>
      <c r="C163" s="31"/>
      <c r="D163" s="31"/>
      <c r="E163" s="31"/>
      <c r="F163" s="31"/>
      <c r="G163" s="31"/>
      <c r="H163" s="31"/>
      <c r="I163" s="54">
        <f>J159+J160+J161</f>
        <v>558.48</v>
      </c>
      <c r="J163" s="54"/>
      <c r="K163" s="54">
        <f>L159+L160+L161</f>
        <v>10986.15</v>
      </c>
      <c r="L163" s="54"/>
      <c r="O163" s="30">
        <f>J159+J160+J161</f>
        <v>558.48</v>
      </c>
      <c r="P163" s="30">
        <f>L159+L160+L161</f>
        <v>10986.15</v>
      </c>
      <c r="X163">
        <f>IF(Source!BI89&lt;=1,J159+J160+J161-0, 0)</f>
        <v>0</v>
      </c>
      <c r="Y163">
        <f>IF(Source!BI89=2,J159+J160+J161-0, 0)</f>
        <v>0</v>
      </c>
      <c r="Z163">
        <f>IF(Source!BI89=3,J159+J160+J161-0, 0)</f>
        <v>0</v>
      </c>
      <c r="AA163">
        <f>IF(Source!BI89=4,J159+J160+J161,0)</f>
        <v>558.48</v>
      </c>
    </row>
    <row r="165" spans="1:27" ht="15" x14ac:dyDescent="0.25">
      <c r="A165" s="53" t="str">
        <f>CONCATENATE("Итого по разделу: ",IF(Source!G92&lt;&gt;"Новый раздел", Source!G92, ""))</f>
        <v>Итого по разделу: Монтажные работы</v>
      </c>
      <c r="B165" s="53"/>
      <c r="C165" s="53"/>
      <c r="D165" s="53"/>
      <c r="E165" s="53"/>
      <c r="F165" s="53"/>
      <c r="G165" s="53"/>
      <c r="H165" s="53"/>
      <c r="I165" s="51">
        <f>SUM(O72:O164)</f>
        <v>5003.2099999999991</v>
      </c>
      <c r="J165" s="52"/>
      <c r="K165" s="51">
        <f>SUM(P72:P164)</f>
        <v>89482.01999999999</v>
      </c>
      <c r="L165" s="52"/>
    </row>
    <row r="166" spans="1:27" hidden="1" x14ac:dyDescent="0.2">
      <c r="A166" t="s">
        <v>359</v>
      </c>
      <c r="J166">
        <f>SUM(AC72:AC165)</f>
        <v>0</v>
      </c>
      <c r="K166">
        <f>SUM(AD72:AD165)</f>
        <v>0</v>
      </c>
    </row>
    <row r="167" spans="1:27" hidden="1" x14ac:dyDescent="0.2">
      <c r="A167" t="s">
        <v>360</v>
      </c>
      <c r="J167">
        <f>SUM(AE72:AE166)</f>
        <v>0</v>
      </c>
      <c r="K167">
        <f>SUM(AF72:AF166)</f>
        <v>0</v>
      </c>
    </row>
    <row r="169" spans="1:27" ht="16.5" x14ac:dyDescent="0.25">
      <c r="A169" s="55" t="str">
        <f>CONCATENATE("Раздел: ",IF(Source!G121&lt;&gt;"Новый раздел", Source!G121, ""))</f>
        <v>Раздел: Материалы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27" ht="28.5" x14ac:dyDescent="0.2">
      <c r="A170" s="23">
        <v>14</v>
      </c>
      <c r="B170" s="23" t="str">
        <f>Source!E126</f>
        <v>26</v>
      </c>
      <c r="C170" s="24" t="str">
        <f>Source!F126</f>
        <v>1.21-5-1041</v>
      </c>
      <c r="D170" s="24" t="s">
        <v>208</v>
      </c>
      <c r="E170" s="25" t="str">
        <f>Source!H126</f>
        <v>шт.</v>
      </c>
      <c r="F170" s="10">
        <f>Source!I126</f>
        <v>3</v>
      </c>
      <c r="G170" s="27">
        <f>Source!AL126</f>
        <v>295.54000000000002</v>
      </c>
      <c r="H170" s="26" t="str">
        <f>Source!DD126</f>
        <v/>
      </c>
      <c r="I170" s="10">
        <f>Source!AW126</f>
        <v>1</v>
      </c>
      <c r="J170" s="28">
        <f>ROUND((ROUND((Source!AC126*Source!AW126*Source!I126),2)),2)</f>
        <v>886.62</v>
      </c>
      <c r="K170" s="10">
        <f>IF(Source!BC126&lt;&gt; 0, Source!BC126, 1)</f>
        <v>3.91</v>
      </c>
      <c r="L170" s="28">
        <f>Source!P126</f>
        <v>3466.68</v>
      </c>
      <c r="Q170">
        <f>ROUND((Source!DN126/100)*ROUND((ROUND((Source!AF126*Source!AV126*Source!I126),2)),2), 2)</f>
        <v>0</v>
      </c>
      <c r="R170">
        <f>Source!X126</f>
        <v>0</v>
      </c>
      <c r="S170">
        <f>ROUND((Source!DO126/100)*ROUND((ROUND((Source!AF126*Source!AV126*Source!I126),2)),2), 2)</f>
        <v>0</v>
      </c>
      <c r="T170">
        <f>Source!Y126</f>
        <v>0</v>
      </c>
      <c r="U170">
        <f>ROUND((175/100)*ROUND((ROUND((Source!AE126*Source!AV126*Source!I126),2)),2), 2)</f>
        <v>0</v>
      </c>
      <c r="V170">
        <f>ROUND((157/100)*ROUND(ROUND((ROUND((Source!AE126*Source!AV126*Source!I126),2)*Source!BS126),2), 2), 2)</f>
        <v>0</v>
      </c>
    </row>
    <row r="171" spans="1:27" ht="15" x14ac:dyDescent="0.25">
      <c r="A171" s="31"/>
      <c r="B171" s="31"/>
      <c r="C171" s="31"/>
      <c r="D171" s="31"/>
      <c r="E171" s="31"/>
      <c r="F171" s="31"/>
      <c r="G171" s="31"/>
      <c r="H171" s="31"/>
      <c r="I171" s="54">
        <f>J170</f>
        <v>886.62</v>
      </c>
      <c r="J171" s="54"/>
      <c r="K171" s="54">
        <f>L170</f>
        <v>3466.68</v>
      </c>
      <c r="L171" s="54"/>
      <c r="O171" s="30">
        <f>J170</f>
        <v>886.62</v>
      </c>
      <c r="P171" s="30">
        <f>L170</f>
        <v>3466.68</v>
      </c>
      <c r="X171">
        <f>IF(Source!BI126&lt;=1,J170-0, 0)</f>
        <v>0</v>
      </c>
      <c r="Y171">
        <f>IF(Source!BI126=2,J170-0, 0)</f>
        <v>886.62</v>
      </c>
      <c r="Z171">
        <f>IF(Source!BI126=3,J170-0, 0)</f>
        <v>0</v>
      </c>
      <c r="AA171">
        <f>IF(Source!BI126=4,J170,0)</f>
        <v>0</v>
      </c>
    </row>
    <row r="172" spans="1:27" ht="28.5" x14ac:dyDescent="0.2">
      <c r="A172" s="23">
        <v>15</v>
      </c>
      <c r="B172" s="23" t="str">
        <f>Source!E132</f>
        <v>32</v>
      </c>
      <c r="C172" s="24" t="str">
        <f>Source!F132</f>
        <v>1.21-5-780</v>
      </c>
      <c r="D172" s="24" t="s">
        <v>230</v>
      </c>
      <c r="E172" s="25" t="str">
        <f>Source!H132</f>
        <v>шт.</v>
      </c>
      <c r="F172" s="10">
        <f>Source!I132</f>
        <v>1</v>
      </c>
      <c r="G172" s="27">
        <f>Source!AL132</f>
        <v>847.25</v>
      </c>
      <c r="H172" s="26" t="str">
        <f>Source!DD132</f>
        <v/>
      </c>
      <c r="I172" s="10">
        <f>Source!AW132</f>
        <v>1</v>
      </c>
      <c r="J172" s="28">
        <f>ROUND((ROUND((Source!AC132*Source!AW132*Source!I132),2)),2)</f>
        <v>847.25</v>
      </c>
      <c r="K172" s="10">
        <f>IF(Source!BC132&lt;&gt; 0, Source!BC132, 1)</f>
        <v>4.8099999999999996</v>
      </c>
      <c r="L172" s="28">
        <f>Source!P132</f>
        <v>4075.27</v>
      </c>
      <c r="Q172">
        <f>ROUND((Source!DN132/100)*ROUND((ROUND((Source!AF132*Source!AV132*Source!I132),2)),2), 2)</f>
        <v>0</v>
      </c>
      <c r="R172">
        <f>Source!X132</f>
        <v>0</v>
      </c>
      <c r="S172">
        <f>ROUND((Source!DO132/100)*ROUND((ROUND((Source!AF132*Source!AV132*Source!I132),2)),2), 2)</f>
        <v>0</v>
      </c>
      <c r="T172">
        <f>Source!Y132</f>
        <v>0</v>
      </c>
      <c r="U172">
        <f>ROUND((175/100)*ROUND((ROUND((Source!AE132*Source!AV132*Source!I132),2)),2), 2)</f>
        <v>0</v>
      </c>
      <c r="V172">
        <f>ROUND((157/100)*ROUND(ROUND((ROUND((Source!AE132*Source!AV132*Source!I132),2)*Source!BS132),2), 2), 2)</f>
        <v>0</v>
      </c>
    </row>
    <row r="173" spans="1:27" ht="15" x14ac:dyDescent="0.25">
      <c r="A173" s="31"/>
      <c r="B173" s="31"/>
      <c r="C173" s="31"/>
      <c r="D173" s="31"/>
      <c r="E173" s="31"/>
      <c r="F173" s="31"/>
      <c r="G173" s="31"/>
      <c r="H173" s="31"/>
      <c r="I173" s="54">
        <f>J172</f>
        <v>847.25</v>
      </c>
      <c r="J173" s="54"/>
      <c r="K173" s="54">
        <f>L172</f>
        <v>4075.27</v>
      </c>
      <c r="L173" s="54"/>
      <c r="O173" s="30">
        <f>J172</f>
        <v>847.25</v>
      </c>
      <c r="P173" s="30">
        <f>L172</f>
        <v>4075.27</v>
      </c>
      <c r="X173">
        <f>IF(Source!BI132&lt;=1,J172-0, 0)</f>
        <v>0</v>
      </c>
      <c r="Y173">
        <f>IF(Source!BI132=2,J172-0, 0)</f>
        <v>847.25</v>
      </c>
      <c r="Z173">
        <f>IF(Source!BI132=3,J172-0, 0)</f>
        <v>0</v>
      </c>
      <c r="AA173">
        <f>IF(Source!BI132=4,J172,0)</f>
        <v>0</v>
      </c>
    </row>
    <row r="174" spans="1:27" ht="28.5" x14ac:dyDescent="0.2">
      <c r="A174" s="23">
        <v>16</v>
      </c>
      <c r="B174" s="23" t="str">
        <f>Source!E136</f>
        <v>36</v>
      </c>
      <c r="C174" s="24" t="str">
        <f>Source!F136</f>
        <v>1.21-5-119</v>
      </c>
      <c r="D174" s="24" t="s">
        <v>246</v>
      </c>
      <c r="E174" s="25" t="str">
        <f>Source!H136</f>
        <v>1000 шт.</v>
      </c>
      <c r="F174" s="10">
        <f>Source!I136</f>
        <v>6.0000000000000001E-3</v>
      </c>
      <c r="G174" s="27">
        <f>Source!AL136</f>
        <v>4534.92</v>
      </c>
      <c r="H174" s="26" t="str">
        <f>Source!DD136</f>
        <v/>
      </c>
      <c r="I174" s="10">
        <f>Source!AW136</f>
        <v>1</v>
      </c>
      <c r="J174" s="28">
        <f>ROUND((ROUND((Source!AC136*Source!AW136*Source!I136),2)),2)</f>
        <v>27.21</v>
      </c>
      <c r="K174" s="10">
        <f>IF(Source!BC136&lt;&gt; 0, Source!BC136, 1)</f>
        <v>6.69</v>
      </c>
      <c r="L174" s="28">
        <f>Source!P136</f>
        <v>182.03</v>
      </c>
      <c r="Q174">
        <f>ROUND((Source!DN136/100)*ROUND((ROUND((Source!AF136*Source!AV136*Source!I136),2)),2), 2)</f>
        <v>0</v>
      </c>
      <c r="R174">
        <f>Source!X136</f>
        <v>0</v>
      </c>
      <c r="S174">
        <f>ROUND((Source!DO136/100)*ROUND((ROUND((Source!AF136*Source!AV136*Source!I136),2)),2), 2)</f>
        <v>0</v>
      </c>
      <c r="T174">
        <f>Source!Y136</f>
        <v>0</v>
      </c>
      <c r="U174">
        <f>ROUND((175/100)*ROUND((ROUND((Source!AE136*Source!AV136*Source!I136),2)),2), 2)</f>
        <v>0</v>
      </c>
      <c r="V174">
        <f>ROUND((157/100)*ROUND(ROUND((ROUND((Source!AE136*Source!AV136*Source!I136),2)*Source!BS136),2), 2), 2)</f>
        <v>0</v>
      </c>
    </row>
    <row r="175" spans="1:27" x14ac:dyDescent="0.2">
      <c r="D175" s="33" t="str">
        <f>"Объем: "&amp;Source!I136&amp;"="&amp;Source!I76&amp;"*"&amp;"100/"&amp;"1000"</f>
        <v>Объем: 0,006=0,06*100/1000</v>
      </c>
    </row>
    <row r="176" spans="1:27" ht="15" x14ac:dyDescent="0.25">
      <c r="A176" s="31"/>
      <c r="B176" s="31"/>
      <c r="C176" s="31"/>
      <c r="D176" s="31"/>
      <c r="E176" s="31"/>
      <c r="F176" s="31"/>
      <c r="G176" s="31"/>
      <c r="H176" s="31"/>
      <c r="I176" s="54">
        <f>J174</f>
        <v>27.21</v>
      </c>
      <c r="J176" s="54"/>
      <c r="K176" s="54">
        <f>L174</f>
        <v>182.03</v>
      </c>
      <c r="L176" s="54"/>
      <c r="O176" s="30">
        <f>J174</f>
        <v>27.21</v>
      </c>
      <c r="P176" s="30">
        <f>L174</f>
        <v>182.03</v>
      </c>
      <c r="X176">
        <f>IF(Source!BI136&lt;=1,J174-0, 0)</f>
        <v>0</v>
      </c>
      <c r="Y176">
        <f>IF(Source!BI136=2,J174-0, 0)</f>
        <v>27.21</v>
      </c>
      <c r="Z176">
        <f>IF(Source!BI136=3,J174-0, 0)</f>
        <v>0</v>
      </c>
      <c r="AA176">
        <f>IF(Source!BI136=4,J174,0)</f>
        <v>0</v>
      </c>
    </row>
    <row r="177" spans="1:27" ht="14.25" x14ac:dyDescent="0.2">
      <c r="A177" s="23">
        <v>17</v>
      </c>
      <c r="B177" s="23" t="str">
        <f>Source!E138</f>
        <v>38</v>
      </c>
      <c r="C177" s="24" t="str">
        <f>Source!F138</f>
        <v>1.21-5-882</v>
      </c>
      <c r="D177" s="24" t="s">
        <v>255</v>
      </c>
      <c r="E177" s="25" t="str">
        <f>Source!H138</f>
        <v>шт.</v>
      </c>
      <c r="F177" s="10">
        <f>Source!I138</f>
        <v>3</v>
      </c>
      <c r="G177" s="27">
        <f>Source!AL138</f>
        <v>1016.95</v>
      </c>
      <c r="H177" s="26" t="str">
        <f>Source!DD138</f>
        <v/>
      </c>
      <c r="I177" s="10">
        <f>Source!AW138</f>
        <v>1</v>
      </c>
      <c r="J177" s="28">
        <f>ROUND((ROUND((Source!AC138*Source!AW138*Source!I138),2)),2)</f>
        <v>3050.85</v>
      </c>
      <c r="K177" s="10">
        <f>IF(Source!BC138&lt;&gt; 0, Source!BC138, 1)</f>
        <v>1.9</v>
      </c>
      <c r="L177" s="28">
        <f>Source!P138</f>
        <v>5796.62</v>
      </c>
      <c r="Q177">
        <f>ROUND((Source!DN138/100)*ROUND((ROUND((Source!AF138*Source!AV138*Source!I138),2)),2), 2)</f>
        <v>0</v>
      </c>
      <c r="R177">
        <f>Source!X138</f>
        <v>0</v>
      </c>
      <c r="S177">
        <f>ROUND((Source!DO138/100)*ROUND((ROUND((Source!AF138*Source!AV138*Source!I138),2)),2), 2)</f>
        <v>0</v>
      </c>
      <c r="T177">
        <f>Source!Y138</f>
        <v>0</v>
      </c>
      <c r="U177">
        <f>ROUND((175/100)*ROUND((ROUND((Source!AE138*Source!AV138*Source!I138),2)),2), 2)</f>
        <v>0</v>
      </c>
      <c r="V177">
        <f>ROUND((157/100)*ROUND(ROUND((ROUND((Source!AE138*Source!AV138*Source!I138),2)*Source!BS138),2), 2), 2)</f>
        <v>0</v>
      </c>
    </row>
    <row r="178" spans="1:27" ht="15" x14ac:dyDescent="0.25">
      <c r="A178" s="31"/>
      <c r="B178" s="31"/>
      <c r="C178" s="31"/>
      <c r="D178" s="31"/>
      <c r="E178" s="31"/>
      <c r="F178" s="31"/>
      <c r="G178" s="31"/>
      <c r="H178" s="31"/>
      <c r="I178" s="54">
        <f>J177</f>
        <v>3050.85</v>
      </c>
      <c r="J178" s="54"/>
      <c r="K178" s="54">
        <f>L177</f>
        <v>5796.62</v>
      </c>
      <c r="L178" s="54"/>
      <c r="O178" s="30">
        <f>J177</f>
        <v>3050.85</v>
      </c>
      <c r="P178" s="30">
        <f>L177</f>
        <v>5796.62</v>
      </c>
      <c r="X178">
        <f>IF(Source!BI138&lt;=1,J177-0, 0)</f>
        <v>0</v>
      </c>
      <c r="Y178">
        <f>IF(Source!BI138=2,J177-0, 0)</f>
        <v>3050.85</v>
      </c>
      <c r="Z178">
        <f>IF(Source!BI138=3,J177-0, 0)</f>
        <v>0</v>
      </c>
      <c r="AA178">
        <f>IF(Source!BI138=4,J177,0)</f>
        <v>0</v>
      </c>
    </row>
    <row r="179" spans="1:27" ht="57" x14ac:dyDescent="0.2">
      <c r="A179" s="23">
        <v>18</v>
      </c>
      <c r="B179" s="23" t="str">
        <f>Source!E139</f>
        <v>39</v>
      </c>
      <c r="C179" s="24" t="str">
        <f>Source!F139</f>
        <v>1.23-13-96</v>
      </c>
      <c r="D179" s="24" t="s">
        <v>259</v>
      </c>
      <c r="E179" s="25" t="str">
        <f>Source!H139</f>
        <v>км</v>
      </c>
      <c r="F179" s="10">
        <f>Source!I139</f>
        <v>5.1000000000000004E-3</v>
      </c>
      <c r="G179" s="27">
        <f>Source!AL139</f>
        <v>4352.82</v>
      </c>
      <c r="H179" s="26" t="str">
        <f>Source!DD139</f>
        <v/>
      </c>
      <c r="I179" s="10">
        <f>Source!AW139</f>
        <v>1</v>
      </c>
      <c r="J179" s="28">
        <f>ROUND((ROUND((Source!AC139*Source!AW139*Source!I139),2)),2)</f>
        <v>22.2</v>
      </c>
      <c r="K179" s="10">
        <f>IF(Source!BC139&lt;&gt; 0, Source!BC139, 1)</f>
        <v>4.43</v>
      </c>
      <c r="L179" s="28">
        <f>Source!P139</f>
        <v>98.35</v>
      </c>
      <c r="Q179">
        <f>ROUND((Source!DN139/100)*ROUND((ROUND((Source!AF139*Source!AV139*Source!I139),2)),2), 2)</f>
        <v>0</v>
      </c>
      <c r="R179">
        <f>Source!X139</f>
        <v>0</v>
      </c>
      <c r="S179">
        <f>ROUND((Source!DO139/100)*ROUND((ROUND((Source!AF139*Source!AV139*Source!I139),2)),2), 2)</f>
        <v>0</v>
      </c>
      <c r="T179">
        <f>Source!Y139</f>
        <v>0</v>
      </c>
      <c r="U179">
        <f>ROUND((175/100)*ROUND((ROUND((Source!AE139*Source!AV139*Source!I139),2)),2), 2)</f>
        <v>0</v>
      </c>
      <c r="V179">
        <f>ROUND((157/100)*ROUND(ROUND((ROUND((Source!AE139*Source!AV139*Source!I139),2)*Source!BS139),2), 2), 2)</f>
        <v>0</v>
      </c>
    </row>
    <row r="180" spans="1:27" x14ac:dyDescent="0.2">
      <c r="D180" s="33" t="str">
        <f>"Объем: "&amp;Source!I139&amp;"="&amp;Source!I79&amp;"*"&amp;"100/"&amp;"1000*"&amp;"1,02"</f>
        <v>Объем: 0,0051=0,05*100/1000*1,02</v>
      </c>
    </row>
    <row r="181" spans="1:27" ht="15" x14ac:dyDescent="0.25">
      <c r="A181" s="31"/>
      <c r="B181" s="31"/>
      <c r="C181" s="31"/>
      <c r="D181" s="31"/>
      <c r="E181" s="31"/>
      <c r="F181" s="31"/>
      <c r="G181" s="31"/>
      <c r="H181" s="31"/>
      <c r="I181" s="54">
        <f>J179</f>
        <v>22.2</v>
      </c>
      <c r="J181" s="54"/>
      <c r="K181" s="54">
        <f>L179</f>
        <v>98.35</v>
      </c>
      <c r="L181" s="54"/>
      <c r="O181" s="30">
        <f>J179</f>
        <v>22.2</v>
      </c>
      <c r="P181" s="30">
        <f>L179</f>
        <v>98.35</v>
      </c>
      <c r="X181">
        <f>IF(Source!BI139&lt;=1,J179-0, 0)</f>
        <v>0</v>
      </c>
      <c r="Y181">
        <f>IF(Source!BI139=2,J179-0, 0)</f>
        <v>22.2</v>
      </c>
      <c r="Z181">
        <f>IF(Source!BI139=3,J179-0, 0)</f>
        <v>0</v>
      </c>
      <c r="AA181">
        <f>IF(Source!BI139=4,J179,0)</f>
        <v>0</v>
      </c>
    </row>
    <row r="182" spans="1:27" ht="57" x14ac:dyDescent="0.2">
      <c r="A182" s="23">
        <v>19</v>
      </c>
      <c r="B182" s="23" t="str">
        <f>Source!E146</f>
        <v>46</v>
      </c>
      <c r="C182" s="24" t="str">
        <f>Source!F146</f>
        <v>1.23-13-104</v>
      </c>
      <c r="D182" s="24" t="s">
        <v>288</v>
      </c>
      <c r="E182" s="25" t="str">
        <f>Source!H146</f>
        <v>км</v>
      </c>
      <c r="F182" s="10">
        <f>Source!I146</f>
        <v>9.1800000000000007E-3</v>
      </c>
      <c r="G182" s="27">
        <f>Source!AL146</f>
        <v>55922.54</v>
      </c>
      <c r="H182" s="26" t="str">
        <f>Source!DD146</f>
        <v/>
      </c>
      <c r="I182" s="10">
        <f>Source!AW146</f>
        <v>1</v>
      </c>
      <c r="J182" s="28">
        <f>ROUND((ROUND((Source!AC146*Source!AW146*Source!I146),2)),2)</f>
        <v>513.37</v>
      </c>
      <c r="K182" s="10">
        <f>IF(Source!BC146&lt;&gt; 0, Source!BC146, 1)</f>
        <v>5.85</v>
      </c>
      <c r="L182" s="28">
        <f>Source!P146</f>
        <v>3003.21</v>
      </c>
      <c r="Q182">
        <f>ROUND((Source!DN146/100)*ROUND((ROUND((Source!AF146*Source!AV146*Source!I146),2)),2), 2)</f>
        <v>0</v>
      </c>
      <c r="R182">
        <f>Source!X146</f>
        <v>0</v>
      </c>
      <c r="S182">
        <f>ROUND((Source!DO146/100)*ROUND((ROUND((Source!AF146*Source!AV146*Source!I146),2)),2), 2)</f>
        <v>0</v>
      </c>
      <c r="T182">
        <f>Source!Y146</f>
        <v>0</v>
      </c>
      <c r="U182">
        <f>ROUND((175/100)*ROUND((ROUND((Source!AE146*Source!AV146*Source!I146),2)),2), 2)</f>
        <v>0</v>
      </c>
      <c r="V182">
        <f>ROUND((157/100)*ROUND(ROUND((ROUND((Source!AE146*Source!AV146*Source!I146),2)*Source!BS146),2), 2), 2)</f>
        <v>0</v>
      </c>
    </row>
    <row r="183" spans="1:27" x14ac:dyDescent="0.2">
      <c r="D183" s="33" t="str">
        <f>"Объем: "&amp;Source!I146&amp;"="&amp;Source!I85&amp;"*"&amp;"100/"&amp;"1000*"&amp;"1,02"</f>
        <v>Объем: 0,00918=0,09*100/1000*1,02</v>
      </c>
    </row>
    <row r="184" spans="1:27" ht="15" x14ac:dyDescent="0.25">
      <c r="A184" s="31"/>
      <c r="B184" s="31"/>
      <c r="C184" s="31"/>
      <c r="D184" s="31"/>
      <c r="E184" s="31"/>
      <c r="F184" s="31"/>
      <c r="G184" s="31"/>
      <c r="H184" s="31"/>
      <c r="I184" s="54">
        <f>J182</f>
        <v>513.37</v>
      </c>
      <c r="J184" s="54"/>
      <c r="K184" s="54">
        <f>L182</f>
        <v>3003.21</v>
      </c>
      <c r="L184" s="54"/>
      <c r="O184" s="30">
        <f>J182</f>
        <v>513.37</v>
      </c>
      <c r="P184" s="30">
        <f>L182</f>
        <v>3003.21</v>
      </c>
      <c r="X184">
        <f>IF(Source!BI146&lt;=1,J182-0, 0)</f>
        <v>0</v>
      </c>
      <c r="Y184">
        <f>IF(Source!BI146=2,J182-0, 0)</f>
        <v>513.37</v>
      </c>
      <c r="Z184">
        <f>IF(Source!BI146=3,J182-0, 0)</f>
        <v>0</v>
      </c>
      <c r="AA184">
        <f>IF(Source!BI146=4,J182,0)</f>
        <v>0</v>
      </c>
    </row>
    <row r="185" spans="1:27" ht="14.25" x14ac:dyDescent="0.2">
      <c r="A185" s="23">
        <v>20</v>
      </c>
      <c r="B185" s="23" t="str">
        <f>Source!E147</f>
        <v>47</v>
      </c>
      <c r="C185" s="24" t="str">
        <f>Source!F147</f>
        <v>1.21-5-734</v>
      </c>
      <c r="D185" s="24" t="s">
        <v>292</v>
      </c>
      <c r="E185" s="25" t="str">
        <f>Source!H147</f>
        <v>шт.</v>
      </c>
      <c r="F185" s="10">
        <f>Source!I147</f>
        <v>36</v>
      </c>
      <c r="G185" s="27">
        <f>Source!AL147</f>
        <v>88.08</v>
      </c>
      <c r="H185" s="26" t="str">
        <f>Source!DD147</f>
        <v/>
      </c>
      <c r="I185" s="10">
        <f>Source!AW147</f>
        <v>1</v>
      </c>
      <c r="J185" s="28">
        <f>ROUND((ROUND((Source!AC147*Source!AW147*Source!I147),2)),2)</f>
        <v>3170.88</v>
      </c>
      <c r="K185" s="10">
        <f>IF(Source!BC147&lt;&gt; 0, Source!BC147, 1)</f>
        <v>2.1800000000000002</v>
      </c>
      <c r="L185" s="28">
        <f>Source!P147</f>
        <v>6912.52</v>
      </c>
      <c r="Q185">
        <f>ROUND((Source!DN147/100)*ROUND((ROUND((Source!AF147*Source!AV147*Source!I147),2)),2), 2)</f>
        <v>0</v>
      </c>
      <c r="R185">
        <f>Source!X147</f>
        <v>0</v>
      </c>
      <c r="S185">
        <f>ROUND((Source!DO147/100)*ROUND((ROUND((Source!AF147*Source!AV147*Source!I147),2)),2), 2)</f>
        <v>0</v>
      </c>
      <c r="T185">
        <f>Source!Y147</f>
        <v>0</v>
      </c>
      <c r="U185">
        <f>ROUND((175/100)*ROUND((ROUND((Source!AE147*Source!AV147*Source!I147),2)),2), 2)</f>
        <v>0</v>
      </c>
      <c r="V185">
        <f>ROUND((157/100)*ROUND(ROUND((ROUND((Source!AE147*Source!AV147*Source!I147),2)*Source!BS147),2), 2), 2)</f>
        <v>0</v>
      </c>
    </row>
    <row r="186" spans="1:27" x14ac:dyDescent="0.2">
      <c r="D186" s="33" t="str">
        <f>"Объем: "&amp;Source!I147&amp;"="&amp;Source!I86&amp;"*"&amp;"100"</f>
        <v>Объем: 36=0,36*100</v>
      </c>
    </row>
    <row r="187" spans="1:27" ht="15" x14ac:dyDescent="0.25">
      <c r="A187" s="31"/>
      <c r="B187" s="31"/>
      <c r="C187" s="31"/>
      <c r="D187" s="31"/>
      <c r="E187" s="31"/>
      <c r="F187" s="31"/>
      <c r="G187" s="31"/>
      <c r="H187" s="31"/>
      <c r="I187" s="54">
        <f>J185</f>
        <v>3170.88</v>
      </c>
      <c r="J187" s="54"/>
      <c r="K187" s="54">
        <f>L185</f>
        <v>6912.52</v>
      </c>
      <c r="L187" s="54"/>
      <c r="O187" s="30">
        <f>J185</f>
        <v>3170.88</v>
      </c>
      <c r="P187" s="30">
        <f>L185</f>
        <v>6912.52</v>
      </c>
      <c r="X187">
        <f>IF(Source!BI147&lt;=1,J185-0, 0)</f>
        <v>0</v>
      </c>
      <c r="Y187">
        <f>IF(Source!BI147=2,J185-0, 0)</f>
        <v>3170.88</v>
      </c>
      <c r="Z187">
        <f>IF(Source!BI147=3,J185-0, 0)</f>
        <v>0</v>
      </c>
      <c r="AA187">
        <f>IF(Source!BI147=4,J185,0)</f>
        <v>0</v>
      </c>
    </row>
    <row r="189" spans="1:27" ht="15" x14ac:dyDescent="0.25">
      <c r="A189" s="53" t="str">
        <f>CONCATENATE("Итого по разделу: ",IF(Source!G153&lt;&gt;"Новый раздел", Source!G153, ""))</f>
        <v>Итого по разделу: Материалы</v>
      </c>
      <c r="B189" s="53"/>
      <c r="C189" s="53"/>
      <c r="D189" s="53"/>
      <c r="E189" s="53"/>
      <c r="F189" s="53"/>
      <c r="G189" s="53"/>
      <c r="H189" s="53"/>
      <c r="I189" s="51">
        <f>SUM(O169:O188)</f>
        <v>8518.380000000001</v>
      </c>
      <c r="J189" s="52"/>
      <c r="K189" s="51">
        <f>SUM(P169:P188)</f>
        <v>23534.68</v>
      </c>
      <c r="L189" s="52"/>
    </row>
    <row r="190" spans="1:27" hidden="1" x14ac:dyDescent="0.2">
      <c r="A190" t="s">
        <v>359</v>
      </c>
      <c r="J190">
        <f>SUM(AC169:AC189)</f>
        <v>0</v>
      </c>
      <c r="K190">
        <f>SUM(AD169:AD189)</f>
        <v>0</v>
      </c>
    </row>
    <row r="191" spans="1:27" hidden="1" x14ac:dyDescent="0.2">
      <c r="A191" t="s">
        <v>360</v>
      </c>
      <c r="J191">
        <f>SUM(AE169:AE190)</f>
        <v>0</v>
      </c>
      <c r="K191">
        <f>SUM(AF169:AF190)</f>
        <v>0</v>
      </c>
    </row>
    <row r="193" spans="1:38" ht="30" x14ac:dyDescent="0.25">
      <c r="A193" s="53" t="str">
        <f>CONCATENATE("Итого по локальной смете: ",IF(Source!G182&lt;&gt;"Новая локальная смета", Source!G182, ""))</f>
        <v>Итого по локальной смете: Комплекс электромонтажных работ по адресу: МО, Люберецкий р-н, п. Октябрьский мкр. Западный, Спортивная ул., д. 2, ТУ3714 от 10.12.2019 г. п.п. 1-7</v>
      </c>
      <c r="B193" s="53"/>
      <c r="C193" s="53"/>
      <c r="D193" s="53"/>
      <c r="E193" s="53"/>
      <c r="F193" s="53"/>
      <c r="G193" s="53"/>
      <c r="H193" s="53"/>
      <c r="I193" s="51">
        <f>SUM(O40:O192)</f>
        <v>14063.370000000003</v>
      </c>
      <c r="J193" s="52"/>
      <c r="K193" s="51">
        <f>SUM(P40:P192)</f>
        <v>122468.2</v>
      </c>
      <c r="L193" s="52"/>
      <c r="AL193" s="34" t="str">
        <f>CONCATENATE("Итого по локальной смете: ",IF(Source!G182&lt;&gt;"Новая локальная смета", Source!G182, ""))</f>
        <v>Итого по локальной смете: Комплекс электромонтажных работ по адресу: МО, Люберецкий р-н, п. Октябрьский мкр. Западный, Спортивная ул., д. 2, ТУ3714 от 10.12.2019 г. п.п. 1-7</v>
      </c>
    </row>
    <row r="194" spans="1:38" hidden="1" x14ac:dyDescent="0.2">
      <c r="A194" t="s">
        <v>359</v>
      </c>
      <c r="J194">
        <f>SUM(AC40:AC193)</f>
        <v>0</v>
      </c>
      <c r="K194">
        <f>SUM(AD40:AD193)</f>
        <v>0</v>
      </c>
    </row>
    <row r="195" spans="1:38" hidden="1" x14ac:dyDescent="0.2">
      <c r="A195" t="s">
        <v>360</v>
      </c>
      <c r="J195">
        <f>SUM(AE40:AE194)</f>
        <v>0</v>
      </c>
      <c r="K195">
        <f>SUM(AF40:AF194)</f>
        <v>0</v>
      </c>
    </row>
    <row r="197" spans="1:38" ht="15" x14ac:dyDescent="0.25">
      <c r="A197" s="53" t="str">
        <f>CONCATENATE("Итого по смете: ",IF(Source!G211&lt;&gt;"Новый объект", Source!G211, ""))</f>
        <v>Итого по смете: Комплекс электромонтажных работ по выполнению п.п. 1-6 технических условий №3714 от 10.12.2019г.</v>
      </c>
      <c r="B197" s="53"/>
      <c r="C197" s="53"/>
      <c r="D197" s="53"/>
      <c r="E197" s="53"/>
      <c r="F197" s="53"/>
      <c r="G197" s="53"/>
      <c r="H197" s="53"/>
      <c r="I197" s="51">
        <f>SUM(O1:O196)</f>
        <v>14063.370000000003</v>
      </c>
      <c r="J197" s="52"/>
      <c r="K197" s="51">
        <f>SUM(P1:P196)</f>
        <v>122468.2</v>
      </c>
      <c r="L197" s="52"/>
    </row>
    <row r="198" spans="1:38" hidden="1" x14ac:dyDescent="0.2">
      <c r="A198" t="s">
        <v>359</v>
      </c>
      <c r="J198">
        <f>SUM(AC1:AC197)</f>
        <v>0</v>
      </c>
      <c r="K198">
        <f>SUM(AD1:AD197)</f>
        <v>0</v>
      </c>
    </row>
    <row r="199" spans="1:38" hidden="1" x14ac:dyDescent="0.2">
      <c r="A199" t="s">
        <v>360</v>
      </c>
      <c r="J199">
        <f>SUM(AE1:AE198)</f>
        <v>0</v>
      </c>
      <c r="K199">
        <f>SUM(AF1:AF198)</f>
        <v>0</v>
      </c>
    </row>
    <row r="200" spans="1:38" ht="14.25" x14ac:dyDescent="0.2">
      <c r="D200" s="47" t="str">
        <f>Source!H239</f>
        <v>Итого</v>
      </c>
      <c r="E200" s="47"/>
      <c r="F200" s="47"/>
      <c r="G200" s="47"/>
      <c r="H200" s="47"/>
      <c r="I200" s="47"/>
      <c r="J200" s="47"/>
      <c r="K200" s="48">
        <f>IF(Source!F239=0, "", Source!F239)</f>
        <v>122468.2</v>
      </c>
      <c r="L200" s="48"/>
    </row>
    <row r="201" spans="1:38" ht="14.25" x14ac:dyDescent="0.2">
      <c r="D201" s="47" t="str">
        <f>Source!H240</f>
        <v>НДС, 20%</v>
      </c>
      <c r="E201" s="47"/>
      <c r="F201" s="47"/>
      <c r="G201" s="47"/>
      <c r="H201" s="47"/>
      <c r="I201" s="47"/>
      <c r="J201" s="47"/>
      <c r="K201" s="48">
        <f>IF(Source!F240=0, "", Source!F240)</f>
        <v>24493.64</v>
      </c>
      <c r="L201" s="48"/>
    </row>
    <row r="202" spans="1:38" ht="14.25" x14ac:dyDescent="0.2">
      <c r="D202" s="47" t="str">
        <f>Source!H241</f>
        <v>ВСЕГО</v>
      </c>
      <c r="E202" s="47"/>
      <c r="F202" s="47"/>
      <c r="G202" s="47"/>
      <c r="H202" s="47"/>
      <c r="I202" s="47"/>
      <c r="J202" s="47"/>
      <c r="K202" s="48">
        <f>IF(Source!F241=0, "", Source!F241)</f>
        <v>146961.84</v>
      </c>
      <c r="L202" s="48"/>
    </row>
    <row r="205" spans="1:38" ht="14.25" x14ac:dyDescent="0.2">
      <c r="A205" s="11"/>
      <c r="B205" s="49" t="s">
        <v>398</v>
      </c>
      <c r="C205" s="49"/>
      <c r="D205" s="35" t="str">
        <f>IF(Source!AM12&lt;&gt;"", Source!AM12," ")</f>
        <v xml:space="preserve"> </v>
      </c>
      <c r="E205" s="35"/>
      <c r="F205" s="35"/>
      <c r="G205" s="35"/>
      <c r="H205" s="35"/>
      <c r="I205" s="11" t="str">
        <f>IF(Source!AL12&lt;&gt;"", Source!AL12," ")</f>
        <v xml:space="preserve"> </v>
      </c>
      <c r="J205" s="11"/>
      <c r="K205" s="11"/>
    </row>
    <row r="206" spans="1:38" ht="14.25" x14ac:dyDescent="0.2">
      <c r="A206" s="11"/>
      <c r="B206" s="11"/>
      <c r="C206" s="11"/>
      <c r="D206" s="50" t="s">
        <v>364</v>
      </c>
      <c r="E206" s="50"/>
      <c r="F206" s="50"/>
      <c r="G206" s="50"/>
      <c r="H206" s="50"/>
      <c r="I206" s="11"/>
      <c r="J206" s="11"/>
      <c r="K206" s="11"/>
    </row>
    <row r="207" spans="1:38" ht="14.25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38" ht="14.25" x14ac:dyDescent="0.2">
      <c r="A208" s="11"/>
      <c r="B208" s="49" t="s">
        <v>399</v>
      </c>
      <c r="C208" s="49"/>
      <c r="D208" s="35" t="str">
        <f>IF(Source!AI12&lt;&gt;"", Source!AI12," ")</f>
        <v xml:space="preserve"> </v>
      </c>
      <c r="E208" s="35"/>
      <c r="F208" s="35"/>
      <c r="G208" s="35"/>
      <c r="H208" s="35"/>
      <c r="I208" s="11" t="str">
        <f>IF(Source!AH12&lt;&gt;"", Source!AH12," ")</f>
        <v xml:space="preserve"> </v>
      </c>
      <c r="J208" s="11"/>
      <c r="K208" s="11"/>
    </row>
    <row r="209" spans="1:11" ht="14.25" x14ac:dyDescent="0.2">
      <c r="A209" s="11"/>
      <c r="B209" s="11"/>
      <c r="C209" s="11"/>
      <c r="D209" s="50" t="s">
        <v>364</v>
      </c>
      <c r="E209" s="50"/>
      <c r="F209" s="50"/>
      <c r="G209" s="50"/>
      <c r="H209" s="50"/>
      <c r="I209" s="11"/>
      <c r="J209" s="11"/>
      <c r="K209" s="11"/>
    </row>
  </sheetData>
  <mergeCells count="115">
    <mergeCell ref="I2:L2"/>
    <mergeCell ref="I3:L3"/>
    <mergeCell ref="I4:L4"/>
    <mergeCell ref="J6:L6"/>
    <mergeCell ref="J7:L7"/>
    <mergeCell ref="J8:L9"/>
    <mergeCell ref="C14:H14"/>
    <mergeCell ref="J14:L15"/>
    <mergeCell ref="C15:H15"/>
    <mergeCell ref="C16:H16"/>
    <mergeCell ref="J16:L17"/>
    <mergeCell ref="C17:H17"/>
    <mergeCell ref="C9:H9"/>
    <mergeCell ref="C10:H10"/>
    <mergeCell ref="J10:L11"/>
    <mergeCell ref="C11:H11"/>
    <mergeCell ref="C12:H12"/>
    <mergeCell ref="J12:L13"/>
    <mergeCell ref="C13:H13"/>
    <mergeCell ref="J22:L22"/>
    <mergeCell ref="G24:G25"/>
    <mergeCell ref="H24:H25"/>
    <mergeCell ref="I24:J24"/>
    <mergeCell ref="A28:L28"/>
    <mergeCell ref="A29:L29"/>
    <mergeCell ref="C18:H18"/>
    <mergeCell ref="G19:I19"/>
    <mergeCell ref="J19:L19"/>
    <mergeCell ref="G20:H20"/>
    <mergeCell ref="J20:L20"/>
    <mergeCell ref="J21:L21"/>
    <mergeCell ref="H31:I31"/>
    <mergeCell ref="A32:L32"/>
    <mergeCell ref="A33:B33"/>
    <mergeCell ref="C33:C37"/>
    <mergeCell ref="D33:D37"/>
    <mergeCell ref="E33:E37"/>
    <mergeCell ref="F33:F37"/>
    <mergeCell ref="G33:G37"/>
    <mergeCell ref="H33:H37"/>
    <mergeCell ref="I33:I37"/>
    <mergeCell ref="A42:L42"/>
    <mergeCell ref="K51:L51"/>
    <mergeCell ref="I51:J51"/>
    <mergeCell ref="K60:L60"/>
    <mergeCell ref="I60:J60"/>
    <mergeCell ref="K66:L66"/>
    <mergeCell ref="I66:J66"/>
    <mergeCell ref="J33:J37"/>
    <mergeCell ref="K33:K37"/>
    <mergeCell ref="L33:L37"/>
    <mergeCell ref="A34:A37"/>
    <mergeCell ref="B34:B37"/>
    <mergeCell ref="A40:L40"/>
    <mergeCell ref="K92:L92"/>
    <mergeCell ref="I92:J92"/>
    <mergeCell ref="K102:L102"/>
    <mergeCell ref="I102:J102"/>
    <mergeCell ref="K112:L112"/>
    <mergeCell ref="I112:J112"/>
    <mergeCell ref="K68:L68"/>
    <mergeCell ref="I68:J68"/>
    <mergeCell ref="A68:H68"/>
    <mergeCell ref="A72:L72"/>
    <mergeCell ref="K82:L82"/>
    <mergeCell ref="I82:J82"/>
    <mergeCell ref="K149:L149"/>
    <mergeCell ref="I149:J149"/>
    <mergeCell ref="K156:L156"/>
    <mergeCell ref="I156:J156"/>
    <mergeCell ref="K163:L163"/>
    <mergeCell ref="I163:J163"/>
    <mergeCell ref="K122:L122"/>
    <mergeCell ref="I122:J122"/>
    <mergeCell ref="K132:L132"/>
    <mergeCell ref="I132:J132"/>
    <mergeCell ref="K142:L142"/>
    <mergeCell ref="I142:J142"/>
    <mergeCell ref="K173:L173"/>
    <mergeCell ref="I173:J173"/>
    <mergeCell ref="K176:L176"/>
    <mergeCell ref="I176:J176"/>
    <mergeCell ref="K178:L178"/>
    <mergeCell ref="I178:J178"/>
    <mergeCell ref="K165:L165"/>
    <mergeCell ref="I165:J165"/>
    <mergeCell ref="A165:H165"/>
    <mergeCell ref="A169:L169"/>
    <mergeCell ref="K171:L171"/>
    <mergeCell ref="I171:J171"/>
    <mergeCell ref="K189:L189"/>
    <mergeCell ref="I189:J189"/>
    <mergeCell ref="A189:H189"/>
    <mergeCell ref="K193:L193"/>
    <mergeCell ref="I193:J193"/>
    <mergeCell ref="A193:H193"/>
    <mergeCell ref="K181:L181"/>
    <mergeCell ref="I181:J181"/>
    <mergeCell ref="K184:L184"/>
    <mergeCell ref="I184:J184"/>
    <mergeCell ref="K187:L187"/>
    <mergeCell ref="I187:J187"/>
    <mergeCell ref="D202:J202"/>
    <mergeCell ref="K202:L202"/>
    <mergeCell ref="B205:C205"/>
    <mergeCell ref="D206:H206"/>
    <mergeCell ref="B208:C208"/>
    <mergeCell ref="D209:H209"/>
    <mergeCell ref="K197:L197"/>
    <mergeCell ref="I197:J197"/>
    <mergeCell ref="A197:H197"/>
    <mergeCell ref="D200:J200"/>
    <mergeCell ref="K200:L200"/>
    <mergeCell ref="D201:J201"/>
    <mergeCell ref="K201:L201"/>
  </mergeCells>
  <pageMargins left="0.4" right="0.2" top="0.2" bottom="0.4" header="0.2" footer="0.2"/>
  <pageSetup paperSize="9" scale="62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Normal="100" workbookViewId="0">
      <selection sqref="A1:D1"/>
    </sheetView>
  </sheetViews>
  <sheetFormatPr defaultRowHeight="12.75" x14ac:dyDescent="0.2"/>
  <cols>
    <col min="1" max="1" width="5.7109375" customWidth="1"/>
    <col min="2" max="2" width="22.7109375" customWidth="1"/>
    <col min="10" max="11" width="11.140625" customWidth="1"/>
  </cols>
  <sheetData>
    <row r="1" spans="1:12" ht="14.25" x14ac:dyDescent="0.2">
      <c r="A1" s="138" t="str">
        <f>Source!B1</f>
        <v>Smeta.RU  (495) 974-1589</v>
      </c>
      <c r="B1" s="138"/>
      <c r="C1" s="138"/>
      <c r="D1" s="138"/>
      <c r="E1" s="11"/>
      <c r="F1" s="11"/>
      <c r="G1" s="11"/>
      <c r="H1" s="139" t="s">
        <v>400</v>
      </c>
      <c r="I1" s="139"/>
      <c r="J1" s="139"/>
      <c r="K1" s="139"/>
      <c r="L1" s="139"/>
    </row>
    <row r="2" spans="1:12" ht="14.25" x14ac:dyDescent="0.2">
      <c r="A2" s="11"/>
      <c r="B2" s="11"/>
      <c r="C2" s="11"/>
      <c r="D2" s="11"/>
      <c r="E2" s="11"/>
      <c r="F2" s="11"/>
      <c r="G2" s="11"/>
      <c r="H2" s="139" t="s">
        <v>367</v>
      </c>
      <c r="I2" s="139"/>
      <c r="J2" s="139"/>
      <c r="K2" s="139"/>
      <c r="L2" s="139"/>
    </row>
    <row r="3" spans="1:12" ht="14.25" x14ac:dyDescent="0.2">
      <c r="A3" s="11"/>
      <c r="B3" s="11"/>
      <c r="C3" s="11"/>
      <c r="D3" s="11"/>
      <c r="E3" s="11"/>
      <c r="F3" s="11"/>
      <c r="G3" s="11"/>
      <c r="H3" s="139" t="s">
        <v>368</v>
      </c>
      <c r="I3" s="139"/>
      <c r="J3" s="139"/>
      <c r="K3" s="139"/>
      <c r="L3" s="139"/>
    </row>
    <row r="4" spans="1:12" ht="14.2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01" t="s">
        <v>401</v>
      </c>
      <c r="L4" s="103"/>
    </row>
    <row r="5" spans="1:12" ht="14.25" x14ac:dyDescent="0.2">
      <c r="A5" s="11"/>
      <c r="B5" s="11"/>
      <c r="C5" s="11"/>
      <c r="D5" s="11"/>
      <c r="E5" s="11"/>
      <c r="F5" s="11"/>
      <c r="G5" s="11"/>
      <c r="H5" s="11"/>
      <c r="I5" s="80" t="s">
        <v>370</v>
      </c>
      <c r="J5" s="80"/>
      <c r="K5" s="101">
        <v>322001</v>
      </c>
      <c r="L5" s="103"/>
    </row>
    <row r="6" spans="1:12" ht="14.25" x14ac:dyDescent="0.2">
      <c r="A6" s="80" t="s">
        <v>402</v>
      </c>
      <c r="B6" s="80"/>
      <c r="C6" s="135"/>
      <c r="D6" s="135"/>
      <c r="E6" s="135"/>
      <c r="F6" s="135"/>
      <c r="G6" s="135"/>
      <c r="H6" s="135"/>
      <c r="I6" s="135"/>
      <c r="J6" s="10" t="s">
        <v>373</v>
      </c>
      <c r="K6" s="101"/>
      <c r="L6" s="103"/>
    </row>
    <row r="7" spans="1:12" ht="14.25" x14ac:dyDescent="0.2">
      <c r="A7" s="11"/>
      <c r="B7" s="11"/>
      <c r="C7" s="50" t="s">
        <v>374</v>
      </c>
      <c r="D7" s="50"/>
      <c r="E7" s="50"/>
      <c r="F7" s="50"/>
      <c r="G7" s="50"/>
      <c r="H7" s="50"/>
      <c r="I7" s="50"/>
      <c r="J7" s="11"/>
      <c r="K7" s="36"/>
      <c r="L7" s="42"/>
    </row>
    <row r="8" spans="1:12" ht="14.25" x14ac:dyDescent="0.2">
      <c r="A8" s="80" t="s">
        <v>403</v>
      </c>
      <c r="B8" s="80"/>
      <c r="C8" s="135"/>
      <c r="D8" s="135"/>
      <c r="E8" s="135"/>
      <c r="F8" s="135"/>
      <c r="G8" s="135"/>
      <c r="H8" s="135"/>
      <c r="I8" s="35"/>
      <c r="J8" s="10" t="s">
        <v>373</v>
      </c>
      <c r="K8" s="136"/>
      <c r="L8" s="137"/>
    </row>
    <row r="9" spans="1:12" ht="14.25" x14ac:dyDescent="0.2">
      <c r="A9" s="11"/>
      <c r="B9" s="11"/>
      <c r="C9" s="50" t="s">
        <v>374</v>
      </c>
      <c r="D9" s="50"/>
      <c r="E9" s="50"/>
      <c r="F9" s="50"/>
      <c r="G9" s="50"/>
      <c r="H9" s="50"/>
      <c r="I9" s="50"/>
      <c r="J9" s="11"/>
      <c r="K9" s="36"/>
      <c r="L9" s="42"/>
    </row>
    <row r="10" spans="1:12" ht="14.25" x14ac:dyDescent="0.2">
      <c r="A10" s="80" t="s">
        <v>404</v>
      </c>
      <c r="B10" s="80"/>
      <c r="C10" s="135"/>
      <c r="D10" s="135"/>
      <c r="E10" s="135"/>
      <c r="F10" s="135"/>
      <c r="G10" s="135"/>
      <c r="H10" s="135"/>
      <c r="I10" s="135"/>
      <c r="J10" s="10" t="s">
        <v>373</v>
      </c>
      <c r="K10" s="136"/>
      <c r="L10" s="137"/>
    </row>
    <row r="11" spans="1:12" ht="14.25" x14ac:dyDescent="0.2">
      <c r="A11" s="11"/>
      <c r="B11" s="11"/>
      <c r="C11" s="50" t="s">
        <v>374</v>
      </c>
      <c r="D11" s="50"/>
      <c r="E11" s="50"/>
      <c r="F11" s="50"/>
      <c r="G11" s="50"/>
      <c r="H11" s="50"/>
      <c r="I11" s="50"/>
      <c r="J11" s="11"/>
      <c r="K11" s="36"/>
      <c r="L11" s="42"/>
    </row>
    <row r="12" spans="1:12" ht="14.25" x14ac:dyDescent="0.2">
      <c r="A12" s="80" t="s">
        <v>405</v>
      </c>
      <c r="B12" s="80"/>
      <c r="C12" s="135"/>
      <c r="D12" s="135"/>
      <c r="E12" s="135"/>
      <c r="F12" s="135"/>
      <c r="G12" s="135"/>
      <c r="H12" s="135"/>
      <c r="I12" s="135"/>
      <c r="J12" s="10" t="s">
        <v>373</v>
      </c>
      <c r="K12" s="136"/>
      <c r="L12" s="137"/>
    </row>
    <row r="13" spans="1:12" ht="14.25" x14ac:dyDescent="0.2">
      <c r="A13" s="11"/>
      <c r="B13" s="11"/>
      <c r="C13" s="50" t="s">
        <v>378</v>
      </c>
      <c r="D13" s="50"/>
      <c r="E13" s="50"/>
      <c r="F13" s="50"/>
      <c r="G13" s="50"/>
      <c r="H13" s="80" t="s">
        <v>406</v>
      </c>
      <c r="I13" s="80"/>
      <c r="J13" s="82"/>
      <c r="K13" s="101"/>
      <c r="L13" s="103"/>
    </row>
    <row r="14" spans="1:12" ht="14.25" x14ac:dyDescent="0.2">
      <c r="A14" s="11"/>
      <c r="B14" s="11"/>
      <c r="C14" s="11"/>
      <c r="D14" s="11"/>
      <c r="E14" s="80" t="s">
        <v>407</v>
      </c>
      <c r="F14" s="80"/>
      <c r="G14" s="80"/>
      <c r="H14" s="80"/>
      <c r="I14" s="134" t="s">
        <v>383</v>
      </c>
      <c r="J14" s="93"/>
      <c r="K14" s="101"/>
      <c r="L14" s="103"/>
    </row>
    <row r="15" spans="1:12" ht="14.25" x14ac:dyDescent="0.2">
      <c r="A15" s="11"/>
      <c r="B15" s="11"/>
      <c r="C15" s="11"/>
      <c r="D15" s="11"/>
      <c r="E15" s="11"/>
      <c r="F15" s="11"/>
      <c r="G15" s="11"/>
      <c r="H15" s="11"/>
      <c r="I15" s="119" t="s">
        <v>384</v>
      </c>
      <c r="J15" s="120"/>
      <c r="K15" s="121"/>
      <c r="L15" s="122"/>
    </row>
    <row r="16" spans="1:12" ht="14.25" x14ac:dyDescent="0.2">
      <c r="A16" s="11"/>
      <c r="B16" s="11"/>
      <c r="C16" s="11"/>
      <c r="D16" s="11"/>
      <c r="E16" s="11"/>
      <c r="F16" s="11"/>
      <c r="G16" s="11"/>
      <c r="H16" s="11"/>
      <c r="I16" s="93" t="s">
        <v>408</v>
      </c>
      <c r="J16" s="93"/>
      <c r="K16" s="123"/>
      <c r="L16" s="124"/>
    </row>
    <row r="17" spans="1:12" ht="14.25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14.25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4.25" x14ac:dyDescent="0.2">
      <c r="A19" s="11"/>
      <c r="B19" s="11"/>
      <c r="C19" s="125" t="s">
        <v>386</v>
      </c>
      <c r="D19" s="126"/>
      <c r="E19" s="125" t="s">
        <v>387</v>
      </c>
      <c r="F19" s="129"/>
      <c r="G19" s="11"/>
      <c r="H19" s="11"/>
      <c r="I19" s="125" t="s">
        <v>388</v>
      </c>
      <c r="J19" s="126"/>
      <c r="K19" s="126"/>
      <c r="L19" s="129"/>
    </row>
    <row r="20" spans="1:12" ht="14.25" x14ac:dyDescent="0.2">
      <c r="A20" s="11"/>
      <c r="B20" s="11"/>
      <c r="C20" s="127"/>
      <c r="D20" s="128"/>
      <c r="E20" s="127"/>
      <c r="F20" s="130"/>
      <c r="G20" s="11"/>
      <c r="H20" s="11"/>
      <c r="I20" s="131" t="s">
        <v>389</v>
      </c>
      <c r="J20" s="132"/>
      <c r="K20" s="131" t="s">
        <v>390</v>
      </c>
      <c r="L20" s="133"/>
    </row>
    <row r="21" spans="1:12" ht="14.25" x14ac:dyDescent="0.2">
      <c r="A21" s="11"/>
      <c r="B21" s="11"/>
      <c r="C21" s="114"/>
      <c r="D21" s="115"/>
      <c r="E21" s="116"/>
      <c r="F21" s="117"/>
      <c r="G21" s="43"/>
      <c r="H21" s="43"/>
      <c r="I21" s="116"/>
      <c r="J21" s="118"/>
      <c r="K21" s="116"/>
      <c r="L21" s="117"/>
    </row>
    <row r="22" spans="1:12" ht="14.2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14.2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8" x14ac:dyDescent="0.25">
      <c r="A24" s="79" t="s">
        <v>409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</row>
    <row r="25" spans="1:12" ht="18" x14ac:dyDescent="0.25">
      <c r="A25" s="79" t="s">
        <v>410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4.25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ht="14.2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 ht="14.25" x14ac:dyDescent="0.2">
      <c r="A28" s="108" t="s">
        <v>411</v>
      </c>
      <c r="B28" s="108" t="s">
        <v>412</v>
      </c>
      <c r="C28" s="110"/>
      <c r="D28" s="110"/>
      <c r="E28" s="110"/>
      <c r="F28" s="108" t="s">
        <v>369</v>
      </c>
      <c r="G28" s="108" t="s">
        <v>413</v>
      </c>
      <c r="H28" s="110"/>
      <c r="I28" s="110"/>
      <c r="J28" s="110"/>
      <c r="K28" s="110"/>
      <c r="L28" s="112"/>
    </row>
    <row r="29" spans="1:12" x14ac:dyDescent="0.2">
      <c r="A29" s="109"/>
      <c r="B29" s="109"/>
      <c r="C29" s="111"/>
      <c r="D29" s="111"/>
      <c r="E29" s="111"/>
      <c r="F29" s="109"/>
      <c r="G29" s="108" t="s">
        <v>414</v>
      </c>
      <c r="H29" s="110"/>
      <c r="I29" s="108" t="s">
        <v>415</v>
      </c>
      <c r="J29" s="110"/>
      <c r="K29" s="108" t="s">
        <v>416</v>
      </c>
      <c r="L29" s="112"/>
    </row>
    <row r="30" spans="1:12" x14ac:dyDescent="0.2">
      <c r="A30" s="109"/>
      <c r="B30" s="109"/>
      <c r="C30" s="111"/>
      <c r="D30" s="111"/>
      <c r="E30" s="111"/>
      <c r="F30" s="109"/>
      <c r="G30" s="109"/>
      <c r="H30" s="111"/>
      <c r="I30" s="109"/>
      <c r="J30" s="111"/>
      <c r="K30" s="109"/>
      <c r="L30" s="113"/>
    </row>
    <row r="31" spans="1:12" x14ac:dyDescent="0.2">
      <c r="A31" s="109"/>
      <c r="B31" s="109"/>
      <c r="C31" s="111"/>
      <c r="D31" s="111"/>
      <c r="E31" s="111"/>
      <c r="F31" s="109"/>
      <c r="G31" s="109"/>
      <c r="H31" s="111"/>
      <c r="I31" s="109"/>
      <c r="J31" s="111"/>
      <c r="K31" s="109"/>
      <c r="L31" s="113"/>
    </row>
    <row r="32" spans="1:12" x14ac:dyDescent="0.2">
      <c r="A32" s="109"/>
      <c r="B32" s="109"/>
      <c r="C32" s="111"/>
      <c r="D32" s="111"/>
      <c r="E32" s="111"/>
      <c r="F32" s="109"/>
      <c r="G32" s="109"/>
      <c r="H32" s="111"/>
      <c r="I32" s="109"/>
      <c r="J32" s="111"/>
      <c r="K32" s="109"/>
      <c r="L32" s="113"/>
    </row>
    <row r="33" spans="1:12" ht="14.25" x14ac:dyDescent="0.2">
      <c r="A33" s="36">
        <v>1</v>
      </c>
      <c r="B33" s="101">
        <v>2</v>
      </c>
      <c r="C33" s="102"/>
      <c r="D33" s="102"/>
      <c r="E33" s="102"/>
      <c r="F33" s="36">
        <v>3</v>
      </c>
      <c r="G33" s="101">
        <v>4</v>
      </c>
      <c r="H33" s="102"/>
      <c r="I33" s="101">
        <v>5</v>
      </c>
      <c r="J33" s="102"/>
      <c r="K33" s="101">
        <v>6</v>
      </c>
      <c r="L33" s="103"/>
    </row>
    <row r="34" spans="1:12" ht="14.25" x14ac:dyDescent="0.2">
      <c r="A34" s="44"/>
      <c r="B34" s="104" t="s">
        <v>417</v>
      </c>
      <c r="C34" s="91"/>
      <c r="D34" s="91"/>
      <c r="E34" s="91"/>
      <c r="F34" s="45"/>
      <c r="G34" s="105"/>
      <c r="H34" s="106"/>
      <c r="I34" s="105"/>
      <c r="J34" s="106"/>
      <c r="K34" s="105"/>
      <c r="L34" s="107"/>
    </row>
    <row r="35" spans="1:12" ht="14.25" x14ac:dyDescent="0.2">
      <c r="A35" s="46"/>
      <c r="B35" s="89" t="s">
        <v>418</v>
      </c>
      <c r="C35" s="90"/>
      <c r="D35" s="90"/>
      <c r="E35" s="90"/>
      <c r="F35" s="90"/>
      <c r="G35" s="90"/>
      <c r="H35" s="90"/>
      <c r="I35" s="90"/>
      <c r="J35" s="90"/>
      <c r="K35" s="91"/>
      <c r="L35" s="92"/>
    </row>
    <row r="36" spans="1:12" ht="14.25" x14ac:dyDescent="0.2">
      <c r="A36" s="93" t="s">
        <v>310</v>
      </c>
      <c r="B36" s="93"/>
      <c r="C36" s="93"/>
      <c r="D36" s="93"/>
      <c r="E36" s="93"/>
      <c r="F36" s="93"/>
      <c r="G36" s="93"/>
      <c r="H36" s="93"/>
      <c r="I36" s="93"/>
      <c r="J36" s="94"/>
      <c r="K36" s="95"/>
      <c r="L36" s="94"/>
    </row>
    <row r="37" spans="1:12" ht="14.25" x14ac:dyDescent="0.2">
      <c r="A37" s="96" t="s">
        <v>419</v>
      </c>
      <c r="B37" s="96"/>
      <c r="C37" s="96"/>
      <c r="D37" s="96"/>
      <c r="E37" s="96"/>
      <c r="F37" s="96"/>
      <c r="G37" s="96"/>
      <c r="H37" s="96"/>
      <c r="I37" s="96"/>
      <c r="J37" s="96"/>
      <c r="K37" s="97"/>
      <c r="L37" s="98"/>
    </row>
    <row r="38" spans="1:12" ht="14.25" x14ac:dyDescent="0.2">
      <c r="A38" s="96" t="s">
        <v>420</v>
      </c>
      <c r="B38" s="96"/>
      <c r="C38" s="96"/>
      <c r="D38" s="96"/>
      <c r="E38" s="96"/>
      <c r="F38" s="96"/>
      <c r="G38" s="96"/>
      <c r="H38" s="96"/>
      <c r="I38" s="96"/>
      <c r="J38" s="96"/>
      <c r="K38" s="99"/>
      <c r="L38" s="100"/>
    </row>
    <row r="39" spans="1:12" ht="14.25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2" spans="1:12" ht="14.25" x14ac:dyDescent="0.2">
      <c r="A42" s="86" t="s">
        <v>403</v>
      </c>
      <c r="B42" s="86"/>
      <c r="C42" s="87"/>
      <c r="D42" s="87"/>
      <c r="E42" s="87"/>
      <c r="F42" s="11"/>
      <c r="G42" s="87"/>
      <c r="H42" s="87"/>
      <c r="I42" s="11"/>
      <c r="J42" s="87"/>
      <c r="K42" s="87"/>
      <c r="L42" s="87"/>
    </row>
    <row r="43" spans="1:12" ht="14.25" x14ac:dyDescent="0.2">
      <c r="A43" s="11"/>
      <c r="B43" s="11"/>
      <c r="C43" s="88" t="s">
        <v>421</v>
      </c>
      <c r="D43" s="88"/>
      <c r="E43" s="88"/>
      <c r="F43" s="11"/>
      <c r="G43" s="88" t="s">
        <v>422</v>
      </c>
      <c r="H43" s="88"/>
      <c r="I43" s="11"/>
      <c r="J43" s="88" t="s">
        <v>423</v>
      </c>
      <c r="K43" s="88"/>
      <c r="L43" s="88"/>
    </row>
    <row r="44" spans="1:12" ht="14.25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ht="14.25" x14ac:dyDescent="0.2">
      <c r="A45" s="10" t="s">
        <v>424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ht="14.2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ht="14.25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ht="14.25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ht="14.25" x14ac:dyDescent="0.2">
      <c r="A49" s="86" t="s">
        <v>404</v>
      </c>
      <c r="B49" s="86"/>
      <c r="C49" s="87"/>
      <c r="D49" s="87"/>
      <c r="E49" s="87"/>
      <c r="F49" s="11"/>
      <c r="G49" s="87"/>
      <c r="H49" s="87"/>
      <c r="I49" s="11"/>
      <c r="J49" s="87"/>
      <c r="K49" s="87"/>
      <c r="L49" s="87"/>
    </row>
    <row r="50" spans="1:12" ht="14.25" x14ac:dyDescent="0.2">
      <c r="A50" s="11"/>
      <c r="B50" s="11"/>
      <c r="C50" s="88" t="s">
        <v>421</v>
      </c>
      <c r="D50" s="88"/>
      <c r="E50" s="88"/>
      <c r="F50" s="11"/>
      <c r="G50" s="88" t="s">
        <v>422</v>
      </c>
      <c r="H50" s="88"/>
      <c r="I50" s="11"/>
      <c r="J50" s="88" t="s">
        <v>423</v>
      </c>
      <c r="K50" s="88"/>
      <c r="L50" s="88"/>
    </row>
    <row r="51" spans="1:12" ht="14.25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4.25" x14ac:dyDescent="0.2">
      <c r="A52" s="10" t="s">
        <v>424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</sheetData>
  <mergeCells count="79">
    <mergeCell ref="I5:J5"/>
    <mergeCell ref="K5:L5"/>
    <mergeCell ref="A1:D1"/>
    <mergeCell ref="H1:L1"/>
    <mergeCell ref="H2:L2"/>
    <mergeCell ref="H3:L3"/>
    <mergeCell ref="K4:L4"/>
    <mergeCell ref="A12:B12"/>
    <mergeCell ref="C12:I12"/>
    <mergeCell ref="K12:L12"/>
    <mergeCell ref="A6:B6"/>
    <mergeCell ref="C6:I6"/>
    <mergeCell ref="K6:L6"/>
    <mergeCell ref="C7:I7"/>
    <mergeCell ref="A8:B8"/>
    <mergeCell ref="C8:H8"/>
    <mergeCell ref="K8:L8"/>
    <mergeCell ref="C9:I9"/>
    <mergeCell ref="A10:B10"/>
    <mergeCell ref="C10:I10"/>
    <mergeCell ref="K10:L10"/>
    <mergeCell ref="C11:I11"/>
    <mergeCell ref="C13:G13"/>
    <mergeCell ref="H13:J13"/>
    <mergeCell ref="K13:L13"/>
    <mergeCell ref="E14:H14"/>
    <mergeCell ref="I14:J14"/>
    <mergeCell ref="K14:L14"/>
    <mergeCell ref="A25:L25"/>
    <mergeCell ref="I15:J15"/>
    <mergeCell ref="K15:L15"/>
    <mergeCell ref="I16:J16"/>
    <mergeCell ref="K16:L16"/>
    <mergeCell ref="C19:D20"/>
    <mergeCell ref="E19:F20"/>
    <mergeCell ref="I19:L19"/>
    <mergeCell ref="I20:J20"/>
    <mergeCell ref="K20:L20"/>
    <mergeCell ref="C21:D21"/>
    <mergeCell ref="E21:F21"/>
    <mergeCell ref="I21:J21"/>
    <mergeCell ref="K21:L21"/>
    <mergeCell ref="A24:L24"/>
    <mergeCell ref="A28:A32"/>
    <mergeCell ref="B28:E32"/>
    <mergeCell ref="F28:F32"/>
    <mergeCell ref="G28:L28"/>
    <mergeCell ref="G29:H32"/>
    <mergeCell ref="I29:J32"/>
    <mergeCell ref="K29:L32"/>
    <mergeCell ref="A38:J38"/>
    <mergeCell ref="K38:L38"/>
    <mergeCell ref="B33:E33"/>
    <mergeCell ref="G33:H33"/>
    <mergeCell ref="I33:J33"/>
    <mergeCell ref="K33:L33"/>
    <mergeCell ref="B34:E34"/>
    <mergeCell ref="G34:H34"/>
    <mergeCell ref="I34:J34"/>
    <mergeCell ref="K34:L34"/>
    <mergeCell ref="B35:L35"/>
    <mergeCell ref="A36:J36"/>
    <mergeCell ref="K36:L36"/>
    <mergeCell ref="A37:J37"/>
    <mergeCell ref="K37:L37"/>
    <mergeCell ref="A42:B42"/>
    <mergeCell ref="C42:E42"/>
    <mergeCell ref="G42:H42"/>
    <mergeCell ref="J42:L42"/>
    <mergeCell ref="C43:E43"/>
    <mergeCell ref="G43:H43"/>
    <mergeCell ref="J43:L43"/>
    <mergeCell ref="A49:B49"/>
    <mergeCell ref="C49:E49"/>
    <mergeCell ref="G49:H49"/>
    <mergeCell ref="J49:L49"/>
    <mergeCell ref="C50:E50"/>
    <mergeCell ref="G50:H50"/>
    <mergeCell ref="J50:L50"/>
  </mergeCells>
  <pageMargins left="0.4" right="0.2" top="0.2" bottom="0.4" header="0.2" footer="0.2"/>
  <pageSetup paperSize="9" scale="80" fitToHeight="0" orientation="portrait" r:id="rId1"/>
  <headerFooter>
    <oddHeader>&amp;L&amp;8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251"/>
  <sheetViews>
    <sheetView workbookViewId="0">
      <selection activeCell="Q18" sqref="Q18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32306</v>
      </c>
      <c r="M1">
        <v>38078497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246</v>
      </c>
      <c r="C12" s="1">
        <v>0</v>
      </c>
      <c r="D12" s="1">
        <f>ROW(A211)</f>
        <v>211</v>
      </c>
      <c r="E12" s="1">
        <v>0</v>
      </c>
      <c r="F12" s="1" t="s">
        <v>3</v>
      </c>
      <c r="G12" s="1" t="s">
        <v>425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157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16785416</v>
      </c>
      <c r="CI12" s="1" t="s">
        <v>3</v>
      </c>
      <c r="CJ12" s="1" t="s">
        <v>3</v>
      </c>
      <c r="CK12" s="1">
        <v>51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B211</f>
        <v>246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/>
      </c>
      <c r="G18" s="2" t="str">
        <f t="shared" si="0"/>
        <v>Комплекс электромонтажных работ по выполнению п.п. 1-6 технических условий №3714 от 10.12.2019г.</v>
      </c>
      <c r="H18" s="2"/>
      <c r="I18" s="2"/>
      <c r="J18" s="2"/>
      <c r="K18" s="2"/>
      <c r="L18" s="2"/>
      <c r="M18" s="2"/>
      <c r="N18" s="2"/>
      <c r="O18" s="2">
        <f t="shared" ref="O18:AT18" si="1">O211</f>
        <v>70999.22</v>
      </c>
      <c r="P18" s="2">
        <f t="shared" si="1"/>
        <v>25078.04</v>
      </c>
      <c r="Q18" s="2">
        <f t="shared" si="1"/>
        <v>1006.07</v>
      </c>
      <c r="R18" s="2">
        <f t="shared" si="1"/>
        <v>410.93</v>
      </c>
      <c r="S18" s="2">
        <f t="shared" si="1"/>
        <v>44915.11</v>
      </c>
      <c r="T18" s="2">
        <f t="shared" si="1"/>
        <v>0</v>
      </c>
      <c r="U18" s="2">
        <f t="shared" si="1"/>
        <v>137.69220000000001</v>
      </c>
      <c r="V18" s="2">
        <f t="shared" si="1"/>
        <v>0</v>
      </c>
      <c r="W18" s="2">
        <f t="shared" si="1"/>
        <v>0</v>
      </c>
      <c r="X18" s="2">
        <f t="shared" si="1"/>
        <v>32408.65</v>
      </c>
      <c r="Y18" s="2">
        <f t="shared" si="1"/>
        <v>18415.18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122468.2</v>
      </c>
      <c r="AS18" s="2">
        <f t="shared" si="1"/>
        <v>0</v>
      </c>
      <c r="AT18" s="2">
        <f t="shared" si="1"/>
        <v>71937.25</v>
      </c>
      <c r="AU18" s="2">
        <f t="shared" ref="AU18:BZ18" si="2">AU211</f>
        <v>50530.95</v>
      </c>
      <c r="AV18" s="2">
        <f t="shared" si="2"/>
        <v>25078.04</v>
      </c>
      <c r="AW18" s="2">
        <f t="shared" si="2"/>
        <v>25078.04</v>
      </c>
      <c r="AX18" s="2">
        <f t="shared" si="2"/>
        <v>0</v>
      </c>
      <c r="AY18" s="2">
        <f t="shared" si="2"/>
        <v>25078.04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CA211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DG211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EM211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FS211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ROW(A182)</f>
        <v>182</v>
      </c>
      <c r="E20" s="1"/>
      <c r="F20" s="1" t="s">
        <v>11</v>
      </c>
      <c r="G20" s="1" t="s">
        <v>12</v>
      </c>
      <c r="H20" s="1" t="s">
        <v>3</v>
      </c>
      <c r="I20" s="1">
        <v>0</v>
      </c>
      <c r="J20" s="1" t="s">
        <v>3</v>
      </c>
      <c r="K20" s="1">
        <v>-1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45" x14ac:dyDescent="0.2">
      <c r="A22" s="2">
        <v>52</v>
      </c>
      <c r="B22" s="2">
        <f t="shared" ref="B22:G22" si="7">B182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Комплекс электромонтажных работ по адресу: МО, Люберецкий р-н, п. Октябрьский мкр. Западный, Спортивная ул., д. 2, ТУ3714 от 10.12.2019 г. п.п. 1-7</v>
      </c>
      <c r="H22" s="2"/>
      <c r="I22" s="2"/>
      <c r="J22" s="2"/>
      <c r="K22" s="2"/>
      <c r="L22" s="2"/>
      <c r="M22" s="2"/>
      <c r="N22" s="2"/>
      <c r="O22" s="2">
        <f t="shared" ref="O22:AT22" si="8">O182</f>
        <v>70999.22</v>
      </c>
      <c r="P22" s="2">
        <f t="shared" si="8"/>
        <v>25078.04</v>
      </c>
      <c r="Q22" s="2">
        <f t="shared" si="8"/>
        <v>1006.07</v>
      </c>
      <c r="R22" s="2">
        <f t="shared" si="8"/>
        <v>410.93</v>
      </c>
      <c r="S22" s="2">
        <f t="shared" si="8"/>
        <v>44915.11</v>
      </c>
      <c r="T22" s="2">
        <f t="shared" si="8"/>
        <v>0</v>
      </c>
      <c r="U22" s="2">
        <f t="shared" si="8"/>
        <v>137.69220000000001</v>
      </c>
      <c r="V22" s="2">
        <f t="shared" si="8"/>
        <v>0</v>
      </c>
      <c r="W22" s="2">
        <f t="shared" si="8"/>
        <v>0</v>
      </c>
      <c r="X22" s="2">
        <f t="shared" si="8"/>
        <v>32408.65</v>
      </c>
      <c r="Y22" s="2">
        <f t="shared" si="8"/>
        <v>18415.18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122468.2</v>
      </c>
      <c r="AS22" s="2">
        <f t="shared" si="8"/>
        <v>0</v>
      </c>
      <c r="AT22" s="2">
        <f t="shared" si="8"/>
        <v>71937.25</v>
      </c>
      <c r="AU22" s="2">
        <f t="shared" ref="AU22:BZ22" si="9">AU182</f>
        <v>50530.95</v>
      </c>
      <c r="AV22" s="2">
        <f t="shared" si="9"/>
        <v>25078.04</v>
      </c>
      <c r="AW22" s="2">
        <f t="shared" si="9"/>
        <v>25078.04</v>
      </c>
      <c r="AX22" s="2">
        <f t="shared" si="9"/>
        <v>0</v>
      </c>
      <c r="AY22" s="2">
        <f t="shared" si="9"/>
        <v>25078.04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CA182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DG182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EM182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FS182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ROW(A37)</f>
        <v>37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B37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Демонтажные работы</v>
      </c>
      <c r="H26" s="2"/>
      <c r="I26" s="2"/>
      <c r="J26" s="2"/>
      <c r="K26" s="2"/>
      <c r="L26" s="2"/>
      <c r="M26" s="2"/>
      <c r="N26" s="2"/>
      <c r="O26" s="2">
        <f t="shared" ref="O26:AT26" si="15">O37</f>
        <v>4382.2299999999996</v>
      </c>
      <c r="P26" s="2">
        <f t="shared" si="15"/>
        <v>0</v>
      </c>
      <c r="Q26" s="2">
        <f t="shared" si="15"/>
        <v>189.93</v>
      </c>
      <c r="R26" s="2">
        <f t="shared" si="15"/>
        <v>77.94</v>
      </c>
      <c r="S26" s="2">
        <f t="shared" si="15"/>
        <v>4192.3</v>
      </c>
      <c r="T26" s="2">
        <f t="shared" si="15"/>
        <v>0</v>
      </c>
      <c r="U26" s="2">
        <f t="shared" si="15"/>
        <v>14.443199999999999</v>
      </c>
      <c r="V26" s="2">
        <f t="shared" si="15"/>
        <v>0</v>
      </c>
      <c r="W26" s="2">
        <f t="shared" si="15"/>
        <v>0</v>
      </c>
      <c r="X26" s="2">
        <f t="shared" si="15"/>
        <v>3228.07</v>
      </c>
      <c r="Y26" s="2">
        <f t="shared" si="15"/>
        <v>1718.84</v>
      </c>
      <c r="Z26" s="2">
        <f t="shared" si="15"/>
        <v>0</v>
      </c>
      <c r="AA26" s="2">
        <f t="shared" si="15"/>
        <v>0</v>
      </c>
      <c r="AB26" s="2">
        <f t="shared" si="15"/>
        <v>4382.2299999999996</v>
      </c>
      <c r="AC26" s="2">
        <f t="shared" si="15"/>
        <v>0</v>
      </c>
      <c r="AD26" s="2">
        <f t="shared" si="15"/>
        <v>189.93</v>
      </c>
      <c r="AE26" s="2">
        <f t="shared" si="15"/>
        <v>77.94</v>
      </c>
      <c r="AF26" s="2">
        <f t="shared" si="15"/>
        <v>4192.3</v>
      </c>
      <c r="AG26" s="2">
        <f t="shared" si="15"/>
        <v>0</v>
      </c>
      <c r="AH26" s="2">
        <f t="shared" si="15"/>
        <v>14.443199999999999</v>
      </c>
      <c r="AI26" s="2">
        <f t="shared" si="15"/>
        <v>0</v>
      </c>
      <c r="AJ26" s="2">
        <f t="shared" si="15"/>
        <v>0</v>
      </c>
      <c r="AK26" s="2">
        <f t="shared" si="15"/>
        <v>3228.07</v>
      </c>
      <c r="AL26" s="2">
        <f t="shared" si="15"/>
        <v>1718.84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9451.5</v>
      </c>
      <c r="AS26" s="2">
        <f t="shared" si="15"/>
        <v>0</v>
      </c>
      <c r="AT26" s="2">
        <f t="shared" si="15"/>
        <v>9451.5</v>
      </c>
      <c r="AU26" s="2">
        <f t="shared" ref="AU26:BZ26" si="16">AU37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CA37</f>
        <v>9451.5</v>
      </c>
      <c r="CB26" s="2">
        <f t="shared" si="17"/>
        <v>0</v>
      </c>
      <c r="CC26" s="2">
        <f t="shared" si="17"/>
        <v>9451.5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DG37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EM37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FS37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1</v>
      </c>
      <c r="C28">
        <f>ROW(SmtRes!A1)</f>
        <v>1</v>
      </c>
      <c r="D28">
        <f>ROW(EtalonRes!A1)</f>
        <v>1</v>
      </c>
      <c r="E28" t="s">
        <v>15</v>
      </c>
      <c r="F28" t="s">
        <v>16</v>
      </c>
      <c r="G28" t="s">
        <v>17</v>
      </c>
      <c r="H28" t="s">
        <v>18</v>
      </c>
      <c r="I28">
        <v>0</v>
      </c>
      <c r="J28">
        <v>0</v>
      </c>
      <c r="O28">
        <f t="shared" ref="O28:O35" si="21">ROUND(CP28,2)</f>
        <v>0</v>
      </c>
      <c r="P28">
        <f t="shared" ref="P28:P35" si="22">ROUND((ROUND((AC28*AW28*I28),2)*BC28),2)</f>
        <v>0</v>
      </c>
      <c r="Q28">
        <f>(ROUND((ROUND(((ET28)*AV28*I28),2)*BB28),2)+ROUND((ROUND(((AE28-(EU28))*AV28*I28),2)*BS28),2))</f>
        <v>0</v>
      </c>
      <c r="R28">
        <f t="shared" ref="R28:R35" si="23">ROUND((ROUND((AE28*AV28*I28),2)*BS28),2)</f>
        <v>0</v>
      </c>
      <c r="S28">
        <f t="shared" ref="S28:S35" si="24">ROUND((ROUND((AF28*AV28*I28),2)*BA28),2)</f>
        <v>0</v>
      </c>
      <c r="T28">
        <f t="shared" ref="T28:T35" si="25">ROUND(CU28*I28,2)</f>
        <v>0</v>
      </c>
      <c r="U28">
        <f t="shared" ref="U28:U35" si="26">CV28*I28</f>
        <v>0</v>
      </c>
      <c r="V28">
        <f t="shared" ref="V28:V35" si="27">CW28*I28</f>
        <v>0</v>
      </c>
      <c r="W28">
        <f t="shared" ref="W28:W35" si="28">ROUND(CX28*I28,2)</f>
        <v>0</v>
      </c>
      <c r="X28">
        <f t="shared" ref="X28:Y35" si="29">ROUND(CY28,2)</f>
        <v>0</v>
      </c>
      <c r="Y28">
        <f t="shared" si="29"/>
        <v>0</v>
      </c>
      <c r="AA28">
        <v>45723533</v>
      </c>
      <c r="AB28">
        <f t="shared" ref="AB28:AB35" si="30">ROUND((AC28+AD28+AF28),6)</f>
        <v>98.52</v>
      </c>
      <c r="AC28">
        <f>ROUND((ES28),6)</f>
        <v>0</v>
      </c>
      <c r="AD28">
        <f>ROUND((((ET28)-(EU28))+AE28),6)</f>
        <v>0</v>
      </c>
      <c r="AE28">
        <f>ROUND((EU28),6)</f>
        <v>0</v>
      </c>
      <c r="AF28">
        <f>ROUND((EV28),6)</f>
        <v>98.52</v>
      </c>
      <c r="AG28">
        <f t="shared" ref="AG28:AG35" si="31">ROUND((AP28),6)</f>
        <v>0</v>
      </c>
      <c r="AH28">
        <f>(EW28)</f>
        <v>9.64</v>
      </c>
      <c r="AI28">
        <f>(EX28)</f>
        <v>0</v>
      </c>
      <c r="AJ28">
        <f t="shared" ref="AJ28:AJ35" si="32">(AS28)</f>
        <v>0</v>
      </c>
      <c r="AK28">
        <v>98.52</v>
      </c>
      <c r="AL28">
        <v>0</v>
      </c>
      <c r="AM28">
        <v>0</v>
      </c>
      <c r="AN28">
        <v>0</v>
      </c>
      <c r="AO28">
        <v>98.52</v>
      </c>
      <c r="AP28">
        <v>0</v>
      </c>
      <c r="AQ28">
        <v>9.64</v>
      </c>
      <c r="AR28">
        <v>0</v>
      </c>
      <c r="AS28">
        <v>0</v>
      </c>
      <c r="AT28">
        <v>68</v>
      </c>
      <c r="AU28">
        <v>41</v>
      </c>
      <c r="AV28">
        <v>1</v>
      </c>
      <c r="AW28">
        <v>1</v>
      </c>
      <c r="AZ28">
        <v>1</v>
      </c>
      <c r="BA28">
        <v>23.06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652</v>
      </c>
      <c r="BN28">
        <v>0</v>
      </c>
      <c r="BO28" t="s">
        <v>16</v>
      </c>
      <c r="BP28">
        <v>1</v>
      </c>
      <c r="BQ28">
        <v>60</v>
      </c>
      <c r="BR28">
        <v>0</v>
      </c>
      <c r="BS28">
        <v>23.06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68</v>
      </c>
      <c r="CA28">
        <v>41</v>
      </c>
      <c r="CE28">
        <v>30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5" si="33">(P28+Q28+S28)</f>
        <v>0</v>
      </c>
      <c r="CQ28">
        <f t="shared" ref="CQ28:CQ35" si="34">ROUND((ROUND((AC28*AW28*1),2)*BC28),2)</f>
        <v>0</v>
      </c>
      <c r="CR28">
        <f>(ROUND((ROUND(((ET28)*AV28*1),2)*BB28),2)+ROUND((ROUND(((AE28-(EU28))*AV28*1),2)*BS28),2))</f>
        <v>0</v>
      </c>
      <c r="CS28">
        <f t="shared" ref="CS28:CS35" si="35">ROUND((ROUND((AE28*AV28*1),2)*BS28),2)</f>
        <v>0</v>
      </c>
      <c r="CT28">
        <f t="shared" ref="CT28:CT35" si="36">ROUND((ROUND((AF28*AV28*1),2)*BA28),2)</f>
        <v>2271.87</v>
      </c>
      <c r="CU28">
        <f t="shared" ref="CU28:CU35" si="37">AG28</f>
        <v>0</v>
      </c>
      <c r="CV28">
        <f t="shared" ref="CV28:CV35" si="38">(AH28*AV28)</f>
        <v>9.64</v>
      </c>
      <c r="CW28">
        <f t="shared" ref="CW28:CX35" si="39">AI28</f>
        <v>0</v>
      </c>
      <c r="CX28">
        <f t="shared" si="39"/>
        <v>0</v>
      </c>
      <c r="CY28">
        <f t="shared" ref="CY28:CY35" si="40">S28*(BZ28/100)</f>
        <v>0</v>
      </c>
      <c r="CZ28">
        <f t="shared" ref="CZ28:CZ35" si="41">S28*(CA28/100)</f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80</v>
      </c>
      <c r="DO28">
        <v>55</v>
      </c>
      <c r="DP28">
        <v>1</v>
      </c>
      <c r="DQ28">
        <v>1</v>
      </c>
      <c r="DU28">
        <v>1003</v>
      </c>
      <c r="DV28" t="s">
        <v>18</v>
      </c>
      <c r="DW28" t="s">
        <v>18</v>
      </c>
      <c r="DX28">
        <v>100</v>
      </c>
      <c r="EE28">
        <v>42513967</v>
      </c>
      <c r="EF28">
        <v>60</v>
      </c>
      <c r="EG28" t="s">
        <v>20</v>
      </c>
      <c r="EH28">
        <v>0</v>
      </c>
      <c r="EI28" t="s">
        <v>3</v>
      </c>
      <c r="EJ28">
        <v>1</v>
      </c>
      <c r="EK28">
        <v>652</v>
      </c>
      <c r="EL28" t="s">
        <v>21</v>
      </c>
      <c r="EM28" t="s">
        <v>22</v>
      </c>
      <c r="EO28" t="s">
        <v>3</v>
      </c>
      <c r="EQ28">
        <v>131072</v>
      </c>
      <c r="ER28">
        <v>98.52</v>
      </c>
      <c r="ES28">
        <v>0</v>
      </c>
      <c r="ET28">
        <v>0</v>
      </c>
      <c r="EU28">
        <v>0</v>
      </c>
      <c r="EV28">
        <v>98.52</v>
      </c>
      <c r="EW28">
        <v>9.64</v>
      </c>
      <c r="EX28">
        <v>0</v>
      </c>
      <c r="EY28">
        <v>0</v>
      </c>
      <c r="FQ28">
        <v>0</v>
      </c>
      <c r="FR28">
        <f t="shared" ref="FR28:FR35" si="42">ROUND(IF(AND(BH28=3,BI28=3),P28,0),2)</f>
        <v>0</v>
      </c>
      <c r="FS28">
        <v>0</v>
      </c>
      <c r="FX28">
        <v>80</v>
      </c>
      <c r="FY28">
        <v>55</v>
      </c>
      <c r="GA28" t="s">
        <v>3</v>
      </c>
      <c r="GD28">
        <v>0</v>
      </c>
      <c r="GF28">
        <v>-90341211</v>
      </c>
      <c r="GG28">
        <v>2</v>
      </c>
      <c r="GH28">
        <v>1</v>
      </c>
      <c r="GI28">
        <v>2</v>
      </c>
      <c r="GJ28">
        <v>0</v>
      </c>
      <c r="GK28">
        <f>ROUND(R28*(R12)/100,2)</f>
        <v>0</v>
      </c>
      <c r="GL28">
        <f t="shared" ref="GL28:GL35" si="43">ROUND(IF(AND(BH28=3,BI28=3,FS28&lt;&gt;0),P28,0),2)</f>
        <v>0</v>
      </c>
      <c r="GM28">
        <f t="shared" ref="GM28:GM35" si="44">ROUND(O28+X28+Y28+GK28,2)+GX28</f>
        <v>0</v>
      </c>
      <c r="GN28">
        <f t="shared" ref="GN28:GN35" si="45">IF(OR(BI28=0,BI28=1),ROUND(O28+X28+Y28+GK28,2),0)</f>
        <v>0</v>
      </c>
      <c r="GO28">
        <f t="shared" ref="GO28:GO35" si="46">IF(BI28=2,ROUND(O28+X28+Y28+GK28,2),0)</f>
        <v>0</v>
      </c>
      <c r="GP28">
        <f t="shared" ref="GP28:GP35" si="47">IF(BI28=4,ROUND(O28+X28+Y28+GK28,2)+GX28,0)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35" si="48">ROUND((GT28),6)</f>
        <v>0</v>
      </c>
      <c r="GW28">
        <v>1</v>
      </c>
      <c r="GX28">
        <f t="shared" ref="GX28:GX35" si="49">ROUND(HC28*I28,2)</f>
        <v>0</v>
      </c>
      <c r="HA28">
        <v>0</v>
      </c>
      <c r="HB28">
        <v>0</v>
      </c>
      <c r="HC28">
        <f t="shared" ref="HC28:HC35" si="50">GV28*GW28</f>
        <v>0</v>
      </c>
      <c r="IK28">
        <v>0</v>
      </c>
    </row>
    <row r="29" spans="1:245" x14ac:dyDescent="0.2">
      <c r="A29">
        <v>17</v>
      </c>
      <c r="B29">
        <v>1</v>
      </c>
      <c r="C29">
        <f>ROW(SmtRes!A2)</f>
        <v>2</v>
      </c>
      <c r="D29">
        <f>ROW(EtalonRes!A2)</f>
        <v>2</v>
      </c>
      <c r="E29" t="s">
        <v>23</v>
      </c>
      <c r="F29" t="s">
        <v>24</v>
      </c>
      <c r="G29" t="s">
        <v>25</v>
      </c>
      <c r="H29" t="s">
        <v>26</v>
      </c>
      <c r="I29">
        <v>0</v>
      </c>
      <c r="J29">
        <v>0</v>
      </c>
      <c r="O29">
        <f t="shared" si="21"/>
        <v>0</v>
      </c>
      <c r="P29">
        <f t="shared" si="22"/>
        <v>0</v>
      </c>
      <c r="Q29">
        <f t="shared" ref="Q29:Q35" si="51">(ROUND((ROUND((((ET29*0.3))*AV29*I29),2)*BB29),2)+ROUND((ROUND(((AE29-((EU29*0.3)))*AV29*I29),2)*BS29),2))</f>
        <v>0</v>
      </c>
      <c r="R29">
        <f t="shared" si="23"/>
        <v>0</v>
      </c>
      <c r="S29">
        <f t="shared" si="24"/>
        <v>0</v>
      </c>
      <c r="T29">
        <f t="shared" si="25"/>
        <v>0</v>
      </c>
      <c r="U29">
        <f t="shared" si="26"/>
        <v>0</v>
      </c>
      <c r="V29">
        <f t="shared" si="27"/>
        <v>0</v>
      </c>
      <c r="W29">
        <f t="shared" si="28"/>
        <v>0</v>
      </c>
      <c r="X29">
        <f t="shared" si="29"/>
        <v>0</v>
      </c>
      <c r="Y29">
        <f t="shared" si="29"/>
        <v>0</v>
      </c>
      <c r="AA29">
        <v>45723533</v>
      </c>
      <c r="AB29">
        <f t="shared" si="30"/>
        <v>9.0809999999999995</v>
      </c>
      <c r="AC29">
        <f t="shared" ref="AC29:AC35" si="52">ROUND(((ES29*0)),6)</f>
        <v>0</v>
      </c>
      <c r="AD29">
        <f t="shared" ref="AD29:AD35" si="53">ROUND(((((ET29*0.3))-((EU29*0.3)))+AE29),6)</f>
        <v>1.587</v>
      </c>
      <c r="AE29">
        <f t="shared" ref="AE29:AF35" si="54">ROUND(((EU29*0.3)),6)</f>
        <v>0.11700000000000001</v>
      </c>
      <c r="AF29">
        <f t="shared" si="54"/>
        <v>7.4939999999999998</v>
      </c>
      <c r="AG29">
        <f t="shared" si="31"/>
        <v>0</v>
      </c>
      <c r="AH29">
        <f t="shared" ref="AH29:AI35" si="55">((EW29*0.3))</f>
        <v>0.6</v>
      </c>
      <c r="AI29">
        <f t="shared" si="55"/>
        <v>0</v>
      </c>
      <c r="AJ29">
        <f t="shared" si="32"/>
        <v>0</v>
      </c>
      <c r="AK29">
        <v>59.53</v>
      </c>
      <c r="AL29">
        <v>29.26</v>
      </c>
      <c r="AM29">
        <v>5.29</v>
      </c>
      <c r="AN29">
        <v>0.39</v>
      </c>
      <c r="AO29">
        <v>24.98</v>
      </c>
      <c r="AP29">
        <v>0</v>
      </c>
      <c r="AQ29">
        <v>2</v>
      </c>
      <c r="AR29">
        <v>0</v>
      </c>
      <c r="AS29">
        <v>0</v>
      </c>
      <c r="AT29">
        <v>77</v>
      </c>
      <c r="AU29">
        <v>41</v>
      </c>
      <c r="AV29">
        <v>1</v>
      </c>
      <c r="AW29">
        <v>1</v>
      </c>
      <c r="AZ29">
        <v>1</v>
      </c>
      <c r="BA29">
        <v>23.06</v>
      </c>
      <c r="BB29">
        <v>6.5</v>
      </c>
      <c r="BC29">
        <v>5.41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2</v>
      </c>
      <c r="BJ29" t="s">
        <v>27</v>
      </c>
      <c r="BM29">
        <v>333</v>
      </c>
      <c r="BN29">
        <v>0</v>
      </c>
      <c r="BO29" t="s">
        <v>24</v>
      </c>
      <c r="BP29">
        <v>1</v>
      </c>
      <c r="BQ29">
        <v>40</v>
      </c>
      <c r="BR29">
        <v>0</v>
      </c>
      <c r="BS29">
        <v>23.06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77</v>
      </c>
      <c r="CA29">
        <v>41</v>
      </c>
      <c r="CE29">
        <v>30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3"/>
        <v>0</v>
      </c>
      <c r="CQ29">
        <f t="shared" si="34"/>
        <v>0</v>
      </c>
      <c r="CR29">
        <f t="shared" ref="CR29:CR35" si="56">(ROUND((ROUND((((ET29*0.3))*AV29*1),2)*BB29),2)+ROUND((ROUND(((AE29-((EU29*0.3)))*AV29*1),2)*BS29),2))</f>
        <v>10.34</v>
      </c>
      <c r="CS29">
        <f t="shared" si="35"/>
        <v>2.77</v>
      </c>
      <c r="CT29">
        <f t="shared" si="36"/>
        <v>172.72</v>
      </c>
      <c r="CU29">
        <f t="shared" si="37"/>
        <v>0</v>
      </c>
      <c r="CV29">
        <f t="shared" si="38"/>
        <v>0.6</v>
      </c>
      <c r="CW29">
        <f t="shared" si="39"/>
        <v>0</v>
      </c>
      <c r="CX29">
        <f t="shared" si="39"/>
        <v>0</v>
      </c>
      <c r="CY29">
        <f t="shared" si="40"/>
        <v>0</v>
      </c>
      <c r="CZ29">
        <f t="shared" si="41"/>
        <v>0</v>
      </c>
      <c r="DC29" t="s">
        <v>3</v>
      </c>
      <c r="DD29" t="s">
        <v>28</v>
      </c>
      <c r="DE29" t="s">
        <v>29</v>
      </c>
      <c r="DF29" t="s">
        <v>29</v>
      </c>
      <c r="DG29" t="s">
        <v>29</v>
      </c>
      <c r="DH29" t="s">
        <v>3</v>
      </c>
      <c r="DI29" t="s">
        <v>29</v>
      </c>
      <c r="DJ29" t="s">
        <v>29</v>
      </c>
      <c r="DK29" t="s">
        <v>3</v>
      </c>
      <c r="DL29" t="s">
        <v>3</v>
      </c>
      <c r="DM29" t="s">
        <v>3</v>
      </c>
      <c r="DN29">
        <v>114</v>
      </c>
      <c r="DO29">
        <v>67</v>
      </c>
      <c r="DP29">
        <v>1</v>
      </c>
      <c r="DQ29">
        <v>1</v>
      </c>
      <c r="DU29">
        <v>1013</v>
      </c>
      <c r="DV29" t="s">
        <v>26</v>
      </c>
      <c r="DW29" t="s">
        <v>26</v>
      </c>
      <c r="DX29">
        <v>1</v>
      </c>
      <c r="EE29">
        <v>42513648</v>
      </c>
      <c r="EF29">
        <v>40</v>
      </c>
      <c r="EG29" t="s">
        <v>30</v>
      </c>
      <c r="EH29">
        <v>0</v>
      </c>
      <c r="EI29" t="s">
        <v>3</v>
      </c>
      <c r="EJ29">
        <v>2</v>
      </c>
      <c r="EK29">
        <v>333</v>
      </c>
      <c r="EL29" t="s">
        <v>31</v>
      </c>
      <c r="EM29" t="s">
        <v>32</v>
      </c>
      <c r="EO29" t="s">
        <v>3</v>
      </c>
      <c r="EQ29">
        <v>131072</v>
      </c>
      <c r="ER29">
        <v>59.53</v>
      </c>
      <c r="ES29">
        <v>29.26</v>
      </c>
      <c r="ET29">
        <v>5.29</v>
      </c>
      <c r="EU29">
        <v>0.39</v>
      </c>
      <c r="EV29">
        <v>24.98</v>
      </c>
      <c r="EW29">
        <v>2</v>
      </c>
      <c r="EX29">
        <v>0</v>
      </c>
      <c r="EY29">
        <v>0</v>
      </c>
      <c r="FQ29">
        <v>0</v>
      </c>
      <c r="FR29">
        <f t="shared" si="42"/>
        <v>0</v>
      </c>
      <c r="FS29">
        <v>0</v>
      </c>
      <c r="FX29">
        <v>114</v>
      </c>
      <c r="FY29">
        <v>67</v>
      </c>
      <c r="GA29" t="s">
        <v>3</v>
      </c>
      <c r="GD29">
        <v>0</v>
      </c>
      <c r="GF29">
        <v>737420204</v>
      </c>
      <c r="GG29">
        <v>2</v>
      </c>
      <c r="GH29">
        <v>1</v>
      </c>
      <c r="GI29">
        <v>2</v>
      </c>
      <c r="GJ29">
        <v>0</v>
      </c>
      <c r="GK29">
        <f>ROUND(R29*(R12)/100,2)</f>
        <v>0</v>
      </c>
      <c r="GL29">
        <f t="shared" si="43"/>
        <v>0</v>
      </c>
      <c r="GM29">
        <f t="shared" si="44"/>
        <v>0</v>
      </c>
      <c r="GN29">
        <f t="shared" si="45"/>
        <v>0</v>
      </c>
      <c r="GO29">
        <f t="shared" si="46"/>
        <v>0</v>
      </c>
      <c r="GP29">
        <f t="shared" si="47"/>
        <v>0</v>
      </c>
      <c r="GR29">
        <v>0</v>
      </c>
      <c r="GS29">
        <v>3</v>
      </c>
      <c r="GT29">
        <v>0</v>
      </c>
      <c r="GU29" t="s">
        <v>3</v>
      </c>
      <c r="GV29">
        <f t="shared" si="48"/>
        <v>0</v>
      </c>
      <c r="GW29">
        <v>1</v>
      </c>
      <c r="GX29">
        <f t="shared" si="49"/>
        <v>0</v>
      </c>
      <c r="HA29">
        <v>0</v>
      </c>
      <c r="HB29">
        <v>0</v>
      </c>
      <c r="HC29">
        <f t="shared" si="50"/>
        <v>0</v>
      </c>
      <c r="IK29">
        <v>0</v>
      </c>
    </row>
    <row r="30" spans="1:245" x14ac:dyDescent="0.2">
      <c r="A30">
        <v>17</v>
      </c>
      <c r="B30">
        <v>1</v>
      </c>
      <c r="C30">
        <f>ROW(SmtRes!A3)</f>
        <v>3</v>
      </c>
      <c r="D30">
        <f>ROW(EtalonRes!A3)</f>
        <v>3</v>
      </c>
      <c r="E30" t="s">
        <v>33</v>
      </c>
      <c r="F30" t="s">
        <v>34</v>
      </c>
      <c r="G30" t="s">
        <v>35</v>
      </c>
      <c r="H30" t="s">
        <v>26</v>
      </c>
      <c r="I30">
        <v>0</v>
      </c>
      <c r="J30">
        <v>0</v>
      </c>
      <c r="O30">
        <f t="shared" si="21"/>
        <v>0</v>
      </c>
      <c r="P30">
        <f t="shared" si="22"/>
        <v>0</v>
      </c>
      <c r="Q30">
        <f t="shared" si="51"/>
        <v>0</v>
      </c>
      <c r="R30">
        <f t="shared" si="23"/>
        <v>0</v>
      </c>
      <c r="S30">
        <f t="shared" si="24"/>
        <v>0</v>
      </c>
      <c r="T30">
        <f t="shared" si="25"/>
        <v>0</v>
      </c>
      <c r="U30">
        <f t="shared" si="26"/>
        <v>0</v>
      </c>
      <c r="V30">
        <f t="shared" si="27"/>
        <v>0</v>
      </c>
      <c r="W30">
        <f t="shared" si="28"/>
        <v>0</v>
      </c>
      <c r="X30">
        <f t="shared" si="29"/>
        <v>0</v>
      </c>
      <c r="Y30">
        <f t="shared" si="29"/>
        <v>0</v>
      </c>
      <c r="AA30">
        <v>45723533</v>
      </c>
      <c r="AB30">
        <f t="shared" si="30"/>
        <v>4.6440000000000001</v>
      </c>
      <c r="AC30">
        <f t="shared" si="52"/>
        <v>0</v>
      </c>
      <c r="AD30">
        <f t="shared" si="53"/>
        <v>0.14099999999999999</v>
      </c>
      <c r="AE30">
        <f t="shared" si="54"/>
        <v>2.1000000000000001E-2</v>
      </c>
      <c r="AF30">
        <f t="shared" si="54"/>
        <v>4.5030000000000001</v>
      </c>
      <c r="AG30">
        <f t="shared" si="31"/>
        <v>0</v>
      </c>
      <c r="AH30">
        <f t="shared" si="55"/>
        <v>0.318</v>
      </c>
      <c r="AI30">
        <f t="shared" si="55"/>
        <v>0</v>
      </c>
      <c r="AJ30">
        <f t="shared" si="32"/>
        <v>0</v>
      </c>
      <c r="AK30">
        <v>22.27</v>
      </c>
      <c r="AL30">
        <v>6.79</v>
      </c>
      <c r="AM30">
        <v>0.47</v>
      </c>
      <c r="AN30">
        <v>7.0000000000000007E-2</v>
      </c>
      <c r="AO30">
        <v>15.01</v>
      </c>
      <c r="AP30">
        <v>0</v>
      </c>
      <c r="AQ30">
        <v>1.06</v>
      </c>
      <c r="AR30">
        <v>0</v>
      </c>
      <c r="AS30">
        <v>0</v>
      </c>
      <c r="AT30">
        <v>77</v>
      </c>
      <c r="AU30">
        <v>41</v>
      </c>
      <c r="AV30">
        <v>1</v>
      </c>
      <c r="AW30">
        <v>1</v>
      </c>
      <c r="AZ30">
        <v>1</v>
      </c>
      <c r="BA30">
        <v>23.06</v>
      </c>
      <c r="BB30">
        <v>7.85</v>
      </c>
      <c r="BC30">
        <v>5.41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2</v>
      </c>
      <c r="BJ30" t="s">
        <v>36</v>
      </c>
      <c r="BM30">
        <v>333</v>
      </c>
      <c r="BN30">
        <v>0</v>
      </c>
      <c r="BO30" t="s">
        <v>34</v>
      </c>
      <c r="BP30">
        <v>1</v>
      </c>
      <c r="BQ30">
        <v>40</v>
      </c>
      <c r="BR30">
        <v>0</v>
      </c>
      <c r="BS30">
        <v>23.06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77</v>
      </c>
      <c r="CA30">
        <v>41</v>
      </c>
      <c r="CE30">
        <v>30</v>
      </c>
      <c r="CF30">
        <v>0</v>
      </c>
      <c r="CG30">
        <v>0</v>
      </c>
      <c r="CM30">
        <v>0</v>
      </c>
      <c r="CN30" t="s">
        <v>37</v>
      </c>
      <c r="CO30">
        <v>0</v>
      </c>
      <c r="CP30">
        <f t="shared" si="33"/>
        <v>0</v>
      </c>
      <c r="CQ30">
        <f t="shared" si="34"/>
        <v>0</v>
      </c>
      <c r="CR30">
        <f t="shared" si="56"/>
        <v>1.1000000000000001</v>
      </c>
      <c r="CS30">
        <f t="shared" si="35"/>
        <v>0.46</v>
      </c>
      <c r="CT30">
        <f t="shared" si="36"/>
        <v>103.77</v>
      </c>
      <c r="CU30">
        <f t="shared" si="37"/>
        <v>0</v>
      </c>
      <c r="CV30">
        <f t="shared" si="38"/>
        <v>0.318</v>
      </c>
      <c r="CW30">
        <f t="shared" si="39"/>
        <v>0</v>
      </c>
      <c r="CX30">
        <f t="shared" si="39"/>
        <v>0</v>
      </c>
      <c r="CY30">
        <f t="shared" si="40"/>
        <v>0</v>
      </c>
      <c r="CZ30">
        <f t="shared" si="41"/>
        <v>0</v>
      </c>
      <c r="DC30" t="s">
        <v>3</v>
      </c>
      <c r="DD30" t="s">
        <v>38</v>
      </c>
      <c r="DE30" t="s">
        <v>39</v>
      </c>
      <c r="DF30" t="s">
        <v>39</v>
      </c>
      <c r="DG30" t="s">
        <v>39</v>
      </c>
      <c r="DH30" t="s">
        <v>3</v>
      </c>
      <c r="DI30" t="s">
        <v>39</v>
      </c>
      <c r="DJ30" t="s">
        <v>39</v>
      </c>
      <c r="DK30" t="s">
        <v>3</v>
      </c>
      <c r="DL30" t="s">
        <v>3</v>
      </c>
      <c r="DM30" t="s">
        <v>3</v>
      </c>
      <c r="DN30">
        <v>114</v>
      </c>
      <c r="DO30">
        <v>67</v>
      </c>
      <c r="DP30">
        <v>1</v>
      </c>
      <c r="DQ30">
        <v>1</v>
      </c>
      <c r="DU30">
        <v>1013</v>
      </c>
      <c r="DV30" t="s">
        <v>26</v>
      </c>
      <c r="DW30" t="s">
        <v>26</v>
      </c>
      <c r="DX30">
        <v>1</v>
      </c>
      <c r="EE30">
        <v>42513648</v>
      </c>
      <c r="EF30">
        <v>40</v>
      </c>
      <c r="EG30" t="s">
        <v>30</v>
      </c>
      <c r="EH30">
        <v>0</v>
      </c>
      <c r="EI30" t="s">
        <v>3</v>
      </c>
      <c r="EJ30">
        <v>2</v>
      </c>
      <c r="EK30">
        <v>333</v>
      </c>
      <c r="EL30" t="s">
        <v>31</v>
      </c>
      <c r="EM30" t="s">
        <v>32</v>
      </c>
      <c r="EO30" t="s">
        <v>40</v>
      </c>
      <c r="EQ30">
        <v>131072</v>
      </c>
      <c r="ER30">
        <v>22.27</v>
      </c>
      <c r="ES30">
        <v>6.79</v>
      </c>
      <c r="ET30">
        <v>0.47</v>
      </c>
      <c r="EU30">
        <v>7.0000000000000007E-2</v>
      </c>
      <c r="EV30">
        <v>15.01</v>
      </c>
      <c r="EW30">
        <v>1.06</v>
      </c>
      <c r="EX30">
        <v>0</v>
      </c>
      <c r="EY30">
        <v>0</v>
      </c>
      <c r="FQ30">
        <v>0</v>
      </c>
      <c r="FR30">
        <f t="shared" si="42"/>
        <v>0</v>
      </c>
      <c r="FS30">
        <v>0</v>
      </c>
      <c r="FX30">
        <v>114</v>
      </c>
      <c r="FY30">
        <v>67</v>
      </c>
      <c r="GA30" t="s">
        <v>3</v>
      </c>
      <c r="GD30">
        <v>0</v>
      </c>
      <c r="GF30">
        <v>1715411135</v>
      </c>
      <c r="GG30">
        <v>2</v>
      </c>
      <c r="GH30">
        <v>1</v>
      </c>
      <c r="GI30">
        <v>2</v>
      </c>
      <c r="GJ30">
        <v>0</v>
      </c>
      <c r="GK30">
        <f>ROUND(R30*(R12)/100,2)</f>
        <v>0</v>
      </c>
      <c r="GL30">
        <f t="shared" si="43"/>
        <v>0</v>
      </c>
      <c r="GM30">
        <f t="shared" si="44"/>
        <v>0</v>
      </c>
      <c r="GN30">
        <f t="shared" si="45"/>
        <v>0</v>
      </c>
      <c r="GO30">
        <f t="shared" si="46"/>
        <v>0</v>
      </c>
      <c r="GP30">
        <f t="shared" si="47"/>
        <v>0</v>
      </c>
      <c r="GR30">
        <v>0</v>
      </c>
      <c r="GS30">
        <v>3</v>
      </c>
      <c r="GT30">
        <v>0</v>
      </c>
      <c r="GU30" t="s">
        <v>3</v>
      </c>
      <c r="GV30">
        <f t="shared" si="48"/>
        <v>0</v>
      </c>
      <c r="GW30">
        <v>1</v>
      </c>
      <c r="GX30">
        <f t="shared" si="49"/>
        <v>0</v>
      </c>
      <c r="HA30">
        <v>0</v>
      </c>
      <c r="HB30">
        <v>0</v>
      </c>
      <c r="HC30">
        <f t="shared" si="50"/>
        <v>0</v>
      </c>
      <c r="IK30">
        <v>0</v>
      </c>
    </row>
    <row r="31" spans="1:245" x14ac:dyDescent="0.2">
      <c r="A31">
        <v>17</v>
      </c>
      <c r="B31">
        <v>1</v>
      </c>
      <c r="D31">
        <f>ROW(EtalonRes!A4)</f>
        <v>4</v>
      </c>
      <c r="E31" t="s">
        <v>41</v>
      </c>
      <c r="F31" t="s">
        <v>42</v>
      </c>
      <c r="G31" t="s">
        <v>43</v>
      </c>
      <c r="H31" t="s">
        <v>44</v>
      </c>
      <c r="I31">
        <v>0.06</v>
      </c>
      <c r="J31">
        <v>0</v>
      </c>
      <c r="O31">
        <f t="shared" si="21"/>
        <v>218.07</v>
      </c>
      <c r="P31">
        <f t="shared" si="22"/>
        <v>0</v>
      </c>
      <c r="Q31">
        <f t="shared" si="51"/>
        <v>2.23</v>
      </c>
      <c r="R31">
        <f t="shared" si="23"/>
        <v>0.92</v>
      </c>
      <c r="S31">
        <f t="shared" si="24"/>
        <v>215.84</v>
      </c>
      <c r="T31">
        <f t="shared" si="25"/>
        <v>0</v>
      </c>
      <c r="U31">
        <f t="shared" si="26"/>
        <v>0.74160000000000004</v>
      </c>
      <c r="V31">
        <f t="shared" si="27"/>
        <v>0</v>
      </c>
      <c r="W31">
        <f t="shared" si="28"/>
        <v>0</v>
      </c>
      <c r="X31">
        <f t="shared" si="29"/>
        <v>166.2</v>
      </c>
      <c r="Y31">
        <f t="shared" si="29"/>
        <v>88.49</v>
      </c>
      <c r="AA31">
        <v>45723533</v>
      </c>
      <c r="AB31">
        <f t="shared" si="30"/>
        <v>160.60499999999999</v>
      </c>
      <c r="AC31">
        <f t="shared" si="52"/>
        <v>0</v>
      </c>
      <c r="AD31">
        <f t="shared" si="53"/>
        <v>4.6230000000000002</v>
      </c>
      <c r="AE31">
        <f t="shared" si="54"/>
        <v>0.71699999999999997</v>
      </c>
      <c r="AF31">
        <f t="shared" si="54"/>
        <v>155.982</v>
      </c>
      <c r="AG31">
        <f t="shared" si="31"/>
        <v>0</v>
      </c>
      <c r="AH31">
        <f t="shared" si="55"/>
        <v>12.360000000000001</v>
      </c>
      <c r="AI31">
        <f t="shared" si="55"/>
        <v>0</v>
      </c>
      <c r="AJ31">
        <f t="shared" si="32"/>
        <v>0</v>
      </c>
      <c r="AK31">
        <v>620.04999999999995</v>
      </c>
      <c r="AL31">
        <v>84.7</v>
      </c>
      <c r="AM31">
        <v>15.41</v>
      </c>
      <c r="AN31">
        <v>2.39</v>
      </c>
      <c r="AO31">
        <v>519.94000000000005</v>
      </c>
      <c r="AP31">
        <v>0</v>
      </c>
      <c r="AQ31">
        <v>41.2</v>
      </c>
      <c r="AR31">
        <v>0</v>
      </c>
      <c r="AS31">
        <v>0</v>
      </c>
      <c r="AT31">
        <v>77</v>
      </c>
      <c r="AU31">
        <v>41</v>
      </c>
      <c r="AV31">
        <v>1</v>
      </c>
      <c r="AW31">
        <v>1</v>
      </c>
      <c r="AZ31">
        <v>1</v>
      </c>
      <c r="BA31">
        <v>23.06</v>
      </c>
      <c r="BB31">
        <v>7.95</v>
      </c>
      <c r="BC31">
        <v>5.41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2</v>
      </c>
      <c r="BJ31" t="s">
        <v>45</v>
      </c>
      <c r="BM31">
        <v>317</v>
      </c>
      <c r="BN31">
        <v>0</v>
      </c>
      <c r="BO31" t="s">
        <v>42</v>
      </c>
      <c r="BP31">
        <v>1</v>
      </c>
      <c r="BQ31">
        <v>40</v>
      </c>
      <c r="BR31">
        <v>0</v>
      </c>
      <c r="BS31">
        <v>23.06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77</v>
      </c>
      <c r="CA31">
        <v>41</v>
      </c>
      <c r="CE31">
        <v>30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3"/>
        <v>218.07</v>
      </c>
      <c r="CQ31">
        <f t="shared" si="34"/>
        <v>0</v>
      </c>
      <c r="CR31">
        <f t="shared" si="56"/>
        <v>36.729999999999997</v>
      </c>
      <c r="CS31">
        <f t="shared" si="35"/>
        <v>16.600000000000001</v>
      </c>
      <c r="CT31">
        <f t="shared" si="36"/>
        <v>3596.9</v>
      </c>
      <c r="CU31">
        <f t="shared" si="37"/>
        <v>0</v>
      </c>
      <c r="CV31">
        <f t="shared" si="38"/>
        <v>12.360000000000001</v>
      </c>
      <c r="CW31">
        <f t="shared" si="39"/>
        <v>0</v>
      </c>
      <c r="CX31">
        <f t="shared" si="39"/>
        <v>0</v>
      </c>
      <c r="CY31">
        <f t="shared" si="40"/>
        <v>166.1968</v>
      </c>
      <c r="CZ31">
        <f t="shared" si="41"/>
        <v>88.494399999999999</v>
      </c>
      <c r="DC31" t="s">
        <v>3</v>
      </c>
      <c r="DD31" t="s">
        <v>28</v>
      </c>
      <c r="DE31" t="s">
        <v>29</v>
      </c>
      <c r="DF31" t="s">
        <v>29</v>
      </c>
      <c r="DG31" t="s">
        <v>29</v>
      </c>
      <c r="DH31" t="s">
        <v>3</v>
      </c>
      <c r="DI31" t="s">
        <v>29</v>
      </c>
      <c r="DJ31" t="s">
        <v>29</v>
      </c>
      <c r="DK31" t="s">
        <v>3</v>
      </c>
      <c r="DL31" t="s">
        <v>3</v>
      </c>
      <c r="DM31" t="s">
        <v>3</v>
      </c>
      <c r="DN31">
        <v>114</v>
      </c>
      <c r="DO31">
        <v>67</v>
      </c>
      <c r="DP31">
        <v>1</v>
      </c>
      <c r="DQ31">
        <v>1</v>
      </c>
      <c r="DU31">
        <v>1010</v>
      </c>
      <c r="DV31" t="s">
        <v>44</v>
      </c>
      <c r="DW31" t="s">
        <v>44</v>
      </c>
      <c r="DX31">
        <v>100</v>
      </c>
      <c r="EE31">
        <v>42513632</v>
      </c>
      <c r="EF31">
        <v>40</v>
      </c>
      <c r="EG31" t="s">
        <v>30</v>
      </c>
      <c r="EH31">
        <v>0</v>
      </c>
      <c r="EI31" t="s">
        <v>3</v>
      </c>
      <c r="EJ31">
        <v>2</v>
      </c>
      <c r="EK31">
        <v>317</v>
      </c>
      <c r="EL31" t="s">
        <v>46</v>
      </c>
      <c r="EM31" t="s">
        <v>47</v>
      </c>
      <c r="EO31" t="s">
        <v>3</v>
      </c>
      <c r="EQ31">
        <v>131072</v>
      </c>
      <c r="ER31">
        <v>620.04999999999995</v>
      </c>
      <c r="ES31">
        <v>84.7</v>
      </c>
      <c r="ET31">
        <v>15.41</v>
      </c>
      <c r="EU31">
        <v>2.39</v>
      </c>
      <c r="EV31">
        <v>519.94000000000005</v>
      </c>
      <c r="EW31">
        <v>41.2</v>
      </c>
      <c r="EX31">
        <v>0</v>
      </c>
      <c r="EY31">
        <v>0</v>
      </c>
      <c r="FQ31">
        <v>0</v>
      </c>
      <c r="FR31">
        <f t="shared" si="42"/>
        <v>0</v>
      </c>
      <c r="FS31">
        <v>0</v>
      </c>
      <c r="FX31">
        <v>114</v>
      </c>
      <c r="FY31">
        <v>67</v>
      </c>
      <c r="GA31" t="s">
        <v>3</v>
      </c>
      <c r="GD31">
        <v>0</v>
      </c>
      <c r="GF31">
        <v>224894942</v>
      </c>
      <c r="GG31">
        <v>2</v>
      </c>
      <c r="GH31">
        <v>1</v>
      </c>
      <c r="GI31">
        <v>2</v>
      </c>
      <c r="GJ31">
        <v>0</v>
      </c>
      <c r="GK31">
        <f>ROUND(R31*(R12)/100,2)</f>
        <v>1.44</v>
      </c>
      <c r="GL31">
        <f t="shared" si="43"/>
        <v>0</v>
      </c>
      <c r="GM31">
        <f t="shared" si="44"/>
        <v>474.2</v>
      </c>
      <c r="GN31">
        <f t="shared" si="45"/>
        <v>0</v>
      </c>
      <c r="GO31">
        <f t="shared" si="46"/>
        <v>474.2</v>
      </c>
      <c r="GP31">
        <f t="shared" si="47"/>
        <v>0</v>
      </c>
      <c r="GR31">
        <v>0</v>
      </c>
      <c r="GS31">
        <v>3</v>
      </c>
      <c r="GT31">
        <v>0</v>
      </c>
      <c r="GU31" t="s">
        <v>3</v>
      </c>
      <c r="GV31">
        <f t="shared" si="48"/>
        <v>0</v>
      </c>
      <c r="GW31">
        <v>1</v>
      </c>
      <c r="GX31">
        <f t="shared" si="49"/>
        <v>0</v>
      </c>
      <c r="HA31">
        <v>0</v>
      </c>
      <c r="HB31">
        <v>0</v>
      </c>
      <c r="HC31">
        <f t="shared" si="50"/>
        <v>0</v>
      </c>
      <c r="IK31">
        <v>0</v>
      </c>
    </row>
    <row r="32" spans="1:245" x14ac:dyDescent="0.2">
      <c r="A32">
        <v>17</v>
      </c>
      <c r="B32">
        <v>1</v>
      </c>
      <c r="C32">
        <f>ROW(SmtRes!A4)</f>
        <v>4</v>
      </c>
      <c r="D32">
        <f>ROW(EtalonRes!A5)</f>
        <v>5</v>
      </c>
      <c r="E32" t="s">
        <v>48</v>
      </c>
      <c r="F32" t="s">
        <v>49</v>
      </c>
      <c r="G32" t="s">
        <v>50</v>
      </c>
      <c r="H32" t="s">
        <v>26</v>
      </c>
      <c r="I32">
        <v>3</v>
      </c>
      <c r="J32">
        <v>0</v>
      </c>
      <c r="O32">
        <f t="shared" si="21"/>
        <v>3697.43</v>
      </c>
      <c r="P32">
        <f t="shared" si="22"/>
        <v>0</v>
      </c>
      <c r="Q32">
        <f t="shared" si="51"/>
        <v>187.7</v>
      </c>
      <c r="R32">
        <f t="shared" si="23"/>
        <v>77.02</v>
      </c>
      <c r="S32">
        <f t="shared" si="24"/>
        <v>3509.73</v>
      </c>
      <c r="T32">
        <f t="shared" si="25"/>
        <v>0</v>
      </c>
      <c r="U32">
        <f t="shared" si="26"/>
        <v>12.059999999999999</v>
      </c>
      <c r="V32">
        <f t="shared" si="27"/>
        <v>0</v>
      </c>
      <c r="W32">
        <f t="shared" si="28"/>
        <v>0</v>
      </c>
      <c r="X32">
        <f t="shared" si="29"/>
        <v>2702.49</v>
      </c>
      <c r="Y32">
        <f t="shared" si="29"/>
        <v>1438.99</v>
      </c>
      <c r="AA32">
        <v>45723533</v>
      </c>
      <c r="AB32">
        <f t="shared" si="30"/>
        <v>58.976999999999997</v>
      </c>
      <c r="AC32">
        <f t="shared" si="52"/>
        <v>0</v>
      </c>
      <c r="AD32">
        <f t="shared" si="53"/>
        <v>8.2439999999999998</v>
      </c>
      <c r="AE32">
        <f t="shared" si="54"/>
        <v>1.113</v>
      </c>
      <c r="AF32">
        <f t="shared" si="54"/>
        <v>50.732999999999997</v>
      </c>
      <c r="AG32">
        <f t="shared" si="31"/>
        <v>0</v>
      </c>
      <c r="AH32">
        <f t="shared" si="55"/>
        <v>4.0199999999999996</v>
      </c>
      <c r="AI32">
        <f t="shared" si="55"/>
        <v>0</v>
      </c>
      <c r="AJ32">
        <f t="shared" si="32"/>
        <v>0</v>
      </c>
      <c r="AK32">
        <v>264.98</v>
      </c>
      <c r="AL32">
        <v>68.39</v>
      </c>
      <c r="AM32">
        <v>27.48</v>
      </c>
      <c r="AN32">
        <v>3.71</v>
      </c>
      <c r="AO32">
        <v>169.11</v>
      </c>
      <c r="AP32">
        <v>0</v>
      </c>
      <c r="AQ32">
        <v>13.4</v>
      </c>
      <c r="AR32">
        <v>0</v>
      </c>
      <c r="AS32">
        <v>0</v>
      </c>
      <c r="AT32">
        <v>77</v>
      </c>
      <c r="AU32">
        <v>41</v>
      </c>
      <c r="AV32">
        <v>1</v>
      </c>
      <c r="AW32">
        <v>1</v>
      </c>
      <c r="AZ32">
        <v>1</v>
      </c>
      <c r="BA32">
        <v>23.06</v>
      </c>
      <c r="BB32">
        <v>7.59</v>
      </c>
      <c r="BC32">
        <v>5.41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2</v>
      </c>
      <c r="BJ32" t="s">
        <v>51</v>
      </c>
      <c r="BM32">
        <v>317</v>
      </c>
      <c r="BN32">
        <v>0</v>
      </c>
      <c r="BO32" t="s">
        <v>49</v>
      </c>
      <c r="BP32">
        <v>1</v>
      </c>
      <c r="BQ32">
        <v>40</v>
      </c>
      <c r="BR32">
        <v>0</v>
      </c>
      <c r="BS32">
        <v>23.06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77</v>
      </c>
      <c r="CA32">
        <v>41</v>
      </c>
      <c r="CE32">
        <v>30</v>
      </c>
      <c r="CF32">
        <v>0</v>
      </c>
      <c r="CG32">
        <v>0</v>
      </c>
      <c r="CM32">
        <v>0</v>
      </c>
      <c r="CN32" t="s">
        <v>37</v>
      </c>
      <c r="CO32">
        <v>0</v>
      </c>
      <c r="CP32">
        <f t="shared" si="33"/>
        <v>3697.43</v>
      </c>
      <c r="CQ32">
        <f t="shared" si="34"/>
        <v>0</v>
      </c>
      <c r="CR32">
        <f t="shared" si="56"/>
        <v>62.54</v>
      </c>
      <c r="CS32">
        <f t="shared" si="35"/>
        <v>25.6</v>
      </c>
      <c r="CT32">
        <f t="shared" si="36"/>
        <v>1169.83</v>
      </c>
      <c r="CU32">
        <f t="shared" si="37"/>
        <v>0</v>
      </c>
      <c r="CV32">
        <f t="shared" si="38"/>
        <v>4.0199999999999996</v>
      </c>
      <c r="CW32">
        <f t="shared" si="39"/>
        <v>0</v>
      </c>
      <c r="CX32">
        <f t="shared" si="39"/>
        <v>0</v>
      </c>
      <c r="CY32">
        <f t="shared" si="40"/>
        <v>2702.4920999999999</v>
      </c>
      <c r="CZ32">
        <f t="shared" si="41"/>
        <v>1438.9893</v>
      </c>
      <c r="DC32" t="s">
        <v>3</v>
      </c>
      <c r="DD32" t="s">
        <v>38</v>
      </c>
      <c r="DE32" t="s">
        <v>39</v>
      </c>
      <c r="DF32" t="s">
        <v>39</v>
      </c>
      <c r="DG32" t="s">
        <v>39</v>
      </c>
      <c r="DH32" t="s">
        <v>3</v>
      </c>
      <c r="DI32" t="s">
        <v>39</v>
      </c>
      <c r="DJ32" t="s">
        <v>39</v>
      </c>
      <c r="DK32" t="s">
        <v>3</v>
      </c>
      <c r="DL32" t="s">
        <v>3</v>
      </c>
      <c r="DM32" t="s">
        <v>3</v>
      </c>
      <c r="DN32">
        <v>114</v>
      </c>
      <c r="DO32">
        <v>67</v>
      </c>
      <c r="DP32">
        <v>1</v>
      </c>
      <c r="DQ32">
        <v>1</v>
      </c>
      <c r="DU32">
        <v>1013</v>
      </c>
      <c r="DV32" t="s">
        <v>26</v>
      </c>
      <c r="DW32" t="s">
        <v>26</v>
      </c>
      <c r="DX32">
        <v>1</v>
      </c>
      <c r="EE32">
        <v>42513632</v>
      </c>
      <c r="EF32">
        <v>40</v>
      </c>
      <c r="EG32" t="s">
        <v>30</v>
      </c>
      <c r="EH32">
        <v>0</v>
      </c>
      <c r="EI32" t="s">
        <v>3</v>
      </c>
      <c r="EJ32">
        <v>2</v>
      </c>
      <c r="EK32">
        <v>317</v>
      </c>
      <c r="EL32" t="s">
        <v>46</v>
      </c>
      <c r="EM32" t="s">
        <v>47</v>
      </c>
      <c r="EO32" t="s">
        <v>40</v>
      </c>
      <c r="EQ32">
        <v>131072</v>
      </c>
      <c r="ER32">
        <v>264.98</v>
      </c>
      <c r="ES32">
        <v>68.39</v>
      </c>
      <c r="ET32">
        <v>27.48</v>
      </c>
      <c r="EU32">
        <v>3.71</v>
      </c>
      <c r="EV32">
        <v>169.11</v>
      </c>
      <c r="EW32">
        <v>13.4</v>
      </c>
      <c r="EX32">
        <v>0</v>
      </c>
      <c r="EY32">
        <v>0</v>
      </c>
      <c r="FQ32">
        <v>0</v>
      </c>
      <c r="FR32">
        <f t="shared" si="42"/>
        <v>0</v>
      </c>
      <c r="FS32">
        <v>0</v>
      </c>
      <c r="FX32">
        <v>114</v>
      </c>
      <c r="FY32">
        <v>67</v>
      </c>
      <c r="GA32" t="s">
        <v>3</v>
      </c>
      <c r="GD32">
        <v>0</v>
      </c>
      <c r="GF32">
        <v>-1494046722</v>
      </c>
      <c r="GG32">
        <v>2</v>
      </c>
      <c r="GH32">
        <v>1</v>
      </c>
      <c r="GI32">
        <v>2</v>
      </c>
      <c r="GJ32">
        <v>0</v>
      </c>
      <c r="GK32">
        <f>ROUND(R32*(R12)/100,2)</f>
        <v>120.92</v>
      </c>
      <c r="GL32">
        <f t="shared" si="43"/>
        <v>0</v>
      </c>
      <c r="GM32">
        <f t="shared" si="44"/>
        <v>7959.83</v>
      </c>
      <c r="GN32">
        <f t="shared" si="45"/>
        <v>0</v>
      </c>
      <c r="GO32">
        <f t="shared" si="46"/>
        <v>7959.83</v>
      </c>
      <c r="GP32">
        <f t="shared" si="47"/>
        <v>0</v>
      </c>
      <c r="GR32">
        <v>0</v>
      </c>
      <c r="GS32">
        <v>3</v>
      </c>
      <c r="GT32">
        <v>0</v>
      </c>
      <c r="GU32" t="s">
        <v>3</v>
      </c>
      <c r="GV32">
        <f t="shared" si="48"/>
        <v>0</v>
      </c>
      <c r="GW32">
        <v>1</v>
      </c>
      <c r="GX32">
        <f t="shared" si="49"/>
        <v>0</v>
      </c>
      <c r="HA32">
        <v>0</v>
      </c>
      <c r="HB32">
        <v>0</v>
      </c>
      <c r="HC32">
        <f t="shared" si="50"/>
        <v>0</v>
      </c>
      <c r="IK32">
        <v>0</v>
      </c>
    </row>
    <row r="33" spans="1:245" x14ac:dyDescent="0.2">
      <c r="A33">
        <v>17</v>
      </c>
      <c r="B33">
        <v>1</v>
      </c>
      <c r="D33">
        <f>ROW(EtalonRes!A6)</f>
        <v>6</v>
      </c>
      <c r="E33" t="s">
        <v>52</v>
      </c>
      <c r="F33" t="s">
        <v>53</v>
      </c>
      <c r="G33" t="s">
        <v>54</v>
      </c>
      <c r="H33" t="s">
        <v>26</v>
      </c>
      <c r="I33">
        <v>0</v>
      </c>
      <c r="J33">
        <v>0</v>
      </c>
      <c r="O33">
        <f t="shared" si="21"/>
        <v>0</v>
      </c>
      <c r="P33">
        <f t="shared" si="22"/>
        <v>0</v>
      </c>
      <c r="Q33">
        <f t="shared" si="51"/>
        <v>0</v>
      </c>
      <c r="R33">
        <f t="shared" si="23"/>
        <v>0</v>
      </c>
      <c r="S33">
        <f t="shared" si="24"/>
        <v>0</v>
      </c>
      <c r="T33">
        <f t="shared" si="25"/>
        <v>0</v>
      </c>
      <c r="U33">
        <f t="shared" si="26"/>
        <v>0</v>
      </c>
      <c r="V33">
        <f t="shared" si="27"/>
        <v>0</v>
      </c>
      <c r="W33">
        <f t="shared" si="28"/>
        <v>0</v>
      </c>
      <c r="X33">
        <f t="shared" si="29"/>
        <v>0</v>
      </c>
      <c r="Y33">
        <f t="shared" si="29"/>
        <v>0</v>
      </c>
      <c r="AA33">
        <v>45723533</v>
      </c>
      <c r="AB33">
        <f t="shared" si="30"/>
        <v>167.24700000000001</v>
      </c>
      <c r="AC33">
        <f t="shared" si="52"/>
        <v>0</v>
      </c>
      <c r="AD33">
        <f t="shared" si="53"/>
        <v>38.523000000000003</v>
      </c>
      <c r="AE33">
        <f t="shared" si="54"/>
        <v>4.242</v>
      </c>
      <c r="AF33">
        <f t="shared" si="54"/>
        <v>128.72399999999999</v>
      </c>
      <c r="AG33">
        <f t="shared" si="31"/>
        <v>0</v>
      </c>
      <c r="AH33">
        <f t="shared" si="55"/>
        <v>10.199999999999999</v>
      </c>
      <c r="AI33">
        <f t="shared" si="55"/>
        <v>0</v>
      </c>
      <c r="AJ33">
        <f t="shared" si="32"/>
        <v>0</v>
      </c>
      <c r="AK33">
        <v>598.79</v>
      </c>
      <c r="AL33">
        <v>41.3</v>
      </c>
      <c r="AM33">
        <v>128.41</v>
      </c>
      <c r="AN33">
        <v>14.14</v>
      </c>
      <c r="AO33">
        <v>429.08</v>
      </c>
      <c r="AP33">
        <v>0</v>
      </c>
      <c r="AQ33">
        <v>34</v>
      </c>
      <c r="AR33">
        <v>0</v>
      </c>
      <c r="AS33">
        <v>0</v>
      </c>
      <c r="AT33">
        <v>77</v>
      </c>
      <c r="AU33">
        <v>41</v>
      </c>
      <c r="AV33">
        <v>1</v>
      </c>
      <c r="AW33">
        <v>1</v>
      </c>
      <c r="AZ33">
        <v>1</v>
      </c>
      <c r="BA33">
        <v>23.06</v>
      </c>
      <c r="BB33">
        <v>7.15</v>
      </c>
      <c r="BC33">
        <v>5.41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2</v>
      </c>
      <c r="BJ33" t="s">
        <v>55</v>
      </c>
      <c r="BM33">
        <v>316</v>
      </c>
      <c r="BN33">
        <v>0</v>
      </c>
      <c r="BO33" t="s">
        <v>53</v>
      </c>
      <c r="BP33">
        <v>1</v>
      </c>
      <c r="BQ33">
        <v>40</v>
      </c>
      <c r="BR33">
        <v>0</v>
      </c>
      <c r="BS33">
        <v>23.06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77</v>
      </c>
      <c r="CA33">
        <v>41</v>
      </c>
      <c r="CE33">
        <v>30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3"/>
        <v>0</v>
      </c>
      <c r="CQ33">
        <f t="shared" si="34"/>
        <v>0</v>
      </c>
      <c r="CR33">
        <f t="shared" si="56"/>
        <v>275.42</v>
      </c>
      <c r="CS33">
        <f t="shared" si="35"/>
        <v>97.77</v>
      </c>
      <c r="CT33">
        <f t="shared" si="36"/>
        <v>2968.28</v>
      </c>
      <c r="CU33">
        <f t="shared" si="37"/>
        <v>0</v>
      </c>
      <c r="CV33">
        <f t="shared" si="38"/>
        <v>10.199999999999999</v>
      </c>
      <c r="CW33">
        <f t="shared" si="39"/>
        <v>0</v>
      </c>
      <c r="CX33">
        <f t="shared" si="39"/>
        <v>0</v>
      </c>
      <c r="CY33">
        <f t="shared" si="40"/>
        <v>0</v>
      </c>
      <c r="CZ33">
        <f t="shared" si="41"/>
        <v>0</v>
      </c>
      <c r="DC33" t="s">
        <v>3</v>
      </c>
      <c r="DD33" t="s">
        <v>28</v>
      </c>
      <c r="DE33" t="s">
        <v>29</v>
      </c>
      <c r="DF33" t="s">
        <v>29</v>
      </c>
      <c r="DG33" t="s">
        <v>29</v>
      </c>
      <c r="DH33" t="s">
        <v>3</v>
      </c>
      <c r="DI33" t="s">
        <v>29</v>
      </c>
      <c r="DJ33" t="s">
        <v>29</v>
      </c>
      <c r="DK33" t="s">
        <v>3</v>
      </c>
      <c r="DL33" t="s">
        <v>3</v>
      </c>
      <c r="DM33" t="s">
        <v>3</v>
      </c>
      <c r="DN33">
        <v>114</v>
      </c>
      <c r="DO33">
        <v>67</v>
      </c>
      <c r="DP33">
        <v>1</v>
      </c>
      <c r="DQ33">
        <v>1</v>
      </c>
      <c r="DU33">
        <v>1013</v>
      </c>
      <c r="DV33" t="s">
        <v>26</v>
      </c>
      <c r="DW33" t="s">
        <v>26</v>
      </c>
      <c r="DX33">
        <v>1</v>
      </c>
      <c r="EE33">
        <v>42513631</v>
      </c>
      <c r="EF33">
        <v>40</v>
      </c>
      <c r="EG33" t="s">
        <v>30</v>
      </c>
      <c r="EH33">
        <v>0</v>
      </c>
      <c r="EI33" t="s">
        <v>3</v>
      </c>
      <c r="EJ33">
        <v>2</v>
      </c>
      <c r="EK33">
        <v>316</v>
      </c>
      <c r="EL33" t="s">
        <v>56</v>
      </c>
      <c r="EM33" t="s">
        <v>57</v>
      </c>
      <c r="EO33" t="s">
        <v>3</v>
      </c>
      <c r="EQ33">
        <v>131072</v>
      </c>
      <c r="ER33">
        <v>598.79</v>
      </c>
      <c r="ES33">
        <v>41.3</v>
      </c>
      <c r="ET33">
        <v>128.41</v>
      </c>
      <c r="EU33">
        <v>14.14</v>
      </c>
      <c r="EV33">
        <v>429.08</v>
      </c>
      <c r="EW33">
        <v>34</v>
      </c>
      <c r="EX33">
        <v>0</v>
      </c>
      <c r="EY33">
        <v>0</v>
      </c>
      <c r="FQ33">
        <v>0</v>
      </c>
      <c r="FR33">
        <f t="shared" si="42"/>
        <v>0</v>
      </c>
      <c r="FS33">
        <v>0</v>
      </c>
      <c r="FX33">
        <v>114</v>
      </c>
      <c r="FY33">
        <v>67</v>
      </c>
      <c r="GA33" t="s">
        <v>3</v>
      </c>
      <c r="GD33">
        <v>0</v>
      </c>
      <c r="GF33">
        <v>-2009348790</v>
      </c>
      <c r="GG33">
        <v>2</v>
      </c>
      <c r="GH33">
        <v>1</v>
      </c>
      <c r="GI33">
        <v>2</v>
      </c>
      <c r="GJ33">
        <v>0</v>
      </c>
      <c r="GK33">
        <f>ROUND(R33*(R12)/100,2)</f>
        <v>0</v>
      </c>
      <c r="GL33">
        <f t="shared" si="43"/>
        <v>0</v>
      </c>
      <c r="GM33">
        <f t="shared" si="44"/>
        <v>0</v>
      </c>
      <c r="GN33">
        <f t="shared" si="45"/>
        <v>0</v>
      </c>
      <c r="GO33">
        <f t="shared" si="46"/>
        <v>0</v>
      </c>
      <c r="GP33">
        <f t="shared" si="47"/>
        <v>0</v>
      </c>
      <c r="GR33">
        <v>0</v>
      </c>
      <c r="GS33">
        <v>3</v>
      </c>
      <c r="GT33">
        <v>0</v>
      </c>
      <c r="GU33" t="s">
        <v>3</v>
      </c>
      <c r="GV33">
        <f t="shared" si="48"/>
        <v>0</v>
      </c>
      <c r="GW33">
        <v>1</v>
      </c>
      <c r="GX33">
        <f t="shared" si="49"/>
        <v>0</v>
      </c>
      <c r="HA33">
        <v>0</v>
      </c>
      <c r="HB33">
        <v>0</v>
      </c>
      <c r="HC33">
        <f t="shared" si="50"/>
        <v>0</v>
      </c>
      <c r="IK33">
        <v>0</v>
      </c>
    </row>
    <row r="34" spans="1:245" x14ac:dyDescent="0.2">
      <c r="A34">
        <v>17</v>
      </c>
      <c r="B34">
        <v>1</v>
      </c>
      <c r="C34">
        <f>ROW(SmtRes!A5)</f>
        <v>5</v>
      </c>
      <c r="D34">
        <f>ROW(EtalonRes!A7)</f>
        <v>7</v>
      </c>
      <c r="E34" t="s">
        <v>58</v>
      </c>
      <c r="F34" t="s">
        <v>59</v>
      </c>
      <c r="G34" t="s">
        <v>60</v>
      </c>
      <c r="H34" t="s">
        <v>26</v>
      </c>
      <c r="I34">
        <v>0</v>
      </c>
      <c r="J34">
        <v>0</v>
      </c>
      <c r="O34">
        <f t="shared" si="21"/>
        <v>0</v>
      </c>
      <c r="P34">
        <f t="shared" si="22"/>
        <v>0</v>
      </c>
      <c r="Q34">
        <f t="shared" si="51"/>
        <v>0</v>
      </c>
      <c r="R34">
        <f t="shared" si="23"/>
        <v>0</v>
      </c>
      <c r="S34">
        <f t="shared" si="24"/>
        <v>0</v>
      </c>
      <c r="T34">
        <f t="shared" si="25"/>
        <v>0</v>
      </c>
      <c r="U34">
        <f t="shared" si="26"/>
        <v>0</v>
      </c>
      <c r="V34">
        <f t="shared" si="27"/>
        <v>0</v>
      </c>
      <c r="W34">
        <f t="shared" si="28"/>
        <v>0</v>
      </c>
      <c r="X34">
        <f t="shared" si="29"/>
        <v>0</v>
      </c>
      <c r="Y34">
        <f t="shared" si="29"/>
        <v>0</v>
      </c>
      <c r="AA34">
        <v>45723533</v>
      </c>
      <c r="AB34">
        <f t="shared" si="30"/>
        <v>47.334000000000003</v>
      </c>
      <c r="AC34">
        <f t="shared" si="52"/>
        <v>0</v>
      </c>
      <c r="AD34">
        <f t="shared" si="53"/>
        <v>0.93</v>
      </c>
      <c r="AE34">
        <f t="shared" si="54"/>
        <v>0.10199999999999999</v>
      </c>
      <c r="AF34">
        <f t="shared" si="54"/>
        <v>46.404000000000003</v>
      </c>
      <c r="AG34">
        <f t="shared" si="31"/>
        <v>0</v>
      </c>
      <c r="AH34">
        <f t="shared" si="55"/>
        <v>3.3239999999999998</v>
      </c>
      <c r="AI34">
        <f t="shared" si="55"/>
        <v>0</v>
      </c>
      <c r="AJ34">
        <f t="shared" si="32"/>
        <v>0</v>
      </c>
      <c r="AK34">
        <v>245.28</v>
      </c>
      <c r="AL34">
        <v>87.5</v>
      </c>
      <c r="AM34">
        <v>3.1</v>
      </c>
      <c r="AN34">
        <v>0.34</v>
      </c>
      <c r="AO34">
        <v>154.68</v>
      </c>
      <c r="AP34">
        <v>0</v>
      </c>
      <c r="AQ34">
        <v>11.08</v>
      </c>
      <c r="AR34">
        <v>0</v>
      </c>
      <c r="AS34">
        <v>0</v>
      </c>
      <c r="AT34">
        <v>77</v>
      </c>
      <c r="AU34">
        <v>41</v>
      </c>
      <c r="AV34">
        <v>1</v>
      </c>
      <c r="AW34">
        <v>1</v>
      </c>
      <c r="AZ34">
        <v>1</v>
      </c>
      <c r="BA34">
        <v>23.06</v>
      </c>
      <c r="BB34">
        <v>7.14</v>
      </c>
      <c r="BC34">
        <v>5.41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2</v>
      </c>
      <c r="BJ34" t="s">
        <v>61</v>
      </c>
      <c r="BM34">
        <v>333</v>
      </c>
      <c r="BN34">
        <v>0</v>
      </c>
      <c r="BO34" t="s">
        <v>59</v>
      </c>
      <c r="BP34">
        <v>1</v>
      </c>
      <c r="BQ34">
        <v>40</v>
      </c>
      <c r="BR34">
        <v>0</v>
      </c>
      <c r="BS34">
        <v>23.06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77</v>
      </c>
      <c r="CA34">
        <v>41</v>
      </c>
      <c r="CE34">
        <v>30</v>
      </c>
      <c r="CF34">
        <v>0</v>
      </c>
      <c r="CG34">
        <v>0</v>
      </c>
      <c r="CM34">
        <v>0</v>
      </c>
      <c r="CN34" t="s">
        <v>37</v>
      </c>
      <c r="CO34">
        <v>0</v>
      </c>
      <c r="CP34">
        <f t="shared" si="33"/>
        <v>0</v>
      </c>
      <c r="CQ34">
        <f t="shared" si="34"/>
        <v>0</v>
      </c>
      <c r="CR34">
        <f t="shared" si="56"/>
        <v>6.64</v>
      </c>
      <c r="CS34">
        <f t="shared" si="35"/>
        <v>2.31</v>
      </c>
      <c r="CT34">
        <f t="shared" si="36"/>
        <v>1069.98</v>
      </c>
      <c r="CU34">
        <f t="shared" si="37"/>
        <v>0</v>
      </c>
      <c r="CV34">
        <f t="shared" si="38"/>
        <v>3.3239999999999998</v>
      </c>
      <c r="CW34">
        <f t="shared" si="39"/>
        <v>0</v>
      </c>
      <c r="CX34">
        <f t="shared" si="39"/>
        <v>0</v>
      </c>
      <c r="CY34">
        <f t="shared" si="40"/>
        <v>0</v>
      </c>
      <c r="CZ34">
        <f t="shared" si="41"/>
        <v>0</v>
      </c>
      <c r="DC34" t="s">
        <v>3</v>
      </c>
      <c r="DD34" t="s">
        <v>38</v>
      </c>
      <c r="DE34" t="s">
        <v>39</v>
      </c>
      <c r="DF34" t="s">
        <v>39</v>
      </c>
      <c r="DG34" t="s">
        <v>39</v>
      </c>
      <c r="DH34" t="s">
        <v>3</v>
      </c>
      <c r="DI34" t="s">
        <v>39</v>
      </c>
      <c r="DJ34" t="s">
        <v>39</v>
      </c>
      <c r="DK34" t="s">
        <v>3</v>
      </c>
      <c r="DL34" t="s">
        <v>3</v>
      </c>
      <c r="DM34" t="s">
        <v>3</v>
      </c>
      <c r="DN34">
        <v>114</v>
      </c>
      <c r="DO34">
        <v>67</v>
      </c>
      <c r="DP34">
        <v>1</v>
      </c>
      <c r="DQ34">
        <v>1</v>
      </c>
      <c r="DU34">
        <v>1013</v>
      </c>
      <c r="DV34" t="s">
        <v>26</v>
      </c>
      <c r="DW34" t="s">
        <v>26</v>
      </c>
      <c r="DX34">
        <v>1</v>
      </c>
      <c r="EE34">
        <v>42513648</v>
      </c>
      <c r="EF34">
        <v>40</v>
      </c>
      <c r="EG34" t="s">
        <v>30</v>
      </c>
      <c r="EH34">
        <v>0</v>
      </c>
      <c r="EI34" t="s">
        <v>3</v>
      </c>
      <c r="EJ34">
        <v>2</v>
      </c>
      <c r="EK34">
        <v>333</v>
      </c>
      <c r="EL34" t="s">
        <v>31</v>
      </c>
      <c r="EM34" t="s">
        <v>32</v>
      </c>
      <c r="EO34" t="s">
        <v>40</v>
      </c>
      <c r="EQ34">
        <v>131072</v>
      </c>
      <c r="ER34">
        <v>245.28</v>
      </c>
      <c r="ES34">
        <v>87.5</v>
      </c>
      <c r="ET34">
        <v>3.1</v>
      </c>
      <c r="EU34">
        <v>0.34</v>
      </c>
      <c r="EV34">
        <v>154.68</v>
      </c>
      <c r="EW34">
        <v>11.08</v>
      </c>
      <c r="EX34">
        <v>0</v>
      </c>
      <c r="EY34">
        <v>0</v>
      </c>
      <c r="FQ34">
        <v>0</v>
      </c>
      <c r="FR34">
        <f t="shared" si="42"/>
        <v>0</v>
      </c>
      <c r="FS34">
        <v>0</v>
      </c>
      <c r="FX34">
        <v>114</v>
      </c>
      <c r="FY34">
        <v>67</v>
      </c>
      <c r="GA34" t="s">
        <v>3</v>
      </c>
      <c r="GD34">
        <v>0</v>
      </c>
      <c r="GF34">
        <v>70507888</v>
      </c>
      <c r="GG34">
        <v>2</v>
      </c>
      <c r="GH34">
        <v>1</v>
      </c>
      <c r="GI34">
        <v>2</v>
      </c>
      <c r="GJ34">
        <v>0</v>
      </c>
      <c r="GK34">
        <f>ROUND(R34*(R12)/100,2)</f>
        <v>0</v>
      </c>
      <c r="GL34">
        <f t="shared" si="43"/>
        <v>0</v>
      </c>
      <c r="GM34">
        <f t="shared" si="44"/>
        <v>0</v>
      </c>
      <c r="GN34">
        <f t="shared" si="45"/>
        <v>0</v>
      </c>
      <c r="GO34">
        <f t="shared" si="46"/>
        <v>0</v>
      </c>
      <c r="GP34">
        <f t="shared" si="47"/>
        <v>0</v>
      </c>
      <c r="GR34">
        <v>0</v>
      </c>
      <c r="GS34">
        <v>3</v>
      </c>
      <c r="GT34">
        <v>0</v>
      </c>
      <c r="GU34" t="s">
        <v>3</v>
      </c>
      <c r="GV34">
        <f t="shared" si="48"/>
        <v>0</v>
      </c>
      <c r="GW34">
        <v>1</v>
      </c>
      <c r="GX34">
        <f t="shared" si="49"/>
        <v>0</v>
      </c>
      <c r="HA34">
        <v>0</v>
      </c>
      <c r="HB34">
        <v>0</v>
      </c>
      <c r="HC34">
        <f t="shared" si="50"/>
        <v>0</v>
      </c>
      <c r="IK34">
        <v>0</v>
      </c>
    </row>
    <row r="35" spans="1:245" x14ac:dyDescent="0.2">
      <c r="A35">
        <v>17</v>
      </c>
      <c r="B35">
        <v>1</v>
      </c>
      <c r="D35">
        <f>ROW(EtalonRes!A8)</f>
        <v>8</v>
      </c>
      <c r="E35" t="s">
        <v>62</v>
      </c>
      <c r="F35" t="s">
        <v>63</v>
      </c>
      <c r="G35" t="s">
        <v>64</v>
      </c>
      <c r="H35" t="s">
        <v>44</v>
      </c>
      <c r="I35">
        <v>0.36</v>
      </c>
      <c r="J35">
        <v>0</v>
      </c>
      <c r="O35">
        <f t="shared" si="21"/>
        <v>466.73</v>
      </c>
      <c r="P35">
        <f t="shared" si="22"/>
        <v>0</v>
      </c>
      <c r="Q35">
        <f t="shared" si="51"/>
        <v>0</v>
      </c>
      <c r="R35">
        <f t="shared" si="23"/>
        <v>0</v>
      </c>
      <c r="S35">
        <f t="shared" si="24"/>
        <v>466.73</v>
      </c>
      <c r="T35">
        <f t="shared" si="25"/>
        <v>0</v>
      </c>
      <c r="U35">
        <f t="shared" si="26"/>
        <v>1.6415999999999997</v>
      </c>
      <c r="V35">
        <f t="shared" si="27"/>
        <v>0</v>
      </c>
      <c r="W35">
        <f t="shared" si="28"/>
        <v>0</v>
      </c>
      <c r="X35">
        <f t="shared" si="29"/>
        <v>359.38</v>
      </c>
      <c r="Y35">
        <f t="shared" si="29"/>
        <v>191.36</v>
      </c>
      <c r="AA35">
        <v>45723533</v>
      </c>
      <c r="AB35">
        <f t="shared" si="30"/>
        <v>56.225999999999999</v>
      </c>
      <c r="AC35">
        <f t="shared" si="52"/>
        <v>0</v>
      </c>
      <c r="AD35">
        <f t="shared" si="53"/>
        <v>0</v>
      </c>
      <c r="AE35">
        <f t="shared" si="54"/>
        <v>0</v>
      </c>
      <c r="AF35">
        <f t="shared" si="54"/>
        <v>56.225999999999999</v>
      </c>
      <c r="AG35">
        <f t="shared" si="31"/>
        <v>0</v>
      </c>
      <c r="AH35">
        <f t="shared" si="55"/>
        <v>4.5599999999999996</v>
      </c>
      <c r="AI35">
        <f t="shared" si="55"/>
        <v>0</v>
      </c>
      <c r="AJ35">
        <f t="shared" si="32"/>
        <v>0</v>
      </c>
      <c r="AK35">
        <v>188.82</v>
      </c>
      <c r="AL35">
        <v>1.4</v>
      </c>
      <c r="AM35">
        <v>0</v>
      </c>
      <c r="AN35">
        <v>0</v>
      </c>
      <c r="AO35">
        <v>187.42</v>
      </c>
      <c r="AP35">
        <v>0</v>
      </c>
      <c r="AQ35">
        <v>15.2</v>
      </c>
      <c r="AR35">
        <v>0</v>
      </c>
      <c r="AS35">
        <v>0</v>
      </c>
      <c r="AT35">
        <v>77</v>
      </c>
      <c r="AU35">
        <v>41</v>
      </c>
      <c r="AV35">
        <v>1</v>
      </c>
      <c r="AW35">
        <v>1</v>
      </c>
      <c r="AZ35">
        <v>1</v>
      </c>
      <c r="BA35">
        <v>23.06</v>
      </c>
      <c r="BB35">
        <v>1</v>
      </c>
      <c r="BC35">
        <v>5.41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2</v>
      </c>
      <c r="BJ35" t="s">
        <v>65</v>
      </c>
      <c r="BM35">
        <v>318</v>
      </c>
      <c r="BN35">
        <v>0</v>
      </c>
      <c r="BO35" t="s">
        <v>63</v>
      </c>
      <c r="BP35">
        <v>1</v>
      </c>
      <c r="BQ35">
        <v>40</v>
      </c>
      <c r="BR35">
        <v>0</v>
      </c>
      <c r="BS35">
        <v>23.06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77</v>
      </c>
      <c r="CA35">
        <v>41</v>
      </c>
      <c r="CE35">
        <v>30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3"/>
        <v>466.73</v>
      </c>
      <c r="CQ35">
        <f t="shared" si="34"/>
        <v>0</v>
      </c>
      <c r="CR35">
        <f t="shared" si="56"/>
        <v>0</v>
      </c>
      <c r="CS35">
        <f t="shared" si="35"/>
        <v>0</v>
      </c>
      <c r="CT35">
        <f t="shared" si="36"/>
        <v>1296.6600000000001</v>
      </c>
      <c r="CU35">
        <f t="shared" si="37"/>
        <v>0</v>
      </c>
      <c r="CV35">
        <f t="shared" si="38"/>
        <v>4.5599999999999996</v>
      </c>
      <c r="CW35">
        <f t="shared" si="39"/>
        <v>0</v>
      </c>
      <c r="CX35">
        <f t="shared" si="39"/>
        <v>0</v>
      </c>
      <c r="CY35">
        <f t="shared" si="40"/>
        <v>359.38210000000004</v>
      </c>
      <c r="CZ35">
        <f t="shared" si="41"/>
        <v>191.35929999999999</v>
      </c>
      <c r="DC35" t="s">
        <v>3</v>
      </c>
      <c r="DD35" t="s">
        <v>28</v>
      </c>
      <c r="DE35" t="s">
        <v>29</v>
      </c>
      <c r="DF35" t="s">
        <v>29</v>
      </c>
      <c r="DG35" t="s">
        <v>29</v>
      </c>
      <c r="DH35" t="s">
        <v>3</v>
      </c>
      <c r="DI35" t="s">
        <v>29</v>
      </c>
      <c r="DJ35" t="s">
        <v>29</v>
      </c>
      <c r="DK35" t="s">
        <v>3</v>
      </c>
      <c r="DL35" t="s">
        <v>3</v>
      </c>
      <c r="DM35" t="s">
        <v>3</v>
      </c>
      <c r="DN35">
        <v>114</v>
      </c>
      <c r="DO35">
        <v>67</v>
      </c>
      <c r="DP35">
        <v>1</v>
      </c>
      <c r="DQ35">
        <v>1</v>
      </c>
      <c r="DU35">
        <v>1010</v>
      </c>
      <c r="DV35" t="s">
        <v>44</v>
      </c>
      <c r="DW35" t="s">
        <v>44</v>
      </c>
      <c r="DX35">
        <v>100</v>
      </c>
      <c r="EE35">
        <v>42513633</v>
      </c>
      <c r="EF35">
        <v>40</v>
      </c>
      <c r="EG35" t="s">
        <v>30</v>
      </c>
      <c r="EH35">
        <v>0</v>
      </c>
      <c r="EI35" t="s">
        <v>3</v>
      </c>
      <c r="EJ35">
        <v>2</v>
      </c>
      <c r="EK35">
        <v>318</v>
      </c>
      <c r="EL35" t="s">
        <v>66</v>
      </c>
      <c r="EM35" t="s">
        <v>67</v>
      </c>
      <c r="EO35" t="s">
        <v>3</v>
      </c>
      <c r="EQ35">
        <v>131072</v>
      </c>
      <c r="ER35">
        <v>188.82</v>
      </c>
      <c r="ES35">
        <v>1.4</v>
      </c>
      <c r="ET35">
        <v>0</v>
      </c>
      <c r="EU35">
        <v>0</v>
      </c>
      <c r="EV35">
        <v>187.42</v>
      </c>
      <c r="EW35">
        <v>15.2</v>
      </c>
      <c r="EX35">
        <v>0</v>
      </c>
      <c r="EY35">
        <v>0</v>
      </c>
      <c r="FQ35">
        <v>0</v>
      </c>
      <c r="FR35">
        <f t="shared" si="42"/>
        <v>0</v>
      </c>
      <c r="FS35">
        <v>0</v>
      </c>
      <c r="FX35">
        <v>114</v>
      </c>
      <c r="FY35">
        <v>67</v>
      </c>
      <c r="GA35" t="s">
        <v>3</v>
      </c>
      <c r="GD35">
        <v>0</v>
      </c>
      <c r="GF35">
        <v>1283407069</v>
      </c>
      <c r="GG35">
        <v>2</v>
      </c>
      <c r="GH35">
        <v>1</v>
      </c>
      <c r="GI35">
        <v>2</v>
      </c>
      <c r="GJ35">
        <v>0</v>
      </c>
      <c r="GK35">
        <f>ROUND(R35*(R12)/100,2)</f>
        <v>0</v>
      </c>
      <c r="GL35">
        <f t="shared" si="43"/>
        <v>0</v>
      </c>
      <c r="GM35">
        <f t="shared" si="44"/>
        <v>1017.47</v>
      </c>
      <c r="GN35">
        <f t="shared" si="45"/>
        <v>0</v>
      </c>
      <c r="GO35">
        <f t="shared" si="46"/>
        <v>1017.47</v>
      </c>
      <c r="GP35">
        <f t="shared" si="47"/>
        <v>0</v>
      </c>
      <c r="GR35">
        <v>0</v>
      </c>
      <c r="GS35">
        <v>3</v>
      </c>
      <c r="GT35">
        <v>0</v>
      </c>
      <c r="GU35" t="s">
        <v>3</v>
      </c>
      <c r="GV35">
        <f t="shared" si="48"/>
        <v>0</v>
      </c>
      <c r="GW35">
        <v>1</v>
      </c>
      <c r="GX35">
        <f t="shared" si="49"/>
        <v>0</v>
      </c>
      <c r="HA35">
        <v>0</v>
      </c>
      <c r="HB35">
        <v>0</v>
      </c>
      <c r="HC35">
        <f t="shared" si="50"/>
        <v>0</v>
      </c>
      <c r="IK35">
        <v>0</v>
      </c>
    </row>
    <row r="37" spans="1:245" x14ac:dyDescent="0.2">
      <c r="A37" s="2">
        <v>51</v>
      </c>
      <c r="B37" s="2">
        <f>B24</f>
        <v>1</v>
      </c>
      <c r="C37" s="2">
        <f>A24</f>
        <v>4</v>
      </c>
      <c r="D37" s="2">
        <f>ROW(A24)</f>
        <v>24</v>
      </c>
      <c r="E37" s="2"/>
      <c r="F37" s="2" t="str">
        <f>IF(F24&lt;&gt;"",F24,"")</f>
        <v>Новый раздел</v>
      </c>
      <c r="G37" s="2" t="str">
        <f>IF(G24&lt;&gt;"",G24,"")</f>
        <v>Демонтажные работы</v>
      </c>
      <c r="H37" s="2">
        <v>0</v>
      </c>
      <c r="I37" s="2"/>
      <c r="J37" s="2"/>
      <c r="K37" s="2"/>
      <c r="L37" s="2"/>
      <c r="M37" s="2"/>
      <c r="N37" s="2"/>
      <c r="O37" s="2">
        <f t="shared" ref="O37:T37" si="57">ROUND(AB37,2)</f>
        <v>4382.2299999999996</v>
      </c>
      <c r="P37" s="2">
        <f t="shared" si="57"/>
        <v>0</v>
      </c>
      <c r="Q37" s="2">
        <f t="shared" si="57"/>
        <v>189.93</v>
      </c>
      <c r="R37" s="2">
        <f t="shared" si="57"/>
        <v>77.94</v>
      </c>
      <c r="S37" s="2">
        <f t="shared" si="57"/>
        <v>4192.3</v>
      </c>
      <c r="T37" s="2">
        <f t="shared" si="57"/>
        <v>0</v>
      </c>
      <c r="U37" s="2">
        <f>AH37</f>
        <v>14.443199999999999</v>
      </c>
      <c r="V37" s="2">
        <f>AI37</f>
        <v>0</v>
      </c>
      <c r="W37" s="2">
        <f>ROUND(AJ37,2)</f>
        <v>0</v>
      </c>
      <c r="X37" s="2">
        <f>ROUND(AK37,2)</f>
        <v>3228.07</v>
      </c>
      <c r="Y37" s="2">
        <f>ROUND(AL37,2)</f>
        <v>1718.84</v>
      </c>
      <c r="Z37" s="2"/>
      <c r="AA37" s="2"/>
      <c r="AB37" s="2">
        <f>ROUND(SUMIF(AA28:AA35,"=45723533",O28:O35),2)</f>
        <v>4382.2299999999996</v>
      </c>
      <c r="AC37" s="2">
        <f>ROUND(SUMIF(AA28:AA35,"=45723533",P28:P35),2)</f>
        <v>0</v>
      </c>
      <c r="AD37" s="2">
        <f>ROUND(SUMIF(AA28:AA35,"=45723533",Q28:Q35),2)</f>
        <v>189.93</v>
      </c>
      <c r="AE37" s="2">
        <f>ROUND(SUMIF(AA28:AA35,"=45723533",R28:R35),2)</f>
        <v>77.94</v>
      </c>
      <c r="AF37" s="2">
        <f>ROUND(SUMIF(AA28:AA35,"=45723533",S28:S35),2)</f>
        <v>4192.3</v>
      </c>
      <c r="AG37" s="2">
        <f>ROUND(SUMIF(AA28:AA35,"=45723533",T28:T35),2)</f>
        <v>0</v>
      </c>
      <c r="AH37" s="2">
        <f>SUMIF(AA28:AA35,"=45723533",U28:U35)</f>
        <v>14.443199999999999</v>
      </c>
      <c r="AI37" s="2">
        <f>SUMIF(AA28:AA35,"=45723533",V28:V35)</f>
        <v>0</v>
      </c>
      <c r="AJ37" s="2">
        <f>ROUND(SUMIF(AA28:AA35,"=45723533",W28:W35),2)</f>
        <v>0</v>
      </c>
      <c r="AK37" s="2">
        <f>ROUND(SUMIF(AA28:AA35,"=45723533",X28:X35),2)</f>
        <v>3228.07</v>
      </c>
      <c r="AL37" s="2">
        <f>ROUND(SUMIF(AA28:AA35,"=45723533",Y28:Y35),2)</f>
        <v>1718.84</v>
      </c>
      <c r="AM37" s="2"/>
      <c r="AN37" s="2"/>
      <c r="AO37" s="2">
        <f t="shared" ref="AO37:BC37" si="58">ROUND(BX37,2)</f>
        <v>0</v>
      </c>
      <c r="AP37" s="2">
        <f t="shared" si="58"/>
        <v>0</v>
      </c>
      <c r="AQ37" s="2">
        <f t="shared" si="58"/>
        <v>0</v>
      </c>
      <c r="AR37" s="2">
        <f t="shared" si="58"/>
        <v>9451.5</v>
      </c>
      <c r="AS37" s="2">
        <f t="shared" si="58"/>
        <v>0</v>
      </c>
      <c r="AT37" s="2">
        <f t="shared" si="58"/>
        <v>9451.5</v>
      </c>
      <c r="AU37" s="2">
        <f t="shared" si="58"/>
        <v>0</v>
      </c>
      <c r="AV37" s="2">
        <f t="shared" si="58"/>
        <v>0</v>
      </c>
      <c r="AW37" s="2">
        <f t="shared" si="58"/>
        <v>0</v>
      </c>
      <c r="AX37" s="2">
        <f t="shared" si="58"/>
        <v>0</v>
      </c>
      <c r="AY37" s="2">
        <f t="shared" si="58"/>
        <v>0</v>
      </c>
      <c r="AZ37" s="2">
        <f t="shared" si="58"/>
        <v>0</v>
      </c>
      <c r="BA37" s="2">
        <f t="shared" si="58"/>
        <v>0</v>
      </c>
      <c r="BB37" s="2">
        <f t="shared" si="58"/>
        <v>0</v>
      </c>
      <c r="BC37" s="2">
        <f t="shared" si="58"/>
        <v>0</v>
      </c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>
        <f>ROUND(SUMIF(AA28:AA35,"=45723533",FQ28:FQ35),2)</f>
        <v>0</v>
      </c>
      <c r="BY37" s="2">
        <f>ROUND(SUMIF(AA28:AA35,"=45723533",FR28:FR35),2)</f>
        <v>0</v>
      </c>
      <c r="BZ37" s="2">
        <f>ROUND(SUMIF(AA28:AA35,"=45723533",GL28:GL35),2)</f>
        <v>0</v>
      </c>
      <c r="CA37" s="2">
        <f>ROUND(SUMIF(AA28:AA35,"=45723533",GM28:GM35),2)</f>
        <v>9451.5</v>
      </c>
      <c r="CB37" s="2">
        <f>ROUND(SUMIF(AA28:AA35,"=45723533",GN28:GN35),2)</f>
        <v>0</v>
      </c>
      <c r="CC37" s="2">
        <f>ROUND(SUMIF(AA28:AA35,"=45723533",GO28:GO35),2)</f>
        <v>9451.5</v>
      </c>
      <c r="CD37" s="2">
        <f>ROUND(SUMIF(AA28:AA35,"=45723533",GP28:GP35),2)</f>
        <v>0</v>
      </c>
      <c r="CE37" s="2">
        <f>AC37-BX37</f>
        <v>0</v>
      </c>
      <c r="CF37" s="2">
        <f>AC37-BY37</f>
        <v>0</v>
      </c>
      <c r="CG37" s="2">
        <f>BX37-BZ37</f>
        <v>0</v>
      </c>
      <c r="CH37" s="2">
        <f>AC37-BX37-BY37+BZ37</f>
        <v>0</v>
      </c>
      <c r="CI37" s="2">
        <f>BY37-BZ37</f>
        <v>0</v>
      </c>
      <c r="CJ37" s="2">
        <f>ROUND(SUMIF(AA28:AA35,"=45723533",GX28:GX35),2)</f>
        <v>0</v>
      </c>
      <c r="CK37" s="2">
        <f>ROUND(SUMIF(AA28:AA35,"=45723533",GY28:GY35),2)</f>
        <v>0</v>
      </c>
      <c r="CL37" s="2">
        <f>ROUND(SUMIF(AA28:AA35,"=45723533",GZ28:GZ35),2)</f>
        <v>0</v>
      </c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>
        <v>0</v>
      </c>
    </row>
    <row r="39" spans="1:245" x14ac:dyDescent="0.2">
      <c r="A39" s="4">
        <v>50</v>
      </c>
      <c r="B39" s="4">
        <v>0</v>
      </c>
      <c r="C39" s="4">
        <v>0</v>
      </c>
      <c r="D39" s="4">
        <v>1</v>
      </c>
      <c r="E39" s="4">
        <v>201</v>
      </c>
      <c r="F39" s="4">
        <f>ROUND(Source!O37,O39)</f>
        <v>4382.2299999999996</v>
      </c>
      <c r="G39" s="4" t="s">
        <v>68</v>
      </c>
      <c r="H39" s="4" t="s">
        <v>69</v>
      </c>
      <c r="I39" s="4"/>
      <c r="J39" s="4"/>
      <c r="K39" s="4">
        <v>201</v>
      </c>
      <c r="L39" s="4">
        <v>1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45" x14ac:dyDescent="0.2">
      <c r="A40" s="4">
        <v>50</v>
      </c>
      <c r="B40" s="4">
        <v>0</v>
      </c>
      <c r="C40" s="4">
        <v>0</v>
      </c>
      <c r="D40" s="4">
        <v>1</v>
      </c>
      <c r="E40" s="4">
        <v>202</v>
      </c>
      <c r="F40" s="4">
        <f>ROUND(Source!P37,O40)</f>
        <v>0</v>
      </c>
      <c r="G40" s="4" t="s">
        <v>70</v>
      </c>
      <c r="H40" s="4" t="s">
        <v>71</v>
      </c>
      <c r="I40" s="4"/>
      <c r="J40" s="4"/>
      <c r="K40" s="4">
        <v>202</v>
      </c>
      <c r="L40" s="4">
        <v>2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45" x14ac:dyDescent="0.2">
      <c r="A41" s="4">
        <v>50</v>
      </c>
      <c r="B41" s="4">
        <v>0</v>
      </c>
      <c r="C41" s="4">
        <v>0</v>
      </c>
      <c r="D41" s="4">
        <v>1</v>
      </c>
      <c r="E41" s="4">
        <v>44066418</v>
      </c>
      <c r="F41" s="4">
        <f>ROUND(Source!AO37,O41)</f>
        <v>0</v>
      </c>
      <c r="G41" s="4" t="s">
        <v>72</v>
      </c>
      <c r="H41" s="4" t="s">
        <v>73</v>
      </c>
      <c r="I41" s="4"/>
      <c r="J41" s="4"/>
      <c r="K41" s="4">
        <v>222</v>
      </c>
      <c r="L41" s="4">
        <v>3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45" x14ac:dyDescent="0.2">
      <c r="A42" s="4">
        <v>50</v>
      </c>
      <c r="B42" s="4">
        <v>0</v>
      </c>
      <c r="C42" s="4">
        <v>0</v>
      </c>
      <c r="D42" s="4">
        <v>1</v>
      </c>
      <c r="E42" s="4">
        <v>225</v>
      </c>
      <c r="F42" s="4">
        <f>ROUND(Source!AV37,O42)</f>
        <v>0</v>
      </c>
      <c r="G42" s="4" t="s">
        <v>74</v>
      </c>
      <c r="H42" s="4" t="s">
        <v>75</v>
      </c>
      <c r="I42" s="4"/>
      <c r="J42" s="4"/>
      <c r="K42" s="4">
        <v>225</v>
      </c>
      <c r="L42" s="4">
        <v>4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 x14ac:dyDescent="0.2">
      <c r="A43" s="4">
        <v>50</v>
      </c>
      <c r="B43" s="4">
        <v>0</v>
      </c>
      <c r="C43" s="4">
        <v>0</v>
      </c>
      <c r="D43" s="4">
        <v>1</v>
      </c>
      <c r="E43" s="4">
        <v>226</v>
      </c>
      <c r="F43" s="4">
        <f>ROUND(Source!AW37,O43)</f>
        <v>0</v>
      </c>
      <c r="G43" s="4" t="s">
        <v>76</v>
      </c>
      <c r="H43" s="4" t="s">
        <v>77</v>
      </c>
      <c r="I43" s="4"/>
      <c r="J43" s="4"/>
      <c r="K43" s="4">
        <v>226</v>
      </c>
      <c r="L43" s="4">
        <v>5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 x14ac:dyDescent="0.2">
      <c r="A44" s="4">
        <v>50</v>
      </c>
      <c r="B44" s="4">
        <v>0</v>
      </c>
      <c r="C44" s="4">
        <v>0</v>
      </c>
      <c r="D44" s="4">
        <v>1</v>
      </c>
      <c r="E44" s="4">
        <v>227</v>
      </c>
      <c r="F44" s="4">
        <f>ROUND(Source!AX37,O44)</f>
        <v>0</v>
      </c>
      <c r="G44" s="4" t="s">
        <v>78</v>
      </c>
      <c r="H44" s="4" t="s">
        <v>79</v>
      </c>
      <c r="I44" s="4"/>
      <c r="J44" s="4"/>
      <c r="K44" s="4">
        <v>227</v>
      </c>
      <c r="L44" s="4">
        <v>6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 x14ac:dyDescent="0.2">
      <c r="A45" s="4">
        <v>50</v>
      </c>
      <c r="B45" s="4">
        <v>0</v>
      </c>
      <c r="C45" s="4">
        <v>0</v>
      </c>
      <c r="D45" s="4">
        <v>1</v>
      </c>
      <c r="E45" s="4">
        <v>228</v>
      </c>
      <c r="F45" s="4">
        <f>ROUND(Source!AY37,O45)</f>
        <v>0</v>
      </c>
      <c r="G45" s="4" t="s">
        <v>80</v>
      </c>
      <c r="H45" s="4" t="s">
        <v>81</v>
      </c>
      <c r="I45" s="4"/>
      <c r="J45" s="4"/>
      <c r="K45" s="4">
        <v>228</v>
      </c>
      <c r="L45" s="4">
        <v>7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 x14ac:dyDescent="0.2">
      <c r="A46" s="4">
        <v>50</v>
      </c>
      <c r="B46" s="4">
        <v>0</v>
      </c>
      <c r="C46" s="4">
        <v>0</v>
      </c>
      <c r="D46" s="4">
        <v>1</v>
      </c>
      <c r="E46" s="4">
        <v>216</v>
      </c>
      <c r="F46" s="4">
        <f>ROUND(Source!AP37,O46)</f>
        <v>0</v>
      </c>
      <c r="G46" s="4" t="s">
        <v>82</v>
      </c>
      <c r="H46" s="4" t="s">
        <v>83</v>
      </c>
      <c r="I46" s="4"/>
      <c r="J46" s="4"/>
      <c r="K46" s="4">
        <v>216</v>
      </c>
      <c r="L46" s="4">
        <v>8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 x14ac:dyDescent="0.2">
      <c r="A47" s="4">
        <v>50</v>
      </c>
      <c r="B47" s="4">
        <v>0</v>
      </c>
      <c r="C47" s="4">
        <v>0</v>
      </c>
      <c r="D47" s="4">
        <v>1</v>
      </c>
      <c r="E47" s="4">
        <v>223</v>
      </c>
      <c r="F47" s="4">
        <f>ROUND(Source!AQ37,O47)</f>
        <v>0</v>
      </c>
      <c r="G47" s="4" t="s">
        <v>84</v>
      </c>
      <c r="H47" s="4" t="s">
        <v>85</v>
      </c>
      <c r="I47" s="4"/>
      <c r="J47" s="4"/>
      <c r="K47" s="4">
        <v>223</v>
      </c>
      <c r="L47" s="4">
        <v>9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 x14ac:dyDescent="0.2">
      <c r="A48" s="4">
        <v>50</v>
      </c>
      <c r="B48" s="4">
        <v>0</v>
      </c>
      <c r="C48" s="4">
        <v>0</v>
      </c>
      <c r="D48" s="4">
        <v>1</v>
      </c>
      <c r="E48" s="4">
        <v>229</v>
      </c>
      <c r="F48" s="4">
        <f>ROUND(Source!AZ37,O48)</f>
        <v>0</v>
      </c>
      <c r="G48" s="4" t="s">
        <v>86</v>
      </c>
      <c r="H48" s="4" t="s">
        <v>87</v>
      </c>
      <c r="I48" s="4"/>
      <c r="J48" s="4"/>
      <c r="K48" s="4">
        <v>229</v>
      </c>
      <c r="L48" s="4">
        <v>10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 x14ac:dyDescent="0.2">
      <c r="A49" s="4">
        <v>50</v>
      </c>
      <c r="B49" s="4">
        <v>0</v>
      </c>
      <c r="C49" s="4">
        <v>0</v>
      </c>
      <c r="D49" s="4">
        <v>1</v>
      </c>
      <c r="E49" s="4">
        <v>203</v>
      </c>
      <c r="F49" s="4">
        <f>ROUND(Source!Q37,O49)</f>
        <v>189.93</v>
      </c>
      <c r="G49" s="4" t="s">
        <v>88</v>
      </c>
      <c r="H49" s="4" t="s">
        <v>89</v>
      </c>
      <c r="I49" s="4"/>
      <c r="J49" s="4"/>
      <c r="K49" s="4">
        <v>203</v>
      </c>
      <c r="L49" s="4">
        <v>11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 x14ac:dyDescent="0.2">
      <c r="A50" s="4">
        <v>50</v>
      </c>
      <c r="B50" s="4">
        <v>0</v>
      </c>
      <c r="C50" s="4">
        <v>0</v>
      </c>
      <c r="D50" s="4">
        <v>1</v>
      </c>
      <c r="E50" s="4">
        <v>231</v>
      </c>
      <c r="F50" s="4">
        <f>ROUND(Source!BB37,O50)</f>
        <v>0</v>
      </c>
      <c r="G50" s="4" t="s">
        <v>90</v>
      </c>
      <c r="H50" s="4" t="s">
        <v>91</v>
      </c>
      <c r="I50" s="4"/>
      <c r="J50" s="4"/>
      <c r="K50" s="4">
        <v>231</v>
      </c>
      <c r="L50" s="4">
        <v>12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 x14ac:dyDescent="0.2">
      <c r="A51" s="4">
        <v>50</v>
      </c>
      <c r="B51" s="4">
        <v>0</v>
      </c>
      <c r="C51" s="4">
        <v>0</v>
      </c>
      <c r="D51" s="4">
        <v>1</v>
      </c>
      <c r="E51" s="4">
        <v>204</v>
      </c>
      <c r="F51" s="4">
        <f>ROUND(Source!R37,O51)</f>
        <v>77.94</v>
      </c>
      <c r="G51" s="4" t="s">
        <v>92</v>
      </c>
      <c r="H51" s="4" t="s">
        <v>93</v>
      </c>
      <c r="I51" s="4"/>
      <c r="J51" s="4"/>
      <c r="K51" s="4">
        <v>204</v>
      </c>
      <c r="L51" s="4">
        <v>13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 x14ac:dyDescent="0.2">
      <c r="A52" s="4">
        <v>50</v>
      </c>
      <c r="B52" s="4">
        <v>0</v>
      </c>
      <c r="C52" s="4">
        <v>0</v>
      </c>
      <c r="D52" s="4">
        <v>1</v>
      </c>
      <c r="E52" s="4">
        <v>205</v>
      </c>
      <c r="F52" s="4">
        <f>ROUND(Source!S37,O52)</f>
        <v>4192.3</v>
      </c>
      <c r="G52" s="4" t="s">
        <v>94</v>
      </c>
      <c r="H52" s="4" t="s">
        <v>95</v>
      </c>
      <c r="I52" s="4"/>
      <c r="J52" s="4"/>
      <c r="K52" s="4">
        <v>205</v>
      </c>
      <c r="L52" s="4">
        <v>14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 x14ac:dyDescent="0.2">
      <c r="A53" s="4">
        <v>50</v>
      </c>
      <c r="B53" s="4">
        <v>0</v>
      </c>
      <c r="C53" s="4">
        <v>0</v>
      </c>
      <c r="D53" s="4">
        <v>1</v>
      </c>
      <c r="E53" s="4">
        <v>232</v>
      </c>
      <c r="F53" s="4">
        <f>ROUND(Source!BC37,O53)</f>
        <v>0</v>
      </c>
      <c r="G53" s="4" t="s">
        <v>96</v>
      </c>
      <c r="H53" s="4" t="s">
        <v>97</v>
      </c>
      <c r="I53" s="4"/>
      <c r="J53" s="4"/>
      <c r="K53" s="4">
        <v>232</v>
      </c>
      <c r="L53" s="4">
        <v>15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 x14ac:dyDescent="0.2">
      <c r="A54" s="4">
        <v>50</v>
      </c>
      <c r="B54" s="4">
        <v>0</v>
      </c>
      <c r="C54" s="4">
        <v>0</v>
      </c>
      <c r="D54" s="4">
        <v>1</v>
      </c>
      <c r="E54" s="4">
        <v>214</v>
      </c>
      <c r="F54" s="4">
        <f>ROUND(Source!AS37,O54)</f>
        <v>0</v>
      </c>
      <c r="G54" s="4" t="s">
        <v>98</v>
      </c>
      <c r="H54" s="4" t="s">
        <v>99</v>
      </c>
      <c r="I54" s="4"/>
      <c r="J54" s="4"/>
      <c r="K54" s="4">
        <v>214</v>
      </c>
      <c r="L54" s="4">
        <v>16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 x14ac:dyDescent="0.2">
      <c r="A55" s="4">
        <v>50</v>
      </c>
      <c r="B55" s="4">
        <v>0</v>
      </c>
      <c r="C55" s="4">
        <v>0</v>
      </c>
      <c r="D55" s="4">
        <v>1</v>
      </c>
      <c r="E55" s="4">
        <v>215</v>
      </c>
      <c r="F55" s="4">
        <f>ROUND(Source!AT37,O55)</f>
        <v>9451.5</v>
      </c>
      <c r="G55" s="4" t="s">
        <v>100</v>
      </c>
      <c r="H55" s="4" t="s">
        <v>101</v>
      </c>
      <c r="I55" s="4"/>
      <c r="J55" s="4"/>
      <c r="K55" s="4">
        <v>215</v>
      </c>
      <c r="L55" s="4">
        <v>17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 x14ac:dyDescent="0.2">
      <c r="A56" s="4">
        <v>50</v>
      </c>
      <c r="B56" s="4">
        <v>0</v>
      </c>
      <c r="C56" s="4">
        <v>0</v>
      </c>
      <c r="D56" s="4">
        <v>1</v>
      </c>
      <c r="E56" s="4">
        <v>217</v>
      </c>
      <c r="F56" s="4">
        <f>ROUND(Source!AU37,O56)</f>
        <v>0</v>
      </c>
      <c r="G56" s="4" t="s">
        <v>102</v>
      </c>
      <c r="H56" s="4" t="s">
        <v>103</v>
      </c>
      <c r="I56" s="4"/>
      <c r="J56" s="4"/>
      <c r="K56" s="4">
        <v>217</v>
      </c>
      <c r="L56" s="4">
        <v>18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4">
        <v>50</v>
      </c>
      <c r="B57" s="4">
        <v>0</v>
      </c>
      <c r="C57" s="4">
        <v>0</v>
      </c>
      <c r="D57" s="4">
        <v>1</v>
      </c>
      <c r="E57" s="4">
        <v>230</v>
      </c>
      <c r="F57" s="4">
        <f>ROUND(Source!BA37,O57)</f>
        <v>0</v>
      </c>
      <c r="G57" s="4" t="s">
        <v>104</v>
      </c>
      <c r="H57" s="4" t="s">
        <v>105</v>
      </c>
      <c r="I57" s="4"/>
      <c r="J57" s="4"/>
      <c r="K57" s="4">
        <v>230</v>
      </c>
      <c r="L57" s="4">
        <v>19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4">
        <v>50</v>
      </c>
      <c r="B58" s="4">
        <v>0</v>
      </c>
      <c r="C58" s="4">
        <v>0</v>
      </c>
      <c r="D58" s="4">
        <v>1</v>
      </c>
      <c r="E58" s="4">
        <v>206</v>
      </c>
      <c r="F58" s="4">
        <f>ROUND(Source!T37,O58)</f>
        <v>0</v>
      </c>
      <c r="G58" s="4" t="s">
        <v>106</v>
      </c>
      <c r="H58" s="4" t="s">
        <v>107</v>
      </c>
      <c r="I58" s="4"/>
      <c r="J58" s="4"/>
      <c r="K58" s="4">
        <v>206</v>
      </c>
      <c r="L58" s="4">
        <v>20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 x14ac:dyDescent="0.2">
      <c r="A59" s="4">
        <v>50</v>
      </c>
      <c r="B59" s="4">
        <v>0</v>
      </c>
      <c r="C59" s="4">
        <v>0</v>
      </c>
      <c r="D59" s="4">
        <v>1</v>
      </c>
      <c r="E59" s="4">
        <v>207</v>
      </c>
      <c r="F59" s="4">
        <f>Source!U37</f>
        <v>14.443199999999999</v>
      </c>
      <c r="G59" s="4" t="s">
        <v>108</v>
      </c>
      <c r="H59" s="4" t="s">
        <v>109</v>
      </c>
      <c r="I59" s="4"/>
      <c r="J59" s="4"/>
      <c r="K59" s="4">
        <v>207</v>
      </c>
      <c r="L59" s="4">
        <v>21</v>
      </c>
      <c r="M59" s="4">
        <v>3</v>
      </c>
      <c r="N59" s="4" t="s">
        <v>3</v>
      </c>
      <c r="O59" s="4">
        <v>-1</v>
      </c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4">
        <v>50</v>
      </c>
      <c r="B60" s="4">
        <v>0</v>
      </c>
      <c r="C60" s="4">
        <v>0</v>
      </c>
      <c r="D60" s="4">
        <v>1</v>
      </c>
      <c r="E60" s="4">
        <v>208</v>
      </c>
      <c r="F60" s="4">
        <f>Source!V37</f>
        <v>0</v>
      </c>
      <c r="G60" s="4" t="s">
        <v>110</v>
      </c>
      <c r="H60" s="4" t="s">
        <v>111</v>
      </c>
      <c r="I60" s="4"/>
      <c r="J60" s="4"/>
      <c r="K60" s="4">
        <v>208</v>
      </c>
      <c r="L60" s="4">
        <v>22</v>
      </c>
      <c r="M60" s="4">
        <v>3</v>
      </c>
      <c r="N60" s="4" t="s">
        <v>3</v>
      </c>
      <c r="O60" s="4">
        <v>-1</v>
      </c>
      <c r="P60" s="4"/>
      <c r="Q60" s="4"/>
      <c r="R60" s="4"/>
      <c r="S60" s="4"/>
      <c r="T60" s="4"/>
      <c r="U60" s="4"/>
      <c r="V60" s="4"/>
      <c r="W60" s="4"/>
    </row>
    <row r="61" spans="1:23" x14ac:dyDescent="0.2">
      <c r="A61" s="4">
        <v>50</v>
      </c>
      <c r="B61" s="4">
        <v>0</v>
      </c>
      <c r="C61" s="4">
        <v>0</v>
      </c>
      <c r="D61" s="4">
        <v>1</v>
      </c>
      <c r="E61" s="4">
        <v>209</v>
      </c>
      <c r="F61" s="4">
        <f>ROUND(Source!W37,O61)</f>
        <v>0</v>
      </c>
      <c r="G61" s="4" t="s">
        <v>112</v>
      </c>
      <c r="H61" s="4" t="s">
        <v>113</v>
      </c>
      <c r="I61" s="4"/>
      <c r="J61" s="4"/>
      <c r="K61" s="4">
        <v>209</v>
      </c>
      <c r="L61" s="4">
        <v>23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 x14ac:dyDescent="0.2">
      <c r="A62" s="4">
        <v>50</v>
      </c>
      <c r="B62" s="4">
        <v>0</v>
      </c>
      <c r="C62" s="4">
        <v>0</v>
      </c>
      <c r="D62" s="4">
        <v>1</v>
      </c>
      <c r="E62" s="4">
        <v>210</v>
      </c>
      <c r="F62" s="4">
        <f>ROUND(Source!X37,O62)</f>
        <v>3228.07</v>
      </c>
      <c r="G62" s="4" t="s">
        <v>114</v>
      </c>
      <c r="H62" s="4" t="s">
        <v>115</v>
      </c>
      <c r="I62" s="4"/>
      <c r="J62" s="4"/>
      <c r="K62" s="4">
        <v>210</v>
      </c>
      <c r="L62" s="4">
        <v>24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 x14ac:dyDescent="0.2">
      <c r="A63" s="4">
        <v>50</v>
      </c>
      <c r="B63" s="4">
        <v>0</v>
      </c>
      <c r="C63" s="4">
        <v>0</v>
      </c>
      <c r="D63" s="4">
        <v>1</v>
      </c>
      <c r="E63" s="4">
        <v>211</v>
      </c>
      <c r="F63" s="4">
        <f>ROUND(Source!Y37,O63)</f>
        <v>1718.84</v>
      </c>
      <c r="G63" s="4" t="s">
        <v>116</v>
      </c>
      <c r="H63" s="4" t="s">
        <v>117</v>
      </c>
      <c r="I63" s="4"/>
      <c r="J63" s="4"/>
      <c r="K63" s="4">
        <v>211</v>
      </c>
      <c r="L63" s="4">
        <v>25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4">
        <v>50</v>
      </c>
      <c r="B64" s="4">
        <v>0</v>
      </c>
      <c r="C64" s="4">
        <v>0</v>
      </c>
      <c r="D64" s="4">
        <v>1</v>
      </c>
      <c r="E64" s="4">
        <v>224</v>
      </c>
      <c r="F64" s="4">
        <f>ROUND(Source!AR37,O64)</f>
        <v>9451.5</v>
      </c>
      <c r="G64" s="4" t="s">
        <v>118</v>
      </c>
      <c r="H64" s="4" t="s">
        <v>119</v>
      </c>
      <c r="I64" s="4"/>
      <c r="J64" s="4"/>
      <c r="K64" s="4">
        <v>224</v>
      </c>
      <c r="L64" s="4">
        <v>26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6" spans="1:245" x14ac:dyDescent="0.2">
      <c r="A66" s="1">
        <v>4</v>
      </c>
      <c r="B66" s="1">
        <v>1</v>
      </c>
      <c r="C66" s="1"/>
      <c r="D66" s="1">
        <f>ROW(A92)</f>
        <v>92</v>
      </c>
      <c r="E66" s="1"/>
      <c r="F66" s="1" t="s">
        <v>13</v>
      </c>
      <c r="G66" s="1" t="s">
        <v>120</v>
      </c>
      <c r="H66" s="1" t="s">
        <v>3</v>
      </c>
      <c r="I66" s="1">
        <v>0</v>
      </c>
      <c r="J66" s="1"/>
      <c r="K66" s="1">
        <v>0</v>
      </c>
      <c r="L66" s="1"/>
      <c r="M66" s="1"/>
      <c r="N66" s="1"/>
      <c r="O66" s="1"/>
      <c r="P66" s="1"/>
      <c r="Q66" s="1"/>
      <c r="R66" s="1"/>
      <c r="S66" s="1"/>
      <c r="T66" s="1"/>
      <c r="U66" s="1" t="s">
        <v>3</v>
      </c>
      <c r="V66" s="1">
        <v>0</v>
      </c>
      <c r="W66" s="1"/>
      <c r="X66" s="1"/>
      <c r="Y66" s="1"/>
      <c r="Z66" s="1"/>
      <c r="AA66" s="1"/>
      <c r="AB66" s="1" t="s">
        <v>3</v>
      </c>
      <c r="AC66" s="1" t="s">
        <v>3</v>
      </c>
      <c r="AD66" s="1" t="s">
        <v>3</v>
      </c>
      <c r="AE66" s="1" t="s">
        <v>3</v>
      </c>
      <c r="AF66" s="1" t="s">
        <v>3</v>
      </c>
      <c r="AG66" s="1" t="s">
        <v>3</v>
      </c>
      <c r="AH66" s="1"/>
      <c r="AI66" s="1"/>
      <c r="AJ66" s="1"/>
      <c r="AK66" s="1"/>
      <c r="AL66" s="1"/>
      <c r="AM66" s="1"/>
      <c r="AN66" s="1"/>
      <c r="AO66" s="1"/>
      <c r="AP66" s="1" t="s">
        <v>3</v>
      </c>
      <c r="AQ66" s="1" t="s">
        <v>3</v>
      </c>
      <c r="AR66" s="1" t="s">
        <v>3</v>
      </c>
      <c r="AS66" s="1"/>
      <c r="AT66" s="1"/>
      <c r="AU66" s="1"/>
      <c r="AV66" s="1"/>
      <c r="AW66" s="1"/>
      <c r="AX66" s="1"/>
      <c r="AY66" s="1"/>
      <c r="AZ66" s="1" t="s">
        <v>3</v>
      </c>
      <c r="BA66" s="1"/>
      <c r="BB66" s="1" t="s">
        <v>3</v>
      </c>
      <c r="BC66" s="1" t="s">
        <v>3</v>
      </c>
      <c r="BD66" s="1" t="s">
        <v>3</v>
      </c>
      <c r="BE66" s="1" t="s">
        <v>3</v>
      </c>
      <c r="BF66" s="1" t="s">
        <v>3</v>
      </c>
      <c r="BG66" s="1" t="s">
        <v>3</v>
      </c>
      <c r="BH66" s="1" t="s">
        <v>3</v>
      </c>
      <c r="BI66" s="1" t="s">
        <v>3</v>
      </c>
      <c r="BJ66" s="1" t="s">
        <v>3</v>
      </c>
      <c r="BK66" s="1" t="s">
        <v>3</v>
      </c>
      <c r="BL66" s="1" t="s">
        <v>3</v>
      </c>
      <c r="BM66" s="1" t="s">
        <v>3</v>
      </c>
      <c r="BN66" s="1" t="s">
        <v>3</v>
      </c>
      <c r="BO66" s="1" t="s">
        <v>3</v>
      </c>
      <c r="BP66" s="1" t="s">
        <v>3</v>
      </c>
      <c r="BQ66" s="1"/>
      <c r="BR66" s="1"/>
      <c r="BS66" s="1"/>
      <c r="BT66" s="1"/>
      <c r="BU66" s="1"/>
      <c r="BV66" s="1"/>
      <c r="BW66" s="1"/>
      <c r="BX66" s="1">
        <v>0</v>
      </c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>
        <v>0</v>
      </c>
    </row>
    <row r="68" spans="1:245" x14ac:dyDescent="0.2">
      <c r="A68" s="2">
        <v>52</v>
      </c>
      <c r="B68" s="2">
        <f t="shared" ref="B68:G68" si="59">B92</f>
        <v>1</v>
      </c>
      <c r="C68" s="2">
        <f t="shared" si="59"/>
        <v>4</v>
      </c>
      <c r="D68" s="2">
        <f t="shared" si="59"/>
        <v>66</v>
      </c>
      <c r="E68" s="2">
        <f t="shared" si="59"/>
        <v>0</v>
      </c>
      <c r="F68" s="2" t="str">
        <f t="shared" si="59"/>
        <v>Новый раздел</v>
      </c>
      <c r="G68" s="2" t="str">
        <f t="shared" si="59"/>
        <v>Монтажные работы</v>
      </c>
      <c r="H68" s="2"/>
      <c r="I68" s="2"/>
      <c r="J68" s="2"/>
      <c r="K68" s="2"/>
      <c r="L68" s="2"/>
      <c r="M68" s="2"/>
      <c r="N68" s="2"/>
      <c r="O68" s="2">
        <f t="shared" ref="O68:AT68" si="60">O92</f>
        <v>43082.31</v>
      </c>
      <c r="P68" s="2">
        <f t="shared" si="60"/>
        <v>1543.36</v>
      </c>
      <c r="Q68" s="2">
        <f t="shared" si="60"/>
        <v>816.14</v>
      </c>
      <c r="R68" s="2">
        <f t="shared" si="60"/>
        <v>332.99</v>
      </c>
      <c r="S68" s="2">
        <f t="shared" si="60"/>
        <v>40722.81</v>
      </c>
      <c r="T68" s="2">
        <f t="shared" si="60"/>
        <v>0</v>
      </c>
      <c r="U68" s="2">
        <f t="shared" si="60"/>
        <v>123.24900000000002</v>
      </c>
      <c r="V68" s="2">
        <f t="shared" si="60"/>
        <v>0</v>
      </c>
      <c r="W68" s="2">
        <f t="shared" si="60"/>
        <v>0</v>
      </c>
      <c r="X68" s="2">
        <f t="shared" si="60"/>
        <v>29180.58</v>
      </c>
      <c r="Y68" s="2">
        <f t="shared" si="60"/>
        <v>16696.34</v>
      </c>
      <c r="Z68" s="2">
        <f t="shared" si="60"/>
        <v>0</v>
      </c>
      <c r="AA68" s="2">
        <f t="shared" si="60"/>
        <v>0</v>
      </c>
      <c r="AB68" s="2">
        <f t="shared" si="60"/>
        <v>43082.31</v>
      </c>
      <c r="AC68" s="2">
        <f t="shared" si="60"/>
        <v>1543.36</v>
      </c>
      <c r="AD68" s="2">
        <f t="shared" si="60"/>
        <v>816.14</v>
      </c>
      <c r="AE68" s="2">
        <f t="shared" si="60"/>
        <v>332.99</v>
      </c>
      <c r="AF68" s="2">
        <f t="shared" si="60"/>
        <v>40722.81</v>
      </c>
      <c r="AG68" s="2">
        <f t="shared" si="60"/>
        <v>0</v>
      </c>
      <c r="AH68" s="2">
        <f t="shared" si="60"/>
        <v>123.24900000000002</v>
      </c>
      <c r="AI68" s="2">
        <f t="shared" si="60"/>
        <v>0</v>
      </c>
      <c r="AJ68" s="2">
        <f t="shared" si="60"/>
        <v>0</v>
      </c>
      <c r="AK68" s="2">
        <f t="shared" si="60"/>
        <v>29180.58</v>
      </c>
      <c r="AL68" s="2">
        <f t="shared" si="60"/>
        <v>16696.34</v>
      </c>
      <c r="AM68" s="2">
        <f t="shared" si="60"/>
        <v>0</v>
      </c>
      <c r="AN68" s="2">
        <f t="shared" si="60"/>
        <v>0</v>
      </c>
      <c r="AO68" s="2">
        <f t="shared" si="60"/>
        <v>0</v>
      </c>
      <c r="AP68" s="2">
        <f t="shared" si="60"/>
        <v>0</v>
      </c>
      <c r="AQ68" s="2">
        <f t="shared" si="60"/>
        <v>0</v>
      </c>
      <c r="AR68" s="2">
        <f t="shared" si="60"/>
        <v>89482.02</v>
      </c>
      <c r="AS68" s="2">
        <f t="shared" si="60"/>
        <v>0</v>
      </c>
      <c r="AT68" s="2">
        <f t="shared" si="60"/>
        <v>38951.07</v>
      </c>
      <c r="AU68" s="2">
        <f t="shared" ref="AU68:BZ68" si="61">AU92</f>
        <v>50530.95</v>
      </c>
      <c r="AV68" s="2">
        <f t="shared" si="61"/>
        <v>1543.36</v>
      </c>
      <c r="AW68" s="2">
        <f t="shared" si="61"/>
        <v>1543.36</v>
      </c>
      <c r="AX68" s="2">
        <f t="shared" si="61"/>
        <v>0</v>
      </c>
      <c r="AY68" s="2">
        <f t="shared" si="61"/>
        <v>1543.36</v>
      </c>
      <c r="AZ68" s="2">
        <f t="shared" si="61"/>
        <v>0</v>
      </c>
      <c r="BA68" s="2">
        <f t="shared" si="61"/>
        <v>0</v>
      </c>
      <c r="BB68" s="2">
        <f t="shared" si="61"/>
        <v>0</v>
      </c>
      <c r="BC68" s="2">
        <f t="shared" si="61"/>
        <v>0</v>
      </c>
      <c r="BD68" s="2">
        <f t="shared" si="61"/>
        <v>0</v>
      </c>
      <c r="BE68" s="2">
        <f t="shared" si="61"/>
        <v>0</v>
      </c>
      <c r="BF68" s="2">
        <f t="shared" si="61"/>
        <v>0</v>
      </c>
      <c r="BG68" s="2">
        <f t="shared" si="61"/>
        <v>0</v>
      </c>
      <c r="BH68" s="2">
        <f t="shared" si="61"/>
        <v>0</v>
      </c>
      <c r="BI68" s="2">
        <f t="shared" si="61"/>
        <v>0</v>
      </c>
      <c r="BJ68" s="2">
        <f t="shared" si="61"/>
        <v>0</v>
      </c>
      <c r="BK68" s="2">
        <f t="shared" si="61"/>
        <v>0</v>
      </c>
      <c r="BL68" s="2">
        <f t="shared" si="61"/>
        <v>0</v>
      </c>
      <c r="BM68" s="2">
        <f t="shared" si="61"/>
        <v>0</v>
      </c>
      <c r="BN68" s="2">
        <f t="shared" si="61"/>
        <v>0</v>
      </c>
      <c r="BO68" s="2">
        <f t="shared" si="61"/>
        <v>0</v>
      </c>
      <c r="BP68" s="2">
        <f t="shared" si="61"/>
        <v>0</v>
      </c>
      <c r="BQ68" s="2">
        <f t="shared" si="61"/>
        <v>0</v>
      </c>
      <c r="BR68" s="2">
        <f t="shared" si="61"/>
        <v>0</v>
      </c>
      <c r="BS68" s="2">
        <f t="shared" si="61"/>
        <v>0</v>
      </c>
      <c r="BT68" s="2">
        <f t="shared" si="61"/>
        <v>0</v>
      </c>
      <c r="BU68" s="2">
        <f t="shared" si="61"/>
        <v>0</v>
      </c>
      <c r="BV68" s="2">
        <f t="shared" si="61"/>
        <v>0</v>
      </c>
      <c r="BW68" s="2">
        <f t="shared" si="61"/>
        <v>0</v>
      </c>
      <c r="BX68" s="2">
        <f t="shared" si="61"/>
        <v>0</v>
      </c>
      <c r="BY68" s="2">
        <f t="shared" si="61"/>
        <v>0</v>
      </c>
      <c r="BZ68" s="2">
        <f t="shared" si="61"/>
        <v>0</v>
      </c>
      <c r="CA68" s="2">
        <f t="shared" ref="CA68:DF68" si="62">CA92</f>
        <v>89482.02</v>
      </c>
      <c r="CB68" s="2">
        <f t="shared" si="62"/>
        <v>0</v>
      </c>
      <c r="CC68" s="2">
        <f t="shared" si="62"/>
        <v>38951.07</v>
      </c>
      <c r="CD68" s="2">
        <f t="shared" si="62"/>
        <v>50530.95</v>
      </c>
      <c r="CE68" s="2">
        <f t="shared" si="62"/>
        <v>1543.36</v>
      </c>
      <c r="CF68" s="2">
        <f t="shared" si="62"/>
        <v>1543.36</v>
      </c>
      <c r="CG68" s="2">
        <f t="shared" si="62"/>
        <v>0</v>
      </c>
      <c r="CH68" s="2">
        <f t="shared" si="62"/>
        <v>1543.36</v>
      </c>
      <c r="CI68" s="2">
        <f t="shared" si="62"/>
        <v>0</v>
      </c>
      <c r="CJ68" s="2">
        <f t="shared" si="62"/>
        <v>0</v>
      </c>
      <c r="CK68" s="2">
        <f t="shared" si="62"/>
        <v>0</v>
      </c>
      <c r="CL68" s="2">
        <f t="shared" si="62"/>
        <v>0</v>
      </c>
      <c r="CM68" s="2">
        <f t="shared" si="62"/>
        <v>0</v>
      </c>
      <c r="CN68" s="2">
        <f t="shared" si="62"/>
        <v>0</v>
      </c>
      <c r="CO68" s="2">
        <f t="shared" si="62"/>
        <v>0</v>
      </c>
      <c r="CP68" s="2">
        <f t="shared" si="62"/>
        <v>0</v>
      </c>
      <c r="CQ68" s="2">
        <f t="shared" si="62"/>
        <v>0</v>
      </c>
      <c r="CR68" s="2">
        <f t="shared" si="62"/>
        <v>0</v>
      </c>
      <c r="CS68" s="2">
        <f t="shared" si="62"/>
        <v>0</v>
      </c>
      <c r="CT68" s="2">
        <f t="shared" si="62"/>
        <v>0</v>
      </c>
      <c r="CU68" s="2">
        <f t="shared" si="62"/>
        <v>0</v>
      </c>
      <c r="CV68" s="2">
        <f t="shared" si="62"/>
        <v>0</v>
      </c>
      <c r="CW68" s="2">
        <f t="shared" si="62"/>
        <v>0</v>
      </c>
      <c r="CX68" s="2">
        <f t="shared" si="62"/>
        <v>0</v>
      </c>
      <c r="CY68" s="2">
        <f t="shared" si="62"/>
        <v>0</v>
      </c>
      <c r="CZ68" s="2">
        <f t="shared" si="62"/>
        <v>0</v>
      </c>
      <c r="DA68" s="2">
        <f t="shared" si="62"/>
        <v>0</v>
      </c>
      <c r="DB68" s="2">
        <f t="shared" si="62"/>
        <v>0</v>
      </c>
      <c r="DC68" s="2">
        <f t="shared" si="62"/>
        <v>0</v>
      </c>
      <c r="DD68" s="2">
        <f t="shared" si="62"/>
        <v>0</v>
      </c>
      <c r="DE68" s="2">
        <f t="shared" si="62"/>
        <v>0</v>
      </c>
      <c r="DF68" s="2">
        <f t="shared" si="62"/>
        <v>0</v>
      </c>
      <c r="DG68" s="3">
        <f t="shared" ref="DG68:EL68" si="63">DG92</f>
        <v>0</v>
      </c>
      <c r="DH68" s="3">
        <f t="shared" si="63"/>
        <v>0</v>
      </c>
      <c r="DI68" s="3">
        <f t="shared" si="63"/>
        <v>0</v>
      </c>
      <c r="DJ68" s="3">
        <f t="shared" si="63"/>
        <v>0</v>
      </c>
      <c r="DK68" s="3">
        <f t="shared" si="63"/>
        <v>0</v>
      </c>
      <c r="DL68" s="3">
        <f t="shared" si="63"/>
        <v>0</v>
      </c>
      <c r="DM68" s="3">
        <f t="shared" si="63"/>
        <v>0</v>
      </c>
      <c r="DN68" s="3">
        <f t="shared" si="63"/>
        <v>0</v>
      </c>
      <c r="DO68" s="3">
        <f t="shared" si="63"/>
        <v>0</v>
      </c>
      <c r="DP68" s="3">
        <f t="shared" si="63"/>
        <v>0</v>
      </c>
      <c r="DQ68" s="3">
        <f t="shared" si="63"/>
        <v>0</v>
      </c>
      <c r="DR68" s="3">
        <f t="shared" si="63"/>
        <v>0</v>
      </c>
      <c r="DS68" s="3">
        <f t="shared" si="63"/>
        <v>0</v>
      </c>
      <c r="DT68" s="3">
        <f t="shared" si="63"/>
        <v>0</v>
      </c>
      <c r="DU68" s="3">
        <f t="shared" si="63"/>
        <v>0</v>
      </c>
      <c r="DV68" s="3">
        <f t="shared" si="63"/>
        <v>0</v>
      </c>
      <c r="DW68" s="3">
        <f t="shared" si="63"/>
        <v>0</v>
      </c>
      <c r="DX68" s="3">
        <f t="shared" si="63"/>
        <v>0</v>
      </c>
      <c r="DY68" s="3">
        <f t="shared" si="63"/>
        <v>0</v>
      </c>
      <c r="DZ68" s="3">
        <f t="shared" si="63"/>
        <v>0</v>
      </c>
      <c r="EA68" s="3">
        <f t="shared" si="63"/>
        <v>0</v>
      </c>
      <c r="EB68" s="3">
        <f t="shared" si="63"/>
        <v>0</v>
      </c>
      <c r="EC68" s="3">
        <f t="shared" si="63"/>
        <v>0</v>
      </c>
      <c r="ED68" s="3">
        <f t="shared" si="63"/>
        <v>0</v>
      </c>
      <c r="EE68" s="3">
        <f t="shared" si="63"/>
        <v>0</v>
      </c>
      <c r="EF68" s="3">
        <f t="shared" si="63"/>
        <v>0</v>
      </c>
      <c r="EG68" s="3">
        <f t="shared" si="63"/>
        <v>0</v>
      </c>
      <c r="EH68" s="3">
        <f t="shared" si="63"/>
        <v>0</v>
      </c>
      <c r="EI68" s="3">
        <f t="shared" si="63"/>
        <v>0</v>
      </c>
      <c r="EJ68" s="3">
        <f t="shared" si="63"/>
        <v>0</v>
      </c>
      <c r="EK68" s="3">
        <f t="shared" si="63"/>
        <v>0</v>
      </c>
      <c r="EL68" s="3">
        <f t="shared" si="63"/>
        <v>0</v>
      </c>
      <c r="EM68" s="3">
        <f t="shared" ref="EM68:FR68" si="64">EM92</f>
        <v>0</v>
      </c>
      <c r="EN68" s="3">
        <f t="shared" si="64"/>
        <v>0</v>
      </c>
      <c r="EO68" s="3">
        <f t="shared" si="64"/>
        <v>0</v>
      </c>
      <c r="EP68" s="3">
        <f t="shared" si="64"/>
        <v>0</v>
      </c>
      <c r="EQ68" s="3">
        <f t="shared" si="64"/>
        <v>0</v>
      </c>
      <c r="ER68" s="3">
        <f t="shared" si="64"/>
        <v>0</v>
      </c>
      <c r="ES68" s="3">
        <f t="shared" si="64"/>
        <v>0</v>
      </c>
      <c r="ET68" s="3">
        <f t="shared" si="64"/>
        <v>0</v>
      </c>
      <c r="EU68" s="3">
        <f t="shared" si="64"/>
        <v>0</v>
      </c>
      <c r="EV68" s="3">
        <f t="shared" si="64"/>
        <v>0</v>
      </c>
      <c r="EW68" s="3">
        <f t="shared" si="64"/>
        <v>0</v>
      </c>
      <c r="EX68" s="3">
        <f t="shared" si="64"/>
        <v>0</v>
      </c>
      <c r="EY68" s="3">
        <f t="shared" si="64"/>
        <v>0</v>
      </c>
      <c r="EZ68" s="3">
        <f t="shared" si="64"/>
        <v>0</v>
      </c>
      <c r="FA68" s="3">
        <f t="shared" si="64"/>
        <v>0</v>
      </c>
      <c r="FB68" s="3">
        <f t="shared" si="64"/>
        <v>0</v>
      </c>
      <c r="FC68" s="3">
        <f t="shared" si="64"/>
        <v>0</v>
      </c>
      <c r="FD68" s="3">
        <f t="shared" si="64"/>
        <v>0</v>
      </c>
      <c r="FE68" s="3">
        <f t="shared" si="64"/>
        <v>0</v>
      </c>
      <c r="FF68" s="3">
        <f t="shared" si="64"/>
        <v>0</v>
      </c>
      <c r="FG68" s="3">
        <f t="shared" si="64"/>
        <v>0</v>
      </c>
      <c r="FH68" s="3">
        <f t="shared" si="64"/>
        <v>0</v>
      </c>
      <c r="FI68" s="3">
        <f t="shared" si="64"/>
        <v>0</v>
      </c>
      <c r="FJ68" s="3">
        <f t="shared" si="64"/>
        <v>0</v>
      </c>
      <c r="FK68" s="3">
        <f t="shared" si="64"/>
        <v>0</v>
      </c>
      <c r="FL68" s="3">
        <f t="shared" si="64"/>
        <v>0</v>
      </c>
      <c r="FM68" s="3">
        <f t="shared" si="64"/>
        <v>0</v>
      </c>
      <c r="FN68" s="3">
        <f t="shared" si="64"/>
        <v>0</v>
      </c>
      <c r="FO68" s="3">
        <f t="shared" si="64"/>
        <v>0</v>
      </c>
      <c r="FP68" s="3">
        <f t="shared" si="64"/>
        <v>0</v>
      </c>
      <c r="FQ68" s="3">
        <f t="shared" si="64"/>
        <v>0</v>
      </c>
      <c r="FR68" s="3">
        <f t="shared" si="64"/>
        <v>0</v>
      </c>
      <c r="FS68" s="3">
        <f t="shared" ref="FS68:GX68" si="65">FS92</f>
        <v>0</v>
      </c>
      <c r="FT68" s="3">
        <f t="shared" si="65"/>
        <v>0</v>
      </c>
      <c r="FU68" s="3">
        <f t="shared" si="65"/>
        <v>0</v>
      </c>
      <c r="FV68" s="3">
        <f t="shared" si="65"/>
        <v>0</v>
      </c>
      <c r="FW68" s="3">
        <f t="shared" si="65"/>
        <v>0</v>
      </c>
      <c r="FX68" s="3">
        <f t="shared" si="65"/>
        <v>0</v>
      </c>
      <c r="FY68" s="3">
        <f t="shared" si="65"/>
        <v>0</v>
      </c>
      <c r="FZ68" s="3">
        <f t="shared" si="65"/>
        <v>0</v>
      </c>
      <c r="GA68" s="3">
        <f t="shared" si="65"/>
        <v>0</v>
      </c>
      <c r="GB68" s="3">
        <f t="shared" si="65"/>
        <v>0</v>
      </c>
      <c r="GC68" s="3">
        <f t="shared" si="65"/>
        <v>0</v>
      </c>
      <c r="GD68" s="3">
        <f t="shared" si="65"/>
        <v>0</v>
      </c>
      <c r="GE68" s="3">
        <f t="shared" si="65"/>
        <v>0</v>
      </c>
      <c r="GF68" s="3">
        <f t="shared" si="65"/>
        <v>0</v>
      </c>
      <c r="GG68" s="3">
        <f t="shared" si="65"/>
        <v>0</v>
      </c>
      <c r="GH68" s="3">
        <f t="shared" si="65"/>
        <v>0</v>
      </c>
      <c r="GI68" s="3">
        <f t="shared" si="65"/>
        <v>0</v>
      </c>
      <c r="GJ68" s="3">
        <f t="shared" si="65"/>
        <v>0</v>
      </c>
      <c r="GK68" s="3">
        <f t="shared" si="65"/>
        <v>0</v>
      </c>
      <c r="GL68" s="3">
        <f t="shared" si="65"/>
        <v>0</v>
      </c>
      <c r="GM68" s="3">
        <f t="shared" si="65"/>
        <v>0</v>
      </c>
      <c r="GN68" s="3">
        <f t="shared" si="65"/>
        <v>0</v>
      </c>
      <c r="GO68" s="3">
        <f t="shared" si="65"/>
        <v>0</v>
      </c>
      <c r="GP68" s="3">
        <f t="shared" si="65"/>
        <v>0</v>
      </c>
      <c r="GQ68" s="3">
        <f t="shared" si="65"/>
        <v>0</v>
      </c>
      <c r="GR68" s="3">
        <f t="shared" si="65"/>
        <v>0</v>
      </c>
      <c r="GS68" s="3">
        <f t="shared" si="65"/>
        <v>0</v>
      </c>
      <c r="GT68" s="3">
        <f t="shared" si="65"/>
        <v>0</v>
      </c>
      <c r="GU68" s="3">
        <f t="shared" si="65"/>
        <v>0</v>
      </c>
      <c r="GV68" s="3">
        <f t="shared" si="65"/>
        <v>0</v>
      </c>
      <c r="GW68" s="3">
        <f t="shared" si="65"/>
        <v>0</v>
      </c>
      <c r="GX68" s="3">
        <f t="shared" si="65"/>
        <v>0</v>
      </c>
    </row>
    <row r="70" spans="1:245" x14ac:dyDescent="0.2">
      <c r="A70">
        <v>17</v>
      </c>
      <c r="B70">
        <v>1</v>
      </c>
      <c r="C70">
        <f>ROW(SmtRes!A6)</f>
        <v>6</v>
      </c>
      <c r="D70">
        <f>ROW(EtalonRes!A9)</f>
        <v>9</v>
      </c>
      <c r="E70" t="s">
        <v>15</v>
      </c>
      <c r="F70" t="s">
        <v>121</v>
      </c>
      <c r="G70" t="s">
        <v>122</v>
      </c>
      <c r="H70" t="s">
        <v>26</v>
      </c>
      <c r="I70">
        <v>1</v>
      </c>
      <c r="J70">
        <v>0</v>
      </c>
      <c r="O70">
        <f t="shared" ref="O70:O90" si="66">ROUND(CP70,2)</f>
        <v>501.16</v>
      </c>
      <c r="P70">
        <f t="shared" ref="P70:P90" si="67">ROUND((ROUND((AC70*AW70*I70),2)*BC70),2)</f>
        <v>83.69</v>
      </c>
      <c r="Q70">
        <f t="shared" ref="Q70:Q87" si="68">(ROUND((ROUND(((ET70)*AV70*I70),2)*BB70),2)+ROUND((ROUND(((AE70-(EU70))*AV70*I70),2)*BS70),2))</f>
        <v>31.45</v>
      </c>
      <c r="R70">
        <f t="shared" ref="R70:R90" si="69">ROUND((ROUND((AE70*AV70*I70),2)*BS70),2)</f>
        <v>7.61</v>
      </c>
      <c r="S70">
        <f t="shared" ref="S70:S90" si="70">ROUND((ROUND((AF70*AV70*I70),2)*BA70),2)</f>
        <v>386.02</v>
      </c>
      <c r="T70">
        <f t="shared" ref="T70:T90" si="71">ROUND(CU70*I70,2)</f>
        <v>0</v>
      </c>
      <c r="U70">
        <f t="shared" ref="U70:U90" si="72">CV70*I70</f>
        <v>1.34</v>
      </c>
      <c r="V70">
        <f t="shared" ref="V70:V90" si="73">CW70*I70</f>
        <v>0</v>
      </c>
      <c r="W70">
        <f t="shared" ref="W70:W90" si="74">ROUND(CX70*I70,2)</f>
        <v>0</v>
      </c>
      <c r="X70">
        <f t="shared" ref="X70:X90" si="75">ROUND(CY70,2)</f>
        <v>297.24</v>
      </c>
      <c r="Y70">
        <f t="shared" ref="Y70:Y90" si="76">ROUND(CZ70,2)</f>
        <v>158.27000000000001</v>
      </c>
      <c r="AA70">
        <v>45723533</v>
      </c>
      <c r="AB70">
        <f t="shared" ref="AB70:AB90" si="77">ROUND((AC70+AD70+AF70),6)</f>
        <v>37.14</v>
      </c>
      <c r="AC70">
        <f t="shared" ref="AC70:AC90" si="78">ROUND((ES70),6)</f>
        <v>15.47</v>
      </c>
      <c r="AD70">
        <f t="shared" ref="AD70:AD87" si="79">ROUND((((ET70)-(EU70))+AE70),6)</f>
        <v>4.93</v>
      </c>
      <c r="AE70">
        <f t="shared" ref="AE70:AE87" si="80">ROUND((EU70),6)</f>
        <v>0.33</v>
      </c>
      <c r="AF70">
        <f t="shared" ref="AF70:AF87" si="81">ROUND((EV70),6)</f>
        <v>16.739999999999998</v>
      </c>
      <c r="AG70">
        <f t="shared" ref="AG70:AG90" si="82">ROUND((AP70),6)</f>
        <v>0</v>
      </c>
      <c r="AH70">
        <f t="shared" ref="AH70:AH87" si="83">(EW70)</f>
        <v>1.34</v>
      </c>
      <c r="AI70">
        <f t="shared" ref="AI70:AI87" si="84">(EX70)</f>
        <v>0</v>
      </c>
      <c r="AJ70">
        <f t="shared" ref="AJ70:AJ90" si="85">(AS70)</f>
        <v>0</v>
      </c>
      <c r="AK70">
        <v>37.14</v>
      </c>
      <c r="AL70">
        <v>15.47</v>
      </c>
      <c r="AM70">
        <v>4.93</v>
      </c>
      <c r="AN70">
        <v>0.33</v>
      </c>
      <c r="AO70">
        <v>16.739999999999998</v>
      </c>
      <c r="AP70">
        <v>0</v>
      </c>
      <c r="AQ70">
        <v>1.34</v>
      </c>
      <c r="AR70">
        <v>0</v>
      </c>
      <c r="AS70">
        <v>0</v>
      </c>
      <c r="AT70">
        <v>77</v>
      </c>
      <c r="AU70">
        <v>41</v>
      </c>
      <c r="AV70">
        <v>1</v>
      </c>
      <c r="AW70">
        <v>1</v>
      </c>
      <c r="AZ70">
        <v>1</v>
      </c>
      <c r="BA70">
        <v>23.06</v>
      </c>
      <c r="BB70">
        <v>6.38</v>
      </c>
      <c r="BC70">
        <v>5.41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2</v>
      </c>
      <c r="BJ70" t="s">
        <v>123</v>
      </c>
      <c r="BM70">
        <v>333</v>
      </c>
      <c r="BN70">
        <v>0</v>
      </c>
      <c r="BO70" t="s">
        <v>121</v>
      </c>
      <c r="BP70">
        <v>1</v>
      </c>
      <c r="BQ70">
        <v>40</v>
      </c>
      <c r="BR70">
        <v>0</v>
      </c>
      <c r="BS70">
        <v>23.06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77</v>
      </c>
      <c r="CA70">
        <v>41</v>
      </c>
      <c r="CE70">
        <v>30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ref="CP70:CP90" si="86">(P70+Q70+S70)</f>
        <v>501.15999999999997</v>
      </c>
      <c r="CQ70">
        <f t="shared" ref="CQ70:CQ90" si="87">ROUND((ROUND((AC70*AW70*1),2)*BC70),2)</f>
        <v>83.69</v>
      </c>
      <c r="CR70">
        <f t="shared" ref="CR70:CR87" si="88">(ROUND((ROUND(((ET70)*AV70*1),2)*BB70),2)+ROUND((ROUND(((AE70-(EU70))*AV70*1),2)*BS70),2))</f>
        <v>31.45</v>
      </c>
      <c r="CS70">
        <f t="shared" ref="CS70:CS90" si="89">ROUND((ROUND((AE70*AV70*1),2)*BS70),2)</f>
        <v>7.61</v>
      </c>
      <c r="CT70">
        <f t="shared" ref="CT70:CT90" si="90">ROUND((ROUND((AF70*AV70*1),2)*BA70),2)</f>
        <v>386.02</v>
      </c>
      <c r="CU70">
        <f t="shared" ref="CU70:CU90" si="91">AG70</f>
        <v>0</v>
      </c>
      <c r="CV70">
        <f t="shared" ref="CV70:CV90" si="92">(AH70*AV70)</f>
        <v>1.34</v>
      </c>
      <c r="CW70">
        <f t="shared" ref="CW70:CW90" si="93">AI70</f>
        <v>0</v>
      </c>
      <c r="CX70">
        <f t="shared" ref="CX70:CX90" si="94">AJ70</f>
        <v>0</v>
      </c>
      <c r="CY70">
        <f t="shared" ref="CY70:CY90" si="95">S70*(BZ70/100)</f>
        <v>297.23539999999997</v>
      </c>
      <c r="CZ70">
        <f t="shared" ref="CZ70:CZ90" si="96">S70*(CA70/100)</f>
        <v>158.26819999999998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114</v>
      </c>
      <c r="DO70">
        <v>67</v>
      </c>
      <c r="DP70">
        <v>1</v>
      </c>
      <c r="DQ70">
        <v>1</v>
      </c>
      <c r="DU70">
        <v>1013</v>
      </c>
      <c r="DV70" t="s">
        <v>26</v>
      </c>
      <c r="DW70" t="s">
        <v>26</v>
      </c>
      <c r="DX70">
        <v>1</v>
      </c>
      <c r="EE70">
        <v>42513648</v>
      </c>
      <c r="EF70">
        <v>40</v>
      </c>
      <c r="EG70" t="s">
        <v>30</v>
      </c>
      <c r="EH70">
        <v>0</v>
      </c>
      <c r="EI70" t="s">
        <v>3</v>
      </c>
      <c r="EJ70">
        <v>2</v>
      </c>
      <c r="EK70">
        <v>333</v>
      </c>
      <c r="EL70" t="s">
        <v>31</v>
      </c>
      <c r="EM70" t="s">
        <v>32</v>
      </c>
      <c r="EO70" t="s">
        <v>3</v>
      </c>
      <c r="EQ70">
        <v>0</v>
      </c>
      <c r="ER70">
        <v>37.14</v>
      </c>
      <c r="ES70">
        <v>15.47</v>
      </c>
      <c r="ET70">
        <v>4.93</v>
      </c>
      <c r="EU70">
        <v>0.33</v>
      </c>
      <c r="EV70">
        <v>16.739999999999998</v>
      </c>
      <c r="EW70">
        <v>1.34</v>
      </c>
      <c r="EX70">
        <v>0</v>
      </c>
      <c r="EY70">
        <v>0</v>
      </c>
      <c r="FQ70">
        <v>0</v>
      </c>
      <c r="FR70">
        <f t="shared" ref="FR70:FR90" si="97">ROUND(IF(AND(BH70=3,BI70=3),P70,0),2)</f>
        <v>0</v>
      </c>
      <c r="FS70">
        <v>0</v>
      </c>
      <c r="FX70">
        <v>114</v>
      </c>
      <c r="FY70">
        <v>67</v>
      </c>
      <c r="GA70" t="s">
        <v>3</v>
      </c>
      <c r="GD70">
        <v>0</v>
      </c>
      <c r="GF70">
        <v>1296312545</v>
      </c>
      <c r="GG70">
        <v>2</v>
      </c>
      <c r="GH70">
        <v>1</v>
      </c>
      <c r="GI70">
        <v>2</v>
      </c>
      <c r="GJ70">
        <v>0</v>
      </c>
      <c r="GK70">
        <f>ROUND(R70*(R12)/100,2)</f>
        <v>11.95</v>
      </c>
      <c r="GL70">
        <f t="shared" ref="GL70:GL90" si="98">ROUND(IF(AND(BH70=3,BI70=3,FS70&lt;&gt;0),P70,0),2)</f>
        <v>0</v>
      </c>
      <c r="GM70">
        <f t="shared" ref="GM70:GM90" si="99">ROUND(O70+X70+Y70+GK70,2)+GX70</f>
        <v>968.62</v>
      </c>
      <c r="GN70">
        <f t="shared" ref="GN70:GN90" si="100">IF(OR(BI70=0,BI70=1),ROUND(O70+X70+Y70+GK70,2),0)</f>
        <v>0</v>
      </c>
      <c r="GO70">
        <f t="shared" ref="GO70:GO90" si="101">IF(BI70=2,ROUND(O70+X70+Y70+GK70,2),0)</f>
        <v>968.62</v>
      </c>
      <c r="GP70">
        <f t="shared" ref="GP70:GP90" si="102">IF(BI70=4,ROUND(O70+X70+Y70+GK70,2)+GX70,0)</f>
        <v>0</v>
      </c>
      <c r="GR70">
        <v>0</v>
      </c>
      <c r="GS70">
        <v>3</v>
      </c>
      <c r="GT70">
        <v>0</v>
      </c>
      <c r="GU70" t="s">
        <v>3</v>
      </c>
      <c r="GV70">
        <f t="shared" ref="GV70:GV90" si="103">ROUND((GT70),6)</f>
        <v>0</v>
      </c>
      <c r="GW70">
        <v>1</v>
      </c>
      <c r="GX70">
        <f t="shared" ref="GX70:GX90" si="104">ROUND(HC70*I70,2)</f>
        <v>0</v>
      </c>
      <c r="HA70">
        <v>0</v>
      </c>
      <c r="HB70">
        <v>0</v>
      </c>
      <c r="HC70">
        <f t="shared" ref="HC70:HC90" si="105">GV70*GW70</f>
        <v>0</v>
      </c>
      <c r="IK70">
        <v>0</v>
      </c>
    </row>
    <row r="71" spans="1:245" x14ac:dyDescent="0.2">
      <c r="A71">
        <v>17</v>
      </c>
      <c r="B71">
        <v>1</v>
      </c>
      <c r="C71">
        <f>ROW(SmtRes!A7)</f>
        <v>7</v>
      </c>
      <c r="D71">
        <f>ROW(EtalonRes!A10)</f>
        <v>10</v>
      </c>
      <c r="E71" t="s">
        <v>124</v>
      </c>
      <c r="F71" t="s">
        <v>24</v>
      </c>
      <c r="G71" t="s">
        <v>125</v>
      </c>
      <c r="H71" t="s">
        <v>26</v>
      </c>
      <c r="I71">
        <v>2</v>
      </c>
      <c r="J71">
        <v>0</v>
      </c>
      <c r="O71">
        <f t="shared" si="66"/>
        <v>1537.44</v>
      </c>
      <c r="P71">
        <f t="shared" si="67"/>
        <v>316.58999999999997</v>
      </c>
      <c r="Q71">
        <f t="shared" si="68"/>
        <v>68.77</v>
      </c>
      <c r="R71">
        <f t="shared" si="69"/>
        <v>17.989999999999998</v>
      </c>
      <c r="S71">
        <f t="shared" si="70"/>
        <v>1152.08</v>
      </c>
      <c r="T71">
        <f t="shared" si="71"/>
        <v>0</v>
      </c>
      <c r="U71">
        <f t="shared" si="72"/>
        <v>4</v>
      </c>
      <c r="V71">
        <f t="shared" si="73"/>
        <v>0</v>
      </c>
      <c r="W71">
        <f t="shared" si="74"/>
        <v>0</v>
      </c>
      <c r="X71">
        <f t="shared" si="75"/>
        <v>887.1</v>
      </c>
      <c r="Y71">
        <f t="shared" si="76"/>
        <v>472.35</v>
      </c>
      <c r="AA71">
        <v>45723533</v>
      </c>
      <c r="AB71">
        <f t="shared" si="77"/>
        <v>59.53</v>
      </c>
      <c r="AC71">
        <f t="shared" si="78"/>
        <v>29.26</v>
      </c>
      <c r="AD71">
        <f t="shared" si="79"/>
        <v>5.29</v>
      </c>
      <c r="AE71">
        <f t="shared" si="80"/>
        <v>0.39</v>
      </c>
      <c r="AF71">
        <f t="shared" si="81"/>
        <v>24.98</v>
      </c>
      <c r="AG71">
        <f t="shared" si="82"/>
        <v>0</v>
      </c>
      <c r="AH71">
        <f t="shared" si="83"/>
        <v>2</v>
      </c>
      <c r="AI71">
        <f t="shared" si="84"/>
        <v>0</v>
      </c>
      <c r="AJ71">
        <f t="shared" si="85"/>
        <v>0</v>
      </c>
      <c r="AK71">
        <v>59.53</v>
      </c>
      <c r="AL71">
        <v>29.26</v>
      </c>
      <c r="AM71">
        <v>5.29</v>
      </c>
      <c r="AN71">
        <v>0.39</v>
      </c>
      <c r="AO71">
        <v>24.98</v>
      </c>
      <c r="AP71">
        <v>0</v>
      </c>
      <c r="AQ71">
        <v>2</v>
      </c>
      <c r="AR71">
        <v>0</v>
      </c>
      <c r="AS71">
        <v>0</v>
      </c>
      <c r="AT71">
        <v>77</v>
      </c>
      <c r="AU71">
        <v>41</v>
      </c>
      <c r="AV71">
        <v>1</v>
      </c>
      <c r="AW71">
        <v>1</v>
      </c>
      <c r="AZ71">
        <v>1</v>
      </c>
      <c r="BA71">
        <v>23.06</v>
      </c>
      <c r="BB71">
        <v>6.5</v>
      </c>
      <c r="BC71">
        <v>5.41</v>
      </c>
      <c r="BD71" t="s">
        <v>3</v>
      </c>
      <c r="BE71" t="s">
        <v>3</v>
      </c>
      <c r="BF71" t="s">
        <v>3</v>
      </c>
      <c r="BG71" t="s">
        <v>3</v>
      </c>
      <c r="BH71">
        <v>0</v>
      </c>
      <c r="BI71">
        <v>2</v>
      </c>
      <c r="BJ71" t="s">
        <v>27</v>
      </c>
      <c r="BM71">
        <v>333</v>
      </c>
      <c r="BN71">
        <v>0</v>
      </c>
      <c r="BO71" t="s">
        <v>24</v>
      </c>
      <c r="BP71">
        <v>1</v>
      </c>
      <c r="BQ71">
        <v>40</v>
      </c>
      <c r="BR71">
        <v>0</v>
      </c>
      <c r="BS71">
        <v>23.06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77</v>
      </c>
      <c r="CA71">
        <v>41</v>
      </c>
      <c r="CE71">
        <v>30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86"/>
        <v>1537.4399999999998</v>
      </c>
      <c r="CQ71">
        <f t="shared" si="87"/>
        <v>158.30000000000001</v>
      </c>
      <c r="CR71">
        <f t="shared" si="88"/>
        <v>34.39</v>
      </c>
      <c r="CS71">
        <f t="shared" si="89"/>
        <v>8.99</v>
      </c>
      <c r="CT71">
        <f t="shared" si="90"/>
        <v>576.04</v>
      </c>
      <c r="CU71">
        <f t="shared" si="91"/>
        <v>0</v>
      </c>
      <c r="CV71">
        <f t="shared" si="92"/>
        <v>2</v>
      </c>
      <c r="CW71">
        <f t="shared" si="93"/>
        <v>0</v>
      </c>
      <c r="CX71">
        <f t="shared" si="94"/>
        <v>0</v>
      </c>
      <c r="CY71">
        <f t="shared" si="95"/>
        <v>887.10159999999996</v>
      </c>
      <c r="CZ71">
        <f t="shared" si="96"/>
        <v>472.35279999999995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114</v>
      </c>
      <c r="DO71">
        <v>67</v>
      </c>
      <c r="DP71">
        <v>1</v>
      </c>
      <c r="DQ71">
        <v>1</v>
      </c>
      <c r="DU71">
        <v>1013</v>
      </c>
      <c r="DV71" t="s">
        <v>26</v>
      </c>
      <c r="DW71" t="s">
        <v>26</v>
      </c>
      <c r="DX71">
        <v>1</v>
      </c>
      <c r="EE71">
        <v>42513648</v>
      </c>
      <c r="EF71">
        <v>40</v>
      </c>
      <c r="EG71" t="s">
        <v>30</v>
      </c>
      <c r="EH71">
        <v>0</v>
      </c>
      <c r="EI71" t="s">
        <v>3</v>
      </c>
      <c r="EJ71">
        <v>2</v>
      </c>
      <c r="EK71">
        <v>333</v>
      </c>
      <c r="EL71" t="s">
        <v>31</v>
      </c>
      <c r="EM71" t="s">
        <v>32</v>
      </c>
      <c r="EO71" t="s">
        <v>3</v>
      </c>
      <c r="EQ71">
        <v>131072</v>
      </c>
      <c r="ER71">
        <v>59.53</v>
      </c>
      <c r="ES71">
        <v>29.26</v>
      </c>
      <c r="ET71">
        <v>5.29</v>
      </c>
      <c r="EU71">
        <v>0.39</v>
      </c>
      <c r="EV71">
        <v>24.98</v>
      </c>
      <c r="EW71">
        <v>2</v>
      </c>
      <c r="EX71">
        <v>0</v>
      </c>
      <c r="EY71">
        <v>0</v>
      </c>
      <c r="FQ71">
        <v>0</v>
      </c>
      <c r="FR71">
        <f t="shared" si="97"/>
        <v>0</v>
      </c>
      <c r="FS71">
        <v>0</v>
      </c>
      <c r="FX71">
        <v>114</v>
      </c>
      <c r="FY71">
        <v>67</v>
      </c>
      <c r="GA71" t="s">
        <v>3</v>
      </c>
      <c r="GD71">
        <v>0</v>
      </c>
      <c r="GF71">
        <v>-1061919720</v>
      </c>
      <c r="GG71">
        <v>2</v>
      </c>
      <c r="GH71">
        <v>1</v>
      </c>
      <c r="GI71">
        <v>2</v>
      </c>
      <c r="GJ71">
        <v>0</v>
      </c>
      <c r="GK71">
        <f>ROUND(R71*(R12)/100,2)</f>
        <v>28.24</v>
      </c>
      <c r="GL71">
        <f t="shared" si="98"/>
        <v>0</v>
      </c>
      <c r="GM71">
        <f t="shared" si="99"/>
        <v>2925.13</v>
      </c>
      <c r="GN71">
        <f t="shared" si="100"/>
        <v>0</v>
      </c>
      <c r="GO71">
        <f t="shared" si="101"/>
        <v>2925.13</v>
      </c>
      <c r="GP71">
        <f t="shared" si="102"/>
        <v>0</v>
      </c>
      <c r="GR71">
        <v>0</v>
      </c>
      <c r="GS71">
        <v>3</v>
      </c>
      <c r="GT71">
        <v>0</v>
      </c>
      <c r="GU71" t="s">
        <v>3</v>
      </c>
      <c r="GV71">
        <f t="shared" si="103"/>
        <v>0</v>
      </c>
      <c r="GW71">
        <v>1</v>
      </c>
      <c r="GX71">
        <f t="shared" si="104"/>
        <v>0</v>
      </c>
      <c r="HA71">
        <v>0</v>
      </c>
      <c r="HB71">
        <v>0</v>
      </c>
      <c r="HC71">
        <f t="shared" si="105"/>
        <v>0</v>
      </c>
      <c r="IK71">
        <v>0</v>
      </c>
    </row>
    <row r="72" spans="1:245" x14ac:dyDescent="0.2">
      <c r="A72">
        <v>17</v>
      </c>
      <c r="B72">
        <v>1</v>
      </c>
      <c r="C72">
        <f>ROW(SmtRes!A8)</f>
        <v>8</v>
      </c>
      <c r="D72">
        <f>ROW(EtalonRes!A11)</f>
        <v>11</v>
      </c>
      <c r="E72" t="s">
        <v>126</v>
      </c>
      <c r="F72" t="s">
        <v>127</v>
      </c>
      <c r="G72" t="s">
        <v>128</v>
      </c>
      <c r="H72" t="s">
        <v>26</v>
      </c>
      <c r="I72">
        <v>1</v>
      </c>
      <c r="J72">
        <v>0</v>
      </c>
      <c r="O72">
        <f t="shared" si="66"/>
        <v>247.34</v>
      </c>
      <c r="P72">
        <f t="shared" si="67"/>
        <v>1.1399999999999999</v>
      </c>
      <c r="Q72">
        <f t="shared" si="68"/>
        <v>6.38</v>
      </c>
      <c r="R72">
        <f t="shared" si="69"/>
        <v>3.69</v>
      </c>
      <c r="S72">
        <f t="shared" si="70"/>
        <v>239.82</v>
      </c>
      <c r="T72">
        <f t="shared" si="71"/>
        <v>0</v>
      </c>
      <c r="U72">
        <f t="shared" si="72"/>
        <v>0.8</v>
      </c>
      <c r="V72">
        <f t="shared" si="73"/>
        <v>0</v>
      </c>
      <c r="W72">
        <f t="shared" si="74"/>
        <v>0</v>
      </c>
      <c r="X72">
        <f t="shared" si="75"/>
        <v>184.66</v>
      </c>
      <c r="Y72">
        <f t="shared" si="76"/>
        <v>98.33</v>
      </c>
      <c r="AA72">
        <v>45723533</v>
      </c>
      <c r="AB72">
        <f t="shared" si="77"/>
        <v>11.29</v>
      </c>
      <c r="AC72">
        <f t="shared" si="78"/>
        <v>0.21</v>
      </c>
      <c r="AD72">
        <f t="shared" si="79"/>
        <v>0.68</v>
      </c>
      <c r="AE72">
        <f t="shared" si="80"/>
        <v>0.16</v>
      </c>
      <c r="AF72">
        <f t="shared" si="81"/>
        <v>10.4</v>
      </c>
      <c r="AG72">
        <f t="shared" si="82"/>
        <v>0</v>
      </c>
      <c r="AH72">
        <f t="shared" si="83"/>
        <v>0.8</v>
      </c>
      <c r="AI72">
        <f t="shared" si="84"/>
        <v>0</v>
      </c>
      <c r="AJ72">
        <f t="shared" si="85"/>
        <v>0</v>
      </c>
      <c r="AK72">
        <v>11.29</v>
      </c>
      <c r="AL72">
        <v>0.21</v>
      </c>
      <c r="AM72">
        <v>0.68</v>
      </c>
      <c r="AN72">
        <v>0.16</v>
      </c>
      <c r="AO72">
        <v>10.4</v>
      </c>
      <c r="AP72">
        <v>0</v>
      </c>
      <c r="AQ72">
        <v>0.8</v>
      </c>
      <c r="AR72">
        <v>0</v>
      </c>
      <c r="AS72">
        <v>0</v>
      </c>
      <c r="AT72">
        <v>77</v>
      </c>
      <c r="AU72">
        <v>41</v>
      </c>
      <c r="AV72">
        <v>1</v>
      </c>
      <c r="AW72">
        <v>1</v>
      </c>
      <c r="AZ72">
        <v>1</v>
      </c>
      <c r="BA72">
        <v>23.06</v>
      </c>
      <c r="BB72">
        <v>9.3800000000000008</v>
      </c>
      <c r="BC72">
        <v>5.43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2</v>
      </c>
      <c r="BJ72" t="s">
        <v>129</v>
      </c>
      <c r="BM72">
        <v>333</v>
      </c>
      <c r="BN72">
        <v>0</v>
      </c>
      <c r="BO72" t="s">
        <v>127</v>
      </c>
      <c r="BP72">
        <v>1</v>
      </c>
      <c r="BQ72">
        <v>40</v>
      </c>
      <c r="BR72">
        <v>0</v>
      </c>
      <c r="BS72">
        <v>23.06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77</v>
      </c>
      <c r="CA72">
        <v>41</v>
      </c>
      <c r="CE72">
        <v>30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86"/>
        <v>247.34</v>
      </c>
      <c r="CQ72">
        <f t="shared" si="87"/>
        <v>1.1399999999999999</v>
      </c>
      <c r="CR72">
        <f t="shared" si="88"/>
        <v>6.38</v>
      </c>
      <c r="CS72">
        <f t="shared" si="89"/>
        <v>3.69</v>
      </c>
      <c r="CT72">
        <f t="shared" si="90"/>
        <v>239.82</v>
      </c>
      <c r="CU72">
        <f t="shared" si="91"/>
        <v>0</v>
      </c>
      <c r="CV72">
        <f t="shared" si="92"/>
        <v>0.8</v>
      </c>
      <c r="CW72">
        <f t="shared" si="93"/>
        <v>0</v>
      </c>
      <c r="CX72">
        <f t="shared" si="94"/>
        <v>0</v>
      </c>
      <c r="CY72">
        <f t="shared" si="95"/>
        <v>184.66139999999999</v>
      </c>
      <c r="CZ72">
        <f t="shared" si="96"/>
        <v>98.326199999999986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114</v>
      </c>
      <c r="DO72">
        <v>67</v>
      </c>
      <c r="DP72">
        <v>1</v>
      </c>
      <c r="DQ72">
        <v>1</v>
      </c>
      <c r="DU72">
        <v>1013</v>
      </c>
      <c r="DV72" t="s">
        <v>26</v>
      </c>
      <c r="DW72" t="s">
        <v>26</v>
      </c>
      <c r="DX72">
        <v>1</v>
      </c>
      <c r="EE72">
        <v>42513648</v>
      </c>
      <c r="EF72">
        <v>40</v>
      </c>
      <c r="EG72" t="s">
        <v>30</v>
      </c>
      <c r="EH72">
        <v>0</v>
      </c>
      <c r="EI72" t="s">
        <v>3</v>
      </c>
      <c r="EJ72">
        <v>2</v>
      </c>
      <c r="EK72">
        <v>333</v>
      </c>
      <c r="EL72" t="s">
        <v>31</v>
      </c>
      <c r="EM72" t="s">
        <v>32</v>
      </c>
      <c r="EO72" t="s">
        <v>3</v>
      </c>
      <c r="EQ72">
        <v>0</v>
      </c>
      <c r="ER72">
        <v>11.29</v>
      </c>
      <c r="ES72">
        <v>0.21</v>
      </c>
      <c r="ET72">
        <v>0.68</v>
      </c>
      <c r="EU72">
        <v>0.16</v>
      </c>
      <c r="EV72">
        <v>10.4</v>
      </c>
      <c r="EW72">
        <v>0.8</v>
      </c>
      <c r="EX72">
        <v>0</v>
      </c>
      <c r="EY72">
        <v>0</v>
      </c>
      <c r="FQ72">
        <v>0</v>
      </c>
      <c r="FR72">
        <f t="shared" si="97"/>
        <v>0</v>
      </c>
      <c r="FS72">
        <v>0</v>
      </c>
      <c r="FX72">
        <v>114</v>
      </c>
      <c r="FY72">
        <v>67</v>
      </c>
      <c r="GA72" t="s">
        <v>3</v>
      </c>
      <c r="GD72">
        <v>0</v>
      </c>
      <c r="GF72">
        <v>-128906588</v>
      </c>
      <c r="GG72">
        <v>2</v>
      </c>
      <c r="GH72">
        <v>1</v>
      </c>
      <c r="GI72">
        <v>2</v>
      </c>
      <c r="GJ72">
        <v>0</v>
      </c>
      <c r="GK72">
        <f>ROUND(R72*(R12)/100,2)</f>
        <v>5.79</v>
      </c>
      <c r="GL72">
        <f t="shared" si="98"/>
        <v>0</v>
      </c>
      <c r="GM72">
        <f t="shared" si="99"/>
        <v>536.12</v>
      </c>
      <c r="GN72">
        <f t="shared" si="100"/>
        <v>0</v>
      </c>
      <c r="GO72">
        <f t="shared" si="101"/>
        <v>536.12</v>
      </c>
      <c r="GP72">
        <f t="shared" si="102"/>
        <v>0</v>
      </c>
      <c r="GR72">
        <v>0</v>
      </c>
      <c r="GS72">
        <v>3</v>
      </c>
      <c r="GT72">
        <v>0</v>
      </c>
      <c r="GU72" t="s">
        <v>3</v>
      </c>
      <c r="GV72">
        <f t="shared" si="103"/>
        <v>0</v>
      </c>
      <c r="GW72">
        <v>1</v>
      </c>
      <c r="GX72">
        <f t="shared" si="104"/>
        <v>0</v>
      </c>
      <c r="HA72">
        <v>0</v>
      </c>
      <c r="HB72">
        <v>0</v>
      </c>
      <c r="HC72">
        <f t="shared" si="105"/>
        <v>0</v>
      </c>
      <c r="IK72">
        <v>0</v>
      </c>
    </row>
    <row r="73" spans="1:245" x14ac:dyDescent="0.2">
      <c r="A73">
        <v>17</v>
      </c>
      <c r="B73">
        <v>1</v>
      </c>
      <c r="C73">
        <f>ROW(SmtRes!A9)</f>
        <v>9</v>
      </c>
      <c r="D73">
        <f>ROW(EtalonRes!A12)</f>
        <v>12</v>
      </c>
      <c r="E73" t="s">
        <v>130</v>
      </c>
      <c r="F73" t="s">
        <v>131</v>
      </c>
      <c r="G73" t="s">
        <v>132</v>
      </c>
      <c r="H73" t="s">
        <v>26</v>
      </c>
      <c r="I73">
        <v>0</v>
      </c>
      <c r="J73">
        <v>0</v>
      </c>
      <c r="O73">
        <f t="shared" si="66"/>
        <v>0</v>
      </c>
      <c r="P73">
        <f t="shared" si="67"/>
        <v>0</v>
      </c>
      <c r="Q73">
        <f t="shared" si="68"/>
        <v>0</v>
      </c>
      <c r="R73">
        <f t="shared" si="69"/>
        <v>0</v>
      </c>
      <c r="S73">
        <f t="shared" si="70"/>
        <v>0</v>
      </c>
      <c r="T73">
        <f t="shared" si="71"/>
        <v>0</v>
      </c>
      <c r="U73">
        <f t="shared" si="72"/>
        <v>0</v>
      </c>
      <c r="V73">
        <f t="shared" si="73"/>
        <v>0</v>
      </c>
      <c r="W73">
        <f t="shared" si="74"/>
        <v>0</v>
      </c>
      <c r="X73">
        <f t="shared" si="75"/>
        <v>0</v>
      </c>
      <c r="Y73">
        <f t="shared" si="76"/>
        <v>0</v>
      </c>
      <c r="AA73">
        <v>45723533</v>
      </c>
      <c r="AB73">
        <f t="shared" si="77"/>
        <v>99.53</v>
      </c>
      <c r="AC73">
        <f t="shared" si="78"/>
        <v>9.17</v>
      </c>
      <c r="AD73">
        <f t="shared" si="79"/>
        <v>63.58</v>
      </c>
      <c r="AE73">
        <f t="shared" si="80"/>
        <v>9.9</v>
      </c>
      <c r="AF73">
        <f t="shared" si="81"/>
        <v>26.78</v>
      </c>
      <c r="AG73">
        <f t="shared" si="82"/>
        <v>0</v>
      </c>
      <c r="AH73">
        <f t="shared" si="83"/>
        <v>2.06</v>
      </c>
      <c r="AI73">
        <f t="shared" si="84"/>
        <v>0</v>
      </c>
      <c r="AJ73">
        <f t="shared" si="85"/>
        <v>0</v>
      </c>
      <c r="AK73">
        <v>99.53</v>
      </c>
      <c r="AL73">
        <v>9.17</v>
      </c>
      <c r="AM73">
        <v>63.58</v>
      </c>
      <c r="AN73">
        <v>9.9</v>
      </c>
      <c r="AO73">
        <v>26.78</v>
      </c>
      <c r="AP73">
        <v>0</v>
      </c>
      <c r="AQ73">
        <v>2.06</v>
      </c>
      <c r="AR73">
        <v>0</v>
      </c>
      <c r="AS73">
        <v>0</v>
      </c>
      <c r="AT73">
        <v>77</v>
      </c>
      <c r="AU73">
        <v>41</v>
      </c>
      <c r="AV73">
        <v>1</v>
      </c>
      <c r="AW73">
        <v>1</v>
      </c>
      <c r="AZ73">
        <v>1</v>
      </c>
      <c r="BA73">
        <v>23.06</v>
      </c>
      <c r="BB73">
        <v>7.96</v>
      </c>
      <c r="BC73">
        <v>5.41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2</v>
      </c>
      <c r="BJ73" t="s">
        <v>133</v>
      </c>
      <c r="BM73">
        <v>333</v>
      </c>
      <c r="BN73">
        <v>0</v>
      </c>
      <c r="BO73" t="s">
        <v>131</v>
      </c>
      <c r="BP73">
        <v>1</v>
      </c>
      <c r="BQ73">
        <v>40</v>
      </c>
      <c r="BR73">
        <v>0</v>
      </c>
      <c r="BS73">
        <v>23.06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77</v>
      </c>
      <c r="CA73">
        <v>41</v>
      </c>
      <c r="CE73">
        <v>30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86"/>
        <v>0</v>
      </c>
      <c r="CQ73">
        <f t="shared" si="87"/>
        <v>49.61</v>
      </c>
      <c r="CR73">
        <f t="shared" si="88"/>
        <v>506.1</v>
      </c>
      <c r="CS73">
        <f t="shared" si="89"/>
        <v>228.29</v>
      </c>
      <c r="CT73">
        <f t="shared" si="90"/>
        <v>617.54999999999995</v>
      </c>
      <c r="CU73">
        <f t="shared" si="91"/>
        <v>0</v>
      </c>
      <c r="CV73">
        <f t="shared" si="92"/>
        <v>2.06</v>
      </c>
      <c r="CW73">
        <f t="shared" si="93"/>
        <v>0</v>
      </c>
      <c r="CX73">
        <f t="shared" si="94"/>
        <v>0</v>
      </c>
      <c r="CY73">
        <f t="shared" si="95"/>
        <v>0</v>
      </c>
      <c r="CZ73">
        <f t="shared" si="96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114</v>
      </c>
      <c r="DO73">
        <v>67</v>
      </c>
      <c r="DP73">
        <v>1</v>
      </c>
      <c r="DQ73">
        <v>1</v>
      </c>
      <c r="DU73">
        <v>1013</v>
      </c>
      <c r="DV73" t="s">
        <v>26</v>
      </c>
      <c r="DW73" t="s">
        <v>26</v>
      </c>
      <c r="DX73">
        <v>1</v>
      </c>
      <c r="EE73">
        <v>42513648</v>
      </c>
      <c r="EF73">
        <v>40</v>
      </c>
      <c r="EG73" t="s">
        <v>30</v>
      </c>
      <c r="EH73">
        <v>0</v>
      </c>
      <c r="EI73" t="s">
        <v>3</v>
      </c>
      <c r="EJ73">
        <v>2</v>
      </c>
      <c r="EK73">
        <v>333</v>
      </c>
      <c r="EL73" t="s">
        <v>31</v>
      </c>
      <c r="EM73" t="s">
        <v>32</v>
      </c>
      <c r="EO73" t="s">
        <v>3</v>
      </c>
      <c r="EQ73">
        <v>0</v>
      </c>
      <c r="ER73">
        <v>99.53</v>
      </c>
      <c r="ES73">
        <v>9.17</v>
      </c>
      <c r="ET73">
        <v>63.58</v>
      </c>
      <c r="EU73">
        <v>9.9</v>
      </c>
      <c r="EV73">
        <v>26.78</v>
      </c>
      <c r="EW73">
        <v>2.06</v>
      </c>
      <c r="EX73">
        <v>0</v>
      </c>
      <c r="EY73">
        <v>0</v>
      </c>
      <c r="FQ73">
        <v>0</v>
      </c>
      <c r="FR73">
        <f t="shared" si="97"/>
        <v>0</v>
      </c>
      <c r="FS73">
        <v>0</v>
      </c>
      <c r="FX73">
        <v>114</v>
      </c>
      <c r="FY73">
        <v>67</v>
      </c>
      <c r="GA73" t="s">
        <v>3</v>
      </c>
      <c r="GD73">
        <v>0</v>
      </c>
      <c r="GF73">
        <v>1955149017</v>
      </c>
      <c r="GG73">
        <v>2</v>
      </c>
      <c r="GH73">
        <v>1</v>
      </c>
      <c r="GI73">
        <v>2</v>
      </c>
      <c r="GJ73">
        <v>0</v>
      </c>
      <c r="GK73">
        <f>ROUND(R73*(R12)/100,2)</f>
        <v>0</v>
      </c>
      <c r="GL73">
        <f t="shared" si="98"/>
        <v>0</v>
      </c>
      <c r="GM73">
        <f t="shared" si="99"/>
        <v>0</v>
      </c>
      <c r="GN73">
        <f t="shared" si="100"/>
        <v>0</v>
      </c>
      <c r="GO73">
        <f t="shared" si="101"/>
        <v>0</v>
      </c>
      <c r="GP73">
        <f t="shared" si="102"/>
        <v>0</v>
      </c>
      <c r="GR73">
        <v>0</v>
      </c>
      <c r="GS73">
        <v>3</v>
      </c>
      <c r="GT73">
        <v>0</v>
      </c>
      <c r="GU73" t="s">
        <v>3</v>
      </c>
      <c r="GV73">
        <f t="shared" si="103"/>
        <v>0</v>
      </c>
      <c r="GW73">
        <v>1</v>
      </c>
      <c r="GX73">
        <f t="shared" si="104"/>
        <v>0</v>
      </c>
      <c r="HA73">
        <v>0</v>
      </c>
      <c r="HB73">
        <v>0</v>
      </c>
      <c r="HC73">
        <f t="shared" si="105"/>
        <v>0</v>
      </c>
      <c r="IK73">
        <v>0</v>
      </c>
    </row>
    <row r="74" spans="1:245" x14ac:dyDescent="0.2">
      <c r="A74">
        <v>17</v>
      </c>
      <c r="B74">
        <v>1</v>
      </c>
      <c r="C74">
        <f>ROW(SmtRes!A10)</f>
        <v>10</v>
      </c>
      <c r="D74">
        <f>ROW(EtalonRes!A13)</f>
        <v>13</v>
      </c>
      <c r="E74" t="s">
        <v>134</v>
      </c>
      <c r="F74" t="s">
        <v>135</v>
      </c>
      <c r="G74" t="s">
        <v>136</v>
      </c>
      <c r="H74" t="s">
        <v>26</v>
      </c>
      <c r="I74">
        <v>0</v>
      </c>
      <c r="J74">
        <v>0</v>
      </c>
      <c r="O74">
        <f t="shared" si="66"/>
        <v>0</v>
      </c>
      <c r="P74">
        <f t="shared" si="67"/>
        <v>0</v>
      </c>
      <c r="Q74">
        <f t="shared" si="68"/>
        <v>0</v>
      </c>
      <c r="R74">
        <f t="shared" si="69"/>
        <v>0</v>
      </c>
      <c r="S74">
        <f t="shared" si="70"/>
        <v>0</v>
      </c>
      <c r="T74">
        <f t="shared" si="71"/>
        <v>0</v>
      </c>
      <c r="U74">
        <f t="shared" si="72"/>
        <v>0</v>
      </c>
      <c r="V74">
        <f t="shared" si="73"/>
        <v>0</v>
      </c>
      <c r="W74">
        <f t="shared" si="74"/>
        <v>0</v>
      </c>
      <c r="X74">
        <f t="shared" si="75"/>
        <v>0</v>
      </c>
      <c r="Y74">
        <f t="shared" si="76"/>
        <v>0</v>
      </c>
      <c r="AA74">
        <v>45723533</v>
      </c>
      <c r="AB74">
        <f t="shared" si="77"/>
        <v>56.66</v>
      </c>
      <c r="AC74">
        <f t="shared" si="78"/>
        <v>5.53</v>
      </c>
      <c r="AD74">
        <f t="shared" si="79"/>
        <v>8.4700000000000006</v>
      </c>
      <c r="AE74">
        <f t="shared" si="80"/>
        <v>1.97</v>
      </c>
      <c r="AF74">
        <f t="shared" si="81"/>
        <v>42.66</v>
      </c>
      <c r="AG74">
        <f t="shared" si="82"/>
        <v>0</v>
      </c>
      <c r="AH74">
        <f t="shared" si="83"/>
        <v>3.38</v>
      </c>
      <c r="AI74">
        <f t="shared" si="84"/>
        <v>0</v>
      </c>
      <c r="AJ74">
        <f t="shared" si="85"/>
        <v>0</v>
      </c>
      <c r="AK74">
        <v>56.66</v>
      </c>
      <c r="AL74">
        <v>5.53</v>
      </c>
      <c r="AM74">
        <v>8.4700000000000006</v>
      </c>
      <c r="AN74">
        <v>1.97</v>
      </c>
      <c r="AO74">
        <v>42.66</v>
      </c>
      <c r="AP74">
        <v>0</v>
      </c>
      <c r="AQ74">
        <v>3.38</v>
      </c>
      <c r="AR74">
        <v>0</v>
      </c>
      <c r="AS74">
        <v>0</v>
      </c>
      <c r="AT74">
        <v>77</v>
      </c>
      <c r="AU74">
        <v>41</v>
      </c>
      <c r="AV74">
        <v>1</v>
      </c>
      <c r="AW74">
        <v>1</v>
      </c>
      <c r="AZ74">
        <v>1</v>
      </c>
      <c r="BA74">
        <v>23.06</v>
      </c>
      <c r="BB74">
        <v>9.34</v>
      </c>
      <c r="BC74">
        <v>5.41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2</v>
      </c>
      <c r="BJ74" t="s">
        <v>137</v>
      </c>
      <c r="BM74">
        <v>317</v>
      </c>
      <c r="BN74">
        <v>0</v>
      </c>
      <c r="BO74" t="s">
        <v>135</v>
      </c>
      <c r="BP74">
        <v>1</v>
      </c>
      <c r="BQ74">
        <v>40</v>
      </c>
      <c r="BR74">
        <v>0</v>
      </c>
      <c r="BS74">
        <v>23.06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77</v>
      </c>
      <c r="CA74">
        <v>41</v>
      </c>
      <c r="CE74">
        <v>30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86"/>
        <v>0</v>
      </c>
      <c r="CQ74">
        <f t="shared" si="87"/>
        <v>29.92</v>
      </c>
      <c r="CR74">
        <f t="shared" si="88"/>
        <v>79.11</v>
      </c>
      <c r="CS74">
        <f t="shared" si="89"/>
        <v>45.43</v>
      </c>
      <c r="CT74">
        <f t="shared" si="90"/>
        <v>983.74</v>
      </c>
      <c r="CU74">
        <f t="shared" si="91"/>
        <v>0</v>
      </c>
      <c r="CV74">
        <f t="shared" si="92"/>
        <v>3.38</v>
      </c>
      <c r="CW74">
        <f t="shared" si="93"/>
        <v>0</v>
      </c>
      <c r="CX74">
        <f t="shared" si="94"/>
        <v>0</v>
      </c>
      <c r="CY74">
        <f t="shared" si="95"/>
        <v>0</v>
      </c>
      <c r="CZ74">
        <f t="shared" si="96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114</v>
      </c>
      <c r="DO74">
        <v>67</v>
      </c>
      <c r="DP74">
        <v>1</v>
      </c>
      <c r="DQ74">
        <v>1</v>
      </c>
      <c r="DU74">
        <v>1013</v>
      </c>
      <c r="DV74" t="s">
        <v>26</v>
      </c>
      <c r="DW74" t="s">
        <v>26</v>
      </c>
      <c r="DX74">
        <v>1</v>
      </c>
      <c r="EE74">
        <v>42513632</v>
      </c>
      <c r="EF74">
        <v>40</v>
      </c>
      <c r="EG74" t="s">
        <v>30</v>
      </c>
      <c r="EH74">
        <v>0</v>
      </c>
      <c r="EI74" t="s">
        <v>3</v>
      </c>
      <c r="EJ74">
        <v>2</v>
      </c>
      <c r="EK74">
        <v>317</v>
      </c>
      <c r="EL74" t="s">
        <v>46</v>
      </c>
      <c r="EM74" t="s">
        <v>47</v>
      </c>
      <c r="EO74" t="s">
        <v>3</v>
      </c>
      <c r="EQ74">
        <v>0</v>
      </c>
      <c r="ER74">
        <v>56.66</v>
      </c>
      <c r="ES74">
        <v>5.53</v>
      </c>
      <c r="ET74">
        <v>8.4700000000000006</v>
      </c>
      <c r="EU74">
        <v>1.97</v>
      </c>
      <c r="EV74">
        <v>42.66</v>
      </c>
      <c r="EW74">
        <v>3.38</v>
      </c>
      <c r="EX74">
        <v>0</v>
      </c>
      <c r="EY74">
        <v>0</v>
      </c>
      <c r="FQ74">
        <v>0</v>
      </c>
      <c r="FR74">
        <f t="shared" si="97"/>
        <v>0</v>
      </c>
      <c r="FS74">
        <v>0</v>
      </c>
      <c r="FX74">
        <v>114</v>
      </c>
      <c r="FY74">
        <v>67</v>
      </c>
      <c r="GA74" t="s">
        <v>3</v>
      </c>
      <c r="GD74">
        <v>0</v>
      </c>
      <c r="GF74">
        <v>-1303695247</v>
      </c>
      <c r="GG74">
        <v>2</v>
      </c>
      <c r="GH74">
        <v>1</v>
      </c>
      <c r="GI74">
        <v>2</v>
      </c>
      <c r="GJ74">
        <v>0</v>
      </c>
      <c r="GK74">
        <f>ROUND(R74*(R12)/100,2)</f>
        <v>0</v>
      </c>
      <c r="GL74">
        <f t="shared" si="98"/>
        <v>0</v>
      </c>
      <c r="GM74">
        <f t="shared" si="99"/>
        <v>0</v>
      </c>
      <c r="GN74">
        <f t="shared" si="100"/>
        <v>0</v>
      </c>
      <c r="GO74">
        <f t="shared" si="101"/>
        <v>0</v>
      </c>
      <c r="GP74">
        <f t="shared" si="102"/>
        <v>0</v>
      </c>
      <c r="GR74">
        <v>0</v>
      </c>
      <c r="GS74">
        <v>3</v>
      </c>
      <c r="GT74">
        <v>0</v>
      </c>
      <c r="GU74" t="s">
        <v>3</v>
      </c>
      <c r="GV74">
        <f t="shared" si="103"/>
        <v>0</v>
      </c>
      <c r="GW74">
        <v>1</v>
      </c>
      <c r="GX74">
        <f t="shared" si="104"/>
        <v>0</v>
      </c>
      <c r="HA74">
        <v>0</v>
      </c>
      <c r="HB74">
        <v>0</v>
      </c>
      <c r="HC74">
        <f t="shared" si="105"/>
        <v>0</v>
      </c>
      <c r="IK74">
        <v>0</v>
      </c>
    </row>
    <row r="75" spans="1:245" x14ac:dyDescent="0.2">
      <c r="A75">
        <v>17</v>
      </c>
      <c r="B75">
        <v>1</v>
      </c>
      <c r="C75">
        <f>ROW(SmtRes!A11)</f>
        <v>11</v>
      </c>
      <c r="D75">
        <f>ROW(EtalonRes!A14)</f>
        <v>14</v>
      </c>
      <c r="E75" t="s">
        <v>138</v>
      </c>
      <c r="F75" t="s">
        <v>34</v>
      </c>
      <c r="G75" t="s">
        <v>139</v>
      </c>
      <c r="H75" t="s">
        <v>26</v>
      </c>
      <c r="I75">
        <f>ROUND(I30,9)</f>
        <v>0</v>
      </c>
      <c r="J75">
        <v>0</v>
      </c>
      <c r="O75">
        <f t="shared" si="66"/>
        <v>0</v>
      </c>
      <c r="P75">
        <f t="shared" si="67"/>
        <v>0</v>
      </c>
      <c r="Q75">
        <f t="shared" si="68"/>
        <v>0</v>
      </c>
      <c r="R75">
        <f t="shared" si="69"/>
        <v>0</v>
      </c>
      <c r="S75">
        <f t="shared" si="70"/>
        <v>0</v>
      </c>
      <c r="T75">
        <f t="shared" si="71"/>
        <v>0</v>
      </c>
      <c r="U75">
        <f t="shared" si="72"/>
        <v>0</v>
      </c>
      <c r="V75">
        <f t="shared" si="73"/>
        <v>0</v>
      </c>
      <c r="W75">
        <f t="shared" si="74"/>
        <v>0</v>
      </c>
      <c r="X75">
        <f t="shared" si="75"/>
        <v>0</v>
      </c>
      <c r="Y75">
        <f t="shared" si="76"/>
        <v>0</v>
      </c>
      <c r="AA75">
        <v>45723533</v>
      </c>
      <c r="AB75">
        <f t="shared" si="77"/>
        <v>22.27</v>
      </c>
      <c r="AC75">
        <f t="shared" si="78"/>
        <v>6.79</v>
      </c>
      <c r="AD75">
        <f t="shared" si="79"/>
        <v>0.47</v>
      </c>
      <c r="AE75">
        <f t="shared" si="80"/>
        <v>7.0000000000000007E-2</v>
      </c>
      <c r="AF75">
        <f t="shared" si="81"/>
        <v>15.01</v>
      </c>
      <c r="AG75">
        <f t="shared" si="82"/>
        <v>0</v>
      </c>
      <c r="AH75">
        <f t="shared" si="83"/>
        <v>1.06</v>
      </c>
      <c r="AI75">
        <f t="shared" si="84"/>
        <v>0</v>
      </c>
      <c r="AJ75">
        <f t="shared" si="85"/>
        <v>0</v>
      </c>
      <c r="AK75">
        <v>22.27</v>
      </c>
      <c r="AL75">
        <v>6.79</v>
      </c>
      <c r="AM75">
        <v>0.47</v>
      </c>
      <c r="AN75">
        <v>7.0000000000000007E-2</v>
      </c>
      <c r="AO75">
        <v>15.01</v>
      </c>
      <c r="AP75">
        <v>0</v>
      </c>
      <c r="AQ75">
        <v>1.06</v>
      </c>
      <c r="AR75">
        <v>0</v>
      </c>
      <c r="AS75">
        <v>0</v>
      </c>
      <c r="AT75">
        <v>77</v>
      </c>
      <c r="AU75">
        <v>41</v>
      </c>
      <c r="AV75">
        <v>1</v>
      </c>
      <c r="AW75">
        <v>1</v>
      </c>
      <c r="AZ75">
        <v>1</v>
      </c>
      <c r="BA75">
        <v>23.06</v>
      </c>
      <c r="BB75">
        <v>7.85</v>
      </c>
      <c r="BC75">
        <v>5.41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2</v>
      </c>
      <c r="BJ75" t="s">
        <v>36</v>
      </c>
      <c r="BM75">
        <v>333</v>
      </c>
      <c r="BN75">
        <v>0</v>
      </c>
      <c r="BO75" t="s">
        <v>34</v>
      </c>
      <c r="BP75">
        <v>1</v>
      </c>
      <c r="BQ75">
        <v>40</v>
      </c>
      <c r="BR75">
        <v>0</v>
      </c>
      <c r="BS75">
        <v>23.06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77</v>
      </c>
      <c r="CA75">
        <v>41</v>
      </c>
      <c r="CE75">
        <v>30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si="86"/>
        <v>0</v>
      </c>
      <c r="CQ75">
        <f t="shared" si="87"/>
        <v>36.729999999999997</v>
      </c>
      <c r="CR75">
        <f t="shared" si="88"/>
        <v>3.69</v>
      </c>
      <c r="CS75">
        <f t="shared" si="89"/>
        <v>1.61</v>
      </c>
      <c r="CT75">
        <f t="shared" si="90"/>
        <v>346.13</v>
      </c>
      <c r="CU75">
        <f t="shared" si="91"/>
        <v>0</v>
      </c>
      <c r="CV75">
        <f t="shared" si="92"/>
        <v>1.06</v>
      </c>
      <c r="CW75">
        <f t="shared" si="93"/>
        <v>0</v>
      </c>
      <c r="CX75">
        <f t="shared" si="94"/>
        <v>0</v>
      </c>
      <c r="CY75">
        <f t="shared" si="95"/>
        <v>0</v>
      </c>
      <c r="CZ75">
        <f t="shared" si="96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114</v>
      </c>
      <c r="DO75">
        <v>67</v>
      </c>
      <c r="DP75">
        <v>1</v>
      </c>
      <c r="DQ75">
        <v>1</v>
      </c>
      <c r="DU75">
        <v>1013</v>
      </c>
      <c r="DV75" t="s">
        <v>26</v>
      </c>
      <c r="DW75" t="s">
        <v>26</v>
      </c>
      <c r="DX75">
        <v>1</v>
      </c>
      <c r="EE75">
        <v>42513648</v>
      </c>
      <c r="EF75">
        <v>40</v>
      </c>
      <c r="EG75" t="s">
        <v>30</v>
      </c>
      <c r="EH75">
        <v>0</v>
      </c>
      <c r="EI75" t="s">
        <v>3</v>
      </c>
      <c r="EJ75">
        <v>2</v>
      </c>
      <c r="EK75">
        <v>333</v>
      </c>
      <c r="EL75" t="s">
        <v>31</v>
      </c>
      <c r="EM75" t="s">
        <v>32</v>
      </c>
      <c r="EO75" t="s">
        <v>3</v>
      </c>
      <c r="EQ75">
        <v>131072</v>
      </c>
      <c r="ER75">
        <v>22.27</v>
      </c>
      <c r="ES75">
        <v>6.79</v>
      </c>
      <c r="ET75">
        <v>0.47</v>
      </c>
      <c r="EU75">
        <v>7.0000000000000007E-2</v>
      </c>
      <c r="EV75">
        <v>15.01</v>
      </c>
      <c r="EW75">
        <v>1.06</v>
      </c>
      <c r="EX75">
        <v>0</v>
      </c>
      <c r="EY75">
        <v>0</v>
      </c>
      <c r="FQ75">
        <v>0</v>
      </c>
      <c r="FR75">
        <f t="shared" si="97"/>
        <v>0</v>
      </c>
      <c r="FS75">
        <v>0</v>
      </c>
      <c r="FX75">
        <v>114</v>
      </c>
      <c r="FY75">
        <v>67</v>
      </c>
      <c r="GA75" t="s">
        <v>3</v>
      </c>
      <c r="GD75">
        <v>0</v>
      </c>
      <c r="GF75">
        <v>1752430793</v>
      </c>
      <c r="GG75">
        <v>2</v>
      </c>
      <c r="GH75">
        <v>1</v>
      </c>
      <c r="GI75">
        <v>2</v>
      </c>
      <c r="GJ75">
        <v>0</v>
      </c>
      <c r="GK75">
        <f>ROUND(R75*(R12)/100,2)</f>
        <v>0</v>
      </c>
      <c r="GL75">
        <f t="shared" si="98"/>
        <v>0</v>
      </c>
      <c r="GM75">
        <f t="shared" si="99"/>
        <v>0</v>
      </c>
      <c r="GN75">
        <f t="shared" si="100"/>
        <v>0</v>
      </c>
      <c r="GO75">
        <f t="shared" si="101"/>
        <v>0</v>
      </c>
      <c r="GP75">
        <f t="shared" si="102"/>
        <v>0</v>
      </c>
      <c r="GR75">
        <v>0</v>
      </c>
      <c r="GS75">
        <v>3</v>
      </c>
      <c r="GT75">
        <v>0</v>
      </c>
      <c r="GU75" t="s">
        <v>3</v>
      </c>
      <c r="GV75">
        <f t="shared" si="103"/>
        <v>0</v>
      </c>
      <c r="GW75">
        <v>1</v>
      </c>
      <c r="GX75">
        <f t="shared" si="104"/>
        <v>0</v>
      </c>
      <c r="HA75">
        <v>0</v>
      </c>
      <c r="HB75">
        <v>0</v>
      </c>
      <c r="HC75">
        <f t="shared" si="105"/>
        <v>0</v>
      </c>
      <c r="IK75">
        <v>0</v>
      </c>
    </row>
    <row r="76" spans="1:245" x14ac:dyDescent="0.2">
      <c r="A76">
        <v>17</v>
      </c>
      <c r="B76">
        <v>1</v>
      </c>
      <c r="D76">
        <f>ROW(EtalonRes!A15)</f>
        <v>15</v>
      </c>
      <c r="E76" t="s">
        <v>140</v>
      </c>
      <c r="F76" t="s">
        <v>42</v>
      </c>
      <c r="G76" t="s">
        <v>141</v>
      </c>
      <c r="H76" t="s">
        <v>44</v>
      </c>
      <c r="I76">
        <f>ROUND(I31,9)</f>
        <v>0.06</v>
      </c>
      <c r="J76">
        <v>0</v>
      </c>
      <c r="O76">
        <f t="shared" si="66"/>
        <v>754.26</v>
      </c>
      <c r="P76">
        <f t="shared" si="67"/>
        <v>27.48</v>
      </c>
      <c r="Q76">
        <f t="shared" si="68"/>
        <v>7.31</v>
      </c>
      <c r="R76">
        <f t="shared" si="69"/>
        <v>3.23</v>
      </c>
      <c r="S76">
        <f t="shared" si="70"/>
        <v>719.47</v>
      </c>
      <c r="T76">
        <f t="shared" si="71"/>
        <v>0</v>
      </c>
      <c r="U76">
        <f t="shared" si="72"/>
        <v>2.472</v>
      </c>
      <c r="V76">
        <f t="shared" si="73"/>
        <v>0</v>
      </c>
      <c r="W76">
        <f t="shared" si="74"/>
        <v>0</v>
      </c>
      <c r="X76">
        <f t="shared" si="75"/>
        <v>553.99</v>
      </c>
      <c r="Y76">
        <f t="shared" si="76"/>
        <v>294.98</v>
      </c>
      <c r="AA76">
        <v>45723533</v>
      </c>
      <c r="AB76">
        <f t="shared" si="77"/>
        <v>620.04999999999995</v>
      </c>
      <c r="AC76">
        <f t="shared" si="78"/>
        <v>84.7</v>
      </c>
      <c r="AD76">
        <f t="shared" si="79"/>
        <v>15.41</v>
      </c>
      <c r="AE76">
        <f t="shared" si="80"/>
        <v>2.39</v>
      </c>
      <c r="AF76">
        <f t="shared" si="81"/>
        <v>519.94000000000005</v>
      </c>
      <c r="AG76">
        <f t="shared" si="82"/>
        <v>0</v>
      </c>
      <c r="AH76">
        <f t="shared" si="83"/>
        <v>41.2</v>
      </c>
      <c r="AI76">
        <f t="shared" si="84"/>
        <v>0</v>
      </c>
      <c r="AJ76">
        <f t="shared" si="85"/>
        <v>0</v>
      </c>
      <c r="AK76">
        <v>620.04999999999995</v>
      </c>
      <c r="AL76">
        <v>84.7</v>
      </c>
      <c r="AM76">
        <v>15.41</v>
      </c>
      <c r="AN76">
        <v>2.39</v>
      </c>
      <c r="AO76">
        <v>519.94000000000005</v>
      </c>
      <c r="AP76">
        <v>0</v>
      </c>
      <c r="AQ76">
        <v>41.2</v>
      </c>
      <c r="AR76">
        <v>0</v>
      </c>
      <c r="AS76">
        <v>0</v>
      </c>
      <c r="AT76">
        <v>77</v>
      </c>
      <c r="AU76">
        <v>41</v>
      </c>
      <c r="AV76">
        <v>1</v>
      </c>
      <c r="AW76">
        <v>1</v>
      </c>
      <c r="AZ76">
        <v>1</v>
      </c>
      <c r="BA76">
        <v>23.06</v>
      </c>
      <c r="BB76">
        <v>7.95</v>
      </c>
      <c r="BC76">
        <v>5.41</v>
      </c>
      <c r="BD76" t="s">
        <v>3</v>
      </c>
      <c r="BE76" t="s">
        <v>3</v>
      </c>
      <c r="BF76" t="s">
        <v>3</v>
      </c>
      <c r="BG76" t="s">
        <v>3</v>
      </c>
      <c r="BH76">
        <v>0</v>
      </c>
      <c r="BI76">
        <v>2</v>
      </c>
      <c r="BJ76" t="s">
        <v>45</v>
      </c>
      <c r="BM76">
        <v>317</v>
      </c>
      <c r="BN76">
        <v>0</v>
      </c>
      <c r="BO76" t="s">
        <v>42</v>
      </c>
      <c r="BP76">
        <v>1</v>
      </c>
      <c r="BQ76">
        <v>40</v>
      </c>
      <c r="BR76">
        <v>0</v>
      </c>
      <c r="BS76">
        <v>23.06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77</v>
      </c>
      <c r="CA76">
        <v>41</v>
      </c>
      <c r="CE76">
        <v>30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86"/>
        <v>754.26</v>
      </c>
      <c r="CQ76">
        <f t="shared" si="87"/>
        <v>458.23</v>
      </c>
      <c r="CR76">
        <f t="shared" si="88"/>
        <v>122.51</v>
      </c>
      <c r="CS76">
        <f t="shared" si="89"/>
        <v>55.11</v>
      </c>
      <c r="CT76">
        <f t="shared" si="90"/>
        <v>11989.82</v>
      </c>
      <c r="CU76">
        <f t="shared" si="91"/>
        <v>0</v>
      </c>
      <c r="CV76">
        <f t="shared" si="92"/>
        <v>41.2</v>
      </c>
      <c r="CW76">
        <f t="shared" si="93"/>
        <v>0</v>
      </c>
      <c r="CX76">
        <f t="shared" si="94"/>
        <v>0</v>
      </c>
      <c r="CY76">
        <f t="shared" si="95"/>
        <v>553.99189999999999</v>
      </c>
      <c r="CZ76">
        <f t="shared" si="96"/>
        <v>294.98269999999997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114</v>
      </c>
      <c r="DO76">
        <v>67</v>
      </c>
      <c r="DP76">
        <v>1</v>
      </c>
      <c r="DQ76">
        <v>1</v>
      </c>
      <c r="DU76">
        <v>1010</v>
      </c>
      <c r="DV76" t="s">
        <v>44</v>
      </c>
      <c r="DW76" t="s">
        <v>44</v>
      </c>
      <c r="DX76">
        <v>100</v>
      </c>
      <c r="EE76">
        <v>42513632</v>
      </c>
      <c r="EF76">
        <v>40</v>
      </c>
      <c r="EG76" t="s">
        <v>30</v>
      </c>
      <c r="EH76">
        <v>0</v>
      </c>
      <c r="EI76" t="s">
        <v>3</v>
      </c>
      <c r="EJ76">
        <v>2</v>
      </c>
      <c r="EK76">
        <v>317</v>
      </c>
      <c r="EL76" t="s">
        <v>46</v>
      </c>
      <c r="EM76" t="s">
        <v>47</v>
      </c>
      <c r="EO76" t="s">
        <v>3</v>
      </c>
      <c r="EQ76">
        <v>131072</v>
      </c>
      <c r="ER76">
        <v>620.04999999999995</v>
      </c>
      <c r="ES76">
        <v>84.7</v>
      </c>
      <c r="ET76">
        <v>15.41</v>
      </c>
      <c r="EU76">
        <v>2.39</v>
      </c>
      <c r="EV76">
        <v>519.94000000000005</v>
      </c>
      <c r="EW76">
        <v>41.2</v>
      </c>
      <c r="EX76">
        <v>0</v>
      </c>
      <c r="EY76">
        <v>0</v>
      </c>
      <c r="FQ76">
        <v>0</v>
      </c>
      <c r="FR76">
        <f t="shared" si="97"/>
        <v>0</v>
      </c>
      <c r="FS76">
        <v>0</v>
      </c>
      <c r="FX76">
        <v>114</v>
      </c>
      <c r="FY76">
        <v>67</v>
      </c>
      <c r="GA76" t="s">
        <v>3</v>
      </c>
      <c r="GD76">
        <v>0</v>
      </c>
      <c r="GF76">
        <v>-874019794</v>
      </c>
      <c r="GG76">
        <v>2</v>
      </c>
      <c r="GH76">
        <v>1</v>
      </c>
      <c r="GI76">
        <v>2</v>
      </c>
      <c r="GJ76">
        <v>0</v>
      </c>
      <c r="GK76">
        <f>ROUND(R76*(R12)/100,2)</f>
        <v>5.07</v>
      </c>
      <c r="GL76">
        <f t="shared" si="98"/>
        <v>0</v>
      </c>
      <c r="GM76">
        <f t="shared" si="99"/>
        <v>1608.3</v>
      </c>
      <c r="GN76">
        <f t="shared" si="100"/>
        <v>0</v>
      </c>
      <c r="GO76">
        <f t="shared" si="101"/>
        <v>1608.3</v>
      </c>
      <c r="GP76">
        <f t="shared" si="102"/>
        <v>0</v>
      </c>
      <c r="GR76">
        <v>0</v>
      </c>
      <c r="GS76">
        <v>3</v>
      </c>
      <c r="GT76">
        <v>0</v>
      </c>
      <c r="GU76" t="s">
        <v>3</v>
      </c>
      <c r="GV76">
        <f t="shared" si="103"/>
        <v>0</v>
      </c>
      <c r="GW76">
        <v>1</v>
      </c>
      <c r="GX76">
        <f t="shared" si="104"/>
        <v>0</v>
      </c>
      <c r="HA76">
        <v>0</v>
      </c>
      <c r="HB76">
        <v>0</v>
      </c>
      <c r="HC76">
        <f t="shared" si="105"/>
        <v>0</v>
      </c>
      <c r="IK76">
        <v>0</v>
      </c>
    </row>
    <row r="77" spans="1:245" x14ac:dyDescent="0.2">
      <c r="A77">
        <v>17</v>
      </c>
      <c r="B77">
        <v>1</v>
      </c>
      <c r="C77">
        <f>ROW(SmtRes!A12)</f>
        <v>12</v>
      </c>
      <c r="D77">
        <f>ROW(EtalonRes!A16)</f>
        <v>16</v>
      </c>
      <c r="E77" t="s">
        <v>142</v>
      </c>
      <c r="F77" t="s">
        <v>49</v>
      </c>
      <c r="G77" t="s">
        <v>143</v>
      </c>
      <c r="H77" t="s">
        <v>26</v>
      </c>
      <c r="I77">
        <f>ROUND(I32,9)</f>
        <v>3</v>
      </c>
      <c r="J77">
        <v>0</v>
      </c>
      <c r="O77">
        <f t="shared" si="66"/>
        <v>13434.72</v>
      </c>
      <c r="P77">
        <f t="shared" si="67"/>
        <v>1109.97</v>
      </c>
      <c r="Q77">
        <f t="shared" si="68"/>
        <v>625.72</v>
      </c>
      <c r="R77">
        <f t="shared" si="69"/>
        <v>256.66000000000003</v>
      </c>
      <c r="S77">
        <f t="shared" si="70"/>
        <v>11699.03</v>
      </c>
      <c r="T77">
        <f t="shared" si="71"/>
        <v>0</v>
      </c>
      <c r="U77">
        <f t="shared" si="72"/>
        <v>40.200000000000003</v>
      </c>
      <c r="V77">
        <f t="shared" si="73"/>
        <v>0</v>
      </c>
      <c r="W77">
        <f t="shared" si="74"/>
        <v>0</v>
      </c>
      <c r="X77">
        <f t="shared" si="75"/>
        <v>9008.25</v>
      </c>
      <c r="Y77">
        <f t="shared" si="76"/>
        <v>4796.6000000000004</v>
      </c>
      <c r="AA77">
        <v>45723533</v>
      </c>
      <c r="AB77">
        <f t="shared" si="77"/>
        <v>264.98</v>
      </c>
      <c r="AC77">
        <f t="shared" si="78"/>
        <v>68.39</v>
      </c>
      <c r="AD77">
        <f t="shared" si="79"/>
        <v>27.48</v>
      </c>
      <c r="AE77">
        <f t="shared" si="80"/>
        <v>3.71</v>
      </c>
      <c r="AF77">
        <f t="shared" si="81"/>
        <v>169.11</v>
      </c>
      <c r="AG77">
        <f t="shared" si="82"/>
        <v>0</v>
      </c>
      <c r="AH77">
        <f t="shared" si="83"/>
        <v>13.4</v>
      </c>
      <c r="AI77">
        <f t="shared" si="84"/>
        <v>0</v>
      </c>
      <c r="AJ77">
        <f t="shared" si="85"/>
        <v>0</v>
      </c>
      <c r="AK77">
        <v>264.98</v>
      </c>
      <c r="AL77">
        <v>68.39</v>
      </c>
      <c r="AM77">
        <v>27.48</v>
      </c>
      <c r="AN77">
        <v>3.71</v>
      </c>
      <c r="AO77">
        <v>169.11</v>
      </c>
      <c r="AP77">
        <v>0</v>
      </c>
      <c r="AQ77">
        <v>13.4</v>
      </c>
      <c r="AR77">
        <v>0</v>
      </c>
      <c r="AS77">
        <v>0</v>
      </c>
      <c r="AT77">
        <v>77</v>
      </c>
      <c r="AU77">
        <v>41</v>
      </c>
      <c r="AV77">
        <v>1</v>
      </c>
      <c r="AW77">
        <v>1</v>
      </c>
      <c r="AZ77">
        <v>1</v>
      </c>
      <c r="BA77">
        <v>23.06</v>
      </c>
      <c r="BB77">
        <v>7.59</v>
      </c>
      <c r="BC77">
        <v>5.41</v>
      </c>
      <c r="BD77" t="s">
        <v>3</v>
      </c>
      <c r="BE77" t="s">
        <v>3</v>
      </c>
      <c r="BF77" t="s">
        <v>3</v>
      </c>
      <c r="BG77" t="s">
        <v>3</v>
      </c>
      <c r="BH77">
        <v>0</v>
      </c>
      <c r="BI77">
        <v>2</v>
      </c>
      <c r="BJ77" t="s">
        <v>51</v>
      </c>
      <c r="BM77">
        <v>317</v>
      </c>
      <c r="BN77">
        <v>0</v>
      </c>
      <c r="BO77" t="s">
        <v>49</v>
      </c>
      <c r="BP77">
        <v>1</v>
      </c>
      <c r="BQ77">
        <v>40</v>
      </c>
      <c r="BR77">
        <v>0</v>
      </c>
      <c r="BS77">
        <v>23.06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77</v>
      </c>
      <c r="CA77">
        <v>41</v>
      </c>
      <c r="CE77">
        <v>30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86"/>
        <v>13434.720000000001</v>
      </c>
      <c r="CQ77">
        <f t="shared" si="87"/>
        <v>369.99</v>
      </c>
      <c r="CR77">
        <f t="shared" si="88"/>
        <v>208.57</v>
      </c>
      <c r="CS77">
        <f t="shared" si="89"/>
        <v>85.55</v>
      </c>
      <c r="CT77">
        <f t="shared" si="90"/>
        <v>3899.68</v>
      </c>
      <c r="CU77">
        <f t="shared" si="91"/>
        <v>0</v>
      </c>
      <c r="CV77">
        <f t="shared" si="92"/>
        <v>13.4</v>
      </c>
      <c r="CW77">
        <f t="shared" si="93"/>
        <v>0</v>
      </c>
      <c r="CX77">
        <f t="shared" si="94"/>
        <v>0</v>
      </c>
      <c r="CY77">
        <f t="shared" si="95"/>
        <v>9008.2530999999999</v>
      </c>
      <c r="CZ77">
        <f t="shared" si="96"/>
        <v>4796.6022999999996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114</v>
      </c>
      <c r="DO77">
        <v>67</v>
      </c>
      <c r="DP77">
        <v>1</v>
      </c>
      <c r="DQ77">
        <v>1</v>
      </c>
      <c r="DU77">
        <v>1013</v>
      </c>
      <c r="DV77" t="s">
        <v>26</v>
      </c>
      <c r="DW77" t="s">
        <v>26</v>
      </c>
      <c r="DX77">
        <v>1</v>
      </c>
      <c r="EE77">
        <v>42513632</v>
      </c>
      <c r="EF77">
        <v>40</v>
      </c>
      <c r="EG77" t="s">
        <v>30</v>
      </c>
      <c r="EH77">
        <v>0</v>
      </c>
      <c r="EI77" t="s">
        <v>3</v>
      </c>
      <c r="EJ77">
        <v>2</v>
      </c>
      <c r="EK77">
        <v>317</v>
      </c>
      <c r="EL77" t="s">
        <v>46</v>
      </c>
      <c r="EM77" t="s">
        <v>47</v>
      </c>
      <c r="EO77" t="s">
        <v>3</v>
      </c>
      <c r="EQ77">
        <v>131072</v>
      </c>
      <c r="ER77">
        <v>264.98</v>
      </c>
      <c r="ES77">
        <v>68.39</v>
      </c>
      <c r="ET77">
        <v>27.48</v>
      </c>
      <c r="EU77">
        <v>3.71</v>
      </c>
      <c r="EV77">
        <v>169.11</v>
      </c>
      <c r="EW77">
        <v>13.4</v>
      </c>
      <c r="EX77">
        <v>0</v>
      </c>
      <c r="EY77">
        <v>0</v>
      </c>
      <c r="FQ77">
        <v>0</v>
      </c>
      <c r="FR77">
        <f t="shared" si="97"/>
        <v>0</v>
      </c>
      <c r="FS77">
        <v>0</v>
      </c>
      <c r="FX77">
        <v>114</v>
      </c>
      <c r="FY77">
        <v>67</v>
      </c>
      <c r="GA77" t="s">
        <v>3</v>
      </c>
      <c r="GD77">
        <v>0</v>
      </c>
      <c r="GF77">
        <v>191518554</v>
      </c>
      <c r="GG77">
        <v>2</v>
      </c>
      <c r="GH77">
        <v>1</v>
      </c>
      <c r="GI77">
        <v>2</v>
      </c>
      <c r="GJ77">
        <v>0</v>
      </c>
      <c r="GK77">
        <f>ROUND(R77*(R12)/100,2)</f>
        <v>402.96</v>
      </c>
      <c r="GL77">
        <f t="shared" si="98"/>
        <v>0</v>
      </c>
      <c r="GM77">
        <f t="shared" si="99"/>
        <v>27642.53</v>
      </c>
      <c r="GN77">
        <f t="shared" si="100"/>
        <v>0</v>
      </c>
      <c r="GO77">
        <f t="shared" si="101"/>
        <v>27642.53</v>
      </c>
      <c r="GP77">
        <f t="shared" si="102"/>
        <v>0</v>
      </c>
      <c r="GR77">
        <v>0</v>
      </c>
      <c r="GS77">
        <v>3</v>
      </c>
      <c r="GT77">
        <v>0</v>
      </c>
      <c r="GU77" t="s">
        <v>3</v>
      </c>
      <c r="GV77">
        <f t="shared" si="103"/>
        <v>0</v>
      </c>
      <c r="GW77">
        <v>1</v>
      </c>
      <c r="GX77">
        <f t="shared" si="104"/>
        <v>0</v>
      </c>
      <c r="HA77">
        <v>0</v>
      </c>
      <c r="HB77">
        <v>0</v>
      </c>
      <c r="HC77">
        <f t="shared" si="105"/>
        <v>0</v>
      </c>
      <c r="IK77">
        <v>0</v>
      </c>
    </row>
    <row r="78" spans="1:245" x14ac:dyDescent="0.2">
      <c r="A78">
        <v>17</v>
      </c>
      <c r="B78">
        <v>1</v>
      </c>
      <c r="C78">
        <f>ROW(SmtRes!A13)</f>
        <v>13</v>
      </c>
      <c r="D78">
        <f>ROW(EtalonRes!A17)</f>
        <v>17</v>
      </c>
      <c r="E78" t="s">
        <v>144</v>
      </c>
      <c r="F78" t="s">
        <v>145</v>
      </c>
      <c r="G78" t="s">
        <v>146</v>
      </c>
      <c r="H78" t="s">
        <v>26</v>
      </c>
      <c r="I78">
        <v>0</v>
      </c>
      <c r="J78">
        <v>0</v>
      </c>
      <c r="O78">
        <f t="shared" si="66"/>
        <v>0</v>
      </c>
      <c r="P78">
        <f t="shared" si="67"/>
        <v>0</v>
      </c>
      <c r="Q78">
        <f t="shared" si="68"/>
        <v>0</v>
      </c>
      <c r="R78">
        <f t="shared" si="69"/>
        <v>0</v>
      </c>
      <c r="S78">
        <f t="shared" si="70"/>
        <v>0</v>
      </c>
      <c r="T78">
        <f t="shared" si="71"/>
        <v>0</v>
      </c>
      <c r="U78">
        <f t="shared" si="72"/>
        <v>0</v>
      </c>
      <c r="V78">
        <f t="shared" si="73"/>
        <v>0</v>
      </c>
      <c r="W78">
        <f t="shared" si="74"/>
        <v>0</v>
      </c>
      <c r="X78">
        <f t="shared" si="75"/>
        <v>0</v>
      </c>
      <c r="Y78">
        <f t="shared" si="76"/>
        <v>0</v>
      </c>
      <c r="AA78">
        <v>45723533</v>
      </c>
      <c r="AB78">
        <f t="shared" si="77"/>
        <v>109.56</v>
      </c>
      <c r="AC78">
        <f t="shared" si="78"/>
        <v>36.119999999999997</v>
      </c>
      <c r="AD78">
        <f t="shared" si="79"/>
        <v>1.96</v>
      </c>
      <c r="AE78">
        <f t="shared" si="80"/>
        <v>0.23</v>
      </c>
      <c r="AF78">
        <f t="shared" si="81"/>
        <v>71.48</v>
      </c>
      <c r="AG78">
        <f t="shared" si="82"/>
        <v>0</v>
      </c>
      <c r="AH78">
        <f t="shared" si="83"/>
        <v>5.12</v>
      </c>
      <c r="AI78">
        <f t="shared" si="84"/>
        <v>0</v>
      </c>
      <c r="AJ78">
        <f t="shared" si="85"/>
        <v>0</v>
      </c>
      <c r="AK78">
        <v>109.56</v>
      </c>
      <c r="AL78">
        <v>36.119999999999997</v>
      </c>
      <c r="AM78">
        <v>1.96</v>
      </c>
      <c r="AN78">
        <v>0.23</v>
      </c>
      <c r="AO78">
        <v>71.48</v>
      </c>
      <c r="AP78">
        <v>0</v>
      </c>
      <c r="AQ78">
        <v>5.12</v>
      </c>
      <c r="AR78">
        <v>0</v>
      </c>
      <c r="AS78">
        <v>0</v>
      </c>
      <c r="AT78">
        <v>77</v>
      </c>
      <c r="AU78">
        <v>41</v>
      </c>
      <c r="AV78">
        <v>1</v>
      </c>
      <c r="AW78">
        <v>1</v>
      </c>
      <c r="AZ78">
        <v>1</v>
      </c>
      <c r="BA78">
        <v>23.06</v>
      </c>
      <c r="BB78">
        <v>7.28</v>
      </c>
      <c r="BC78">
        <v>5.41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2</v>
      </c>
      <c r="BJ78" t="s">
        <v>147</v>
      </c>
      <c r="BM78">
        <v>333</v>
      </c>
      <c r="BN78">
        <v>0</v>
      </c>
      <c r="BO78" t="s">
        <v>145</v>
      </c>
      <c r="BP78">
        <v>1</v>
      </c>
      <c r="BQ78">
        <v>40</v>
      </c>
      <c r="BR78">
        <v>0</v>
      </c>
      <c r="BS78">
        <v>23.06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77</v>
      </c>
      <c r="CA78">
        <v>41</v>
      </c>
      <c r="CE78">
        <v>30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86"/>
        <v>0</v>
      </c>
      <c r="CQ78">
        <f t="shared" si="87"/>
        <v>195.41</v>
      </c>
      <c r="CR78">
        <f t="shared" si="88"/>
        <v>14.27</v>
      </c>
      <c r="CS78">
        <f t="shared" si="89"/>
        <v>5.3</v>
      </c>
      <c r="CT78">
        <f t="shared" si="90"/>
        <v>1648.33</v>
      </c>
      <c r="CU78">
        <f t="shared" si="91"/>
        <v>0</v>
      </c>
      <c r="CV78">
        <f t="shared" si="92"/>
        <v>5.12</v>
      </c>
      <c r="CW78">
        <f t="shared" si="93"/>
        <v>0</v>
      </c>
      <c r="CX78">
        <f t="shared" si="94"/>
        <v>0</v>
      </c>
      <c r="CY78">
        <f t="shared" si="95"/>
        <v>0</v>
      </c>
      <c r="CZ78">
        <f t="shared" si="96"/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114</v>
      </c>
      <c r="DO78">
        <v>67</v>
      </c>
      <c r="DP78">
        <v>1</v>
      </c>
      <c r="DQ78">
        <v>1</v>
      </c>
      <c r="DU78">
        <v>1013</v>
      </c>
      <c r="DV78" t="s">
        <v>26</v>
      </c>
      <c r="DW78" t="s">
        <v>26</v>
      </c>
      <c r="DX78">
        <v>1</v>
      </c>
      <c r="EE78">
        <v>42513648</v>
      </c>
      <c r="EF78">
        <v>40</v>
      </c>
      <c r="EG78" t="s">
        <v>30</v>
      </c>
      <c r="EH78">
        <v>0</v>
      </c>
      <c r="EI78" t="s">
        <v>3</v>
      </c>
      <c r="EJ78">
        <v>2</v>
      </c>
      <c r="EK78">
        <v>333</v>
      </c>
      <c r="EL78" t="s">
        <v>31</v>
      </c>
      <c r="EM78" t="s">
        <v>32</v>
      </c>
      <c r="EO78" t="s">
        <v>3</v>
      </c>
      <c r="EQ78">
        <v>131072</v>
      </c>
      <c r="ER78">
        <v>109.56</v>
      </c>
      <c r="ES78">
        <v>36.119999999999997</v>
      </c>
      <c r="ET78">
        <v>1.96</v>
      </c>
      <c r="EU78">
        <v>0.23</v>
      </c>
      <c r="EV78">
        <v>71.48</v>
      </c>
      <c r="EW78">
        <v>5.12</v>
      </c>
      <c r="EX78">
        <v>0</v>
      </c>
      <c r="EY78">
        <v>0</v>
      </c>
      <c r="FQ78">
        <v>0</v>
      </c>
      <c r="FR78">
        <f t="shared" si="97"/>
        <v>0</v>
      </c>
      <c r="FS78">
        <v>0</v>
      </c>
      <c r="FX78">
        <v>114</v>
      </c>
      <c r="FY78">
        <v>67</v>
      </c>
      <c r="GA78" t="s">
        <v>3</v>
      </c>
      <c r="GD78">
        <v>0</v>
      </c>
      <c r="GF78">
        <v>-1670032853</v>
      </c>
      <c r="GG78">
        <v>2</v>
      </c>
      <c r="GH78">
        <v>1</v>
      </c>
      <c r="GI78">
        <v>2</v>
      </c>
      <c r="GJ78">
        <v>0</v>
      </c>
      <c r="GK78">
        <f>ROUND(R78*(R12)/100,2)</f>
        <v>0</v>
      </c>
      <c r="GL78">
        <f t="shared" si="98"/>
        <v>0</v>
      </c>
      <c r="GM78">
        <f t="shared" si="99"/>
        <v>0</v>
      </c>
      <c r="GN78">
        <f t="shared" si="100"/>
        <v>0</v>
      </c>
      <c r="GO78">
        <f t="shared" si="101"/>
        <v>0</v>
      </c>
      <c r="GP78">
        <f t="shared" si="102"/>
        <v>0</v>
      </c>
      <c r="GR78">
        <v>0</v>
      </c>
      <c r="GS78">
        <v>3</v>
      </c>
      <c r="GT78">
        <v>0</v>
      </c>
      <c r="GU78" t="s">
        <v>3</v>
      </c>
      <c r="GV78">
        <f t="shared" si="103"/>
        <v>0</v>
      </c>
      <c r="GW78">
        <v>1</v>
      </c>
      <c r="GX78">
        <f t="shared" si="104"/>
        <v>0</v>
      </c>
      <c r="HA78">
        <v>0</v>
      </c>
      <c r="HB78">
        <v>0</v>
      </c>
      <c r="HC78">
        <f t="shared" si="105"/>
        <v>0</v>
      </c>
      <c r="IK78">
        <v>0</v>
      </c>
    </row>
    <row r="79" spans="1:245" x14ac:dyDescent="0.2">
      <c r="A79">
        <v>17</v>
      </c>
      <c r="B79">
        <v>1</v>
      </c>
      <c r="D79">
        <f>ROW(EtalonRes!A18)</f>
        <v>18</v>
      </c>
      <c r="E79" t="s">
        <v>148</v>
      </c>
      <c r="F79" t="s">
        <v>149</v>
      </c>
      <c r="G79" t="s">
        <v>150</v>
      </c>
      <c r="H79" t="s">
        <v>151</v>
      </c>
      <c r="I79">
        <v>0.05</v>
      </c>
      <c r="J79">
        <v>0</v>
      </c>
      <c r="O79">
        <f t="shared" si="66"/>
        <v>180.13</v>
      </c>
      <c r="P79">
        <f t="shared" si="67"/>
        <v>0.43</v>
      </c>
      <c r="Q79">
        <f t="shared" si="68"/>
        <v>15.28</v>
      </c>
      <c r="R79">
        <f t="shared" si="69"/>
        <v>8.76</v>
      </c>
      <c r="S79">
        <f t="shared" si="70"/>
        <v>164.42</v>
      </c>
      <c r="T79">
        <f t="shared" si="71"/>
        <v>0</v>
      </c>
      <c r="U79">
        <f t="shared" si="72"/>
        <v>0.56500000000000006</v>
      </c>
      <c r="V79">
        <f t="shared" si="73"/>
        <v>0</v>
      </c>
      <c r="W79">
        <f t="shared" si="74"/>
        <v>0</v>
      </c>
      <c r="X79">
        <f t="shared" si="75"/>
        <v>126.6</v>
      </c>
      <c r="Y79">
        <f t="shared" si="76"/>
        <v>67.41</v>
      </c>
      <c r="AA79">
        <v>45723533</v>
      </c>
      <c r="AB79">
        <f t="shared" si="77"/>
        <v>177</v>
      </c>
      <c r="AC79">
        <f t="shared" si="78"/>
        <v>1.54</v>
      </c>
      <c r="AD79">
        <f t="shared" si="79"/>
        <v>32.85</v>
      </c>
      <c r="AE79">
        <f t="shared" si="80"/>
        <v>7.6</v>
      </c>
      <c r="AF79">
        <f t="shared" si="81"/>
        <v>142.61000000000001</v>
      </c>
      <c r="AG79">
        <f t="shared" si="82"/>
        <v>0</v>
      </c>
      <c r="AH79">
        <f t="shared" si="83"/>
        <v>11.3</v>
      </c>
      <c r="AI79">
        <f t="shared" si="84"/>
        <v>0</v>
      </c>
      <c r="AJ79">
        <f t="shared" si="85"/>
        <v>0</v>
      </c>
      <c r="AK79">
        <v>177</v>
      </c>
      <c r="AL79">
        <v>1.54</v>
      </c>
      <c r="AM79">
        <v>32.85</v>
      </c>
      <c r="AN79">
        <v>7.6</v>
      </c>
      <c r="AO79">
        <v>142.61000000000001</v>
      </c>
      <c r="AP79">
        <v>0</v>
      </c>
      <c r="AQ79">
        <v>11.3</v>
      </c>
      <c r="AR79">
        <v>0</v>
      </c>
      <c r="AS79">
        <v>0</v>
      </c>
      <c r="AT79">
        <v>77</v>
      </c>
      <c r="AU79">
        <v>41</v>
      </c>
      <c r="AV79">
        <v>1</v>
      </c>
      <c r="AW79">
        <v>1</v>
      </c>
      <c r="AZ79">
        <v>1</v>
      </c>
      <c r="BA79">
        <v>23.06</v>
      </c>
      <c r="BB79">
        <v>9.32</v>
      </c>
      <c r="BC79">
        <v>5.41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2</v>
      </c>
      <c r="BJ79" t="s">
        <v>152</v>
      </c>
      <c r="BM79">
        <v>336</v>
      </c>
      <c r="BN79">
        <v>0</v>
      </c>
      <c r="BO79" t="s">
        <v>149</v>
      </c>
      <c r="BP79">
        <v>1</v>
      </c>
      <c r="BQ79">
        <v>40</v>
      </c>
      <c r="BR79">
        <v>0</v>
      </c>
      <c r="BS79">
        <v>23.06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77</v>
      </c>
      <c r="CA79">
        <v>41</v>
      </c>
      <c r="CE79">
        <v>30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86"/>
        <v>180.13</v>
      </c>
      <c r="CQ79">
        <f t="shared" si="87"/>
        <v>8.33</v>
      </c>
      <c r="CR79">
        <f t="shared" si="88"/>
        <v>306.16000000000003</v>
      </c>
      <c r="CS79">
        <f t="shared" si="89"/>
        <v>175.26</v>
      </c>
      <c r="CT79">
        <f t="shared" si="90"/>
        <v>3288.59</v>
      </c>
      <c r="CU79">
        <f t="shared" si="91"/>
        <v>0</v>
      </c>
      <c r="CV79">
        <f t="shared" si="92"/>
        <v>11.3</v>
      </c>
      <c r="CW79">
        <f t="shared" si="93"/>
        <v>0</v>
      </c>
      <c r="CX79">
        <f t="shared" si="94"/>
        <v>0</v>
      </c>
      <c r="CY79">
        <f t="shared" si="95"/>
        <v>126.60339999999999</v>
      </c>
      <c r="CZ79">
        <f t="shared" si="96"/>
        <v>67.412199999999984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114</v>
      </c>
      <c r="DO79">
        <v>67</v>
      </c>
      <c r="DP79">
        <v>1</v>
      </c>
      <c r="DQ79">
        <v>1</v>
      </c>
      <c r="DU79">
        <v>1013</v>
      </c>
      <c r="DV79" t="s">
        <v>151</v>
      </c>
      <c r="DW79" t="s">
        <v>151</v>
      </c>
      <c r="DX79">
        <v>1</v>
      </c>
      <c r="EE79">
        <v>42513651</v>
      </c>
      <c r="EF79">
        <v>40</v>
      </c>
      <c r="EG79" t="s">
        <v>30</v>
      </c>
      <c r="EH79">
        <v>0</v>
      </c>
      <c r="EI79" t="s">
        <v>3</v>
      </c>
      <c r="EJ79">
        <v>2</v>
      </c>
      <c r="EK79">
        <v>336</v>
      </c>
      <c r="EL79" t="s">
        <v>153</v>
      </c>
      <c r="EM79" t="s">
        <v>154</v>
      </c>
      <c r="EO79" t="s">
        <v>3</v>
      </c>
      <c r="EQ79">
        <v>131072</v>
      </c>
      <c r="ER79">
        <v>177</v>
      </c>
      <c r="ES79">
        <v>1.54</v>
      </c>
      <c r="ET79">
        <v>32.85</v>
      </c>
      <c r="EU79">
        <v>7.6</v>
      </c>
      <c r="EV79">
        <v>142.61000000000001</v>
      </c>
      <c r="EW79">
        <v>11.3</v>
      </c>
      <c r="EX79">
        <v>0</v>
      </c>
      <c r="EY79">
        <v>0</v>
      </c>
      <c r="FQ79">
        <v>0</v>
      </c>
      <c r="FR79">
        <f t="shared" si="97"/>
        <v>0</v>
      </c>
      <c r="FS79">
        <v>0</v>
      </c>
      <c r="FX79">
        <v>114</v>
      </c>
      <c r="FY79">
        <v>67</v>
      </c>
      <c r="GA79" t="s">
        <v>3</v>
      </c>
      <c r="GD79">
        <v>0</v>
      </c>
      <c r="GF79">
        <v>-779462988</v>
      </c>
      <c r="GG79">
        <v>2</v>
      </c>
      <c r="GH79">
        <v>1</v>
      </c>
      <c r="GI79">
        <v>2</v>
      </c>
      <c r="GJ79">
        <v>0</v>
      </c>
      <c r="GK79">
        <f>ROUND(R79*(R12)/100,2)</f>
        <v>13.75</v>
      </c>
      <c r="GL79">
        <f t="shared" si="98"/>
        <v>0</v>
      </c>
      <c r="GM79">
        <f t="shared" si="99"/>
        <v>387.89</v>
      </c>
      <c r="GN79">
        <f t="shared" si="100"/>
        <v>0</v>
      </c>
      <c r="GO79">
        <f t="shared" si="101"/>
        <v>387.89</v>
      </c>
      <c r="GP79">
        <f t="shared" si="102"/>
        <v>0</v>
      </c>
      <c r="GR79">
        <v>0</v>
      </c>
      <c r="GS79">
        <v>3</v>
      </c>
      <c r="GT79">
        <v>0</v>
      </c>
      <c r="GU79" t="s">
        <v>3</v>
      </c>
      <c r="GV79">
        <f t="shared" si="103"/>
        <v>0</v>
      </c>
      <c r="GW79">
        <v>1</v>
      </c>
      <c r="GX79">
        <f t="shared" si="104"/>
        <v>0</v>
      </c>
      <c r="HA79">
        <v>0</v>
      </c>
      <c r="HB79">
        <v>0</v>
      </c>
      <c r="HC79">
        <f t="shared" si="105"/>
        <v>0</v>
      </c>
      <c r="IK79">
        <v>0</v>
      </c>
    </row>
    <row r="80" spans="1:245" x14ac:dyDescent="0.2">
      <c r="A80">
        <v>17</v>
      </c>
      <c r="B80">
        <v>1</v>
      </c>
      <c r="D80">
        <f>ROW(EtalonRes!A19)</f>
        <v>19</v>
      </c>
      <c r="E80" t="s">
        <v>155</v>
      </c>
      <c r="F80" t="s">
        <v>156</v>
      </c>
      <c r="G80" t="s">
        <v>157</v>
      </c>
      <c r="H80" t="s">
        <v>151</v>
      </c>
      <c r="I80">
        <v>0</v>
      </c>
      <c r="J80">
        <v>0</v>
      </c>
      <c r="O80">
        <f t="shared" si="66"/>
        <v>0</v>
      </c>
      <c r="P80">
        <f t="shared" si="67"/>
        <v>0</v>
      </c>
      <c r="Q80">
        <f t="shared" si="68"/>
        <v>0</v>
      </c>
      <c r="R80">
        <f t="shared" si="69"/>
        <v>0</v>
      </c>
      <c r="S80">
        <f t="shared" si="70"/>
        <v>0</v>
      </c>
      <c r="T80">
        <f t="shared" si="71"/>
        <v>0</v>
      </c>
      <c r="U80">
        <f t="shared" si="72"/>
        <v>0</v>
      </c>
      <c r="V80">
        <f t="shared" si="73"/>
        <v>0</v>
      </c>
      <c r="W80">
        <f t="shared" si="74"/>
        <v>0</v>
      </c>
      <c r="X80">
        <f t="shared" si="75"/>
        <v>0</v>
      </c>
      <c r="Y80">
        <f t="shared" si="76"/>
        <v>0</v>
      </c>
      <c r="AA80">
        <v>45723533</v>
      </c>
      <c r="AB80">
        <f t="shared" si="77"/>
        <v>226.17</v>
      </c>
      <c r="AC80">
        <f t="shared" si="78"/>
        <v>2.1</v>
      </c>
      <c r="AD80">
        <f t="shared" si="79"/>
        <v>42.34</v>
      </c>
      <c r="AE80">
        <f t="shared" si="80"/>
        <v>9.8000000000000007</v>
      </c>
      <c r="AF80">
        <f t="shared" si="81"/>
        <v>181.73</v>
      </c>
      <c r="AG80">
        <f t="shared" si="82"/>
        <v>0</v>
      </c>
      <c r="AH80">
        <f t="shared" si="83"/>
        <v>14.4</v>
      </c>
      <c r="AI80">
        <f t="shared" si="84"/>
        <v>0</v>
      </c>
      <c r="AJ80">
        <f t="shared" si="85"/>
        <v>0</v>
      </c>
      <c r="AK80">
        <v>226.17</v>
      </c>
      <c r="AL80">
        <v>2.1</v>
      </c>
      <c r="AM80">
        <v>42.34</v>
      </c>
      <c r="AN80">
        <v>9.8000000000000007</v>
      </c>
      <c r="AO80">
        <v>181.73</v>
      </c>
      <c r="AP80">
        <v>0</v>
      </c>
      <c r="AQ80">
        <v>14.4</v>
      </c>
      <c r="AR80">
        <v>0</v>
      </c>
      <c r="AS80">
        <v>0</v>
      </c>
      <c r="AT80">
        <v>77</v>
      </c>
      <c r="AU80">
        <v>41</v>
      </c>
      <c r="AV80">
        <v>1</v>
      </c>
      <c r="AW80">
        <v>1</v>
      </c>
      <c r="AZ80">
        <v>1</v>
      </c>
      <c r="BA80">
        <v>23.06</v>
      </c>
      <c r="BB80">
        <v>9.32</v>
      </c>
      <c r="BC80">
        <v>5.41</v>
      </c>
      <c r="BD80" t="s">
        <v>3</v>
      </c>
      <c r="BE80" t="s">
        <v>3</v>
      </c>
      <c r="BF80" t="s">
        <v>3</v>
      </c>
      <c r="BG80" t="s">
        <v>3</v>
      </c>
      <c r="BH80">
        <v>0</v>
      </c>
      <c r="BI80">
        <v>2</v>
      </c>
      <c r="BJ80" t="s">
        <v>158</v>
      </c>
      <c r="BM80">
        <v>336</v>
      </c>
      <c r="BN80">
        <v>0</v>
      </c>
      <c r="BO80" t="s">
        <v>156</v>
      </c>
      <c r="BP80">
        <v>1</v>
      </c>
      <c r="BQ80">
        <v>40</v>
      </c>
      <c r="BR80">
        <v>0</v>
      </c>
      <c r="BS80">
        <v>23.06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77</v>
      </c>
      <c r="CA80">
        <v>41</v>
      </c>
      <c r="CE80">
        <v>30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86"/>
        <v>0</v>
      </c>
      <c r="CQ80">
        <f t="shared" si="87"/>
        <v>11.36</v>
      </c>
      <c r="CR80">
        <f t="shared" si="88"/>
        <v>394.61</v>
      </c>
      <c r="CS80">
        <f t="shared" si="89"/>
        <v>225.99</v>
      </c>
      <c r="CT80">
        <f t="shared" si="90"/>
        <v>4190.6899999999996</v>
      </c>
      <c r="CU80">
        <f t="shared" si="91"/>
        <v>0</v>
      </c>
      <c r="CV80">
        <f t="shared" si="92"/>
        <v>14.4</v>
      </c>
      <c r="CW80">
        <f t="shared" si="93"/>
        <v>0</v>
      </c>
      <c r="CX80">
        <f t="shared" si="94"/>
        <v>0</v>
      </c>
      <c r="CY80">
        <f t="shared" si="95"/>
        <v>0</v>
      </c>
      <c r="CZ80">
        <f t="shared" si="96"/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114</v>
      </c>
      <c r="DO80">
        <v>67</v>
      </c>
      <c r="DP80">
        <v>1</v>
      </c>
      <c r="DQ80">
        <v>1</v>
      </c>
      <c r="DU80">
        <v>1013</v>
      </c>
      <c r="DV80" t="s">
        <v>151</v>
      </c>
      <c r="DW80" t="s">
        <v>151</v>
      </c>
      <c r="DX80">
        <v>1</v>
      </c>
      <c r="EE80">
        <v>42513651</v>
      </c>
      <c r="EF80">
        <v>40</v>
      </c>
      <c r="EG80" t="s">
        <v>30</v>
      </c>
      <c r="EH80">
        <v>0</v>
      </c>
      <c r="EI80" t="s">
        <v>3</v>
      </c>
      <c r="EJ80">
        <v>2</v>
      </c>
      <c r="EK80">
        <v>336</v>
      </c>
      <c r="EL80" t="s">
        <v>153</v>
      </c>
      <c r="EM80" t="s">
        <v>154</v>
      </c>
      <c r="EO80" t="s">
        <v>3</v>
      </c>
      <c r="EQ80">
        <v>131072</v>
      </c>
      <c r="ER80">
        <v>226.17</v>
      </c>
      <c r="ES80">
        <v>2.1</v>
      </c>
      <c r="ET80">
        <v>42.34</v>
      </c>
      <c r="EU80">
        <v>9.8000000000000007</v>
      </c>
      <c r="EV80">
        <v>181.73</v>
      </c>
      <c r="EW80">
        <v>14.4</v>
      </c>
      <c r="EX80">
        <v>0</v>
      </c>
      <c r="EY80">
        <v>0</v>
      </c>
      <c r="FQ80">
        <v>0</v>
      </c>
      <c r="FR80">
        <f t="shared" si="97"/>
        <v>0</v>
      </c>
      <c r="FS80">
        <v>0</v>
      </c>
      <c r="FX80">
        <v>114</v>
      </c>
      <c r="FY80">
        <v>67</v>
      </c>
      <c r="GA80" t="s">
        <v>3</v>
      </c>
      <c r="GD80">
        <v>0</v>
      </c>
      <c r="GF80">
        <v>907810561</v>
      </c>
      <c r="GG80">
        <v>2</v>
      </c>
      <c r="GH80">
        <v>1</v>
      </c>
      <c r="GI80">
        <v>2</v>
      </c>
      <c r="GJ80">
        <v>0</v>
      </c>
      <c r="GK80">
        <f>ROUND(R80*(R12)/100,2)</f>
        <v>0</v>
      </c>
      <c r="GL80">
        <f t="shared" si="98"/>
        <v>0</v>
      </c>
      <c r="GM80">
        <f t="shared" si="99"/>
        <v>0</v>
      </c>
      <c r="GN80">
        <f t="shared" si="100"/>
        <v>0</v>
      </c>
      <c r="GO80">
        <f t="shared" si="101"/>
        <v>0</v>
      </c>
      <c r="GP80">
        <f t="shared" si="102"/>
        <v>0</v>
      </c>
      <c r="GR80">
        <v>0</v>
      </c>
      <c r="GS80">
        <v>3</v>
      </c>
      <c r="GT80">
        <v>0</v>
      </c>
      <c r="GU80" t="s">
        <v>3</v>
      </c>
      <c r="GV80">
        <f t="shared" si="103"/>
        <v>0</v>
      </c>
      <c r="GW80">
        <v>1</v>
      </c>
      <c r="GX80">
        <f t="shared" si="104"/>
        <v>0</v>
      </c>
      <c r="HA80">
        <v>0</v>
      </c>
      <c r="HB80">
        <v>0</v>
      </c>
      <c r="HC80">
        <f t="shared" si="105"/>
        <v>0</v>
      </c>
      <c r="IK80">
        <v>0</v>
      </c>
    </row>
    <row r="81" spans="1:245" x14ac:dyDescent="0.2">
      <c r="A81">
        <v>17</v>
      </c>
      <c r="B81">
        <v>1</v>
      </c>
      <c r="D81">
        <f>ROW(EtalonRes!A20)</f>
        <v>20</v>
      </c>
      <c r="E81" t="s">
        <v>159</v>
      </c>
      <c r="F81" t="s">
        <v>156</v>
      </c>
      <c r="G81" t="s">
        <v>160</v>
      </c>
      <c r="H81" t="s">
        <v>151</v>
      </c>
      <c r="I81">
        <v>0</v>
      </c>
      <c r="J81">
        <v>0</v>
      </c>
      <c r="O81">
        <f t="shared" si="66"/>
        <v>0</v>
      </c>
      <c r="P81">
        <f t="shared" si="67"/>
        <v>0</v>
      </c>
      <c r="Q81">
        <f t="shared" si="68"/>
        <v>0</v>
      </c>
      <c r="R81">
        <f t="shared" si="69"/>
        <v>0</v>
      </c>
      <c r="S81">
        <f t="shared" si="70"/>
        <v>0</v>
      </c>
      <c r="T81">
        <f t="shared" si="71"/>
        <v>0</v>
      </c>
      <c r="U81">
        <f t="shared" si="72"/>
        <v>0</v>
      </c>
      <c r="V81">
        <f t="shared" si="73"/>
        <v>0</v>
      </c>
      <c r="W81">
        <f t="shared" si="74"/>
        <v>0</v>
      </c>
      <c r="X81">
        <f t="shared" si="75"/>
        <v>0</v>
      </c>
      <c r="Y81">
        <f t="shared" si="76"/>
        <v>0</v>
      </c>
      <c r="AA81">
        <v>45723533</v>
      </c>
      <c r="AB81">
        <f t="shared" si="77"/>
        <v>226.17</v>
      </c>
      <c r="AC81">
        <f t="shared" si="78"/>
        <v>2.1</v>
      </c>
      <c r="AD81">
        <f t="shared" si="79"/>
        <v>42.34</v>
      </c>
      <c r="AE81">
        <f t="shared" si="80"/>
        <v>9.8000000000000007</v>
      </c>
      <c r="AF81">
        <f t="shared" si="81"/>
        <v>181.73</v>
      </c>
      <c r="AG81">
        <f t="shared" si="82"/>
        <v>0</v>
      </c>
      <c r="AH81">
        <f t="shared" si="83"/>
        <v>14.4</v>
      </c>
      <c r="AI81">
        <f t="shared" si="84"/>
        <v>0</v>
      </c>
      <c r="AJ81">
        <f t="shared" si="85"/>
        <v>0</v>
      </c>
      <c r="AK81">
        <v>226.17</v>
      </c>
      <c r="AL81">
        <v>2.1</v>
      </c>
      <c r="AM81">
        <v>42.34</v>
      </c>
      <c r="AN81">
        <v>9.8000000000000007</v>
      </c>
      <c r="AO81">
        <v>181.73</v>
      </c>
      <c r="AP81">
        <v>0</v>
      </c>
      <c r="AQ81">
        <v>14.4</v>
      </c>
      <c r="AR81">
        <v>0</v>
      </c>
      <c r="AS81">
        <v>0</v>
      </c>
      <c r="AT81">
        <v>77</v>
      </c>
      <c r="AU81">
        <v>41</v>
      </c>
      <c r="AV81">
        <v>1</v>
      </c>
      <c r="AW81">
        <v>1</v>
      </c>
      <c r="AZ81">
        <v>1</v>
      </c>
      <c r="BA81">
        <v>23.06</v>
      </c>
      <c r="BB81">
        <v>9.32</v>
      </c>
      <c r="BC81">
        <v>5.41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2</v>
      </c>
      <c r="BJ81" t="s">
        <v>158</v>
      </c>
      <c r="BM81">
        <v>336</v>
      </c>
      <c r="BN81">
        <v>0</v>
      </c>
      <c r="BO81" t="s">
        <v>156</v>
      </c>
      <c r="BP81">
        <v>1</v>
      </c>
      <c r="BQ81">
        <v>40</v>
      </c>
      <c r="BR81">
        <v>0</v>
      </c>
      <c r="BS81">
        <v>23.06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77</v>
      </c>
      <c r="CA81">
        <v>41</v>
      </c>
      <c r="CE81">
        <v>30</v>
      </c>
      <c r="CF81">
        <v>0</v>
      </c>
      <c r="CG81">
        <v>0</v>
      </c>
      <c r="CM81">
        <v>0</v>
      </c>
      <c r="CN81" t="s">
        <v>3</v>
      </c>
      <c r="CO81">
        <v>0</v>
      </c>
      <c r="CP81">
        <f t="shared" si="86"/>
        <v>0</v>
      </c>
      <c r="CQ81">
        <f t="shared" si="87"/>
        <v>11.36</v>
      </c>
      <c r="CR81">
        <f t="shared" si="88"/>
        <v>394.61</v>
      </c>
      <c r="CS81">
        <f t="shared" si="89"/>
        <v>225.99</v>
      </c>
      <c r="CT81">
        <f t="shared" si="90"/>
        <v>4190.6899999999996</v>
      </c>
      <c r="CU81">
        <f t="shared" si="91"/>
        <v>0</v>
      </c>
      <c r="CV81">
        <f t="shared" si="92"/>
        <v>14.4</v>
      </c>
      <c r="CW81">
        <f t="shared" si="93"/>
        <v>0</v>
      </c>
      <c r="CX81">
        <f t="shared" si="94"/>
        <v>0</v>
      </c>
      <c r="CY81">
        <f t="shared" si="95"/>
        <v>0</v>
      </c>
      <c r="CZ81">
        <f t="shared" si="96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114</v>
      </c>
      <c r="DO81">
        <v>67</v>
      </c>
      <c r="DP81">
        <v>1</v>
      </c>
      <c r="DQ81">
        <v>1</v>
      </c>
      <c r="DU81">
        <v>1013</v>
      </c>
      <c r="DV81" t="s">
        <v>151</v>
      </c>
      <c r="DW81" t="s">
        <v>151</v>
      </c>
      <c r="DX81">
        <v>1</v>
      </c>
      <c r="EE81">
        <v>42513651</v>
      </c>
      <c r="EF81">
        <v>40</v>
      </c>
      <c r="EG81" t="s">
        <v>30</v>
      </c>
      <c r="EH81">
        <v>0</v>
      </c>
      <c r="EI81" t="s">
        <v>3</v>
      </c>
      <c r="EJ81">
        <v>2</v>
      </c>
      <c r="EK81">
        <v>336</v>
      </c>
      <c r="EL81" t="s">
        <v>153</v>
      </c>
      <c r="EM81" t="s">
        <v>154</v>
      </c>
      <c r="EO81" t="s">
        <v>3</v>
      </c>
      <c r="EQ81">
        <v>131072</v>
      </c>
      <c r="ER81">
        <v>226.17</v>
      </c>
      <c r="ES81">
        <v>2.1</v>
      </c>
      <c r="ET81">
        <v>42.34</v>
      </c>
      <c r="EU81">
        <v>9.8000000000000007</v>
      </c>
      <c r="EV81">
        <v>181.73</v>
      </c>
      <c r="EW81">
        <v>14.4</v>
      </c>
      <c r="EX81">
        <v>0</v>
      </c>
      <c r="EY81">
        <v>0</v>
      </c>
      <c r="FQ81">
        <v>0</v>
      </c>
      <c r="FR81">
        <f t="shared" si="97"/>
        <v>0</v>
      </c>
      <c r="FS81">
        <v>0</v>
      </c>
      <c r="FX81">
        <v>114</v>
      </c>
      <c r="FY81">
        <v>67</v>
      </c>
      <c r="GA81" t="s">
        <v>3</v>
      </c>
      <c r="GD81">
        <v>0</v>
      </c>
      <c r="GF81">
        <v>-1385666289</v>
      </c>
      <c r="GG81">
        <v>2</v>
      </c>
      <c r="GH81">
        <v>1</v>
      </c>
      <c r="GI81">
        <v>2</v>
      </c>
      <c r="GJ81">
        <v>0</v>
      </c>
      <c r="GK81">
        <f>ROUND(R81*(R12)/100,2)</f>
        <v>0</v>
      </c>
      <c r="GL81">
        <f t="shared" si="98"/>
        <v>0</v>
      </c>
      <c r="GM81">
        <f t="shared" si="99"/>
        <v>0</v>
      </c>
      <c r="GN81">
        <f t="shared" si="100"/>
        <v>0</v>
      </c>
      <c r="GO81">
        <f t="shared" si="101"/>
        <v>0</v>
      </c>
      <c r="GP81">
        <f t="shared" si="102"/>
        <v>0</v>
      </c>
      <c r="GR81">
        <v>0</v>
      </c>
      <c r="GS81">
        <v>3</v>
      </c>
      <c r="GT81">
        <v>0</v>
      </c>
      <c r="GU81" t="s">
        <v>3</v>
      </c>
      <c r="GV81">
        <f t="shared" si="103"/>
        <v>0</v>
      </c>
      <c r="GW81">
        <v>1</v>
      </c>
      <c r="GX81">
        <f t="shared" si="104"/>
        <v>0</v>
      </c>
      <c r="HA81">
        <v>0</v>
      </c>
      <c r="HB81">
        <v>0</v>
      </c>
      <c r="HC81">
        <f t="shared" si="105"/>
        <v>0</v>
      </c>
      <c r="IK81">
        <v>0</v>
      </c>
    </row>
    <row r="82" spans="1:245" x14ac:dyDescent="0.2">
      <c r="A82">
        <v>17</v>
      </c>
      <c r="B82">
        <v>1</v>
      </c>
      <c r="D82">
        <f>ROW(EtalonRes!A21)</f>
        <v>21</v>
      </c>
      <c r="E82" t="s">
        <v>161</v>
      </c>
      <c r="F82" t="s">
        <v>162</v>
      </c>
      <c r="G82" t="s">
        <v>163</v>
      </c>
      <c r="H82" t="s">
        <v>151</v>
      </c>
      <c r="I82">
        <v>0</v>
      </c>
      <c r="J82">
        <v>0</v>
      </c>
      <c r="O82">
        <f t="shared" si="66"/>
        <v>0</v>
      </c>
      <c r="P82">
        <f t="shared" si="67"/>
        <v>0</v>
      </c>
      <c r="Q82">
        <f t="shared" si="68"/>
        <v>0</v>
      </c>
      <c r="R82">
        <f t="shared" si="69"/>
        <v>0</v>
      </c>
      <c r="S82">
        <f t="shared" si="70"/>
        <v>0</v>
      </c>
      <c r="T82">
        <f t="shared" si="71"/>
        <v>0</v>
      </c>
      <c r="U82">
        <f t="shared" si="72"/>
        <v>0</v>
      </c>
      <c r="V82">
        <f t="shared" si="73"/>
        <v>0</v>
      </c>
      <c r="W82">
        <f t="shared" si="74"/>
        <v>0</v>
      </c>
      <c r="X82">
        <f t="shared" si="75"/>
        <v>0</v>
      </c>
      <c r="Y82">
        <f t="shared" si="76"/>
        <v>0</v>
      </c>
      <c r="AA82">
        <v>45723533</v>
      </c>
      <c r="AB82">
        <f t="shared" si="77"/>
        <v>241.71</v>
      </c>
      <c r="AC82">
        <f t="shared" si="78"/>
        <v>2.1</v>
      </c>
      <c r="AD82">
        <f t="shared" si="79"/>
        <v>45.26</v>
      </c>
      <c r="AE82">
        <f t="shared" si="80"/>
        <v>10.48</v>
      </c>
      <c r="AF82">
        <f t="shared" si="81"/>
        <v>194.35</v>
      </c>
      <c r="AG82">
        <f t="shared" si="82"/>
        <v>0</v>
      </c>
      <c r="AH82">
        <f t="shared" si="83"/>
        <v>15.4</v>
      </c>
      <c r="AI82">
        <f t="shared" si="84"/>
        <v>0</v>
      </c>
      <c r="AJ82">
        <f t="shared" si="85"/>
        <v>0</v>
      </c>
      <c r="AK82">
        <v>241.71</v>
      </c>
      <c r="AL82">
        <v>2.1</v>
      </c>
      <c r="AM82">
        <v>45.26</v>
      </c>
      <c r="AN82">
        <v>10.48</v>
      </c>
      <c r="AO82">
        <v>194.35</v>
      </c>
      <c r="AP82">
        <v>0</v>
      </c>
      <c r="AQ82">
        <v>15.4</v>
      </c>
      <c r="AR82">
        <v>0</v>
      </c>
      <c r="AS82">
        <v>0</v>
      </c>
      <c r="AT82">
        <v>77</v>
      </c>
      <c r="AU82">
        <v>41</v>
      </c>
      <c r="AV82">
        <v>1</v>
      </c>
      <c r="AW82">
        <v>1</v>
      </c>
      <c r="AZ82">
        <v>1</v>
      </c>
      <c r="BA82">
        <v>23.06</v>
      </c>
      <c r="BB82">
        <v>9.32</v>
      </c>
      <c r="BC82">
        <v>5.41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2</v>
      </c>
      <c r="BJ82" t="s">
        <v>164</v>
      </c>
      <c r="BM82">
        <v>336</v>
      </c>
      <c r="BN82">
        <v>0</v>
      </c>
      <c r="BO82" t="s">
        <v>162</v>
      </c>
      <c r="BP82">
        <v>1</v>
      </c>
      <c r="BQ82">
        <v>40</v>
      </c>
      <c r="BR82">
        <v>0</v>
      </c>
      <c r="BS82">
        <v>23.06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77</v>
      </c>
      <c r="CA82">
        <v>41</v>
      </c>
      <c r="CE82">
        <v>30</v>
      </c>
      <c r="CF82">
        <v>0</v>
      </c>
      <c r="CG82">
        <v>0</v>
      </c>
      <c r="CM82">
        <v>0</v>
      </c>
      <c r="CN82" t="s">
        <v>3</v>
      </c>
      <c r="CO82">
        <v>0</v>
      </c>
      <c r="CP82">
        <f t="shared" si="86"/>
        <v>0</v>
      </c>
      <c r="CQ82">
        <f t="shared" si="87"/>
        <v>11.36</v>
      </c>
      <c r="CR82">
        <f t="shared" si="88"/>
        <v>421.82</v>
      </c>
      <c r="CS82">
        <f t="shared" si="89"/>
        <v>241.67</v>
      </c>
      <c r="CT82">
        <f t="shared" si="90"/>
        <v>4481.71</v>
      </c>
      <c r="CU82">
        <f t="shared" si="91"/>
        <v>0</v>
      </c>
      <c r="CV82">
        <f t="shared" si="92"/>
        <v>15.4</v>
      </c>
      <c r="CW82">
        <f t="shared" si="93"/>
        <v>0</v>
      </c>
      <c r="CX82">
        <f t="shared" si="94"/>
        <v>0</v>
      </c>
      <c r="CY82">
        <f t="shared" si="95"/>
        <v>0</v>
      </c>
      <c r="CZ82">
        <f t="shared" si="96"/>
        <v>0</v>
      </c>
      <c r="DC82" t="s">
        <v>3</v>
      </c>
      <c r="DD82" t="s">
        <v>3</v>
      </c>
      <c r="DE82" t="s">
        <v>3</v>
      </c>
      <c r="DF82" t="s">
        <v>3</v>
      </c>
      <c r="DG82" t="s">
        <v>3</v>
      </c>
      <c r="DH82" t="s">
        <v>3</v>
      </c>
      <c r="DI82" t="s">
        <v>3</v>
      </c>
      <c r="DJ82" t="s">
        <v>3</v>
      </c>
      <c r="DK82" t="s">
        <v>3</v>
      </c>
      <c r="DL82" t="s">
        <v>3</v>
      </c>
      <c r="DM82" t="s">
        <v>3</v>
      </c>
      <c r="DN82">
        <v>114</v>
      </c>
      <c r="DO82">
        <v>67</v>
      </c>
      <c r="DP82">
        <v>1</v>
      </c>
      <c r="DQ82">
        <v>1</v>
      </c>
      <c r="DU82">
        <v>1013</v>
      </c>
      <c r="DV82" t="s">
        <v>151</v>
      </c>
      <c r="DW82" t="s">
        <v>151</v>
      </c>
      <c r="DX82">
        <v>1</v>
      </c>
      <c r="EE82">
        <v>42513651</v>
      </c>
      <c r="EF82">
        <v>40</v>
      </c>
      <c r="EG82" t="s">
        <v>30</v>
      </c>
      <c r="EH82">
        <v>0</v>
      </c>
      <c r="EI82" t="s">
        <v>3</v>
      </c>
      <c r="EJ82">
        <v>2</v>
      </c>
      <c r="EK82">
        <v>336</v>
      </c>
      <c r="EL82" t="s">
        <v>153</v>
      </c>
      <c r="EM82" t="s">
        <v>154</v>
      </c>
      <c r="EO82" t="s">
        <v>3</v>
      </c>
      <c r="EQ82">
        <v>131072</v>
      </c>
      <c r="ER82">
        <v>241.71</v>
      </c>
      <c r="ES82">
        <v>2.1</v>
      </c>
      <c r="ET82">
        <v>45.26</v>
      </c>
      <c r="EU82">
        <v>10.48</v>
      </c>
      <c r="EV82">
        <v>194.35</v>
      </c>
      <c r="EW82">
        <v>15.4</v>
      </c>
      <c r="EX82">
        <v>0</v>
      </c>
      <c r="EY82">
        <v>0</v>
      </c>
      <c r="FQ82">
        <v>0</v>
      </c>
      <c r="FR82">
        <f t="shared" si="97"/>
        <v>0</v>
      </c>
      <c r="FS82">
        <v>0</v>
      </c>
      <c r="FX82">
        <v>114</v>
      </c>
      <c r="FY82">
        <v>67</v>
      </c>
      <c r="GA82" t="s">
        <v>3</v>
      </c>
      <c r="GD82">
        <v>0</v>
      </c>
      <c r="GF82">
        <v>711088579</v>
      </c>
      <c r="GG82">
        <v>2</v>
      </c>
      <c r="GH82">
        <v>1</v>
      </c>
      <c r="GI82">
        <v>2</v>
      </c>
      <c r="GJ82">
        <v>0</v>
      </c>
      <c r="GK82">
        <f>ROUND(R82*(R12)/100,2)</f>
        <v>0</v>
      </c>
      <c r="GL82">
        <f t="shared" si="98"/>
        <v>0</v>
      </c>
      <c r="GM82">
        <f t="shared" si="99"/>
        <v>0</v>
      </c>
      <c r="GN82">
        <f t="shared" si="100"/>
        <v>0</v>
      </c>
      <c r="GO82">
        <f t="shared" si="101"/>
        <v>0</v>
      </c>
      <c r="GP82">
        <f t="shared" si="102"/>
        <v>0</v>
      </c>
      <c r="GR82">
        <v>0</v>
      </c>
      <c r="GS82">
        <v>3</v>
      </c>
      <c r="GT82">
        <v>0</v>
      </c>
      <c r="GU82" t="s">
        <v>3</v>
      </c>
      <c r="GV82">
        <f t="shared" si="103"/>
        <v>0</v>
      </c>
      <c r="GW82">
        <v>1</v>
      </c>
      <c r="GX82">
        <f t="shared" si="104"/>
        <v>0</v>
      </c>
      <c r="HA82">
        <v>0</v>
      </c>
      <c r="HB82">
        <v>0</v>
      </c>
      <c r="HC82">
        <f t="shared" si="105"/>
        <v>0</v>
      </c>
      <c r="IK82">
        <v>0</v>
      </c>
    </row>
    <row r="83" spans="1:245" x14ac:dyDescent="0.2">
      <c r="A83">
        <v>17</v>
      </c>
      <c r="B83">
        <v>1</v>
      </c>
      <c r="D83">
        <f>ROW(EtalonRes!A22)</f>
        <v>22</v>
      </c>
      <c r="E83" t="s">
        <v>165</v>
      </c>
      <c r="F83" t="s">
        <v>166</v>
      </c>
      <c r="G83" t="s">
        <v>167</v>
      </c>
      <c r="H83" t="s">
        <v>151</v>
      </c>
      <c r="I83">
        <v>0</v>
      </c>
      <c r="J83">
        <v>0</v>
      </c>
      <c r="O83">
        <f t="shared" si="66"/>
        <v>0</v>
      </c>
      <c r="P83">
        <f t="shared" si="67"/>
        <v>0</v>
      </c>
      <c r="Q83">
        <f t="shared" si="68"/>
        <v>0</v>
      </c>
      <c r="R83">
        <f t="shared" si="69"/>
        <v>0</v>
      </c>
      <c r="S83">
        <f t="shared" si="70"/>
        <v>0</v>
      </c>
      <c r="T83">
        <f t="shared" si="71"/>
        <v>0</v>
      </c>
      <c r="U83">
        <f t="shared" si="72"/>
        <v>0</v>
      </c>
      <c r="V83">
        <f t="shared" si="73"/>
        <v>0</v>
      </c>
      <c r="W83">
        <f t="shared" si="74"/>
        <v>0</v>
      </c>
      <c r="X83">
        <f t="shared" si="75"/>
        <v>0</v>
      </c>
      <c r="Y83">
        <f t="shared" si="76"/>
        <v>0</v>
      </c>
      <c r="AA83">
        <v>45723533</v>
      </c>
      <c r="AB83">
        <f t="shared" si="77"/>
        <v>378.68</v>
      </c>
      <c r="AC83">
        <f t="shared" si="78"/>
        <v>2.8</v>
      </c>
      <c r="AD83">
        <f t="shared" si="79"/>
        <v>73</v>
      </c>
      <c r="AE83">
        <f t="shared" si="80"/>
        <v>16.899999999999999</v>
      </c>
      <c r="AF83">
        <f t="shared" si="81"/>
        <v>302.88</v>
      </c>
      <c r="AG83">
        <f t="shared" si="82"/>
        <v>0</v>
      </c>
      <c r="AH83">
        <f t="shared" si="83"/>
        <v>24</v>
      </c>
      <c r="AI83">
        <f t="shared" si="84"/>
        <v>0</v>
      </c>
      <c r="AJ83">
        <f t="shared" si="85"/>
        <v>0</v>
      </c>
      <c r="AK83">
        <v>378.68</v>
      </c>
      <c r="AL83">
        <v>2.8</v>
      </c>
      <c r="AM83">
        <v>73</v>
      </c>
      <c r="AN83">
        <v>16.899999999999999</v>
      </c>
      <c r="AO83">
        <v>302.88</v>
      </c>
      <c r="AP83">
        <v>0</v>
      </c>
      <c r="AQ83">
        <v>24</v>
      </c>
      <c r="AR83">
        <v>0</v>
      </c>
      <c r="AS83">
        <v>0</v>
      </c>
      <c r="AT83">
        <v>77</v>
      </c>
      <c r="AU83">
        <v>41</v>
      </c>
      <c r="AV83">
        <v>1</v>
      </c>
      <c r="AW83">
        <v>1</v>
      </c>
      <c r="AZ83">
        <v>1</v>
      </c>
      <c r="BA83">
        <v>23.06</v>
      </c>
      <c r="BB83">
        <v>9.32</v>
      </c>
      <c r="BC83">
        <v>5.41</v>
      </c>
      <c r="BD83" t="s">
        <v>3</v>
      </c>
      <c r="BE83" t="s">
        <v>3</v>
      </c>
      <c r="BF83" t="s">
        <v>3</v>
      </c>
      <c r="BG83" t="s">
        <v>3</v>
      </c>
      <c r="BH83">
        <v>0</v>
      </c>
      <c r="BI83">
        <v>2</v>
      </c>
      <c r="BJ83" t="s">
        <v>168</v>
      </c>
      <c r="BM83">
        <v>336</v>
      </c>
      <c r="BN83">
        <v>0</v>
      </c>
      <c r="BO83" t="s">
        <v>166</v>
      </c>
      <c r="BP83">
        <v>1</v>
      </c>
      <c r="BQ83">
        <v>40</v>
      </c>
      <c r="BR83">
        <v>0</v>
      </c>
      <c r="BS83">
        <v>23.06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77</v>
      </c>
      <c r="CA83">
        <v>41</v>
      </c>
      <c r="CE83">
        <v>30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86"/>
        <v>0</v>
      </c>
      <c r="CQ83">
        <f t="shared" si="87"/>
        <v>15.15</v>
      </c>
      <c r="CR83">
        <f t="shared" si="88"/>
        <v>680.36</v>
      </c>
      <c r="CS83">
        <f t="shared" si="89"/>
        <v>389.71</v>
      </c>
      <c r="CT83">
        <f t="shared" si="90"/>
        <v>6984.41</v>
      </c>
      <c r="CU83">
        <f t="shared" si="91"/>
        <v>0</v>
      </c>
      <c r="CV83">
        <f t="shared" si="92"/>
        <v>24</v>
      </c>
      <c r="CW83">
        <f t="shared" si="93"/>
        <v>0</v>
      </c>
      <c r="CX83">
        <f t="shared" si="94"/>
        <v>0</v>
      </c>
      <c r="CY83">
        <f t="shared" si="95"/>
        <v>0</v>
      </c>
      <c r="CZ83">
        <f t="shared" si="96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114</v>
      </c>
      <c r="DO83">
        <v>67</v>
      </c>
      <c r="DP83">
        <v>1</v>
      </c>
      <c r="DQ83">
        <v>1</v>
      </c>
      <c r="DU83">
        <v>1013</v>
      </c>
      <c r="DV83" t="s">
        <v>151</v>
      </c>
      <c r="DW83" t="s">
        <v>151</v>
      </c>
      <c r="DX83">
        <v>1</v>
      </c>
      <c r="EE83">
        <v>42513651</v>
      </c>
      <c r="EF83">
        <v>40</v>
      </c>
      <c r="EG83" t="s">
        <v>30</v>
      </c>
      <c r="EH83">
        <v>0</v>
      </c>
      <c r="EI83" t="s">
        <v>3</v>
      </c>
      <c r="EJ83">
        <v>2</v>
      </c>
      <c r="EK83">
        <v>336</v>
      </c>
      <c r="EL83" t="s">
        <v>153</v>
      </c>
      <c r="EM83" t="s">
        <v>154</v>
      </c>
      <c r="EO83" t="s">
        <v>3</v>
      </c>
      <c r="EQ83">
        <v>131072</v>
      </c>
      <c r="ER83">
        <v>378.68</v>
      </c>
      <c r="ES83">
        <v>2.8</v>
      </c>
      <c r="ET83">
        <v>73</v>
      </c>
      <c r="EU83">
        <v>16.899999999999999</v>
      </c>
      <c r="EV83">
        <v>302.88</v>
      </c>
      <c r="EW83">
        <v>24</v>
      </c>
      <c r="EX83">
        <v>0</v>
      </c>
      <c r="EY83">
        <v>0</v>
      </c>
      <c r="FQ83">
        <v>0</v>
      </c>
      <c r="FR83">
        <f t="shared" si="97"/>
        <v>0</v>
      </c>
      <c r="FS83">
        <v>0</v>
      </c>
      <c r="FX83">
        <v>114</v>
      </c>
      <c r="FY83">
        <v>67</v>
      </c>
      <c r="GA83" t="s">
        <v>3</v>
      </c>
      <c r="GD83">
        <v>0</v>
      </c>
      <c r="GF83">
        <v>2090243088</v>
      </c>
      <c r="GG83">
        <v>2</v>
      </c>
      <c r="GH83">
        <v>1</v>
      </c>
      <c r="GI83">
        <v>2</v>
      </c>
      <c r="GJ83">
        <v>0</v>
      </c>
      <c r="GK83">
        <f>ROUND(R83*(R12)/100,2)</f>
        <v>0</v>
      </c>
      <c r="GL83">
        <f t="shared" si="98"/>
        <v>0</v>
      </c>
      <c r="GM83">
        <f t="shared" si="99"/>
        <v>0</v>
      </c>
      <c r="GN83">
        <f t="shared" si="100"/>
        <v>0</v>
      </c>
      <c r="GO83">
        <f t="shared" si="101"/>
        <v>0</v>
      </c>
      <c r="GP83">
        <f t="shared" si="102"/>
        <v>0</v>
      </c>
      <c r="GR83">
        <v>0</v>
      </c>
      <c r="GS83">
        <v>3</v>
      </c>
      <c r="GT83">
        <v>0</v>
      </c>
      <c r="GU83" t="s">
        <v>3</v>
      </c>
      <c r="GV83">
        <f t="shared" si="103"/>
        <v>0</v>
      </c>
      <c r="GW83">
        <v>1</v>
      </c>
      <c r="GX83">
        <f t="shared" si="104"/>
        <v>0</v>
      </c>
      <c r="HA83">
        <v>0</v>
      </c>
      <c r="HB83">
        <v>0</v>
      </c>
      <c r="HC83">
        <f t="shared" si="105"/>
        <v>0</v>
      </c>
      <c r="IK83">
        <v>0</v>
      </c>
    </row>
    <row r="84" spans="1:245" x14ac:dyDescent="0.2">
      <c r="A84">
        <v>17</v>
      </c>
      <c r="B84">
        <v>1</v>
      </c>
      <c r="D84">
        <f>ROW(EtalonRes!A23)</f>
        <v>23</v>
      </c>
      <c r="E84" t="s">
        <v>169</v>
      </c>
      <c r="F84" t="s">
        <v>166</v>
      </c>
      <c r="G84" t="s">
        <v>170</v>
      </c>
      <c r="H84" t="s">
        <v>151</v>
      </c>
      <c r="I84">
        <v>0</v>
      </c>
      <c r="J84">
        <v>0</v>
      </c>
      <c r="O84">
        <f t="shared" si="66"/>
        <v>0</v>
      </c>
      <c r="P84">
        <f t="shared" si="67"/>
        <v>0</v>
      </c>
      <c r="Q84">
        <f t="shared" si="68"/>
        <v>0</v>
      </c>
      <c r="R84">
        <f t="shared" si="69"/>
        <v>0</v>
      </c>
      <c r="S84">
        <f t="shared" si="70"/>
        <v>0</v>
      </c>
      <c r="T84">
        <f t="shared" si="71"/>
        <v>0</v>
      </c>
      <c r="U84">
        <f t="shared" si="72"/>
        <v>0</v>
      </c>
      <c r="V84">
        <f t="shared" si="73"/>
        <v>0</v>
      </c>
      <c r="W84">
        <f t="shared" si="74"/>
        <v>0</v>
      </c>
      <c r="X84">
        <f t="shared" si="75"/>
        <v>0</v>
      </c>
      <c r="Y84">
        <f t="shared" si="76"/>
        <v>0</v>
      </c>
      <c r="AA84">
        <v>45723533</v>
      </c>
      <c r="AB84">
        <f t="shared" si="77"/>
        <v>378.68</v>
      </c>
      <c r="AC84">
        <f t="shared" si="78"/>
        <v>2.8</v>
      </c>
      <c r="AD84">
        <f t="shared" si="79"/>
        <v>73</v>
      </c>
      <c r="AE84">
        <f t="shared" si="80"/>
        <v>16.899999999999999</v>
      </c>
      <c r="AF84">
        <f t="shared" si="81"/>
        <v>302.88</v>
      </c>
      <c r="AG84">
        <f t="shared" si="82"/>
        <v>0</v>
      </c>
      <c r="AH84">
        <f t="shared" si="83"/>
        <v>24</v>
      </c>
      <c r="AI84">
        <f t="shared" si="84"/>
        <v>0</v>
      </c>
      <c r="AJ84">
        <f t="shared" si="85"/>
        <v>0</v>
      </c>
      <c r="AK84">
        <v>378.68</v>
      </c>
      <c r="AL84">
        <v>2.8</v>
      </c>
      <c r="AM84">
        <v>73</v>
      </c>
      <c r="AN84">
        <v>16.899999999999999</v>
      </c>
      <c r="AO84">
        <v>302.88</v>
      </c>
      <c r="AP84">
        <v>0</v>
      </c>
      <c r="AQ84">
        <v>24</v>
      </c>
      <c r="AR84">
        <v>0</v>
      </c>
      <c r="AS84">
        <v>0</v>
      </c>
      <c r="AT84">
        <v>77</v>
      </c>
      <c r="AU84">
        <v>41</v>
      </c>
      <c r="AV84">
        <v>1</v>
      </c>
      <c r="AW84">
        <v>1</v>
      </c>
      <c r="AZ84">
        <v>1</v>
      </c>
      <c r="BA84">
        <v>23.06</v>
      </c>
      <c r="BB84">
        <v>9.32</v>
      </c>
      <c r="BC84">
        <v>5.41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2</v>
      </c>
      <c r="BJ84" t="s">
        <v>168</v>
      </c>
      <c r="BM84">
        <v>336</v>
      </c>
      <c r="BN84">
        <v>0</v>
      </c>
      <c r="BO84" t="s">
        <v>166</v>
      </c>
      <c r="BP84">
        <v>1</v>
      </c>
      <c r="BQ84">
        <v>40</v>
      </c>
      <c r="BR84">
        <v>0</v>
      </c>
      <c r="BS84">
        <v>23.06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77</v>
      </c>
      <c r="CA84">
        <v>41</v>
      </c>
      <c r="CE84">
        <v>30</v>
      </c>
      <c r="CF84">
        <v>0</v>
      </c>
      <c r="CG84">
        <v>0</v>
      </c>
      <c r="CM84">
        <v>0</v>
      </c>
      <c r="CN84" t="s">
        <v>3</v>
      </c>
      <c r="CO84">
        <v>0</v>
      </c>
      <c r="CP84">
        <f t="shared" si="86"/>
        <v>0</v>
      </c>
      <c r="CQ84">
        <f t="shared" si="87"/>
        <v>15.15</v>
      </c>
      <c r="CR84">
        <f t="shared" si="88"/>
        <v>680.36</v>
      </c>
      <c r="CS84">
        <f t="shared" si="89"/>
        <v>389.71</v>
      </c>
      <c r="CT84">
        <f t="shared" si="90"/>
        <v>6984.41</v>
      </c>
      <c r="CU84">
        <f t="shared" si="91"/>
        <v>0</v>
      </c>
      <c r="CV84">
        <f t="shared" si="92"/>
        <v>24</v>
      </c>
      <c r="CW84">
        <f t="shared" si="93"/>
        <v>0</v>
      </c>
      <c r="CX84">
        <f t="shared" si="94"/>
        <v>0</v>
      </c>
      <c r="CY84">
        <f t="shared" si="95"/>
        <v>0</v>
      </c>
      <c r="CZ84">
        <f t="shared" si="96"/>
        <v>0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114</v>
      </c>
      <c r="DO84">
        <v>67</v>
      </c>
      <c r="DP84">
        <v>1</v>
      </c>
      <c r="DQ84">
        <v>1</v>
      </c>
      <c r="DU84">
        <v>1013</v>
      </c>
      <c r="DV84" t="s">
        <v>151</v>
      </c>
      <c r="DW84" t="s">
        <v>151</v>
      </c>
      <c r="DX84">
        <v>1</v>
      </c>
      <c r="EE84">
        <v>42513651</v>
      </c>
      <c r="EF84">
        <v>40</v>
      </c>
      <c r="EG84" t="s">
        <v>30</v>
      </c>
      <c r="EH84">
        <v>0</v>
      </c>
      <c r="EI84" t="s">
        <v>3</v>
      </c>
      <c r="EJ84">
        <v>2</v>
      </c>
      <c r="EK84">
        <v>336</v>
      </c>
      <c r="EL84" t="s">
        <v>153</v>
      </c>
      <c r="EM84" t="s">
        <v>154</v>
      </c>
      <c r="EO84" t="s">
        <v>3</v>
      </c>
      <c r="EQ84">
        <v>131072</v>
      </c>
      <c r="ER84">
        <v>378.68</v>
      </c>
      <c r="ES84">
        <v>2.8</v>
      </c>
      <c r="ET84">
        <v>73</v>
      </c>
      <c r="EU84">
        <v>16.899999999999999</v>
      </c>
      <c r="EV84">
        <v>302.88</v>
      </c>
      <c r="EW84">
        <v>24</v>
      </c>
      <c r="EX84">
        <v>0</v>
      </c>
      <c r="EY84">
        <v>0</v>
      </c>
      <c r="FQ84">
        <v>0</v>
      </c>
      <c r="FR84">
        <f t="shared" si="97"/>
        <v>0</v>
      </c>
      <c r="FS84">
        <v>0</v>
      </c>
      <c r="FX84">
        <v>114</v>
      </c>
      <c r="FY84">
        <v>67</v>
      </c>
      <c r="GA84" t="s">
        <v>3</v>
      </c>
      <c r="GD84">
        <v>0</v>
      </c>
      <c r="GF84">
        <v>2124142901</v>
      </c>
      <c r="GG84">
        <v>2</v>
      </c>
      <c r="GH84">
        <v>1</v>
      </c>
      <c r="GI84">
        <v>2</v>
      </c>
      <c r="GJ84">
        <v>0</v>
      </c>
      <c r="GK84">
        <f>ROUND(R84*(R12)/100,2)</f>
        <v>0</v>
      </c>
      <c r="GL84">
        <f t="shared" si="98"/>
        <v>0</v>
      </c>
      <c r="GM84">
        <f t="shared" si="99"/>
        <v>0</v>
      </c>
      <c r="GN84">
        <f t="shared" si="100"/>
        <v>0</v>
      </c>
      <c r="GO84">
        <f t="shared" si="101"/>
        <v>0</v>
      </c>
      <c r="GP84">
        <f t="shared" si="102"/>
        <v>0</v>
      </c>
      <c r="GR84">
        <v>0</v>
      </c>
      <c r="GS84">
        <v>3</v>
      </c>
      <c r="GT84">
        <v>0</v>
      </c>
      <c r="GU84" t="s">
        <v>3</v>
      </c>
      <c r="GV84">
        <f t="shared" si="103"/>
        <v>0</v>
      </c>
      <c r="GW84">
        <v>1</v>
      </c>
      <c r="GX84">
        <f t="shared" si="104"/>
        <v>0</v>
      </c>
      <c r="HA84">
        <v>0</v>
      </c>
      <c r="HB84">
        <v>0</v>
      </c>
      <c r="HC84">
        <f t="shared" si="105"/>
        <v>0</v>
      </c>
      <c r="IK84">
        <v>0</v>
      </c>
    </row>
    <row r="85" spans="1:245" x14ac:dyDescent="0.2">
      <c r="A85">
        <v>17</v>
      </c>
      <c r="B85">
        <v>1</v>
      </c>
      <c r="D85">
        <f>ROW(EtalonRes!A24)</f>
        <v>24</v>
      </c>
      <c r="E85" t="s">
        <v>171</v>
      </c>
      <c r="F85" t="s">
        <v>166</v>
      </c>
      <c r="G85" t="s">
        <v>167</v>
      </c>
      <c r="H85" t="s">
        <v>151</v>
      </c>
      <c r="I85">
        <v>0.09</v>
      </c>
      <c r="J85">
        <v>0</v>
      </c>
      <c r="O85">
        <f t="shared" si="66"/>
        <v>691.2</v>
      </c>
      <c r="P85">
        <f t="shared" si="67"/>
        <v>1.35</v>
      </c>
      <c r="Q85">
        <f t="shared" si="68"/>
        <v>61.23</v>
      </c>
      <c r="R85">
        <f t="shared" si="69"/>
        <v>35.049999999999997</v>
      </c>
      <c r="S85">
        <f t="shared" si="70"/>
        <v>628.62</v>
      </c>
      <c r="T85">
        <f t="shared" si="71"/>
        <v>0</v>
      </c>
      <c r="U85">
        <f t="shared" si="72"/>
        <v>2.16</v>
      </c>
      <c r="V85">
        <f t="shared" si="73"/>
        <v>0</v>
      </c>
      <c r="W85">
        <f t="shared" si="74"/>
        <v>0</v>
      </c>
      <c r="X85">
        <f t="shared" si="75"/>
        <v>484.04</v>
      </c>
      <c r="Y85">
        <f t="shared" si="76"/>
        <v>257.73</v>
      </c>
      <c r="AA85">
        <v>45723533</v>
      </c>
      <c r="AB85">
        <f t="shared" si="77"/>
        <v>378.68</v>
      </c>
      <c r="AC85">
        <f t="shared" si="78"/>
        <v>2.8</v>
      </c>
      <c r="AD85">
        <f t="shared" si="79"/>
        <v>73</v>
      </c>
      <c r="AE85">
        <f t="shared" si="80"/>
        <v>16.899999999999999</v>
      </c>
      <c r="AF85">
        <f t="shared" si="81"/>
        <v>302.88</v>
      </c>
      <c r="AG85">
        <f t="shared" si="82"/>
        <v>0</v>
      </c>
      <c r="AH85">
        <f t="shared" si="83"/>
        <v>24</v>
      </c>
      <c r="AI85">
        <f t="shared" si="84"/>
        <v>0</v>
      </c>
      <c r="AJ85">
        <f t="shared" si="85"/>
        <v>0</v>
      </c>
      <c r="AK85">
        <v>378.68</v>
      </c>
      <c r="AL85">
        <v>2.8</v>
      </c>
      <c r="AM85">
        <v>73</v>
      </c>
      <c r="AN85">
        <v>16.899999999999999</v>
      </c>
      <c r="AO85">
        <v>302.88</v>
      </c>
      <c r="AP85">
        <v>0</v>
      </c>
      <c r="AQ85">
        <v>24</v>
      </c>
      <c r="AR85">
        <v>0</v>
      </c>
      <c r="AS85">
        <v>0</v>
      </c>
      <c r="AT85">
        <v>77</v>
      </c>
      <c r="AU85">
        <v>41</v>
      </c>
      <c r="AV85">
        <v>1</v>
      </c>
      <c r="AW85">
        <v>1</v>
      </c>
      <c r="AZ85">
        <v>1</v>
      </c>
      <c r="BA85">
        <v>23.06</v>
      </c>
      <c r="BB85">
        <v>9.32</v>
      </c>
      <c r="BC85">
        <v>5.41</v>
      </c>
      <c r="BD85" t="s">
        <v>3</v>
      </c>
      <c r="BE85" t="s">
        <v>3</v>
      </c>
      <c r="BF85" t="s">
        <v>3</v>
      </c>
      <c r="BG85" t="s">
        <v>3</v>
      </c>
      <c r="BH85">
        <v>0</v>
      </c>
      <c r="BI85">
        <v>2</v>
      </c>
      <c r="BJ85" t="s">
        <v>168</v>
      </c>
      <c r="BM85">
        <v>336</v>
      </c>
      <c r="BN85">
        <v>0</v>
      </c>
      <c r="BO85" t="s">
        <v>166</v>
      </c>
      <c r="BP85">
        <v>1</v>
      </c>
      <c r="BQ85">
        <v>40</v>
      </c>
      <c r="BR85">
        <v>0</v>
      </c>
      <c r="BS85">
        <v>23.06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77</v>
      </c>
      <c r="CA85">
        <v>41</v>
      </c>
      <c r="CE85">
        <v>30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86"/>
        <v>691.2</v>
      </c>
      <c r="CQ85">
        <f t="shared" si="87"/>
        <v>15.15</v>
      </c>
      <c r="CR85">
        <f t="shared" si="88"/>
        <v>680.36</v>
      </c>
      <c r="CS85">
        <f t="shared" si="89"/>
        <v>389.71</v>
      </c>
      <c r="CT85">
        <f t="shared" si="90"/>
        <v>6984.41</v>
      </c>
      <c r="CU85">
        <f t="shared" si="91"/>
        <v>0</v>
      </c>
      <c r="CV85">
        <f t="shared" si="92"/>
        <v>24</v>
      </c>
      <c r="CW85">
        <f t="shared" si="93"/>
        <v>0</v>
      </c>
      <c r="CX85">
        <f t="shared" si="94"/>
        <v>0</v>
      </c>
      <c r="CY85">
        <f t="shared" si="95"/>
        <v>484.03739999999999</v>
      </c>
      <c r="CZ85">
        <f t="shared" si="96"/>
        <v>257.73419999999999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114</v>
      </c>
      <c r="DO85">
        <v>67</v>
      </c>
      <c r="DP85">
        <v>1</v>
      </c>
      <c r="DQ85">
        <v>1</v>
      </c>
      <c r="DU85">
        <v>1013</v>
      </c>
      <c r="DV85" t="s">
        <v>151</v>
      </c>
      <c r="DW85" t="s">
        <v>151</v>
      </c>
      <c r="DX85">
        <v>1</v>
      </c>
      <c r="EE85">
        <v>42513651</v>
      </c>
      <c r="EF85">
        <v>40</v>
      </c>
      <c r="EG85" t="s">
        <v>30</v>
      </c>
      <c r="EH85">
        <v>0</v>
      </c>
      <c r="EI85" t="s">
        <v>3</v>
      </c>
      <c r="EJ85">
        <v>2</v>
      </c>
      <c r="EK85">
        <v>336</v>
      </c>
      <c r="EL85" t="s">
        <v>153</v>
      </c>
      <c r="EM85" t="s">
        <v>154</v>
      </c>
      <c r="EO85" t="s">
        <v>3</v>
      </c>
      <c r="EQ85">
        <v>131072</v>
      </c>
      <c r="ER85">
        <v>378.68</v>
      </c>
      <c r="ES85">
        <v>2.8</v>
      </c>
      <c r="ET85">
        <v>73</v>
      </c>
      <c r="EU85">
        <v>16.899999999999999</v>
      </c>
      <c r="EV85">
        <v>302.88</v>
      </c>
      <c r="EW85">
        <v>24</v>
      </c>
      <c r="EX85">
        <v>0</v>
      </c>
      <c r="EY85">
        <v>0</v>
      </c>
      <c r="FQ85">
        <v>0</v>
      </c>
      <c r="FR85">
        <f t="shared" si="97"/>
        <v>0</v>
      </c>
      <c r="FS85">
        <v>0</v>
      </c>
      <c r="FX85">
        <v>114</v>
      </c>
      <c r="FY85">
        <v>67</v>
      </c>
      <c r="GA85" t="s">
        <v>3</v>
      </c>
      <c r="GD85">
        <v>0</v>
      </c>
      <c r="GF85">
        <v>2090243088</v>
      </c>
      <c r="GG85">
        <v>2</v>
      </c>
      <c r="GH85">
        <v>1</v>
      </c>
      <c r="GI85">
        <v>2</v>
      </c>
      <c r="GJ85">
        <v>0</v>
      </c>
      <c r="GK85">
        <f>ROUND(R85*(R12)/100,2)</f>
        <v>55.03</v>
      </c>
      <c r="GL85">
        <f t="shared" si="98"/>
        <v>0</v>
      </c>
      <c r="GM85">
        <f t="shared" si="99"/>
        <v>1488</v>
      </c>
      <c r="GN85">
        <f t="shared" si="100"/>
        <v>0</v>
      </c>
      <c r="GO85">
        <f t="shared" si="101"/>
        <v>1488</v>
      </c>
      <c r="GP85">
        <f t="shared" si="102"/>
        <v>0</v>
      </c>
      <c r="GR85">
        <v>0</v>
      </c>
      <c r="GS85">
        <v>3</v>
      </c>
      <c r="GT85">
        <v>0</v>
      </c>
      <c r="GU85" t="s">
        <v>3</v>
      </c>
      <c r="GV85">
        <f t="shared" si="103"/>
        <v>0</v>
      </c>
      <c r="GW85">
        <v>1</v>
      </c>
      <c r="GX85">
        <f t="shared" si="104"/>
        <v>0</v>
      </c>
      <c r="HA85">
        <v>0</v>
      </c>
      <c r="HB85">
        <v>0</v>
      </c>
      <c r="HC85">
        <f t="shared" si="105"/>
        <v>0</v>
      </c>
      <c r="IK85">
        <v>0</v>
      </c>
    </row>
    <row r="86" spans="1:245" x14ac:dyDescent="0.2">
      <c r="A86">
        <v>17</v>
      </c>
      <c r="B86">
        <v>1</v>
      </c>
      <c r="D86">
        <f>ROW(EtalonRes!A25)</f>
        <v>25</v>
      </c>
      <c r="E86" t="s">
        <v>172</v>
      </c>
      <c r="F86" t="s">
        <v>63</v>
      </c>
      <c r="G86" t="s">
        <v>173</v>
      </c>
      <c r="H86" t="s">
        <v>44</v>
      </c>
      <c r="I86">
        <f>ROUND(I35,9)</f>
        <v>0.36</v>
      </c>
      <c r="J86">
        <v>0</v>
      </c>
      <c r="O86">
        <f t="shared" si="66"/>
        <v>1558.57</v>
      </c>
      <c r="P86">
        <f t="shared" si="67"/>
        <v>2.71</v>
      </c>
      <c r="Q86">
        <f t="shared" si="68"/>
        <v>0</v>
      </c>
      <c r="R86">
        <f t="shared" si="69"/>
        <v>0</v>
      </c>
      <c r="S86">
        <f t="shared" si="70"/>
        <v>1555.86</v>
      </c>
      <c r="T86">
        <f t="shared" si="71"/>
        <v>0</v>
      </c>
      <c r="U86">
        <f t="shared" si="72"/>
        <v>5.4719999999999995</v>
      </c>
      <c r="V86">
        <f t="shared" si="73"/>
        <v>0</v>
      </c>
      <c r="W86">
        <f t="shared" si="74"/>
        <v>0</v>
      </c>
      <c r="X86">
        <f t="shared" si="75"/>
        <v>1198.01</v>
      </c>
      <c r="Y86">
        <f t="shared" si="76"/>
        <v>637.9</v>
      </c>
      <c r="AA86">
        <v>45723533</v>
      </c>
      <c r="AB86">
        <f t="shared" si="77"/>
        <v>188.82</v>
      </c>
      <c r="AC86">
        <f t="shared" si="78"/>
        <v>1.4</v>
      </c>
      <c r="AD86">
        <f t="shared" si="79"/>
        <v>0</v>
      </c>
      <c r="AE86">
        <f t="shared" si="80"/>
        <v>0</v>
      </c>
      <c r="AF86">
        <f t="shared" si="81"/>
        <v>187.42</v>
      </c>
      <c r="AG86">
        <f t="shared" si="82"/>
        <v>0</v>
      </c>
      <c r="AH86">
        <f t="shared" si="83"/>
        <v>15.2</v>
      </c>
      <c r="AI86">
        <f t="shared" si="84"/>
        <v>0</v>
      </c>
      <c r="AJ86">
        <f t="shared" si="85"/>
        <v>0</v>
      </c>
      <c r="AK86">
        <v>188.82</v>
      </c>
      <c r="AL86">
        <v>1.4</v>
      </c>
      <c r="AM86">
        <v>0</v>
      </c>
      <c r="AN86">
        <v>0</v>
      </c>
      <c r="AO86">
        <v>187.42</v>
      </c>
      <c r="AP86">
        <v>0</v>
      </c>
      <c r="AQ86">
        <v>15.2</v>
      </c>
      <c r="AR86">
        <v>0</v>
      </c>
      <c r="AS86">
        <v>0</v>
      </c>
      <c r="AT86">
        <v>77</v>
      </c>
      <c r="AU86">
        <v>41</v>
      </c>
      <c r="AV86">
        <v>1</v>
      </c>
      <c r="AW86">
        <v>1</v>
      </c>
      <c r="AZ86">
        <v>1</v>
      </c>
      <c r="BA86">
        <v>23.06</v>
      </c>
      <c r="BB86">
        <v>1</v>
      </c>
      <c r="BC86">
        <v>5.41</v>
      </c>
      <c r="BD86" t="s">
        <v>3</v>
      </c>
      <c r="BE86" t="s">
        <v>3</v>
      </c>
      <c r="BF86" t="s">
        <v>3</v>
      </c>
      <c r="BG86" t="s">
        <v>3</v>
      </c>
      <c r="BH86">
        <v>0</v>
      </c>
      <c r="BI86">
        <v>2</v>
      </c>
      <c r="BJ86" t="s">
        <v>65</v>
      </c>
      <c r="BM86">
        <v>318</v>
      </c>
      <c r="BN86">
        <v>0</v>
      </c>
      <c r="BO86" t="s">
        <v>63</v>
      </c>
      <c r="BP86">
        <v>1</v>
      </c>
      <c r="BQ86">
        <v>40</v>
      </c>
      <c r="BR86">
        <v>0</v>
      </c>
      <c r="BS86">
        <v>23.06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77</v>
      </c>
      <c r="CA86">
        <v>41</v>
      </c>
      <c r="CE86">
        <v>30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86"/>
        <v>1558.57</v>
      </c>
      <c r="CQ86">
        <f t="shared" si="87"/>
        <v>7.57</v>
      </c>
      <c r="CR86">
        <f t="shared" si="88"/>
        <v>0</v>
      </c>
      <c r="CS86">
        <f t="shared" si="89"/>
        <v>0</v>
      </c>
      <c r="CT86">
        <f t="shared" si="90"/>
        <v>4321.91</v>
      </c>
      <c r="CU86">
        <f t="shared" si="91"/>
        <v>0</v>
      </c>
      <c r="CV86">
        <f t="shared" si="92"/>
        <v>15.2</v>
      </c>
      <c r="CW86">
        <f t="shared" si="93"/>
        <v>0</v>
      </c>
      <c r="CX86">
        <f t="shared" si="94"/>
        <v>0</v>
      </c>
      <c r="CY86">
        <f t="shared" si="95"/>
        <v>1198.0121999999999</v>
      </c>
      <c r="CZ86">
        <f t="shared" si="96"/>
        <v>637.90259999999989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114</v>
      </c>
      <c r="DO86">
        <v>67</v>
      </c>
      <c r="DP86">
        <v>1</v>
      </c>
      <c r="DQ86">
        <v>1</v>
      </c>
      <c r="DU86">
        <v>1010</v>
      </c>
      <c r="DV86" t="s">
        <v>44</v>
      </c>
      <c r="DW86" t="s">
        <v>44</v>
      </c>
      <c r="DX86">
        <v>100</v>
      </c>
      <c r="EE86">
        <v>42513633</v>
      </c>
      <c r="EF86">
        <v>40</v>
      </c>
      <c r="EG86" t="s">
        <v>30</v>
      </c>
      <c r="EH86">
        <v>0</v>
      </c>
      <c r="EI86" t="s">
        <v>3</v>
      </c>
      <c r="EJ86">
        <v>2</v>
      </c>
      <c r="EK86">
        <v>318</v>
      </c>
      <c r="EL86" t="s">
        <v>66</v>
      </c>
      <c r="EM86" t="s">
        <v>67</v>
      </c>
      <c r="EO86" t="s">
        <v>3</v>
      </c>
      <c r="EQ86">
        <v>131072</v>
      </c>
      <c r="ER86">
        <v>188.82</v>
      </c>
      <c r="ES86">
        <v>1.4</v>
      </c>
      <c r="ET86">
        <v>0</v>
      </c>
      <c r="EU86">
        <v>0</v>
      </c>
      <c r="EV86">
        <v>187.42</v>
      </c>
      <c r="EW86">
        <v>15.2</v>
      </c>
      <c r="EX86">
        <v>0</v>
      </c>
      <c r="EY86">
        <v>0</v>
      </c>
      <c r="FQ86">
        <v>0</v>
      </c>
      <c r="FR86">
        <f t="shared" si="97"/>
        <v>0</v>
      </c>
      <c r="FS86">
        <v>0</v>
      </c>
      <c r="FX86">
        <v>114</v>
      </c>
      <c r="FY86">
        <v>67</v>
      </c>
      <c r="GA86" t="s">
        <v>3</v>
      </c>
      <c r="GD86">
        <v>0</v>
      </c>
      <c r="GF86">
        <v>362830927</v>
      </c>
      <c r="GG86">
        <v>2</v>
      </c>
      <c r="GH86">
        <v>1</v>
      </c>
      <c r="GI86">
        <v>2</v>
      </c>
      <c r="GJ86">
        <v>0</v>
      </c>
      <c r="GK86">
        <f>ROUND(R86*(R12)/100,2)</f>
        <v>0</v>
      </c>
      <c r="GL86">
        <f t="shared" si="98"/>
        <v>0</v>
      </c>
      <c r="GM86">
        <f t="shared" si="99"/>
        <v>3394.48</v>
      </c>
      <c r="GN86">
        <f t="shared" si="100"/>
        <v>0</v>
      </c>
      <c r="GO86">
        <f t="shared" si="101"/>
        <v>3394.48</v>
      </c>
      <c r="GP86">
        <f t="shared" si="102"/>
        <v>0</v>
      </c>
      <c r="GR86">
        <v>0</v>
      </c>
      <c r="GS86">
        <v>3</v>
      </c>
      <c r="GT86">
        <v>0</v>
      </c>
      <c r="GU86" t="s">
        <v>3</v>
      </c>
      <c r="GV86">
        <f t="shared" si="103"/>
        <v>0</v>
      </c>
      <c r="GW86">
        <v>1</v>
      </c>
      <c r="GX86">
        <f t="shared" si="104"/>
        <v>0</v>
      </c>
      <c r="HA86">
        <v>0</v>
      </c>
      <c r="HB86">
        <v>0</v>
      </c>
      <c r="HC86">
        <f t="shared" si="105"/>
        <v>0</v>
      </c>
      <c r="IK86">
        <v>0</v>
      </c>
    </row>
    <row r="87" spans="1:245" x14ac:dyDescent="0.2">
      <c r="A87">
        <v>17</v>
      </c>
      <c r="B87">
        <v>1</v>
      </c>
      <c r="D87">
        <f>ROW(EtalonRes!A26)</f>
        <v>26</v>
      </c>
      <c r="E87" t="s">
        <v>174</v>
      </c>
      <c r="F87" t="s">
        <v>175</v>
      </c>
      <c r="G87" t="s">
        <v>176</v>
      </c>
      <c r="H87" t="s">
        <v>177</v>
      </c>
      <c r="I87">
        <v>0</v>
      </c>
      <c r="J87">
        <v>0</v>
      </c>
      <c r="O87">
        <f t="shared" si="66"/>
        <v>0</v>
      </c>
      <c r="P87">
        <f t="shared" si="67"/>
        <v>0</v>
      </c>
      <c r="Q87">
        <f t="shared" si="68"/>
        <v>0</v>
      </c>
      <c r="R87">
        <f t="shared" si="69"/>
        <v>0</v>
      </c>
      <c r="S87">
        <f t="shared" si="70"/>
        <v>0</v>
      </c>
      <c r="T87">
        <f t="shared" si="71"/>
        <v>0</v>
      </c>
      <c r="U87">
        <f t="shared" si="72"/>
        <v>0</v>
      </c>
      <c r="V87">
        <f t="shared" si="73"/>
        <v>0</v>
      </c>
      <c r="W87">
        <f t="shared" si="74"/>
        <v>0</v>
      </c>
      <c r="X87">
        <f t="shared" si="75"/>
        <v>0</v>
      </c>
      <c r="Y87">
        <f t="shared" si="76"/>
        <v>0</v>
      </c>
      <c r="AA87">
        <v>45723533</v>
      </c>
      <c r="AB87">
        <f t="shared" si="77"/>
        <v>14.24</v>
      </c>
      <c r="AC87">
        <f t="shared" si="78"/>
        <v>0</v>
      </c>
      <c r="AD87">
        <f t="shared" si="79"/>
        <v>0</v>
      </c>
      <c r="AE87">
        <f t="shared" si="80"/>
        <v>0</v>
      </c>
      <c r="AF87">
        <f t="shared" si="81"/>
        <v>14.24</v>
      </c>
      <c r="AG87">
        <f t="shared" si="82"/>
        <v>0</v>
      </c>
      <c r="AH87">
        <f t="shared" si="83"/>
        <v>0.9</v>
      </c>
      <c r="AI87">
        <f t="shared" si="84"/>
        <v>0</v>
      </c>
      <c r="AJ87">
        <f t="shared" si="85"/>
        <v>0</v>
      </c>
      <c r="AK87">
        <v>14.24</v>
      </c>
      <c r="AL87">
        <v>0</v>
      </c>
      <c r="AM87">
        <v>0</v>
      </c>
      <c r="AN87">
        <v>0</v>
      </c>
      <c r="AO87">
        <v>14.24</v>
      </c>
      <c r="AP87">
        <v>0</v>
      </c>
      <c r="AQ87">
        <v>0.9</v>
      </c>
      <c r="AR87">
        <v>0</v>
      </c>
      <c r="AS87">
        <v>0</v>
      </c>
      <c r="AT87">
        <v>68</v>
      </c>
      <c r="AU87">
        <v>41</v>
      </c>
      <c r="AV87">
        <v>1</v>
      </c>
      <c r="AW87">
        <v>1</v>
      </c>
      <c r="AZ87">
        <v>1</v>
      </c>
      <c r="BA87">
        <v>23.06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0</v>
      </c>
      <c r="BI87">
        <v>4</v>
      </c>
      <c r="BJ87" t="s">
        <v>178</v>
      </c>
      <c r="BM87">
        <v>381</v>
      </c>
      <c r="BN87">
        <v>0</v>
      </c>
      <c r="BO87" t="s">
        <v>3</v>
      </c>
      <c r="BP87">
        <v>0</v>
      </c>
      <c r="BQ87">
        <v>50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68</v>
      </c>
      <c r="CA87">
        <v>41</v>
      </c>
      <c r="CE87">
        <v>30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86"/>
        <v>0</v>
      </c>
      <c r="CQ87">
        <f t="shared" si="87"/>
        <v>0</v>
      </c>
      <c r="CR87">
        <f t="shared" si="88"/>
        <v>0</v>
      </c>
      <c r="CS87">
        <f t="shared" si="89"/>
        <v>0</v>
      </c>
      <c r="CT87">
        <f t="shared" si="90"/>
        <v>328.37</v>
      </c>
      <c r="CU87">
        <f t="shared" si="91"/>
        <v>0</v>
      </c>
      <c r="CV87">
        <f t="shared" si="92"/>
        <v>0.9</v>
      </c>
      <c r="CW87">
        <f t="shared" si="93"/>
        <v>0</v>
      </c>
      <c r="CX87">
        <f t="shared" si="94"/>
        <v>0</v>
      </c>
      <c r="CY87">
        <f t="shared" si="95"/>
        <v>0</v>
      </c>
      <c r="CZ87">
        <f t="shared" si="96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75</v>
      </c>
      <c r="DO87">
        <v>70</v>
      </c>
      <c r="DP87">
        <v>1</v>
      </c>
      <c r="DQ87">
        <v>1</v>
      </c>
      <c r="DU87">
        <v>1013</v>
      </c>
      <c r="DV87" t="s">
        <v>177</v>
      </c>
      <c r="DW87" t="s">
        <v>177</v>
      </c>
      <c r="DX87">
        <v>1</v>
      </c>
      <c r="EE87">
        <v>42513696</v>
      </c>
      <c r="EF87">
        <v>50</v>
      </c>
      <c r="EG87" t="s">
        <v>179</v>
      </c>
      <c r="EH87">
        <v>0</v>
      </c>
      <c r="EI87" t="s">
        <v>3</v>
      </c>
      <c r="EJ87">
        <v>4</v>
      </c>
      <c r="EK87">
        <v>381</v>
      </c>
      <c r="EL87" t="s">
        <v>180</v>
      </c>
      <c r="EM87" t="s">
        <v>181</v>
      </c>
      <c r="EO87" t="s">
        <v>3</v>
      </c>
      <c r="EQ87">
        <v>131072</v>
      </c>
      <c r="ER87">
        <v>14.24</v>
      </c>
      <c r="ES87">
        <v>0</v>
      </c>
      <c r="ET87">
        <v>0</v>
      </c>
      <c r="EU87">
        <v>0</v>
      </c>
      <c r="EV87">
        <v>14.24</v>
      </c>
      <c r="EW87">
        <v>0.9</v>
      </c>
      <c r="EX87">
        <v>0</v>
      </c>
      <c r="EY87">
        <v>0</v>
      </c>
      <c r="FQ87">
        <v>0</v>
      </c>
      <c r="FR87">
        <f t="shared" si="97"/>
        <v>0</v>
      </c>
      <c r="FS87">
        <v>0</v>
      </c>
      <c r="FX87">
        <v>75</v>
      </c>
      <c r="FY87">
        <v>70</v>
      </c>
      <c r="GA87" t="s">
        <v>3</v>
      </c>
      <c r="GD87">
        <v>0</v>
      </c>
      <c r="GF87">
        <v>539141597</v>
      </c>
      <c r="GG87">
        <v>2</v>
      </c>
      <c r="GH87">
        <v>1</v>
      </c>
      <c r="GI87">
        <v>2</v>
      </c>
      <c r="GJ87">
        <v>0</v>
      </c>
      <c r="GK87">
        <f>ROUND(R87*(R12)/100,2)</f>
        <v>0</v>
      </c>
      <c r="GL87">
        <f t="shared" si="98"/>
        <v>0</v>
      </c>
      <c r="GM87">
        <f t="shared" si="99"/>
        <v>0</v>
      </c>
      <c r="GN87">
        <f t="shared" si="100"/>
        <v>0</v>
      </c>
      <c r="GO87">
        <f t="shared" si="101"/>
        <v>0</v>
      </c>
      <c r="GP87">
        <f t="shared" si="102"/>
        <v>0</v>
      </c>
      <c r="GR87">
        <v>0</v>
      </c>
      <c r="GS87">
        <v>3</v>
      </c>
      <c r="GT87">
        <v>0</v>
      </c>
      <c r="GU87" t="s">
        <v>3</v>
      </c>
      <c r="GV87">
        <f t="shared" si="103"/>
        <v>0</v>
      </c>
      <c r="GW87">
        <v>1</v>
      </c>
      <c r="GX87">
        <f t="shared" si="104"/>
        <v>0</v>
      </c>
      <c r="HA87">
        <v>0</v>
      </c>
      <c r="HB87">
        <v>0</v>
      </c>
      <c r="HC87">
        <f t="shared" si="105"/>
        <v>0</v>
      </c>
      <c r="IK87">
        <v>0</v>
      </c>
    </row>
    <row r="88" spans="1:245" x14ac:dyDescent="0.2">
      <c r="A88">
        <v>17</v>
      </c>
      <c r="B88">
        <v>1</v>
      </c>
      <c r="D88">
        <f>ROW(EtalonRes!A27)</f>
        <v>27</v>
      </c>
      <c r="E88" t="s">
        <v>182</v>
      </c>
      <c r="F88" t="s">
        <v>183</v>
      </c>
      <c r="G88" t="s">
        <v>184</v>
      </c>
      <c r="H88" t="s">
        <v>177</v>
      </c>
      <c r="I88">
        <f>ROUND(I86*100,9)</f>
        <v>36</v>
      </c>
      <c r="J88">
        <v>0</v>
      </c>
      <c r="O88">
        <f t="shared" si="66"/>
        <v>18920.96</v>
      </c>
      <c r="P88">
        <f t="shared" si="67"/>
        <v>0</v>
      </c>
      <c r="Q88">
        <f>(ROUND((ROUND((((ET88*0.8))*AV88*I88),2)*BB88),2)+ROUND((ROUND(((AE88-((EU88*0.8)))*AV88*I88),2)*BS88),2))</f>
        <v>0</v>
      </c>
      <c r="R88">
        <f t="shared" si="69"/>
        <v>0</v>
      </c>
      <c r="S88">
        <f t="shared" si="70"/>
        <v>18920.96</v>
      </c>
      <c r="T88">
        <f t="shared" si="71"/>
        <v>0</v>
      </c>
      <c r="U88">
        <f t="shared" si="72"/>
        <v>51.84</v>
      </c>
      <c r="V88">
        <f t="shared" si="73"/>
        <v>0</v>
      </c>
      <c r="W88">
        <f t="shared" si="74"/>
        <v>0</v>
      </c>
      <c r="X88">
        <f t="shared" si="75"/>
        <v>12866.25</v>
      </c>
      <c r="Y88">
        <f t="shared" si="76"/>
        <v>7757.59</v>
      </c>
      <c r="AA88">
        <v>45723533</v>
      </c>
      <c r="AB88">
        <f t="shared" si="77"/>
        <v>22.792000000000002</v>
      </c>
      <c r="AC88">
        <f t="shared" si="78"/>
        <v>0</v>
      </c>
      <c r="AD88">
        <f>ROUND(((((ET88*0.8))-((EU88*0.8)))+AE88),6)</f>
        <v>0</v>
      </c>
      <c r="AE88">
        <f>ROUND(((EU88*0.8)),6)</f>
        <v>0</v>
      </c>
      <c r="AF88">
        <f>ROUND(((EV88*0.8)),6)</f>
        <v>22.792000000000002</v>
      </c>
      <c r="AG88">
        <f t="shared" si="82"/>
        <v>0</v>
      </c>
      <c r="AH88">
        <f>((EW88*0.8))</f>
        <v>1.4400000000000002</v>
      </c>
      <c r="AI88">
        <f>((EX88*0.8))</f>
        <v>0</v>
      </c>
      <c r="AJ88">
        <f t="shared" si="85"/>
        <v>0</v>
      </c>
      <c r="AK88">
        <v>28.49</v>
      </c>
      <c r="AL88">
        <v>0</v>
      </c>
      <c r="AM88">
        <v>0</v>
      </c>
      <c r="AN88">
        <v>0</v>
      </c>
      <c r="AO88">
        <v>28.49</v>
      </c>
      <c r="AP88">
        <v>0</v>
      </c>
      <c r="AQ88">
        <v>1.8</v>
      </c>
      <c r="AR88">
        <v>0</v>
      </c>
      <c r="AS88">
        <v>0</v>
      </c>
      <c r="AT88">
        <v>68</v>
      </c>
      <c r="AU88">
        <v>41</v>
      </c>
      <c r="AV88">
        <v>1</v>
      </c>
      <c r="AW88">
        <v>1</v>
      </c>
      <c r="AZ88">
        <v>1</v>
      </c>
      <c r="BA88">
        <v>23.06</v>
      </c>
      <c r="BB88">
        <v>1</v>
      </c>
      <c r="BC88">
        <v>1</v>
      </c>
      <c r="BD88" t="s">
        <v>3</v>
      </c>
      <c r="BE88" t="s">
        <v>3</v>
      </c>
      <c r="BF88" t="s">
        <v>3</v>
      </c>
      <c r="BG88" t="s">
        <v>3</v>
      </c>
      <c r="BH88">
        <v>0</v>
      </c>
      <c r="BI88">
        <v>4</v>
      </c>
      <c r="BJ88" t="s">
        <v>185</v>
      </c>
      <c r="BM88">
        <v>381</v>
      </c>
      <c r="BN88">
        <v>0</v>
      </c>
      <c r="BO88" t="s">
        <v>3</v>
      </c>
      <c r="BP88">
        <v>0</v>
      </c>
      <c r="BQ88">
        <v>50</v>
      </c>
      <c r="BR88">
        <v>0</v>
      </c>
      <c r="BS88">
        <v>1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68</v>
      </c>
      <c r="CA88">
        <v>41</v>
      </c>
      <c r="CE88">
        <v>30</v>
      </c>
      <c r="CF88">
        <v>0</v>
      </c>
      <c r="CG88">
        <v>0</v>
      </c>
      <c r="CM88">
        <v>0</v>
      </c>
      <c r="CN88" t="s">
        <v>3</v>
      </c>
      <c r="CO88">
        <v>0</v>
      </c>
      <c r="CP88">
        <f t="shared" si="86"/>
        <v>18920.96</v>
      </c>
      <c r="CQ88">
        <f t="shared" si="87"/>
        <v>0</v>
      </c>
      <c r="CR88">
        <f>(ROUND((ROUND((((ET88*0.8))*AV88*1),2)*BB88),2)+ROUND((ROUND(((AE88-((EU88*0.8)))*AV88*1),2)*BS88),2))</f>
        <v>0</v>
      </c>
      <c r="CS88">
        <f t="shared" si="89"/>
        <v>0</v>
      </c>
      <c r="CT88">
        <f t="shared" si="90"/>
        <v>525.54</v>
      </c>
      <c r="CU88">
        <f t="shared" si="91"/>
        <v>0</v>
      </c>
      <c r="CV88">
        <f t="shared" si="92"/>
        <v>1.4400000000000002</v>
      </c>
      <c r="CW88">
        <f t="shared" si="93"/>
        <v>0</v>
      </c>
      <c r="CX88">
        <f t="shared" si="94"/>
        <v>0</v>
      </c>
      <c r="CY88">
        <f t="shared" si="95"/>
        <v>12866.2528</v>
      </c>
      <c r="CZ88">
        <f t="shared" si="96"/>
        <v>7757.5935999999992</v>
      </c>
      <c r="DC88" t="s">
        <v>3</v>
      </c>
      <c r="DD88" t="s">
        <v>3</v>
      </c>
      <c r="DE88" t="s">
        <v>186</v>
      </c>
      <c r="DF88" t="s">
        <v>186</v>
      </c>
      <c r="DG88" t="s">
        <v>186</v>
      </c>
      <c r="DH88" t="s">
        <v>3</v>
      </c>
      <c r="DI88" t="s">
        <v>186</v>
      </c>
      <c r="DJ88" t="s">
        <v>186</v>
      </c>
      <c r="DK88" t="s">
        <v>3</v>
      </c>
      <c r="DL88" t="s">
        <v>3</v>
      </c>
      <c r="DM88" t="s">
        <v>3</v>
      </c>
      <c r="DN88">
        <v>75</v>
      </c>
      <c r="DO88">
        <v>70</v>
      </c>
      <c r="DP88">
        <v>1</v>
      </c>
      <c r="DQ88">
        <v>1</v>
      </c>
      <c r="DU88">
        <v>1013</v>
      </c>
      <c r="DV88" t="s">
        <v>177</v>
      </c>
      <c r="DW88" t="s">
        <v>177</v>
      </c>
      <c r="DX88">
        <v>1</v>
      </c>
      <c r="EE88">
        <v>42513696</v>
      </c>
      <c r="EF88">
        <v>50</v>
      </c>
      <c r="EG88" t="s">
        <v>179</v>
      </c>
      <c r="EH88">
        <v>0</v>
      </c>
      <c r="EI88" t="s">
        <v>3</v>
      </c>
      <c r="EJ88">
        <v>4</v>
      </c>
      <c r="EK88">
        <v>381</v>
      </c>
      <c r="EL88" t="s">
        <v>180</v>
      </c>
      <c r="EM88" t="s">
        <v>181</v>
      </c>
      <c r="EO88" t="s">
        <v>3</v>
      </c>
      <c r="EQ88">
        <v>131072</v>
      </c>
      <c r="ER88">
        <v>28.49</v>
      </c>
      <c r="ES88">
        <v>0</v>
      </c>
      <c r="ET88">
        <v>0</v>
      </c>
      <c r="EU88">
        <v>0</v>
      </c>
      <c r="EV88">
        <v>28.49</v>
      </c>
      <c r="EW88">
        <v>1.8</v>
      </c>
      <c r="EX88">
        <v>0</v>
      </c>
      <c r="EY88">
        <v>0</v>
      </c>
      <c r="FQ88">
        <v>0</v>
      </c>
      <c r="FR88">
        <f t="shared" si="97"/>
        <v>0</v>
      </c>
      <c r="FS88">
        <v>0</v>
      </c>
      <c r="FX88">
        <v>75</v>
      </c>
      <c r="FY88">
        <v>70</v>
      </c>
      <c r="GA88" t="s">
        <v>3</v>
      </c>
      <c r="GD88">
        <v>0</v>
      </c>
      <c r="GF88">
        <v>1252181752</v>
      </c>
      <c r="GG88">
        <v>2</v>
      </c>
      <c r="GH88">
        <v>1</v>
      </c>
      <c r="GI88">
        <v>2</v>
      </c>
      <c r="GJ88">
        <v>0</v>
      </c>
      <c r="GK88">
        <f>ROUND(R88*(R12)/100,2)</f>
        <v>0</v>
      </c>
      <c r="GL88">
        <f t="shared" si="98"/>
        <v>0</v>
      </c>
      <c r="GM88">
        <f t="shared" si="99"/>
        <v>39544.800000000003</v>
      </c>
      <c r="GN88">
        <f t="shared" si="100"/>
        <v>0</v>
      </c>
      <c r="GO88">
        <f t="shared" si="101"/>
        <v>0</v>
      </c>
      <c r="GP88">
        <f t="shared" si="102"/>
        <v>39544.800000000003</v>
      </c>
      <c r="GR88">
        <v>0</v>
      </c>
      <c r="GS88">
        <v>3</v>
      </c>
      <c r="GT88">
        <v>0</v>
      </c>
      <c r="GU88" t="s">
        <v>3</v>
      </c>
      <c r="GV88">
        <f t="shared" si="103"/>
        <v>0</v>
      </c>
      <c r="GW88">
        <v>1</v>
      </c>
      <c r="GX88">
        <f t="shared" si="104"/>
        <v>0</v>
      </c>
      <c r="HA88">
        <v>0</v>
      </c>
      <c r="HB88">
        <v>0</v>
      </c>
      <c r="HC88">
        <f t="shared" si="105"/>
        <v>0</v>
      </c>
      <c r="IK88">
        <v>0</v>
      </c>
    </row>
    <row r="89" spans="1:245" x14ac:dyDescent="0.2">
      <c r="A89">
        <v>17</v>
      </c>
      <c r="B89">
        <v>1</v>
      </c>
      <c r="D89">
        <f>ROW(EtalonRes!A28)</f>
        <v>28</v>
      </c>
      <c r="E89" t="s">
        <v>187</v>
      </c>
      <c r="F89" t="s">
        <v>188</v>
      </c>
      <c r="G89" t="s">
        <v>189</v>
      </c>
      <c r="H89" t="s">
        <v>190</v>
      </c>
      <c r="I89">
        <f>ROUND(I88/2,9)</f>
        <v>18</v>
      </c>
      <c r="J89">
        <v>0</v>
      </c>
      <c r="O89">
        <f t="shared" si="66"/>
        <v>5256.53</v>
      </c>
      <c r="P89">
        <f t="shared" si="67"/>
        <v>0</v>
      </c>
      <c r="Q89">
        <f>(ROUND((ROUND((((ET89*0.8))*AV89*I89),2)*BB89),2)+ROUND((ROUND(((AE89-((EU89*0.8)))*AV89*I89),2)*BS89),2))</f>
        <v>0</v>
      </c>
      <c r="R89">
        <f t="shared" si="69"/>
        <v>0</v>
      </c>
      <c r="S89">
        <f t="shared" si="70"/>
        <v>5256.53</v>
      </c>
      <c r="T89">
        <f t="shared" si="71"/>
        <v>0</v>
      </c>
      <c r="U89">
        <f t="shared" si="72"/>
        <v>14.4</v>
      </c>
      <c r="V89">
        <f t="shared" si="73"/>
        <v>0</v>
      </c>
      <c r="W89">
        <f t="shared" si="74"/>
        <v>0</v>
      </c>
      <c r="X89">
        <f t="shared" si="75"/>
        <v>3574.44</v>
      </c>
      <c r="Y89">
        <f t="shared" si="76"/>
        <v>2155.1799999999998</v>
      </c>
      <c r="AA89">
        <v>45723533</v>
      </c>
      <c r="AB89">
        <f t="shared" si="77"/>
        <v>12.664</v>
      </c>
      <c r="AC89">
        <f t="shared" si="78"/>
        <v>0</v>
      </c>
      <c r="AD89">
        <f>ROUND(((((ET89*0.8))-((EU89*0.8)))+AE89),6)</f>
        <v>0</v>
      </c>
      <c r="AE89">
        <f>ROUND(((EU89*0.8)),6)</f>
        <v>0</v>
      </c>
      <c r="AF89">
        <f>ROUND(((EV89*0.8)),6)</f>
        <v>12.664</v>
      </c>
      <c r="AG89">
        <f t="shared" si="82"/>
        <v>0</v>
      </c>
      <c r="AH89">
        <f>((EW89*0.8))</f>
        <v>0.8</v>
      </c>
      <c r="AI89">
        <f>((EX89*0.8))</f>
        <v>0</v>
      </c>
      <c r="AJ89">
        <f t="shared" si="85"/>
        <v>0</v>
      </c>
      <c r="AK89">
        <v>15.83</v>
      </c>
      <c r="AL89">
        <v>0</v>
      </c>
      <c r="AM89">
        <v>0</v>
      </c>
      <c r="AN89">
        <v>0</v>
      </c>
      <c r="AO89">
        <v>15.83</v>
      </c>
      <c r="AP89">
        <v>0</v>
      </c>
      <c r="AQ89">
        <v>1</v>
      </c>
      <c r="AR89">
        <v>0</v>
      </c>
      <c r="AS89">
        <v>0</v>
      </c>
      <c r="AT89">
        <v>68</v>
      </c>
      <c r="AU89">
        <v>41</v>
      </c>
      <c r="AV89">
        <v>1</v>
      </c>
      <c r="AW89">
        <v>1</v>
      </c>
      <c r="AZ89">
        <v>1</v>
      </c>
      <c r="BA89">
        <v>23.06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0</v>
      </c>
      <c r="BI89">
        <v>4</v>
      </c>
      <c r="BJ89" t="s">
        <v>191</v>
      </c>
      <c r="BM89">
        <v>381</v>
      </c>
      <c r="BN89">
        <v>0</v>
      </c>
      <c r="BO89" t="s">
        <v>3</v>
      </c>
      <c r="BP89">
        <v>0</v>
      </c>
      <c r="BQ89">
        <v>50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68</v>
      </c>
      <c r="CA89">
        <v>41</v>
      </c>
      <c r="CE89">
        <v>30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86"/>
        <v>5256.53</v>
      </c>
      <c r="CQ89">
        <f t="shared" si="87"/>
        <v>0</v>
      </c>
      <c r="CR89">
        <f>(ROUND((ROUND((((ET89*0.8))*AV89*1),2)*BB89),2)+ROUND((ROUND(((AE89-((EU89*0.8)))*AV89*1),2)*BS89),2))</f>
        <v>0</v>
      </c>
      <c r="CS89">
        <f t="shared" si="89"/>
        <v>0</v>
      </c>
      <c r="CT89">
        <f t="shared" si="90"/>
        <v>291.94</v>
      </c>
      <c r="CU89">
        <f t="shared" si="91"/>
        <v>0</v>
      </c>
      <c r="CV89">
        <f t="shared" si="92"/>
        <v>0.8</v>
      </c>
      <c r="CW89">
        <f t="shared" si="93"/>
        <v>0</v>
      </c>
      <c r="CX89">
        <f t="shared" si="94"/>
        <v>0</v>
      </c>
      <c r="CY89">
        <f t="shared" si="95"/>
        <v>3574.4404</v>
      </c>
      <c r="CZ89">
        <f t="shared" si="96"/>
        <v>2155.1772999999998</v>
      </c>
      <c r="DC89" t="s">
        <v>3</v>
      </c>
      <c r="DD89" t="s">
        <v>3</v>
      </c>
      <c r="DE89" t="s">
        <v>186</v>
      </c>
      <c r="DF89" t="s">
        <v>186</v>
      </c>
      <c r="DG89" t="s">
        <v>186</v>
      </c>
      <c r="DH89" t="s">
        <v>3</v>
      </c>
      <c r="DI89" t="s">
        <v>186</v>
      </c>
      <c r="DJ89" t="s">
        <v>186</v>
      </c>
      <c r="DK89" t="s">
        <v>3</v>
      </c>
      <c r="DL89" t="s">
        <v>3</v>
      </c>
      <c r="DM89" t="s">
        <v>3</v>
      </c>
      <c r="DN89">
        <v>75</v>
      </c>
      <c r="DO89">
        <v>70</v>
      </c>
      <c r="DP89">
        <v>1</v>
      </c>
      <c r="DQ89">
        <v>1</v>
      </c>
      <c r="DU89">
        <v>1013</v>
      </c>
      <c r="DV89" t="s">
        <v>190</v>
      </c>
      <c r="DW89" t="s">
        <v>190</v>
      </c>
      <c r="DX89">
        <v>1</v>
      </c>
      <c r="EE89">
        <v>42513696</v>
      </c>
      <c r="EF89">
        <v>50</v>
      </c>
      <c r="EG89" t="s">
        <v>179</v>
      </c>
      <c r="EH89">
        <v>0</v>
      </c>
      <c r="EI89" t="s">
        <v>3</v>
      </c>
      <c r="EJ89">
        <v>4</v>
      </c>
      <c r="EK89">
        <v>381</v>
      </c>
      <c r="EL89" t="s">
        <v>180</v>
      </c>
      <c r="EM89" t="s">
        <v>181</v>
      </c>
      <c r="EO89" t="s">
        <v>3</v>
      </c>
      <c r="EQ89">
        <v>131072</v>
      </c>
      <c r="ER89">
        <v>15.83</v>
      </c>
      <c r="ES89">
        <v>0</v>
      </c>
      <c r="ET89">
        <v>0</v>
      </c>
      <c r="EU89">
        <v>0</v>
      </c>
      <c r="EV89">
        <v>15.83</v>
      </c>
      <c r="EW89">
        <v>1</v>
      </c>
      <c r="EX89">
        <v>0</v>
      </c>
      <c r="EY89">
        <v>0</v>
      </c>
      <c r="FQ89">
        <v>0</v>
      </c>
      <c r="FR89">
        <f t="shared" si="97"/>
        <v>0</v>
      </c>
      <c r="FS89">
        <v>0</v>
      </c>
      <c r="FX89">
        <v>75</v>
      </c>
      <c r="FY89">
        <v>70</v>
      </c>
      <c r="GA89" t="s">
        <v>3</v>
      </c>
      <c r="GD89">
        <v>0</v>
      </c>
      <c r="GF89">
        <v>669677000</v>
      </c>
      <c r="GG89">
        <v>2</v>
      </c>
      <c r="GH89">
        <v>1</v>
      </c>
      <c r="GI89">
        <v>2</v>
      </c>
      <c r="GJ89">
        <v>0</v>
      </c>
      <c r="GK89">
        <f>ROUND(R89*(R12)/100,2)</f>
        <v>0</v>
      </c>
      <c r="GL89">
        <f t="shared" si="98"/>
        <v>0</v>
      </c>
      <c r="GM89">
        <f t="shared" si="99"/>
        <v>10986.15</v>
      </c>
      <c r="GN89">
        <f t="shared" si="100"/>
        <v>0</v>
      </c>
      <c r="GO89">
        <f t="shared" si="101"/>
        <v>0</v>
      </c>
      <c r="GP89">
        <f t="shared" si="102"/>
        <v>10986.15</v>
      </c>
      <c r="GR89">
        <v>0</v>
      </c>
      <c r="GS89">
        <v>3</v>
      </c>
      <c r="GT89">
        <v>0</v>
      </c>
      <c r="GU89" t="s">
        <v>3</v>
      </c>
      <c r="GV89">
        <f t="shared" si="103"/>
        <v>0</v>
      </c>
      <c r="GW89">
        <v>1</v>
      </c>
      <c r="GX89">
        <f t="shared" si="104"/>
        <v>0</v>
      </c>
      <c r="HA89">
        <v>0</v>
      </c>
      <c r="HB89">
        <v>0</v>
      </c>
      <c r="HC89">
        <f t="shared" si="105"/>
        <v>0</v>
      </c>
      <c r="IK89">
        <v>0</v>
      </c>
    </row>
    <row r="90" spans="1:245" x14ac:dyDescent="0.2">
      <c r="A90">
        <v>17</v>
      </c>
      <c r="B90">
        <v>1</v>
      </c>
      <c r="D90">
        <f>ROW(EtalonRes!A29)</f>
        <v>29</v>
      </c>
      <c r="E90" t="s">
        <v>192</v>
      </c>
      <c r="F90" t="s">
        <v>193</v>
      </c>
      <c r="G90" t="s">
        <v>194</v>
      </c>
      <c r="H90" t="s">
        <v>195</v>
      </c>
      <c r="I90">
        <v>0</v>
      </c>
      <c r="J90">
        <v>0</v>
      </c>
      <c r="O90">
        <f t="shared" si="66"/>
        <v>0</v>
      </c>
      <c r="P90">
        <f t="shared" si="67"/>
        <v>0</v>
      </c>
      <c r="Q90">
        <f>(ROUND((ROUND(((ET90)*AV90*I90),2)*BB90),2)+ROUND((ROUND(((AE90-(EU90))*AV90*I90),2)*BS90),2))</f>
        <v>0</v>
      </c>
      <c r="R90">
        <f t="shared" si="69"/>
        <v>0</v>
      </c>
      <c r="S90">
        <f t="shared" si="70"/>
        <v>0</v>
      </c>
      <c r="T90">
        <f t="shared" si="71"/>
        <v>0</v>
      </c>
      <c r="U90">
        <f t="shared" si="72"/>
        <v>0</v>
      </c>
      <c r="V90">
        <f t="shared" si="73"/>
        <v>0</v>
      </c>
      <c r="W90">
        <f t="shared" si="74"/>
        <v>0</v>
      </c>
      <c r="X90">
        <f t="shared" si="75"/>
        <v>0</v>
      </c>
      <c r="Y90">
        <f t="shared" si="76"/>
        <v>0</v>
      </c>
      <c r="AA90">
        <v>45723533</v>
      </c>
      <c r="AB90">
        <f t="shared" si="77"/>
        <v>399.584</v>
      </c>
      <c r="AC90">
        <f t="shared" si="78"/>
        <v>0</v>
      </c>
      <c r="AD90">
        <f>ROUND((((ET90)-(EU90))+AE90),6)</f>
        <v>0</v>
      </c>
      <c r="AE90">
        <f>ROUND((EU90),6)</f>
        <v>0</v>
      </c>
      <c r="AF90">
        <f>ROUND(((EV90*0.8)),6)</f>
        <v>399.584</v>
      </c>
      <c r="AG90">
        <f t="shared" si="82"/>
        <v>0</v>
      </c>
      <c r="AH90">
        <f>((EW90*0.8))</f>
        <v>25.080000000000002</v>
      </c>
      <c r="AI90">
        <f>(EX90)</f>
        <v>0</v>
      </c>
      <c r="AJ90">
        <f t="shared" si="85"/>
        <v>0</v>
      </c>
      <c r="AK90">
        <v>499.48</v>
      </c>
      <c r="AL90">
        <v>0</v>
      </c>
      <c r="AM90">
        <v>0</v>
      </c>
      <c r="AN90">
        <v>0</v>
      </c>
      <c r="AO90">
        <v>499.48</v>
      </c>
      <c r="AP90">
        <v>0</v>
      </c>
      <c r="AQ90">
        <v>31.35</v>
      </c>
      <c r="AR90">
        <v>0</v>
      </c>
      <c r="AS90">
        <v>0</v>
      </c>
      <c r="AT90">
        <v>68</v>
      </c>
      <c r="AU90">
        <v>41</v>
      </c>
      <c r="AV90">
        <v>1</v>
      </c>
      <c r="AW90">
        <v>1</v>
      </c>
      <c r="AZ90">
        <v>1</v>
      </c>
      <c r="BA90">
        <v>23.06</v>
      </c>
      <c r="BB90">
        <v>1</v>
      </c>
      <c r="BC90">
        <v>1</v>
      </c>
      <c r="BD90" t="s">
        <v>3</v>
      </c>
      <c r="BE90" t="s">
        <v>3</v>
      </c>
      <c r="BF90" t="s">
        <v>3</v>
      </c>
      <c r="BG90" t="s">
        <v>3</v>
      </c>
      <c r="BH90">
        <v>0</v>
      </c>
      <c r="BI90">
        <v>4</v>
      </c>
      <c r="BJ90" t="s">
        <v>196</v>
      </c>
      <c r="BM90">
        <v>388</v>
      </c>
      <c r="BN90">
        <v>0</v>
      </c>
      <c r="BO90" t="s">
        <v>3</v>
      </c>
      <c r="BP90">
        <v>0</v>
      </c>
      <c r="BQ90">
        <v>50</v>
      </c>
      <c r="BR90">
        <v>0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68</v>
      </c>
      <c r="CA90">
        <v>41</v>
      </c>
      <c r="CE90">
        <v>30</v>
      </c>
      <c r="CF90">
        <v>0</v>
      </c>
      <c r="CG90">
        <v>0</v>
      </c>
      <c r="CM90">
        <v>0</v>
      </c>
      <c r="CN90" t="s">
        <v>3</v>
      </c>
      <c r="CO90">
        <v>0</v>
      </c>
      <c r="CP90">
        <f t="shared" si="86"/>
        <v>0</v>
      </c>
      <c r="CQ90">
        <f t="shared" si="87"/>
        <v>0</v>
      </c>
      <c r="CR90">
        <f>(ROUND((ROUND(((ET90)*AV90*1),2)*BB90),2)+ROUND((ROUND(((AE90-(EU90))*AV90*1),2)*BS90),2))</f>
        <v>0</v>
      </c>
      <c r="CS90">
        <f t="shared" si="89"/>
        <v>0</v>
      </c>
      <c r="CT90">
        <f t="shared" si="90"/>
        <v>9214.31</v>
      </c>
      <c r="CU90">
        <f t="shared" si="91"/>
        <v>0</v>
      </c>
      <c r="CV90">
        <f t="shared" si="92"/>
        <v>25.080000000000002</v>
      </c>
      <c r="CW90">
        <f t="shared" si="93"/>
        <v>0</v>
      </c>
      <c r="CX90">
        <f t="shared" si="94"/>
        <v>0</v>
      </c>
      <c r="CY90">
        <f t="shared" si="95"/>
        <v>0</v>
      </c>
      <c r="CZ90">
        <f t="shared" si="96"/>
        <v>0</v>
      </c>
      <c r="DC90" t="s">
        <v>3</v>
      </c>
      <c r="DD90" t="s">
        <v>3</v>
      </c>
      <c r="DE90" t="s">
        <v>3</v>
      </c>
      <c r="DF90" t="s">
        <v>3</v>
      </c>
      <c r="DG90" t="s">
        <v>186</v>
      </c>
      <c r="DH90" t="s">
        <v>3</v>
      </c>
      <c r="DI90" t="s">
        <v>186</v>
      </c>
      <c r="DJ90" t="s">
        <v>3</v>
      </c>
      <c r="DK90" t="s">
        <v>3</v>
      </c>
      <c r="DL90" t="s">
        <v>3</v>
      </c>
      <c r="DM90" t="s">
        <v>3</v>
      </c>
      <c r="DN90">
        <v>75</v>
      </c>
      <c r="DO90">
        <v>70</v>
      </c>
      <c r="DP90">
        <v>1</v>
      </c>
      <c r="DQ90">
        <v>1</v>
      </c>
      <c r="DU90">
        <v>30517203</v>
      </c>
      <c r="DV90" t="s">
        <v>195</v>
      </c>
      <c r="DW90" t="s">
        <v>195</v>
      </c>
      <c r="DX90">
        <v>1</v>
      </c>
      <c r="EE90">
        <v>42513703</v>
      </c>
      <c r="EF90">
        <v>50</v>
      </c>
      <c r="EG90" t="s">
        <v>179</v>
      </c>
      <c r="EH90">
        <v>0</v>
      </c>
      <c r="EI90" t="s">
        <v>3</v>
      </c>
      <c r="EJ90">
        <v>4</v>
      </c>
      <c r="EK90">
        <v>388</v>
      </c>
      <c r="EL90" t="s">
        <v>197</v>
      </c>
      <c r="EM90" t="s">
        <v>198</v>
      </c>
      <c r="EO90" t="s">
        <v>3</v>
      </c>
      <c r="EQ90">
        <v>131072</v>
      </c>
      <c r="ER90">
        <v>499.48</v>
      </c>
      <c r="ES90">
        <v>0</v>
      </c>
      <c r="ET90">
        <v>0</v>
      </c>
      <c r="EU90">
        <v>0</v>
      </c>
      <c r="EV90">
        <v>499.48</v>
      </c>
      <c r="EW90">
        <v>31.35</v>
      </c>
      <c r="EX90">
        <v>0</v>
      </c>
      <c r="EY90">
        <v>0</v>
      </c>
      <c r="FQ90">
        <v>0</v>
      </c>
      <c r="FR90">
        <f t="shared" si="97"/>
        <v>0</v>
      </c>
      <c r="FS90">
        <v>0</v>
      </c>
      <c r="FX90">
        <v>75</v>
      </c>
      <c r="FY90">
        <v>70</v>
      </c>
      <c r="GA90" t="s">
        <v>3</v>
      </c>
      <c r="GD90">
        <v>0</v>
      </c>
      <c r="GF90">
        <v>1645525492</v>
      </c>
      <c r="GG90">
        <v>2</v>
      </c>
      <c r="GH90">
        <v>1</v>
      </c>
      <c r="GI90">
        <v>2</v>
      </c>
      <c r="GJ90">
        <v>0</v>
      </c>
      <c r="GK90">
        <f>ROUND(R90*(R12)/100,2)</f>
        <v>0</v>
      </c>
      <c r="GL90">
        <f t="shared" si="98"/>
        <v>0</v>
      </c>
      <c r="GM90">
        <f t="shared" si="99"/>
        <v>0</v>
      </c>
      <c r="GN90">
        <f t="shared" si="100"/>
        <v>0</v>
      </c>
      <c r="GO90">
        <f t="shared" si="101"/>
        <v>0</v>
      </c>
      <c r="GP90">
        <f t="shared" si="102"/>
        <v>0</v>
      </c>
      <c r="GR90">
        <v>0</v>
      </c>
      <c r="GS90">
        <v>3</v>
      </c>
      <c r="GT90">
        <v>0</v>
      </c>
      <c r="GU90" t="s">
        <v>3</v>
      </c>
      <c r="GV90">
        <f t="shared" si="103"/>
        <v>0</v>
      </c>
      <c r="GW90">
        <v>1</v>
      </c>
      <c r="GX90">
        <f t="shared" si="104"/>
        <v>0</v>
      </c>
      <c r="HA90">
        <v>0</v>
      </c>
      <c r="HB90">
        <v>0</v>
      </c>
      <c r="HC90">
        <f t="shared" si="105"/>
        <v>0</v>
      </c>
      <c r="IK90">
        <v>0</v>
      </c>
    </row>
    <row r="92" spans="1:245" x14ac:dyDescent="0.2">
      <c r="A92" s="2">
        <v>51</v>
      </c>
      <c r="B92" s="2">
        <f>B66</f>
        <v>1</v>
      </c>
      <c r="C92" s="2">
        <f>A66</f>
        <v>4</v>
      </c>
      <c r="D92" s="2">
        <f>ROW(A66)</f>
        <v>66</v>
      </c>
      <c r="E92" s="2"/>
      <c r="F92" s="2" t="str">
        <f>IF(F66&lt;&gt;"",F66,"")</f>
        <v>Новый раздел</v>
      </c>
      <c r="G92" s="2" t="str">
        <f>IF(G66&lt;&gt;"",G66,"")</f>
        <v>Монтажные работы</v>
      </c>
      <c r="H92" s="2">
        <v>0</v>
      </c>
      <c r="I92" s="2"/>
      <c r="J92" s="2"/>
      <c r="K92" s="2"/>
      <c r="L92" s="2"/>
      <c r="M92" s="2"/>
      <c r="N92" s="2"/>
      <c r="O92" s="2">
        <f t="shared" ref="O92:T92" si="106">ROUND(AB92,2)</f>
        <v>43082.31</v>
      </c>
      <c r="P92" s="2">
        <f t="shared" si="106"/>
        <v>1543.36</v>
      </c>
      <c r="Q92" s="2">
        <f t="shared" si="106"/>
        <v>816.14</v>
      </c>
      <c r="R92" s="2">
        <f t="shared" si="106"/>
        <v>332.99</v>
      </c>
      <c r="S92" s="2">
        <f t="shared" si="106"/>
        <v>40722.81</v>
      </c>
      <c r="T92" s="2">
        <f t="shared" si="106"/>
        <v>0</v>
      </c>
      <c r="U92" s="2">
        <f>AH92</f>
        <v>123.24900000000002</v>
      </c>
      <c r="V92" s="2">
        <f>AI92</f>
        <v>0</v>
      </c>
      <c r="W92" s="2">
        <f>ROUND(AJ92,2)</f>
        <v>0</v>
      </c>
      <c r="X92" s="2">
        <f>ROUND(AK92,2)</f>
        <v>29180.58</v>
      </c>
      <c r="Y92" s="2">
        <f>ROUND(AL92,2)</f>
        <v>16696.34</v>
      </c>
      <c r="Z92" s="2"/>
      <c r="AA92" s="2"/>
      <c r="AB92" s="2">
        <f>ROUND(SUMIF(AA70:AA90,"=45723533",O70:O90),2)</f>
        <v>43082.31</v>
      </c>
      <c r="AC92" s="2">
        <f>ROUND(SUMIF(AA70:AA90,"=45723533",P70:P90),2)</f>
        <v>1543.36</v>
      </c>
      <c r="AD92" s="2">
        <f>ROUND(SUMIF(AA70:AA90,"=45723533",Q70:Q90),2)</f>
        <v>816.14</v>
      </c>
      <c r="AE92" s="2">
        <f>ROUND(SUMIF(AA70:AA90,"=45723533",R70:R90),2)</f>
        <v>332.99</v>
      </c>
      <c r="AF92" s="2">
        <f>ROUND(SUMIF(AA70:AA90,"=45723533",S70:S90),2)</f>
        <v>40722.81</v>
      </c>
      <c r="AG92" s="2">
        <f>ROUND(SUMIF(AA70:AA90,"=45723533",T70:T90),2)</f>
        <v>0</v>
      </c>
      <c r="AH92" s="2">
        <f>SUMIF(AA70:AA90,"=45723533",U70:U90)</f>
        <v>123.24900000000002</v>
      </c>
      <c r="AI92" s="2">
        <f>SUMIF(AA70:AA90,"=45723533",V70:V90)</f>
        <v>0</v>
      </c>
      <c r="AJ92" s="2">
        <f>ROUND(SUMIF(AA70:AA90,"=45723533",W70:W90),2)</f>
        <v>0</v>
      </c>
      <c r="AK92" s="2">
        <f>ROUND(SUMIF(AA70:AA90,"=45723533",X70:X90),2)</f>
        <v>29180.58</v>
      </c>
      <c r="AL92" s="2">
        <f>ROUND(SUMIF(AA70:AA90,"=45723533",Y70:Y90),2)</f>
        <v>16696.34</v>
      </c>
      <c r="AM92" s="2"/>
      <c r="AN92" s="2"/>
      <c r="AO92" s="2">
        <f t="shared" ref="AO92:BC92" si="107">ROUND(BX92,2)</f>
        <v>0</v>
      </c>
      <c r="AP92" s="2">
        <f t="shared" si="107"/>
        <v>0</v>
      </c>
      <c r="AQ92" s="2">
        <f t="shared" si="107"/>
        <v>0</v>
      </c>
      <c r="AR92" s="2">
        <f t="shared" si="107"/>
        <v>89482.02</v>
      </c>
      <c r="AS92" s="2">
        <f t="shared" si="107"/>
        <v>0</v>
      </c>
      <c r="AT92" s="2">
        <f t="shared" si="107"/>
        <v>38951.07</v>
      </c>
      <c r="AU92" s="2">
        <f t="shared" si="107"/>
        <v>50530.95</v>
      </c>
      <c r="AV92" s="2">
        <f t="shared" si="107"/>
        <v>1543.36</v>
      </c>
      <c r="AW92" s="2">
        <f t="shared" si="107"/>
        <v>1543.36</v>
      </c>
      <c r="AX92" s="2">
        <f t="shared" si="107"/>
        <v>0</v>
      </c>
      <c r="AY92" s="2">
        <f t="shared" si="107"/>
        <v>1543.36</v>
      </c>
      <c r="AZ92" s="2">
        <f t="shared" si="107"/>
        <v>0</v>
      </c>
      <c r="BA92" s="2">
        <f t="shared" si="107"/>
        <v>0</v>
      </c>
      <c r="BB92" s="2">
        <f t="shared" si="107"/>
        <v>0</v>
      </c>
      <c r="BC92" s="2">
        <f t="shared" si="107"/>
        <v>0</v>
      </c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>
        <f>ROUND(SUMIF(AA70:AA90,"=45723533",FQ70:FQ90),2)</f>
        <v>0</v>
      </c>
      <c r="BY92" s="2">
        <f>ROUND(SUMIF(AA70:AA90,"=45723533",FR70:FR90),2)</f>
        <v>0</v>
      </c>
      <c r="BZ92" s="2">
        <f>ROUND(SUMIF(AA70:AA90,"=45723533",GL70:GL90),2)</f>
        <v>0</v>
      </c>
      <c r="CA92" s="2">
        <f>ROUND(SUMIF(AA70:AA90,"=45723533",GM70:GM90),2)</f>
        <v>89482.02</v>
      </c>
      <c r="CB92" s="2">
        <f>ROUND(SUMIF(AA70:AA90,"=45723533",GN70:GN90),2)</f>
        <v>0</v>
      </c>
      <c r="CC92" s="2">
        <f>ROUND(SUMIF(AA70:AA90,"=45723533",GO70:GO90),2)</f>
        <v>38951.07</v>
      </c>
      <c r="CD92" s="2">
        <f>ROUND(SUMIF(AA70:AA90,"=45723533",GP70:GP90),2)</f>
        <v>50530.95</v>
      </c>
      <c r="CE92" s="2">
        <f>AC92-BX92</f>
        <v>1543.36</v>
      </c>
      <c r="CF92" s="2">
        <f>AC92-BY92</f>
        <v>1543.36</v>
      </c>
      <c r="CG92" s="2">
        <f>BX92-BZ92</f>
        <v>0</v>
      </c>
      <c r="CH92" s="2">
        <f>AC92-BX92-BY92+BZ92</f>
        <v>1543.36</v>
      </c>
      <c r="CI92" s="2">
        <f>BY92-BZ92</f>
        <v>0</v>
      </c>
      <c r="CJ92" s="2">
        <f>ROUND(SUMIF(AA70:AA90,"=45723533",GX70:GX90),2)</f>
        <v>0</v>
      </c>
      <c r="CK92" s="2">
        <f>ROUND(SUMIF(AA70:AA90,"=45723533",GY70:GY90),2)</f>
        <v>0</v>
      </c>
      <c r="CL92" s="2">
        <f>ROUND(SUMIF(AA70:AA90,"=45723533",GZ70:GZ90),2)</f>
        <v>0</v>
      </c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>
        <v>0</v>
      </c>
    </row>
    <row r="94" spans="1:245" x14ac:dyDescent="0.2">
      <c r="A94" s="4">
        <v>50</v>
      </c>
      <c r="B94" s="4">
        <v>0</v>
      </c>
      <c r="C94" s="4">
        <v>0</v>
      </c>
      <c r="D94" s="4">
        <v>1</v>
      </c>
      <c r="E94" s="4">
        <v>201</v>
      </c>
      <c r="F94" s="4">
        <f>ROUND(Source!O92,O94)</f>
        <v>43082.31</v>
      </c>
      <c r="G94" s="4" t="s">
        <v>68</v>
      </c>
      <c r="H94" s="4" t="s">
        <v>69</v>
      </c>
      <c r="I94" s="4"/>
      <c r="J94" s="4"/>
      <c r="K94" s="4">
        <v>201</v>
      </c>
      <c r="L94" s="4">
        <v>1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45" x14ac:dyDescent="0.2">
      <c r="A95" s="4">
        <v>50</v>
      </c>
      <c r="B95" s="4">
        <v>0</v>
      </c>
      <c r="C95" s="4">
        <v>0</v>
      </c>
      <c r="D95" s="4">
        <v>1</v>
      </c>
      <c r="E95" s="4">
        <v>202</v>
      </c>
      <c r="F95" s="4">
        <f>ROUND(Source!P92,O95)</f>
        <v>1543.36</v>
      </c>
      <c r="G95" s="4" t="s">
        <v>70</v>
      </c>
      <c r="H95" s="4" t="s">
        <v>71</v>
      </c>
      <c r="I95" s="4"/>
      <c r="J95" s="4"/>
      <c r="K95" s="4">
        <v>202</v>
      </c>
      <c r="L95" s="4">
        <v>2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45" x14ac:dyDescent="0.2">
      <c r="A96" s="4">
        <v>50</v>
      </c>
      <c r="B96" s="4">
        <v>0</v>
      </c>
      <c r="C96" s="4">
        <v>0</v>
      </c>
      <c r="D96" s="4">
        <v>1</v>
      </c>
      <c r="E96" s="4">
        <v>44066418</v>
      </c>
      <c r="F96" s="4">
        <f>ROUND(Source!AO92,O96)</f>
        <v>0</v>
      </c>
      <c r="G96" s="4" t="s">
        <v>72</v>
      </c>
      <c r="H96" s="4" t="s">
        <v>73</v>
      </c>
      <c r="I96" s="4"/>
      <c r="J96" s="4"/>
      <c r="K96" s="4">
        <v>222</v>
      </c>
      <c r="L96" s="4">
        <v>3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3" x14ac:dyDescent="0.2">
      <c r="A97" s="4">
        <v>50</v>
      </c>
      <c r="B97" s="4">
        <v>0</v>
      </c>
      <c r="C97" s="4">
        <v>0</v>
      </c>
      <c r="D97" s="4">
        <v>1</v>
      </c>
      <c r="E97" s="4">
        <v>225</v>
      </c>
      <c r="F97" s="4">
        <f>ROUND(Source!AV92,O97)</f>
        <v>1543.36</v>
      </c>
      <c r="G97" s="4" t="s">
        <v>74</v>
      </c>
      <c r="H97" s="4" t="s">
        <v>75</v>
      </c>
      <c r="I97" s="4"/>
      <c r="J97" s="4"/>
      <c r="K97" s="4">
        <v>225</v>
      </c>
      <c r="L97" s="4">
        <v>4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3" x14ac:dyDescent="0.2">
      <c r="A98" s="4">
        <v>50</v>
      </c>
      <c r="B98" s="4">
        <v>0</v>
      </c>
      <c r="C98" s="4">
        <v>0</v>
      </c>
      <c r="D98" s="4">
        <v>1</v>
      </c>
      <c r="E98" s="4">
        <v>226</v>
      </c>
      <c r="F98" s="4">
        <f>ROUND(Source!AW92,O98)</f>
        <v>1543.36</v>
      </c>
      <c r="G98" s="4" t="s">
        <v>76</v>
      </c>
      <c r="H98" s="4" t="s">
        <v>77</v>
      </c>
      <c r="I98" s="4"/>
      <c r="J98" s="4"/>
      <c r="K98" s="4">
        <v>226</v>
      </c>
      <c r="L98" s="4">
        <v>5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4">
        <v>50</v>
      </c>
      <c r="B99" s="4">
        <v>0</v>
      </c>
      <c r="C99" s="4">
        <v>0</v>
      </c>
      <c r="D99" s="4">
        <v>1</v>
      </c>
      <c r="E99" s="4">
        <v>227</v>
      </c>
      <c r="F99" s="4">
        <f>ROUND(Source!AX92,O99)</f>
        <v>0</v>
      </c>
      <c r="G99" s="4" t="s">
        <v>78</v>
      </c>
      <c r="H99" s="4" t="s">
        <v>79</v>
      </c>
      <c r="I99" s="4"/>
      <c r="J99" s="4"/>
      <c r="K99" s="4">
        <v>227</v>
      </c>
      <c r="L99" s="4">
        <v>6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 x14ac:dyDescent="0.2">
      <c r="A100" s="4">
        <v>50</v>
      </c>
      <c r="B100" s="4">
        <v>0</v>
      </c>
      <c r="C100" s="4">
        <v>0</v>
      </c>
      <c r="D100" s="4">
        <v>1</v>
      </c>
      <c r="E100" s="4">
        <v>228</v>
      </c>
      <c r="F100" s="4">
        <f>ROUND(Source!AY92,O100)</f>
        <v>1543.36</v>
      </c>
      <c r="G100" s="4" t="s">
        <v>80</v>
      </c>
      <c r="H100" s="4" t="s">
        <v>81</v>
      </c>
      <c r="I100" s="4"/>
      <c r="J100" s="4"/>
      <c r="K100" s="4">
        <v>228</v>
      </c>
      <c r="L100" s="4">
        <v>7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4">
        <v>50</v>
      </c>
      <c r="B101" s="4">
        <v>0</v>
      </c>
      <c r="C101" s="4">
        <v>0</v>
      </c>
      <c r="D101" s="4">
        <v>1</v>
      </c>
      <c r="E101" s="4">
        <v>216</v>
      </c>
      <c r="F101" s="4">
        <f>ROUND(Source!AP92,O101)</f>
        <v>0</v>
      </c>
      <c r="G101" s="4" t="s">
        <v>82</v>
      </c>
      <c r="H101" s="4" t="s">
        <v>83</v>
      </c>
      <c r="I101" s="4"/>
      <c r="J101" s="4"/>
      <c r="K101" s="4">
        <v>216</v>
      </c>
      <c r="L101" s="4">
        <v>8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4">
        <v>50</v>
      </c>
      <c r="B102" s="4">
        <v>0</v>
      </c>
      <c r="C102" s="4">
        <v>0</v>
      </c>
      <c r="D102" s="4">
        <v>1</v>
      </c>
      <c r="E102" s="4">
        <v>223</v>
      </c>
      <c r="F102" s="4">
        <f>ROUND(Source!AQ92,O102)</f>
        <v>0</v>
      </c>
      <c r="G102" s="4" t="s">
        <v>84</v>
      </c>
      <c r="H102" s="4" t="s">
        <v>85</v>
      </c>
      <c r="I102" s="4"/>
      <c r="J102" s="4"/>
      <c r="K102" s="4">
        <v>223</v>
      </c>
      <c r="L102" s="4">
        <v>9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4">
        <v>50</v>
      </c>
      <c r="B103" s="4">
        <v>0</v>
      </c>
      <c r="C103" s="4">
        <v>0</v>
      </c>
      <c r="D103" s="4">
        <v>1</v>
      </c>
      <c r="E103" s="4">
        <v>229</v>
      </c>
      <c r="F103" s="4">
        <f>ROUND(Source!AZ92,O103)</f>
        <v>0</v>
      </c>
      <c r="G103" s="4" t="s">
        <v>86</v>
      </c>
      <c r="H103" s="4" t="s">
        <v>87</v>
      </c>
      <c r="I103" s="4"/>
      <c r="J103" s="4"/>
      <c r="K103" s="4">
        <v>229</v>
      </c>
      <c r="L103" s="4">
        <v>10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4">
        <v>50</v>
      </c>
      <c r="B104" s="4">
        <v>0</v>
      </c>
      <c r="C104" s="4">
        <v>0</v>
      </c>
      <c r="D104" s="4">
        <v>1</v>
      </c>
      <c r="E104" s="4">
        <v>203</v>
      </c>
      <c r="F104" s="4">
        <f>ROUND(Source!Q92,O104)</f>
        <v>816.14</v>
      </c>
      <c r="G104" s="4" t="s">
        <v>88</v>
      </c>
      <c r="H104" s="4" t="s">
        <v>89</v>
      </c>
      <c r="I104" s="4"/>
      <c r="J104" s="4"/>
      <c r="K104" s="4">
        <v>203</v>
      </c>
      <c r="L104" s="4">
        <v>11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>
        <v>50</v>
      </c>
      <c r="B105" s="4">
        <v>0</v>
      </c>
      <c r="C105" s="4">
        <v>0</v>
      </c>
      <c r="D105" s="4">
        <v>1</v>
      </c>
      <c r="E105" s="4">
        <v>231</v>
      </c>
      <c r="F105" s="4">
        <f>ROUND(Source!BB92,O105)</f>
        <v>0</v>
      </c>
      <c r="G105" s="4" t="s">
        <v>90</v>
      </c>
      <c r="H105" s="4" t="s">
        <v>91</v>
      </c>
      <c r="I105" s="4"/>
      <c r="J105" s="4"/>
      <c r="K105" s="4">
        <v>231</v>
      </c>
      <c r="L105" s="4">
        <v>12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4">
        <v>50</v>
      </c>
      <c r="B106" s="4">
        <v>0</v>
      </c>
      <c r="C106" s="4">
        <v>0</v>
      </c>
      <c r="D106" s="4">
        <v>1</v>
      </c>
      <c r="E106" s="4">
        <v>204</v>
      </c>
      <c r="F106" s="4">
        <f>ROUND(Source!R92,O106)</f>
        <v>332.99</v>
      </c>
      <c r="G106" s="4" t="s">
        <v>92</v>
      </c>
      <c r="H106" s="4" t="s">
        <v>93</v>
      </c>
      <c r="I106" s="4"/>
      <c r="J106" s="4"/>
      <c r="K106" s="4">
        <v>204</v>
      </c>
      <c r="L106" s="4">
        <v>13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3" x14ac:dyDescent="0.2">
      <c r="A107" s="4">
        <v>50</v>
      </c>
      <c r="B107" s="4">
        <v>0</v>
      </c>
      <c r="C107" s="4">
        <v>0</v>
      </c>
      <c r="D107" s="4">
        <v>1</v>
      </c>
      <c r="E107" s="4">
        <v>205</v>
      </c>
      <c r="F107" s="4">
        <f>ROUND(Source!S92,O107)</f>
        <v>40722.81</v>
      </c>
      <c r="G107" s="4" t="s">
        <v>94</v>
      </c>
      <c r="H107" s="4" t="s">
        <v>95</v>
      </c>
      <c r="I107" s="4"/>
      <c r="J107" s="4"/>
      <c r="K107" s="4">
        <v>205</v>
      </c>
      <c r="L107" s="4">
        <v>14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4">
        <v>50</v>
      </c>
      <c r="B108" s="4">
        <v>0</v>
      </c>
      <c r="C108" s="4">
        <v>0</v>
      </c>
      <c r="D108" s="4">
        <v>1</v>
      </c>
      <c r="E108" s="4">
        <v>232</v>
      </c>
      <c r="F108" s="4">
        <f>ROUND(Source!BC92,O108)</f>
        <v>0</v>
      </c>
      <c r="G108" s="4" t="s">
        <v>96</v>
      </c>
      <c r="H108" s="4" t="s">
        <v>97</v>
      </c>
      <c r="I108" s="4"/>
      <c r="J108" s="4"/>
      <c r="K108" s="4">
        <v>232</v>
      </c>
      <c r="L108" s="4">
        <v>15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3" x14ac:dyDescent="0.2">
      <c r="A109" s="4">
        <v>50</v>
      </c>
      <c r="B109" s="4">
        <v>0</v>
      </c>
      <c r="C109" s="4">
        <v>0</v>
      </c>
      <c r="D109" s="4">
        <v>1</v>
      </c>
      <c r="E109" s="4">
        <v>214</v>
      </c>
      <c r="F109" s="4">
        <f>ROUND(Source!AS92,O109)</f>
        <v>0</v>
      </c>
      <c r="G109" s="4" t="s">
        <v>98</v>
      </c>
      <c r="H109" s="4" t="s">
        <v>99</v>
      </c>
      <c r="I109" s="4"/>
      <c r="J109" s="4"/>
      <c r="K109" s="4">
        <v>214</v>
      </c>
      <c r="L109" s="4">
        <v>16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3" x14ac:dyDescent="0.2">
      <c r="A110" s="4">
        <v>50</v>
      </c>
      <c r="B110" s="4">
        <v>0</v>
      </c>
      <c r="C110" s="4">
        <v>0</v>
      </c>
      <c r="D110" s="4">
        <v>1</v>
      </c>
      <c r="E110" s="4">
        <v>215</v>
      </c>
      <c r="F110" s="4">
        <f>ROUND(Source!AT92,O110)</f>
        <v>38951.07</v>
      </c>
      <c r="G110" s="4" t="s">
        <v>100</v>
      </c>
      <c r="H110" s="4" t="s">
        <v>101</v>
      </c>
      <c r="I110" s="4"/>
      <c r="J110" s="4"/>
      <c r="K110" s="4">
        <v>215</v>
      </c>
      <c r="L110" s="4">
        <v>17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3" x14ac:dyDescent="0.2">
      <c r="A111" s="4">
        <v>50</v>
      </c>
      <c r="B111" s="4">
        <v>0</v>
      </c>
      <c r="C111" s="4">
        <v>0</v>
      </c>
      <c r="D111" s="4">
        <v>1</v>
      </c>
      <c r="E111" s="4">
        <v>217</v>
      </c>
      <c r="F111" s="4">
        <f>ROUND(Source!AU92,O111)</f>
        <v>50530.95</v>
      </c>
      <c r="G111" s="4" t="s">
        <v>102</v>
      </c>
      <c r="H111" s="4" t="s">
        <v>103</v>
      </c>
      <c r="I111" s="4"/>
      <c r="J111" s="4"/>
      <c r="K111" s="4">
        <v>217</v>
      </c>
      <c r="L111" s="4">
        <v>18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3" x14ac:dyDescent="0.2">
      <c r="A112" s="4">
        <v>50</v>
      </c>
      <c r="B112" s="4">
        <v>0</v>
      </c>
      <c r="C112" s="4">
        <v>0</v>
      </c>
      <c r="D112" s="4">
        <v>1</v>
      </c>
      <c r="E112" s="4">
        <v>230</v>
      </c>
      <c r="F112" s="4">
        <f>ROUND(Source!BA92,O112)</f>
        <v>0</v>
      </c>
      <c r="G112" s="4" t="s">
        <v>104</v>
      </c>
      <c r="H112" s="4" t="s">
        <v>105</v>
      </c>
      <c r="I112" s="4"/>
      <c r="J112" s="4"/>
      <c r="K112" s="4">
        <v>230</v>
      </c>
      <c r="L112" s="4">
        <v>19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45" x14ac:dyDescent="0.2">
      <c r="A113" s="4">
        <v>50</v>
      </c>
      <c r="B113" s="4">
        <v>0</v>
      </c>
      <c r="C113" s="4">
        <v>0</v>
      </c>
      <c r="D113" s="4">
        <v>1</v>
      </c>
      <c r="E113" s="4">
        <v>206</v>
      </c>
      <c r="F113" s="4">
        <f>ROUND(Source!T92,O113)</f>
        <v>0</v>
      </c>
      <c r="G113" s="4" t="s">
        <v>106</v>
      </c>
      <c r="H113" s="4" t="s">
        <v>107</v>
      </c>
      <c r="I113" s="4"/>
      <c r="J113" s="4"/>
      <c r="K113" s="4">
        <v>206</v>
      </c>
      <c r="L113" s="4">
        <v>20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45" x14ac:dyDescent="0.2">
      <c r="A114" s="4">
        <v>50</v>
      </c>
      <c r="B114" s="4">
        <v>0</v>
      </c>
      <c r="C114" s="4">
        <v>0</v>
      </c>
      <c r="D114" s="4">
        <v>1</v>
      </c>
      <c r="E114" s="4">
        <v>207</v>
      </c>
      <c r="F114" s="4">
        <f>Source!U92</f>
        <v>123.24900000000002</v>
      </c>
      <c r="G114" s="4" t="s">
        <v>108</v>
      </c>
      <c r="H114" s="4" t="s">
        <v>109</v>
      </c>
      <c r="I114" s="4"/>
      <c r="J114" s="4"/>
      <c r="K114" s="4">
        <v>207</v>
      </c>
      <c r="L114" s="4">
        <v>21</v>
      </c>
      <c r="M114" s="4">
        <v>3</v>
      </c>
      <c r="N114" s="4" t="s">
        <v>3</v>
      </c>
      <c r="O114" s="4">
        <v>-1</v>
      </c>
      <c r="P114" s="4"/>
      <c r="Q114" s="4"/>
      <c r="R114" s="4"/>
      <c r="S114" s="4"/>
      <c r="T114" s="4"/>
      <c r="U114" s="4"/>
      <c r="V114" s="4"/>
      <c r="W114" s="4"/>
    </row>
    <row r="115" spans="1:245" x14ac:dyDescent="0.2">
      <c r="A115" s="4">
        <v>50</v>
      </c>
      <c r="B115" s="4">
        <v>0</v>
      </c>
      <c r="C115" s="4">
        <v>0</v>
      </c>
      <c r="D115" s="4">
        <v>1</v>
      </c>
      <c r="E115" s="4">
        <v>208</v>
      </c>
      <c r="F115" s="4">
        <f>Source!V92</f>
        <v>0</v>
      </c>
      <c r="G115" s="4" t="s">
        <v>110</v>
      </c>
      <c r="H115" s="4" t="s">
        <v>111</v>
      </c>
      <c r="I115" s="4"/>
      <c r="J115" s="4"/>
      <c r="K115" s="4">
        <v>208</v>
      </c>
      <c r="L115" s="4">
        <v>22</v>
      </c>
      <c r="M115" s="4">
        <v>3</v>
      </c>
      <c r="N115" s="4" t="s">
        <v>3</v>
      </c>
      <c r="O115" s="4">
        <v>-1</v>
      </c>
      <c r="P115" s="4"/>
      <c r="Q115" s="4"/>
      <c r="R115" s="4"/>
      <c r="S115" s="4"/>
      <c r="T115" s="4"/>
      <c r="U115" s="4"/>
      <c r="V115" s="4"/>
      <c r="W115" s="4"/>
    </row>
    <row r="116" spans="1:245" x14ac:dyDescent="0.2">
      <c r="A116" s="4">
        <v>50</v>
      </c>
      <c r="B116" s="4">
        <v>0</v>
      </c>
      <c r="C116" s="4">
        <v>0</v>
      </c>
      <c r="D116" s="4">
        <v>1</v>
      </c>
      <c r="E116" s="4">
        <v>209</v>
      </c>
      <c r="F116" s="4">
        <f>ROUND(Source!W92,O116)</f>
        <v>0</v>
      </c>
      <c r="G116" s="4" t="s">
        <v>112</v>
      </c>
      <c r="H116" s="4" t="s">
        <v>113</v>
      </c>
      <c r="I116" s="4"/>
      <c r="J116" s="4"/>
      <c r="K116" s="4">
        <v>209</v>
      </c>
      <c r="L116" s="4">
        <v>23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45" x14ac:dyDescent="0.2">
      <c r="A117" s="4">
        <v>50</v>
      </c>
      <c r="B117" s="4">
        <v>0</v>
      </c>
      <c r="C117" s="4">
        <v>0</v>
      </c>
      <c r="D117" s="4">
        <v>1</v>
      </c>
      <c r="E117" s="4">
        <v>210</v>
      </c>
      <c r="F117" s="4">
        <f>ROUND(Source!X92,O117)</f>
        <v>29180.58</v>
      </c>
      <c r="G117" s="4" t="s">
        <v>114</v>
      </c>
      <c r="H117" s="4" t="s">
        <v>115</v>
      </c>
      <c r="I117" s="4"/>
      <c r="J117" s="4"/>
      <c r="K117" s="4">
        <v>210</v>
      </c>
      <c r="L117" s="4">
        <v>24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45" x14ac:dyDescent="0.2">
      <c r="A118" s="4">
        <v>50</v>
      </c>
      <c r="B118" s="4">
        <v>0</v>
      </c>
      <c r="C118" s="4">
        <v>0</v>
      </c>
      <c r="D118" s="4">
        <v>1</v>
      </c>
      <c r="E118" s="4">
        <v>211</v>
      </c>
      <c r="F118" s="4">
        <f>ROUND(Source!Y92,O118)</f>
        <v>16696.34</v>
      </c>
      <c r="G118" s="4" t="s">
        <v>116</v>
      </c>
      <c r="H118" s="4" t="s">
        <v>117</v>
      </c>
      <c r="I118" s="4"/>
      <c r="J118" s="4"/>
      <c r="K118" s="4">
        <v>211</v>
      </c>
      <c r="L118" s="4">
        <v>25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45" x14ac:dyDescent="0.2">
      <c r="A119" s="4">
        <v>50</v>
      </c>
      <c r="B119" s="4">
        <v>0</v>
      </c>
      <c r="C119" s="4">
        <v>0</v>
      </c>
      <c r="D119" s="4">
        <v>1</v>
      </c>
      <c r="E119" s="4">
        <v>224</v>
      </c>
      <c r="F119" s="4">
        <f>ROUND(Source!AR92,O119)</f>
        <v>89482.02</v>
      </c>
      <c r="G119" s="4" t="s">
        <v>118</v>
      </c>
      <c r="H119" s="4" t="s">
        <v>119</v>
      </c>
      <c r="I119" s="4"/>
      <c r="J119" s="4"/>
      <c r="K119" s="4">
        <v>224</v>
      </c>
      <c r="L119" s="4">
        <v>26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1" spans="1:245" x14ac:dyDescent="0.2">
      <c r="A121" s="1">
        <v>4</v>
      </c>
      <c r="B121" s="1">
        <v>1</v>
      </c>
      <c r="C121" s="1"/>
      <c r="D121" s="1">
        <f>ROW(A153)</f>
        <v>153</v>
      </c>
      <c r="E121" s="1"/>
      <c r="F121" s="1" t="s">
        <v>13</v>
      </c>
      <c r="G121" s="1" t="s">
        <v>199</v>
      </c>
      <c r="H121" s="1" t="s">
        <v>3</v>
      </c>
      <c r="I121" s="1">
        <v>0</v>
      </c>
      <c r="J121" s="1"/>
      <c r="K121" s="1"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 t="s">
        <v>3</v>
      </c>
      <c r="V121" s="1">
        <v>0</v>
      </c>
      <c r="W121" s="1"/>
      <c r="X121" s="1"/>
      <c r="Y121" s="1"/>
      <c r="Z121" s="1"/>
      <c r="AA121" s="1"/>
      <c r="AB121" s="1" t="s">
        <v>3</v>
      </c>
      <c r="AC121" s="1" t="s">
        <v>3</v>
      </c>
      <c r="AD121" s="1" t="s">
        <v>3</v>
      </c>
      <c r="AE121" s="1" t="s">
        <v>3</v>
      </c>
      <c r="AF121" s="1" t="s">
        <v>3</v>
      </c>
      <c r="AG121" s="1" t="s">
        <v>3</v>
      </c>
      <c r="AH121" s="1"/>
      <c r="AI121" s="1"/>
      <c r="AJ121" s="1"/>
      <c r="AK121" s="1"/>
      <c r="AL121" s="1"/>
      <c r="AM121" s="1"/>
      <c r="AN121" s="1"/>
      <c r="AO121" s="1"/>
      <c r="AP121" s="1" t="s">
        <v>3</v>
      </c>
      <c r="AQ121" s="1" t="s">
        <v>3</v>
      </c>
      <c r="AR121" s="1" t="s">
        <v>3</v>
      </c>
      <c r="AS121" s="1"/>
      <c r="AT121" s="1"/>
      <c r="AU121" s="1"/>
      <c r="AV121" s="1"/>
      <c r="AW121" s="1"/>
      <c r="AX121" s="1"/>
      <c r="AY121" s="1"/>
      <c r="AZ121" s="1" t="s">
        <v>3</v>
      </c>
      <c r="BA121" s="1"/>
      <c r="BB121" s="1" t="s">
        <v>3</v>
      </c>
      <c r="BC121" s="1" t="s">
        <v>3</v>
      </c>
      <c r="BD121" s="1" t="s">
        <v>3</v>
      </c>
      <c r="BE121" s="1" t="s">
        <v>3</v>
      </c>
      <c r="BF121" s="1" t="s">
        <v>3</v>
      </c>
      <c r="BG121" s="1" t="s">
        <v>3</v>
      </c>
      <c r="BH121" s="1" t="s">
        <v>3</v>
      </c>
      <c r="BI121" s="1" t="s">
        <v>3</v>
      </c>
      <c r="BJ121" s="1" t="s">
        <v>3</v>
      </c>
      <c r="BK121" s="1" t="s">
        <v>3</v>
      </c>
      <c r="BL121" s="1" t="s">
        <v>3</v>
      </c>
      <c r="BM121" s="1" t="s">
        <v>3</v>
      </c>
      <c r="BN121" s="1" t="s">
        <v>3</v>
      </c>
      <c r="BO121" s="1" t="s">
        <v>3</v>
      </c>
      <c r="BP121" s="1" t="s">
        <v>3</v>
      </c>
      <c r="BQ121" s="1"/>
      <c r="BR121" s="1"/>
      <c r="BS121" s="1"/>
      <c r="BT121" s="1"/>
      <c r="BU121" s="1"/>
      <c r="BV121" s="1"/>
      <c r="BW121" s="1"/>
      <c r="BX121" s="1">
        <v>0</v>
      </c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>
        <v>0</v>
      </c>
    </row>
    <row r="123" spans="1:245" x14ac:dyDescent="0.2">
      <c r="A123" s="2">
        <v>52</v>
      </c>
      <c r="B123" s="2">
        <f t="shared" ref="B123:G123" si="108">B153</f>
        <v>1</v>
      </c>
      <c r="C123" s="2">
        <f t="shared" si="108"/>
        <v>4</v>
      </c>
      <c r="D123" s="2">
        <f t="shared" si="108"/>
        <v>121</v>
      </c>
      <c r="E123" s="2">
        <f t="shared" si="108"/>
        <v>0</v>
      </c>
      <c r="F123" s="2" t="str">
        <f t="shared" si="108"/>
        <v>Новый раздел</v>
      </c>
      <c r="G123" s="2" t="str">
        <f t="shared" si="108"/>
        <v>Материалы</v>
      </c>
      <c r="H123" s="2"/>
      <c r="I123" s="2"/>
      <c r="J123" s="2"/>
      <c r="K123" s="2"/>
      <c r="L123" s="2"/>
      <c r="M123" s="2"/>
      <c r="N123" s="2"/>
      <c r="O123" s="2">
        <f t="shared" ref="O123:AT123" si="109">O153</f>
        <v>23534.68</v>
      </c>
      <c r="P123" s="2">
        <f t="shared" si="109"/>
        <v>23534.68</v>
      </c>
      <c r="Q123" s="2">
        <f t="shared" si="109"/>
        <v>0</v>
      </c>
      <c r="R123" s="2">
        <f t="shared" si="109"/>
        <v>0</v>
      </c>
      <c r="S123" s="2">
        <f t="shared" si="109"/>
        <v>0</v>
      </c>
      <c r="T123" s="2">
        <f t="shared" si="109"/>
        <v>0</v>
      </c>
      <c r="U123" s="2">
        <f t="shared" si="109"/>
        <v>0</v>
      </c>
      <c r="V123" s="2">
        <f t="shared" si="109"/>
        <v>0</v>
      </c>
      <c r="W123" s="2">
        <f t="shared" si="109"/>
        <v>0</v>
      </c>
      <c r="X123" s="2">
        <f t="shared" si="109"/>
        <v>0</v>
      </c>
      <c r="Y123" s="2">
        <f t="shared" si="109"/>
        <v>0</v>
      </c>
      <c r="Z123" s="2">
        <f t="shared" si="109"/>
        <v>0</v>
      </c>
      <c r="AA123" s="2">
        <f t="shared" si="109"/>
        <v>0</v>
      </c>
      <c r="AB123" s="2">
        <f t="shared" si="109"/>
        <v>23534.68</v>
      </c>
      <c r="AC123" s="2">
        <f t="shared" si="109"/>
        <v>23534.68</v>
      </c>
      <c r="AD123" s="2">
        <f t="shared" si="109"/>
        <v>0</v>
      </c>
      <c r="AE123" s="2">
        <f t="shared" si="109"/>
        <v>0</v>
      </c>
      <c r="AF123" s="2">
        <f t="shared" si="109"/>
        <v>0</v>
      </c>
      <c r="AG123" s="2">
        <f t="shared" si="109"/>
        <v>0</v>
      </c>
      <c r="AH123" s="2">
        <f t="shared" si="109"/>
        <v>0</v>
      </c>
      <c r="AI123" s="2">
        <f t="shared" si="109"/>
        <v>0</v>
      </c>
      <c r="AJ123" s="2">
        <f t="shared" si="109"/>
        <v>0</v>
      </c>
      <c r="AK123" s="2">
        <f t="shared" si="109"/>
        <v>0</v>
      </c>
      <c r="AL123" s="2">
        <f t="shared" si="109"/>
        <v>0</v>
      </c>
      <c r="AM123" s="2">
        <f t="shared" si="109"/>
        <v>0</v>
      </c>
      <c r="AN123" s="2">
        <f t="shared" si="109"/>
        <v>0</v>
      </c>
      <c r="AO123" s="2">
        <f t="shared" si="109"/>
        <v>0</v>
      </c>
      <c r="AP123" s="2">
        <f t="shared" si="109"/>
        <v>0</v>
      </c>
      <c r="AQ123" s="2">
        <f t="shared" si="109"/>
        <v>0</v>
      </c>
      <c r="AR123" s="2">
        <f t="shared" si="109"/>
        <v>23534.68</v>
      </c>
      <c r="AS123" s="2">
        <f t="shared" si="109"/>
        <v>0</v>
      </c>
      <c r="AT123" s="2">
        <f t="shared" si="109"/>
        <v>23534.68</v>
      </c>
      <c r="AU123" s="2">
        <f t="shared" ref="AU123:BZ123" si="110">AU153</f>
        <v>0</v>
      </c>
      <c r="AV123" s="2">
        <f t="shared" si="110"/>
        <v>23534.68</v>
      </c>
      <c r="AW123" s="2">
        <f t="shared" si="110"/>
        <v>23534.68</v>
      </c>
      <c r="AX123" s="2">
        <f t="shared" si="110"/>
        <v>0</v>
      </c>
      <c r="AY123" s="2">
        <f t="shared" si="110"/>
        <v>23534.68</v>
      </c>
      <c r="AZ123" s="2">
        <f t="shared" si="110"/>
        <v>0</v>
      </c>
      <c r="BA123" s="2">
        <f t="shared" si="110"/>
        <v>0</v>
      </c>
      <c r="BB123" s="2">
        <f t="shared" si="110"/>
        <v>0</v>
      </c>
      <c r="BC123" s="2">
        <f t="shared" si="110"/>
        <v>0</v>
      </c>
      <c r="BD123" s="2">
        <f t="shared" si="110"/>
        <v>0</v>
      </c>
      <c r="BE123" s="2">
        <f t="shared" si="110"/>
        <v>0</v>
      </c>
      <c r="BF123" s="2">
        <f t="shared" si="110"/>
        <v>0</v>
      </c>
      <c r="BG123" s="2">
        <f t="shared" si="110"/>
        <v>0</v>
      </c>
      <c r="BH123" s="2">
        <f t="shared" si="110"/>
        <v>0</v>
      </c>
      <c r="BI123" s="2">
        <f t="shared" si="110"/>
        <v>0</v>
      </c>
      <c r="BJ123" s="2">
        <f t="shared" si="110"/>
        <v>0</v>
      </c>
      <c r="BK123" s="2">
        <f t="shared" si="110"/>
        <v>0</v>
      </c>
      <c r="BL123" s="2">
        <f t="shared" si="110"/>
        <v>0</v>
      </c>
      <c r="BM123" s="2">
        <f t="shared" si="110"/>
        <v>0</v>
      </c>
      <c r="BN123" s="2">
        <f t="shared" si="110"/>
        <v>0</v>
      </c>
      <c r="BO123" s="2">
        <f t="shared" si="110"/>
        <v>0</v>
      </c>
      <c r="BP123" s="2">
        <f t="shared" si="110"/>
        <v>0</v>
      </c>
      <c r="BQ123" s="2">
        <f t="shared" si="110"/>
        <v>0</v>
      </c>
      <c r="BR123" s="2">
        <f t="shared" si="110"/>
        <v>0</v>
      </c>
      <c r="BS123" s="2">
        <f t="shared" si="110"/>
        <v>0</v>
      </c>
      <c r="BT123" s="2">
        <f t="shared" si="110"/>
        <v>0</v>
      </c>
      <c r="BU123" s="2">
        <f t="shared" si="110"/>
        <v>0</v>
      </c>
      <c r="BV123" s="2">
        <f t="shared" si="110"/>
        <v>0</v>
      </c>
      <c r="BW123" s="2">
        <f t="shared" si="110"/>
        <v>0</v>
      </c>
      <c r="BX123" s="2">
        <f t="shared" si="110"/>
        <v>0</v>
      </c>
      <c r="BY123" s="2">
        <f t="shared" si="110"/>
        <v>0</v>
      </c>
      <c r="BZ123" s="2">
        <f t="shared" si="110"/>
        <v>0</v>
      </c>
      <c r="CA123" s="2">
        <f t="shared" ref="CA123:DF123" si="111">CA153</f>
        <v>23534.68</v>
      </c>
      <c r="CB123" s="2">
        <f t="shared" si="111"/>
        <v>0</v>
      </c>
      <c r="CC123" s="2">
        <f t="shared" si="111"/>
        <v>23534.68</v>
      </c>
      <c r="CD123" s="2">
        <f t="shared" si="111"/>
        <v>0</v>
      </c>
      <c r="CE123" s="2">
        <f t="shared" si="111"/>
        <v>23534.68</v>
      </c>
      <c r="CF123" s="2">
        <f t="shared" si="111"/>
        <v>23534.68</v>
      </c>
      <c r="CG123" s="2">
        <f t="shared" si="111"/>
        <v>0</v>
      </c>
      <c r="CH123" s="2">
        <f t="shared" si="111"/>
        <v>23534.68</v>
      </c>
      <c r="CI123" s="2">
        <f t="shared" si="111"/>
        <v>0</v>
      </c>
      <c r="CJ123" s="2">
        <f t="shared" si="111"/>
        <v>0</v>
      </c>
      <c r="CK123" s="2">
        <f t="shared" si="111"/>
        <v>0</v>
      </c>
      <c r="CL123" s="2">
        <f t="shared" si="111"/>
        <v>0</v>
      </c>
      <c r="CM123" s="2">
        <f t="shared" si="111"/>
        <v>0</v>
      </c>
      <c r="CN123" s="2">
        <f t="shared" si="111"/>
        <v>0</v>
      </c>
      <c r="CO123" s="2">
        <f t="shared" si="111"/>
        <v>0</v>
      </c>
      <c r="CP123" s="2">
        <f t="shared" si="111"/>
        <v>0</v>
      </c>
      <c r="CQ123" s="2">
        <f t="shared" si="111"/>
        <v>0</v>
      </c>
      <c r="CR123" s="2">
        <f t="shared" si="111"/>
        <v>0</v>
      </c>
      <c r="CS123" s="2">
        <f t="shared" si="111"/>
        <v>0</v>
      </c>
      <c r="CT123" s="2">
        <f t="shared" si="111"/>
        <v>0</v>
      </c>
      <c r="CU123" s="2">
        <f t="shared" si="111"/>
        <v>0</v>
      </c>
      <c r="CV123" s="2">
        <f t="shared" si="111"/>
        <v>0</v>
      </c>
      <c r="CW123" s="2">
        <f t="shared" si="111"/>
        <v>0</v>
      </c>
      <c r="CX123" s="2">
        <f t="shared" si="111"/>
        <v>0</v>
      </c>
      <c r="CY123" s="2">
        <f t="shared" si="111"/>
        <v>0</v>
      </c>
      <c r="CZ123" s="2">
        <f t="shared" si="111"/>
        <v>0</v>
      </c>
      <c r="DA123" s="2">
        <f t="shared" si="111"/>
        <v>0</v>
      </c>
      <c r="DB123" s="2">
        <f t="shared" si="111"/>
        <v>0</v>
      </c>
      <c r="DC123" s="2">
        <f t="shared" si="111"/>
        <v>0</v>
      </c>
      <c r="DD123" s="2">
        <f t="shared" si="111"/>
        <v>0</v>
      </c>
      <c r="DE123" s="2">
        <f t="shared" si="111"/>
        <v>0</v>
      </c>
      <c r="DF123" s="2">
        <f t="shared" si="111"/>
        <v>0</v>
      </c>
      <c r="DG123" s="3">
        <f t="shared" ref="DG123:EL123" si="112">DG153</f>
        <v>0</v>
      </c>
      <c r="DH123" s="3">
        <f t="shared" si="112"/>
        <v>0</v>
      </c>
      <c r="DI123" s="3">
        <f t="shared" si="112"/>
        <v>0</v>
      </c>
      <c r="DJ123" s="3">
        <f t="shared" si="112"/>
        <v>0</v>
      </c>
      <c r="DK123" s="3">
        <f t="shared" si="112"/>
        <v>0</v>
      </c>
      <c r="DL123" s="3">
        <f t="shared" si="112"/>
        <v>0</v>
      </c>
      <c r="DM123" s="3">
        <f t="shared" si="112"/>
        <v>0</v>
      </c>
      <c r="DN123" s="3">
        <f t="shared" si="112"/>
        <v>0</v>
      </c>
      <c r="DO123" s="3">
        <f t="shared" si="112"/>
        <v>0</v>
      </c>
      <c r="DP123" s="3">
        <f t="shared" si="112"/>
        <v>0</v>
      </c>
      <c r="DQ123" s="3">
        <f t="shared" si="112"/>
        <v>0</v>
      </c>
      <c r="DR123" s="3">
        <f t="shared" si="112"/>
        <v>0</v>
      </c>
      <c r="DS123" s="3">
        <f t="shared" si="112"/>
        <v>0</v>
      </c>
      <c r="DT123" s="3">
        <f t="shared" si="112"/>
        <v>0</v>
      </c>
      <c r="DU123" s="3">
        <f t="shared" si="112"/>
        <v>0</v>
      </c>
      <c r="DV123" s="3">
        <f t="shared" si="112"/>
        <v>0</v>
      </c>
      <c r="DW123" s="3">
        <f t="shared" si="112"/>
        <v>0</v>
      </c>
      <c r="DX123" s="3">
        <f t="shared" si="112"/>
        <v>0</v>
      </c>
      <c r="DY123" s="3">
        <f t="shared" si="112"/>
        <v>0</v>
      </c>
      <c r="DZ123" s="3">
        <f t="shared" si="112"/>
        <v>0</v>
      </c>
      <c r="EA123" s="3">
        <f t="shared" si="112"/>
        <v>0</v>
      </c>
      <c r="EB123" s="3">
        <f t="shared" si="112"/>
        <v>0</v>
      </c>
      <c r="EC123" s="3">
        <f t="shared" si="112"/>
        <v>0</v>
      </c>
      <c r="ED123" s="3">
        <f t="shared" si="112"/>
        <v>0</v>
      </c>
      <c r="EE123" s="3">
        <f t="shared" si="112"/>
        <v>0</v>
      </c>
      <c r="EF123" s="3">
        <f t="shared" si="112"/>
        <v>0</v>
      </c>
      <c r="EG123" s="3">
        <f t="shared" si="112"/>
        <v>0</v>
      </c>
      <c r="EH123" s="3">
        <f t="shared" si="112"/>
        <v>0</v>
      </c>
      <c r="EI123" s="3">
        <f t="shared" si="112"/>
        <v>0</v>
      </c>
      <c r="EJ123" s="3">
        <f t="shared" si="112"/>
        <v>0</v>
      </c>
      <c r="EK123" s="3">
        <f t="shared" si="112"/>
        <v>0</v>
      </c>
      <c r="EL123" s="3">
        <f t="shared" si="112"/>
        <v>0</v>
      </c>
      <c r="EM123" s="3">
        <f t="shared" ref="EM123:FR123" si="113">EM153</f>
        <v>0</v>
      </c>
      <c r="EN123" s="3">
        <f t="shared" si="113"/>
        <v>0</v>
      </c>
      <c r="EO123" s="3">
        <f t="shared" si="113"/>
        <v>0</v>
      </c>
      <c r="EP123" s="3">
        <f t="shared" si="113"/>
        <v>0</v>
      </c>
      <c r="EQ123" s="3">
        <f t="shared" si="113"/>
        <v>0</v>
      </c>
      <c r="ER123" s="3">
        <f t="shared" si="113"/>
        <v>0</v>
      </c>
      <c r="ES123" s="3">
        <f t="shared" si="113"/>
        <v>0</v>
      </c>
      <c r="ET123" s="3">
        <f t="shared" si="113"/>
        <v>0</v>
      </c>
      <c r="EU123" s="3">
        <f t="shared" si="113"/>
        <v>0</v>
      </c>
      <c r="EV123" s="3">
        <f t="shared" si="113"/>
        <v>0</v>
      </c>
      <c r="EW123" s="3">
        <f t="shared" si="113"/>
        <v>0</v>
      </c>
      <c r="EX123" s="3">
        <f t="shared" si="113"/>
        <v>0</v>
      </c>
      <c r="EY123" s="3">
        <f t="shared" si="113"/>
        <v>0</v>
      </c>
      <c r="EZ123" s="3">
        <f t="shared" si="113"/>
        <v>0</v>
      </c>
      <c r="FA123" s="3">
        <f t="shared" si="113"/>
        <v>0</v>
      </c>
      <c r="FB123" s="3">
        <f t="shared" si="113"/>
        <v>0</v>
      </c>
      <c r="FC123" s="3">
        <f t="shared" si="113"/>
        <v>0</v>
      </c>
      <c r="FD123" s="3">
        <f t="shared" si="113"/>
        <v>0</v>
      </c>
      <c r="FE123" s="3">
        <f t="shared" si="113"/>
        <v>0</v>
      </c>
      <c r="FF123" s="3">
        <f t="shared" si="113"/>
        <v>0</v>
      </c>
      <c r="FG123" s="3">
        <f t="shared" si="113"/>
        <v>0</v>
      </c>
      <c r="FH123" s="3">
        <f t="shared" si="113"/>
        <v>0</v>
      </c>
      <c r="FI123" s="3">
        <f t="shared" si="113"/>
        <v>0</v>
      </c>
      <c r="FJ123" s="3">
        <f t="shared" si="113"/>
        <v>0</v>
      </c>
      <c r="FK123" s="3">
        <f t="shared" si="113"/>
        <v>0</v>
      </c>
      <c r="FL123" s="3">
        <f t="shared" si="113"/>
        <v>0</v>
      </c>
      <c r="FM123" s="3">
        <f t="shared" si="113"/>
        <v>0</v>
      </c>
      <c r="FN123" s="3">
        <f t="shared" si="113"/>
        <v>0</v>
      </c>
      <c r="FO123" s="3">
        <f t="shared" si="113"/>
        <v>0</v>
      </c>
      <c r="FP123" s="3">
        <f t="shared" si="113"/>
        <v>0</v>
      </c>
      <c r="FQ123" s="3">
        <f t="shared" si="113"/>
        <v>0</v>
      </c>
      <c r="FR123" s="3">
        <f t="shared" si="113"/>
        <v>0</v>
      </c>
      <c r="FS123" s="3">
        <f t="shared" ref="FS123:GX123" si="114">FS153</f>
        <v>0</v>
      </c>
      <c r="FT123" s="3">
        <f t="shared" si="114"/>
        <v>0</v>
      </c>
      <c r="FU123" s="3">
        <f t="shared" si="114"/>
        <v>0</v>
      </c>
      <c r="FV123" s="3">
        <f t="shared" si="114"/>
        <v>0</v>
      </c>
      <c r="FW123" s="3">
        <f t="shared" si="114"/>
        <v>0</v>
      </c>
      <c r="FX123" s="3">
        <f t="shared" si="114"/>
        <v>0</v>
      </c>
      <c r="FY123" s="3">
        <f t="shared" si="114"/>
        <v>0</v>
      </c>
      <c r="FZ123" s="3">
        <f t="shared" si="114"/>
        <v>0</v>
      </c>
      <c r="GA123" s="3">
        <f t="shared" si="114"/>
        <v>0</v>
      </c>
      <c r="GB123" s="3">
        <f t="shared" si="114"/>
        <v>0</v>
      </c>
      <c r="GC123" s="3">
        <f t="shared" si="114"/>
        <v>0</v>
      </c>
      <c r="GD123" s="3">
        <f t="shared" si="114"/>
        <v>0</v>
      </c>
      <c r="GE123" s="3">
        <f t="shared" si="114"/>
        <v>0</v>
      </c>
      <c r="GF123" s="3">
        <f t="shared" si="114"/>
        <v>0</v>
      </c>
      <c r="GG123" s="3">
        <f t="shared" si="114"/>
        <v>0</v>
      </c>
      <c r="GH123" s="3">
        <f t="shared" si="114"/>
        <v>0</v>
      </c>
      <c r="GI123" s="3">
        <f t="shared" si="114"/>
        <v>0</v>
      </c>
      <c r="GJ123" s="3">
        <f t="shared" si="114"/>
        <v>0</v>
      </c>
      <c r="GK123" s="3">
        <f t="shared" si="114"/>
        <v>0</v>
      </c>
      <c r="GL123" s="3">
        <f t="shared" si="114"/>
        <v>0</v>
      </c>
      <c r="GM123" s="3">
        <f t="shared" si="114"/>
        <v>0</v>
      </c>
      <c r="GN123" s="3">
        <f t="shared" si="114"/>
        <v>0</v>
      </c>
      <c r="GO123" s="3">
        <f t="shared" si="114"/>
        <v>0</v>
      </c>
      <c r="GP123" s="3">
        <f t="shared" si="114"/>
        <v>0</v>
      </c>
      <c r="GQ123" s="3">
        <f t="shared" si="114"/>
        <v>0</v>
      </c>
      <c r="GR123" s="3">
        <f t="shared" si="114"/>
        <v>0</v>
      </c>
      <c r="GS123" s="3">
        <f t="shared" si="114"/>
        <v>0</v>
      </c>
      <c r="GT123" s="3">
        <f t="shared" si="114"/>
        <v>0</v>
      </c>
      <c r="GU123" s="3">
        <f t="shared" si="114"/>
        <v>0</v>
      </c>
      <c r="GV123" s="3">
        <f t="shared" si="114"/>
        <v>0</v>
      </c>
      <c r="GW123" s="3">
        <f t="shared" si="114"/>
        <v>0</v>
      </c>
      <c r="GX123" s="3">
        <f t="shared" si="114"/>
        <v>0</v>
      </c>
    </row>
    <row r="125" spans="1:245" x14ac:dyDescent="0.2">
      <c r="A125">
        <v>17</v>
      </c>
      <c r="B125">
        <v>1</v>
      </c>
      <c r="E125" t="s">
        <v>15</v>
      </c>
      <c r="F125" t="s">
        <v>200</v>
      </c>
      <c r="G125" t="s">
        <v>201</v>
      </c>
      <c r="H125" t="s">
        <v>202</v>
      </c>
      <c r="I125">
        <v>0</v>
      </c>
      <c r="J125">
        <v>0</v>
      </c>
      <c r="O125">
        <f t="shared" ref="O125:O151" si="115">ROUND(CP125,2)</f>
        <v>0</v>
      </c>
      <c r="P125">
        <f t="shared" ref="P125:P147" si="116">ROUND((ROUND((AC125*AW125*I125),2)*BC125),2)</f>
        <v>0</v>
      </c>
      <c r="Q125">
        <f t="shared" ref="Q125:Q147" si="117">(ROUND((ROUND(((ET125)*AV125*I125),2)*BB125),2)+ROUND((ROUND(((AE125-(EU125))*AV125*I125),2)*BS125),2))</f>
        <v>0</v>
      </c>
      <c r="R125">
        <f t="shared" ref="R125:R147" si="118">ROUND((ROUND((AE125*AV125*I125),2)*BS125),2)</f>
        <v>0</v>
      </c>
      <c r="S125">
        <f t="shared" ref="S125:S147" si="119">ROUND((ROUND((AF125*AV125*I125),2)*BA125),2)</f>
        <v>0</v>
      </c>
      <c r="T125">
        <f t="shared" ref="T125:T151" si="120">ROUND(CU125*I125,2)</f>
        <v>0</v>
      </c>
      <c r="U125">
        <f t="shared" ref="U125:U151" si="121">CV125*I125</f>
        <v>0</v>
      </c>
      <c r="V125">
        <f t="shared" ref="V125:V151" si="122">CW125*I125</f>
        <v>0</v>
      </c>
      <c r="W125">
        <f t="shared" ref="W125:W151" si="123">ROUND(CX125*I125,2)</f>
        <v>0</v>
      </c>
      <c r="X125">
        <f t="shared" ref="X125:X151" si="124">ROUND(CY125,2)</f>
        <v>0</v>
      </c>
      <c r="Y125">
        <f t="shared" ref="Y125:Y151" si="125">ROUND(CZ125,2)</f>
        <v>0</v>
      </c>
      <c r="AA125">
        <v>45723533</v>
      </c>
      <c r="AB125">
        <f t="shared" ref="AB125:AB151" si="126">ROUND((AC125+AD125+AF125),6)</f>
        <v>256.89999999999998</v>
      </c>
      <c r="AC125">
        <f t="shared" ref="AC125:AC151" si="127">ROUND((ES125),6)</f>
        <v>256.89999999999998</v>
      </c>
      <c r="AD125">
        <f t="shared" ref="AD125:AD147" si="128">ROUND((((ET125)-(EU125))+AE125),6)</f>
        <v>0</v>
      </c>
      <c r="AE125">
        <f t="shared" ref="AE125:AE151" si="129">ROUND((EU125),6)</f>
        <v>0</v>
      </c>
      <c r="AF125">
        <f t="shared" ref="AF125:AF151" si="130">ROUND((EV125),6)</f>
        <v>0</v>
      </c>
      <c r="AG125">
        <f t="shared" ref="AG125:AG151" si="131">ROUND((AP125),6)</f>
        <v>0</v>
      </c>
      <c r="AH125">
        <f t="shared" ref="AH125:AH151" si="132">(EW125)</f>
        <v>0</v>
      </c>
      <c r="AI125">
        <f t="shared" ref="AI125:AI151" si="133">(EX125)</f>
        <v>0</v>
      </c>
      <c r="AJ125">
        <f t="shared" ref="AJ125:AJ151" si="134">(AS125)</f>
        <v>0</v>
      </c>
      <c r="AK125">
        <v>256.89999999999998</v>
      </c>
      <c r="AL125">
        <v>256.89999999999998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v>3.58</v>
      </c>
      <c r="BD125" t="s">
        <v>3</v>
      </c>
      <c r="BE125" t="s">
        <v>3</v>
      </c>
      <c r="BF125" t="s">
        <v>3</v>
      </c>
      <c r="BG125" t="s">
        <v>3</v>
      </c>
      <c r="BH125">
        <v>3</v>
      </c>
      <c r="BI125">
        <v>2</v>
      </c>
      <c r="BJ125" t="s">
        <v>203</v>
      </c>
      <c r="BM125">
        <v>1618</v>
      </c>
      <c r="BN125">
        <v>0</v>
      </c>
      <c r="BO125" t="s">
        <v>200</v>
      </c>
      <c r="BP125">
        <v>1</v>
      </c>
      <c r="BQ125">
        <v>201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0</v>
      </c>
      <c r="CA125">
        <v>0</v>
      </c>
      <c r="CE125">
        <v>30</v>
      </c>
      <c r="CF125">
        <v>0</v>
      </c>
      <c r="CG125">
        <v>0</v>
      </c>
      <c r="CM125">
        <v>0</v>
      </c>
      <c r="CN125" t="s">
        <v>3</v>
      </c>
      <c r="CO125">
        <v>0</v>
      </c>
      <c r="CP125">
        <f t="shared" ref="CP125:CP151" si="135">(P125+Q125+S125)</f>
        <v>0</v>
      </c>
      <c r="CQ125">
        <f t="shared" ref="CQ125:CQ147" si="136">ROUND((ROUND((AC125*AW125*1),2)*BC125),2)</f>
        <v>919.7</v>
      </c>
      <c r="CR125">
        <f t="shared" ref="CR125:CR147" si="137">(ROUND((ROUND(((ET125)*AV125*1),2)*BB125),2)+ROUND((ROUND(((AE125-(EU125))*AV125*1),2)*BS125),2))</f>
        <v>0</v>
      </c>
      <c r="CS125">
        <f t="shared" ref="CS125:CS147" si="138">ROUND((ROUND((AE125*AV125*1),2)*BS125),2)</f>
        <v>0</v>
      </c>
      <c r="CT125">
        <f t="shared" ref="CT125:CT147" si="139">ROUND((ROUND((AF125*AV125*1),2)*BA125),2)</f>
        <v>0</v>
      </c>
      <c r="CU125">
        <f t="shared" ref="CU125:CU151" si="140">AG125</f>
        <v>0</v>
      </c>
      <c r="CV125">
        <f t="shared" ref="CV125:CV147" si="141">(AH125*AV125)</f>
        <v>0</v>
      </c>
      <c r="CW125">
        <f t="shared" ref="CW125:CW151" si="142">AI125</f>
        <v>0</v>
      </c>
      <c r="CX125">
        <f t="shared" ref="CX125:CX151" si="143">AJ125</f>
        <v>0</v>
      </c>
      <c r="CY125">
        <f t="shared" ref="CY125:CY151" si="144">S125*(BZ125/100)</f>
        <v>0</v>
      </c>
      <c r="CZ125">
        <f t="shared" ref="CZ125:CZ151" si="145">S125*(CA125/100)</f>
        <v>0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1010</v>
      </c>
      <c r="DV125" t="s">
        <v>202</v>
      </c>
      <c r="DW125" t="s">
        <v>202</v>
      </c>
      <c r="DX125">
        <v>1</v>
      </c>
      <c r="EE125">
        <v>42514933</v>
      </c>
      <c r="EF125">
        <v>201</v>
      </c>
      <c r="EG125" t="s">
        <v>204</v>
      </c>
      <c r="EH125">
        <v>0</v>
      </c>
      <c r="EI125" t="s">
        <v>3</v>
      </c>
      <c r="EJ125">
        <v>2</v>
      </c>
      <c r="EK125">
        <v>1618</v>
      </c>
      <c r="EL125" t="s">
        <v>205</v>
      </c>
      <c r="EM125" t="s">
        <v>206</v>
      </c>
      <c r="EO125" t="s">
        <v>3</v>
      </c>
      <c r="EQ125">
        <v>0</v>
      </c>
      <c r="ER125">
        <v>256.89999999999998</v>
      </c>
      <c r="ES125">
        <v>256.89999999999998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FQ125">
        <v>0</v>
      </c>
      <c r="FR125">
        <f t="shared" ref="FR125:FR151" si="146">ROUND(IF(AND(BH125=3,BI125=3),P125,0),2)</f>
        <v>0</v>
      </c>
      <c r="FS125">
        <v>0</v>
      </c>
      <c r="FX125">
        <v>0</v>
      </c>
      <c r="FY125">
        <v>0</v>
      </c>
      <c r="GA125" t="s">
        <v>3</v>
      </c>
      <c r="GD125">
        <v>0</v>
      </c>
      <c r="GF125">
        <v>-31680573</v>
      </c>
      <c r="GG125">
        <v>2</v>
      </c>
      <c r="GH125">
        <v>1</v>
      </c>
      <c r="GI125">
        <v>2</v>
      </c>
      <c r="GJ125">
        <v>0</v>
      </c>
      <c r="GK125">
        <f>ROUND(R125*(R12)/100,2)</f>
        <v>0</v>
      </c>
      <c r="GL125">
        <f t="shared" ref="GL125:GL151" si="147">ROUND(IF(AND(BH125=3,BI125=3,FS125&lt;&gt;0),P125,0),2)</f>
        <v>0</v>
      </c>
      <c r="GM125">
        <f t="shared" ref="GM125:GM151" si="148">ROUND(O125+X125+Y125+GK125,2)+GX125</f>
        <v>0</v>
      </c>
      <c r="GN125">
        <f t="shared" ref="GN125:GN151" si="149">IF(OR(BI125=0,BI125=1),ROUND(O125+X125+Y125+GK125,2),0)</f>
        <v>0</v>
      </c>
      <c r="GO125">
        <f t="shared" ref="GO125:GO151" si="150">IF(BI125=2,ROUND(O125+X125+Y125+GK125,2),0)</f>
        <v>0</v>
      </c>
      <c r="GP125">
        <f t="shared" ref="GP125:GP151" si="151">IF(BI125=4,ROUND(O125+X125+Y125+GK125,2)+GX125,0)</f>
        <v>0</v>
      </c>
      <c r="GR125">
        <v>0</v>
      </c>
      <c r="GS125">
        <v>3</v>
      </c>
      <c r="GT125">
        <v>0</v>
      </c>
      <c r="GU125" t="s">
        <v>3</v>
      </c>
      <c r="GV125">
        <f t="shared" ref="GV125:GV151" si="152">ROUND((GT125),6)</f>
        <v>0</v>
      </c>
      <c r="GW125">
        <v>1</v>
      </c>
      <c r="GX125">
        <f t="shared" ref="GX125:GX151" si="153">ROUND(HC125*I125,2)</f>
        <v>0</v>
      </c>
      <c r="HA125">
        <v>0</v>
      </c>
      <c r="HB125">
        <v>0</v>
      </c>
      <c r="HC125">
        <f t="shared" ref="HC125:HC151" si="154">GV125*GW125</f>
        <v>0</v>
      </c>
      <c r="IK125">
        <v>0</v>
      </c>
    </row>
    <row r="126" spans="1:245" x14ac:dyDescent="0.2">
      <c r="A126">
        <v>17</v>
      </c>
      <c r="B126">
        <v>1</v>
      </c>
      <c r="E126" t="s">
        <v>182</v>
      </c>
      <c r="F126" t="s">
        <v>207</v>
      </c>
      <c r="G126" t="s">
        <v>208</v>
      </c>
      <c r="H126" t="s">
        <v>202</v>
      </c>
      <c r="I126">
        <v>3</v>
      </c>
      <c r="J126">
        <v>0</v>
      </c>
      <c r="O126">
        <f t="shared" si="115"/>
        <v>3466.68</v>
      </c>
      <c r="P126">
        <f t="shared" si="116"/>
        <v>3466.68</v>
      </c>
      <c r="Q126">
        <f t="shared" si="117"/>
        <v>0</v>
      </c>
      <c r="R126">
        <f t="shared" si="118"/>
        <v>0</v>
      </c>
      <c r="S126">
        <f t="shared" si="119"/>
        <v>0</v>
      </c>
      <c r="T126">
        <f t="shared" si="120"/>
        <v>0</v>
      </c>
      <c r="U126">
        <f t="shared" si="121"/>
        <v>0</v>
      </c>
      <c r="V126">
        <f t="shared" si="122"/>
        <v>0</v>
      </c>
      <c r="W126">
        <f t="shared" si="123"/>
        <v>0</v>
      </c>
      <c r="X126">
        <f t="shared" si="124"/>
        <v>0</v>
      </c>
      <c r="Y126">
        <f t="shared" si="125"/>
        <v>0</v>
      </c>
      <c r="AA126">
        <v>45723533</v>
      </c>
      <c r="AB126">
        <f t="shared" si="126"/>
        <v>295.54000000000002</v>
      </c>
      <c r="AC126">
        <f t="shared" si="127"/>
        <v>295.54000000000002</v>
      </c>
      <c r="AD126">
        <f t="shared" si="128"/>
        <v>0</v>
      </c>
      <c r="AE126">
        <f t="shared" si="129"/>
        <v>0</v>
      </c>
      <c r="AF126">
        <f t="shared" si="130"/>
        <v>0</v>
      </c>
      <c r="AG126">
        <f t="shared" si="131"/>
        <v>0</v>
      </c>
      <c r="AH126">
        <f t="shared" si="132"/>
        <v>0</v>
      </c>
      <c r="AI126">
        <f t="shared" si="133"/>
        <v>0</v>
      </c>
      <c r="AJ126">
        <f t="shared" si="134"/>
        <v>0</v>
      </c>
      <c r="AK126">
        <v>295.54000000000002</v>
      </c>
      <c r="AL126">
        <v>295.54000000000002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1</v>
      </c>
      <c r="AW126">
        <v>1</v>
      </c>
      <c r="AZ126">
        <v>1</v>
      </c>
      <c r="BA126">
        <v>1</v>
      </c>
      <c r="BB126">
        <v>1</v>
      </c>
      <c r="BC126">
        <v>3.91</v>
      </c>
      <c r="BD126" t="s">
        <v>3</v>
      </c>
      <c r="BE126" t="s">
        <v>3</v>
      </c>
      <c r="BF126" t="s">
        <v>3</v>
      </c>
      <c r="BG126" t="s">
        <v>3</v>
      </c>
      <c r="BH126">
        <v>3</v>
      </c>
      <c r="BI126">
        <v>2</v>
      </c>
      <c r="BJ126" t="s">
        <v>209</v>
      </c>
      <c r="BM126">
        <v>1618</v>
      </c>
      <c r="BN126">
        <v>0</v>
      </c>
      <c r="BO126" t="s">
        <v>207</v>
      </c>
      <c r="BP126">
        <v>1</v>
      </c>
      <c r="BQ126">
        <v>201</v>
      </c>
      <c r="BR126">
        <v>0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3</v>
      </c>
      <c r="BZ126">
        <v>0</v>
      </c>
      <c r="CA126">
        <v>0</v>
      </c>
      <c r="CE126">
        <v>30</v>
      </c>
      <c r="CF126">
        <v>0</v>
      </c>
      <c r="CG126">
        <v>0</v>
      </c>
      <c r="CM126">
        <v>0</v>
      </c>
      <c r="CN126" t="s">
        <v>3</v>
      </c>
      <c r="CO126">
        <v>0</v>
      </c>
      <c r="CP126">
        <f t="shared" si="135"/>
        <v>3466.68</v>
      </c>
      <c r="CQ126">
        <f t="shared" si="136"/>
        <v>1155.56</v>
      </c>
      <c r="CR126">
        <f t="shared" si="137"/>
        <v>0</v>
      </c>
      <c r="CS126">
        <f t="shared" si="138"/>
        <v>0</v>
      </c>
      <c r="CT126">
        <f t="shared" si="139"/>
        <v>0</v>
      </c>
      <c r="CU126">
        <f t="shared" si="140"/>
        <v>0</v>
      </c>
      <c r="CV126">
        <f t="shared" si="141"/>
        <v>0</v>
      </c>
      <c r="CW126">
        <f t="shared" si="142"/>
        <v>0</v>
      </c>
      <c r="CX126">
        <f t="shared" si="143"/>
        <v>0</v>
      </c>
      <c r="CY126">
        <f t="shared" si="144"/>
        <v>0</v>
      </c>
      <c r="CZ126">
        <f t="shared" si="145"/>
        <v>0</v>
      </c>
      <c r="DC126" t="s">
        <v>3</v>
      </c>
      <c r="DD126" t="s">
        <v>3</v>
      </c>
      <c r="DE126" t="s">
        <v>3</v>
      </c>
      <c r="DF126" t="s">
        <v>3</v>
      </c>
      <c r="DG126" t="s">
        <v>3</v>
      </c>
      <c r="DH126" t="s">
        <v>3</v>
      </c>
      <c r="DI126" t="s">
        <v>3</v>
      </c>
      <c r="DJ126" t="s">
        <v>3</v>
      </c>
      <c r="DK126" t="s">
        <v>3</v>
      </c>
      <c r="DL126" t="s">
        <v>3</v>
      </c>
      <c r="DM126" t="s">
        <v>3</v>
      </c>
      <c r="DN126">
        <v>0</v>
      </c>
      <c r="DO126">
        <v>0</v>
      </c>
      <c r="DP126">
        <v>1</v>
      </c>
      <c r="DQ126">
        <v>1</v>
      </c>
      <c r="DU126">
        <v>1010</v>
      </c>
      <c r="DV126" t="s">
        <v>202</v>
      </c>
      <c r="DW126" t="s">
        <v>202</v>
      </c>
      <c r="DX126">
        <v>1</v>
      </c>
      <c r="EE126">
        <v>42514933</v>
      </c>
      <c r="EF126">
        <v>201</v>
      </c>
      <c r="EG126" t="s">
        <v>204</v>
      </c>
      <c r="EH126">
        <v>0</v>
      </c>
      <c r="EI126" t="s">
        <v>3</v>
      </c>
      <c r="EJ126">
        <v>2</v>
      </c>
      <c r="EK126">
        <v>1618</v>
      </c>
      <c r="EL126" t="s">
        <v>205</v>
      </c>
      <c r="EM126" t="s">
        <v>206</v>
      </c>
      <c r="EO126" t="s">
        <v>3</v>
      </c>
      <c r="EQ126">
        <v>131072</v>
      </c>
      <c r="ER126">
        <v>295.54000000000002</v>
      </c>
      <c r="ES126">
        <v>295.54000000000002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FQ126">
        <v>0</v>
      </c>
      <c r="FR126">
        <f t="shared" si="146"/>
        <v>0</v>
      </c>
      <c r="FS126">
        <v>0</v>
      </c>
      <c r="FX126">
        <v>0</v>
      </c>
      <c r="FY126">
        <v>0</v>
      </c>
      <c r="GA126" t="s">
        <v>3</v>
      </c>
      <c r="GD126">
        <v>0</v>
      </c>
      <c r="GF126">
        <v>-166357622</v>
      </c>
      <c r="GG126">
        <v>2</v>
      </c>
      <c r="GH126">
        <v>1</v>
      </c>
      <c r="GI126">
        <v>2</v>
      </c>
      <c r="GJ126">
        <v>0</v>
      </c>
      <c r="GK126">
        <f>ROUND(R126*(R12)/100,2)</f>
        <v>0</v>
      </c>
      <c r="GL126">
        <f t="shared" si="147"/>
        <v>0</v>
      </c>
      <c r="GM126">
        <f t="shared" si="148"/>
        <v>3466.68</v>
      </c>
      <c r="GN126">
        <f t="shared" si="149"/>
        <v>0</v>
      </c>
      <c r="GO126">
        <f t="shared" si="150"/>
        <v>3466.68</v>
      </c>
      <c r="GP126">
        <f t="shared" si="151"/>
        <v>0</v>
      </c>
      <c r="GR126">
        <v>0</v>
      </c>
      <c r="GS126">
        <v>3</v>
      </c>
      <c r="GT126">
        <v>0</v>
      </c>
      <c r="GU126" t="s">
        <v>3</v>
      </c>
      <c r="GV126">
        <f t="shared" si="152"/>
        <v>0</v>
      </c>
      <c r="GW126">
        <v>1</v>
      </c>
      <c r="GX126">
        <f t="shared" si="153"/>
        <v>0</v>
      </c>
      <c r="HA126">
        <v>0</v>
      </c>
      <c r="HB126">
        <v>0</v>
      </c>
      <c r="HC126">
        <f t="shared" si="154"/>
        <v>0</v>
      </c>
      <c r="IK126">
        <v>0</v>
      </c>
    </row>
    <row r="127" spans="1:245" x14ac:dyDescent="0.2">
      <c r="A127">
        <v>17</v>
      </c>
      <c r="B127">
        <v>1</v>
      </c>
      <c r="E127" t="s">
        <v>187</v>
      </c>
      <c r="F127" t="s">
        <v>210</v>
      </c>
      <c r="G127" t="s">
        <v>211</v>
      </c>
      <c r="H127" t="s">
        <v>202</v>
      </c>
      <c r="I127">
        <v>0</v>
      </c>
      <c r="J127">
        <v>0</v>
      </c>
      <c r="O127">
        <f t="shared" si="115"/>
        <v>0</v>
      </c>
      <c r="P127">
        <f t="shared" si="116"/>
        <v>0</v>
      </c>
      <c r="Q127">
        <f t="shared" si="117"/>
        <v>0</v>
      </c>
      <c r="R127">
        <f t="shared" si="118"/>
        <v>0</v>
      </c>
      <c r="S127">
        <f t="shared" si="119"/>
        <v>0</v>
      </c>
      <c r="T127">
        <f t="shared" si="120"/>
        <v>0</v>
      </c>
      <c r="U127">
        <f t="shared" si="121"/>
        <v>0</v>
      </c>
      <c r="V127">
        <f t="shared" si="122"/>
        <v>0</v>
      </c>
      <c r="W127">
        <f t="shared" si="123"/>
        <v>0</v>
      </c>
      <c r="X127">
        <f t="shared" si="124"/>
        <v>0</v>
      </c>
      <c r="Y127">
        <f t="shared" si="125"/>
        <v>0</v>
      </c>
      <c r="AA127">
        <v>45723533</v>
      </c>
      <c r="AB127">
        <f t="shared" si="126"/>
        <v>431.29</v>
      </c>
      <c r="AC127">
        <f t="shared" si="127"/>
        <v>431.29</v>
      </c>
      <c r="AD127">
        <f t="shared" si="128"/>
        <v>0</v>
      </c>
      <c r="AE127">
        <f t="shared" si="129"/>
        <v>0</v>
      </c>
      <c r="AF127">
        <f t="shared" si="130"/>
        <v>0</v>
      </c>
      <c r="AG127">
        <f t="shared" si="131"/>
        <v>0</v>
      </c>
      <c r="AH127">
        <f t="shared" si="132"/>
        <v>0</v>
      </c>
      <c r="AI127">
        <f t="shared" si="133"/>
        <v>0</v>
      </c>
      <c r="AJ127">
        <f t="shared" si="134"/>
        <v>0</v>
      </c>
      <c r="AK127">
        <v>431.29</v>
      </c>
      <c r="AL127">
        <v>431.29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3.9</v>
      </c>
      <c r="BD127" t="s">
        <v>3</v>
      </c>
      <c r="BE127" t="s">
        <v>3</v>
      </c>
      <c r="BF127" t="s">
        <v>3</v>
      </c>
      <c r="BG127" t="s">
        <v>3</v>
      </c>
      <c r="BH127">
        <v>3</v>
      </c>
      <c r="BI127">
        <v>2</v>
      </c>
      <c r="BJ127" t="s">
        <v>212</v>
      </c>
      <c r="BM127">
        <v>1618</v>
      </c>
      <c r="BN127">
        <v>0</v>
      </c>
      <c r="BO127" t="s">
        <v>210</v>
      </c>
      <c r="BP127">
        <v>1</v>
      </c>
      <c r="BQ127">
        <v>201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0</v>
      </c>
      <c r="CA127">
        <v>0</v>
      </c>
      <c r="CE127">
        <v>30</v>
      </c>
      <c r="CF127">
        <v>0</v>
      </c>
      <c r="CG127">
        <v>0</v>
      </c>
      <c r="CM127">
        <v>0</v>
      </c>
      <c r="CN127" t="s">
        <v>3</v>
      </c>
      <c r="CO127">
        <v>0</v>
      </c>
      <c r="CP127">
        <f t="shared" si="135"/>
        <v>0</v>
      </c>
      <c r="CQ127">
        <f t="shared" si="136"/>
        <v>1682.03</v>
      </c>
      <c r="CR127">
        <f t="shared" si="137"/>
        <v>0</v>
      </c>
      <c r="CS127">
        <f t="shared" si="138"/>
        <v>0</v>
      </c>
      <c r="CT127">
        <f t="shared" si="139"/>
        <v>0</v>
      </c>
      <c r="CU127">
        <f t="shared" si="140"/>
        <v>0</v>
      </c>
      <c r="CV127">
        <f t="shared" si="141"/>
        <v>0</v>
      </c>
      <c r="CW127">
        <f t="shared" si="142"/>
        <v>0</v>
      </c>
      <c r="CX127">
        <f t="shared" si="143"/>
        <v>0</v>
      </c>
      <c r="CY127">
        <f t="shared" si="144"/>
        <v>0</v>
      </c>
      <c r="CZ127">
        <f t="shared" si="145"/>
        <v>0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1010</v>
      </c>
      <c r="DV127" t="s">
        <v>202</v>
      </c>
      <c r="DW127" t="s">
        <v>202</v>
      </c>
      <c r="DX127">
        <v>1</v>
      </c>
      <c r="EE127">
        <v>42514933</v>
      </c>
      <c r="EF127">
        <v>201</v>
      </c>
      <c r="EG127" t="s">
        <v>204</v>
      </c>
      <c r="EH127">
        <v>0</v>
      </c>
      <c r="EI127" t="s">
        <v>3</v>
      </c>
      <c r="EJ127">
        <v>2</v>
      </c>
      <c r="EK127">
        <v>1618</v>
      </c>
      <c r="EL127" t="s">
        <v>205</v>
      </c>
      <c r="EM127" t="s">
        <v>206</v>
      </c>
      <c r="EO127" t="s">
        <v>3</v>
      </c>
      <c r="EQ127">
        <v>0</v>
      </c>
      <c r="ER127">
        <v>431.29</v>
      </c>
      <c r="ES127">
        <v>431.29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FQ127">
        <v>0</v>
      </c>
      <c r="FR127">
        <f t="shared" si="146"/>
        <v>0</v>
      </c>
      <c r="FS127">
        <v>0</v>
      </c>
      <c r="FX127">
        <v>0</v>
      </c>
      <c r="FY127">
        <v>0</v>
      </c>
      <c r="GA127" t="s">
        <v>3</v>
      </c>
      <c r="GD127">
        <v>0</v>
      </c>
      <c r="GF127">
        <v>-574009357</v>
      </c>
      <c r="GG127">
        <v>2</v>
      </c>
      <c r="GH127">
        <v>1</v>
      </c>
      <c r="GI127">
        <v>2</v>
      </c>
      <c r="GJ127">
        <v>0</v>
      </c>
      <c r="GK127">
        <f>ROUND(R127*(R12)/100,2)</f>
        <v>0</v>
      </c>
      <c r="GL127">
        <f t="shared" si="147"/>
        <v>0</v>
      </c>
      <c r="GM127">
        <f t="shared" si="148"/>
        <v>0</v>
      </c>
      <c r="GN127">
        <f t="shared" si="149"/>
        <v>0</v>
      </c>
      <c r="GO127">
        <f t="shared" si="150"/>
        <v>0</v>
      </c>
      <c r="GP127">
        <f t="shared" si="151"/>
        <v>0</v>
      </c>
      <c r="GR127">
        <v>0</v>
      </c>
      <c r="GS127">
        <v>3</v>
      </c>
      <c r="GT127">
        <v>0</v>
      </c>
      <c r="GU127" t="s">
        <v>3</v>
      </c>
      <c r="GV127">
        <f t="shared" si="152"/>
        <v>0</v>
      </c>
      <c r="GW127">
        <v>1</v>
      </c>
      <c r="GX127">
        <f t="shared" si="153"/>
        <v>0</v>
      </c>
      <c r="HA127">
        <v>0</v>
      </c>
      <c r="HB127">
        <v>0</v>
      </c>
      <c r="HC127">
        <f t="shared" si="154"/>
        <v>0</v>
      </c>
      <c r="IK127">
        <v>0</v>
      </c>
    </row>
    <row r="128" spans="1:245" x14ac:dyDescent="0.2">
      <c r="A128">
        <v>17</v>
      </c>
      <c r="B128">
        <v>1</v>
      </c>
      <c r="E128" t="s">
        <v>192</v>
      </c>
      <c r="F128" t="s">
        <v>213</v>
      </c>
      <c r="G128" t="s">
        <v>214</v>
      </c>
      <c r="H128" t="s">
        <v>202</v>
      </c>
      <c r="I128">
        <v>0</v>
      </c>
      <c r="J128">
        <v>0</v>
      </c>
      <c r="O128">
        <f t="shared" si="115"/>
        <v>0</v>
      </c>
      <c r="P128">
        <f t="shared" si="116"/>
        <v>0</v>
      </c>
      <c r="Q128">
        <f t="shared" si="117"/>
        <v>0</v>
      </c>
      <c r="R128">
        <f t="shared" si="118"/>
        <v>0</v>
      </c>
      <c r="S128">
        <f t="shared" si="119"/>
        <v>0</v>
      </c>
      <c r="T128">
        <f t="shared" si="120"/>
        <v>0</v>
      </c>
      <c r="U128">
        <f t="shared" si="121"/>
        <v>0</v>
      </c>
      <c r="V128">
        <f t="shared" si="122"/>
        <v>0</v>
      </c>
      <c r="W128">
        <f t="shared" si="123"/>
        <v>0</v>
      </c>
      <c r="X128">
        <f t="shared" si="124"/>
        <v>0</v>
      </c>
      <c r="Y128">
        <f t="shared" si="125"/>
        <v>0</v>
      </c>
      <c r="AA128">
        <v>45723533</v>
      </c>
      <c r="AB128">
        <f t="shared" si="126"/>
        <v>1914.55</v>
      </c>
      <c r="AC128">
        <f t="shared" si="127"/>
        <v>1914.55</v>
      </c>
      <c r="AD128">
        <f t="shared" si="128"/>
        <v>0</v>
      </c>
      <c r="AE128">
        <f t="shared" si="129"/>
        <v>0</v>
      </c>
      <c r="AF128">
        <f t="shared" si="130"/>
        <v>0</v>
      </c>
      <c r="AG128">
        <f t="shared" si="131"/>
        <v>0</v>
      </c>
      <c r="AH128">
        <f t="shared" si="132"/>
        <v>0</v>
      </c>
      <c r="AI128">
        <f t="shared" si="133"/>
        <v>0</v>
      </c>
      <c r="AJ128">
        <f t="shared" si="134"/>
        <v>0</v>
      </c>
      <c r="AK128">
        <v>1914.55</v>
      </c>
      <c r="AL128">
        <v>1914.55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1</v>
      </c>
      <c r="AW128">
        <v>1</v>
      </c>
      <c r="AZ128">
        <v>1</v>
      </c>
      <c r="BA128">
        <v>1</v>
      </c>
      <c r="BB128">
        <v>1</v>
      </c>
      <c r="BC128">
        <v>3.08</v>
      </c>
      <c r="BD128" t="s">
        <v>3</v>
      </c>
      <c r="BE128" t="s">
        <v>3</v>
      </c>
      <c r="BF128" t="s">
        <v>3</v>
      </c>
      <c r="BG128" t="s">
        <v>3</v>
      </c>
      <c r="BH128">
        <v>3</v>
      </c>
      <c r="BI128">
        <v>2</v>
      </c>
      <c r="BJ128" t="s">
        <v>215</v>
      </c>
      <c r="BM128">
        <v>1618</v>
      </c>
      <c r="BN128">
        <v>0</v>
      </c>
      <c r="BO128" t="s">
        <v>213</v>
      </c>
      <c r="BP128">
        <v>1</v>
      </c>
      <c r="BQ128">
        <v>201</v>
      </c>
      <c r="BR128">
        <v>0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</v>
      </c>
      <c r="BZ128">
        <v>0</v>
      </c>
      <c r="CA128">
        <v>0</v>
      </c>
      <c r="CE128">
        <v>30</v>
      </c>
      <c r="CF128">
        <v>0</v>
      </c>
      <c r="CG128">
        <v>0</v>
      </c>
      <c r="CM128">
        <v>0</v>
      </c>
      <c r="CN128" t="s">
        <v>3</v>
      </c>
      <c r="CO128">
        <v>0</v>
      </c>
      <c r="CP128">
        <f t="shared" si="135"/>
        <v>0</v>
      </c>
      <c r="CQ128">
        <f t="shared" si="136"/>
        <v>5896.81</v>
      </c>
      <c r="CR128">
        <f t="shared" si="137"/>
        <v>0</v>
      </c>
      <c r="CS128">
        <f t="shared" si="138"/>
        <v>0</v>
      </c>
      <c r="CT128">
        <f t="shared" si="139"/>
        <v>0</v>
      </c>
      <c r="CU128">
        <f t="shared" si="140"/>
        <v>0</v>
      </c>
      <c r="CV128">
        <f t="shared" si="141"/>
        <v>0</v>
      </c>
      <c r="CW128">
        <f t="shared" si="142"/>
        <v>0</v>
      </c>
      <c r="CX128">
        <f t="shared" si="143"/>
        <v>0</v>
      </c>
      <c r="CY128">
        <f t="shared" si="144"/>
        <v>0</v>
      </c>
      <c r="CZ128">
        <f t="shared" si="145"/>
        <v>0</v>
      </c>
      <c r="DC128" t="s">
        <v>3</v>
      </c>
      <c r="DD128" t="s">
        <v>3</v>
      </c>
      <c r="DE128" t="s">
        <v>3</v>
      </c>
      <c r="DF128" t="s">
        <v>3</v>
      </c>
      <c r="DG128" t="s">
        <v>3</v>
      </c>
      <c r="DH128" t="s">
        <v>3</v>
      </c>
      <c r="DI128" t="s">
        <v>3</v>
      </c>
      <c r="DJ128" t="s">
        <v>3</v>
      </c>
      <c r="DK128" t="s">
        <v>3</v>
      </c>
      <c r="DL128" t="s">
        <v>3</v>
      </c>
      <c r="DM128" t="s">
        <v>3</v>
      </c>
      <c r="DN128">
        <v>0</v>
      </c>
      <c r="DO128">
        <v>0</v>
      </c>
      <c r="DP128">
        <v>1</v>
      </c>
      <c r="DQ128">
        <v>1</v>
      </c>
      <c r="DU128">
        <v>1010</v>
      </c>
      <c r="DV128" t="s">
        <v>202</v>
      </c>
      <c r="DW128" t="s">
        <v>202</v>
      </c>
      <c r="DX128">
        <v>1</v>
      </c>
      <c r="EE128">
        <v>42514933</v>
      </c>
      <c r="EF128">
        <v>201</v>
      </c>
      <c r="EG128" t="s">
        <v>204</v>
      </c>
      <c r="EH128">
        <v>0</v>
      </c>
      <c r="EI128" t="s">
        <v>3</v>
      </c>
      <c r="EJ128">
        <v>2</v>
      </c>
      <c r="EK128">
        <v>1618</v>
      </c>
      <c r="EL128" t="s">
        <v>205</v>
      </c>
      <c r="EM128" t="s">
        <v>206</v>
      </c>
      <c r="EO128" t="s">
        <v>3</v>
      </c>
      <c r="EQ128">
        <v>0</v>
      </c>
      <c r="ER128">
        <v>1914.55</v>
      </c>
      <c r="ES128">
        <v>1914.55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FQ128">
        <v>0</v>
      </c>
      <c r="FR128">
        <f t="shared" si="146"/>
        <v>0</v>
      </c>
      <c r="FS128">
        <v>0</v>
      </c>
      <c r="FX128">
        <v>0</v>
      </c>
      <c r="FY128">
        <v>0</v>
      </c>
      <c r="GA128" t="s">
        <v>3</v>
      </c>
      <c r="GD128">
        <v>0</v>
      </c>
      <c r="GF128">
        <v>1764495316</v>
      </c>
      <c r="GG128">
        <v>2</v>
      </c>
      <c r="GH128">
        <v>1</v>
      </c>
      <c r="GI128">
        <v>2</v>
      </c>
      <c r="GJ128">
        <v>0</v>
      </c>
      <c r="GK128">
        <f>ROUND(R128*(R12)/100,2)</f>
        <v>0</v>
      </c>
      <c r="GL128">
        <f t="shared" si="147"/>
        <v>0</v>
      </c>
      <c r="GM128">
        <f t="shared" si="148"/>
        <v>0</v>
      </c>
      <c r="GN128">
        <f t="shared" si="149"/>
        <v>0</v>
      </c>
      <c r="GO128">
        <f t="shared" si="150"/>
        <v>0</v>
      </c>
      <c r="GP128">
        <f t="shared" si="151"/>
        <v>0</v>
      </c>
      <c r="GR128">
        <v>0</v>
      </c>
      <c r="GS128">
        <v>3</v>
      </c>
      <c r="GT128">
        <v>0</v>
      </c>
      <c r="GU128" t="s">
        <v>3</v>
      </c>
      <c r="GV128">
        <f t="shared" si="152"/>
        <v>0</v>
      </c>
      <c r="GW128">
        <v>1</v>
      </c>
      <c r="GX128">
        <f t="shared" si="153"/>
        <v>0</v>
      </c>
      <c r="HA128">
        <v>0</v>
      </c>
      <c r="HB128">
        <v>0</v>
      </c>
      <c r="HC128">
        <f t="shared" si="154"/>
        <v>0</v>
      </c>
      <c r="IK128">
        <v>0</v>
      </c>
    </row>
    <row r="129" spans="1:245" x14ac:dyDescent="0.2">
      <c r="A129">
        <v>17</v>
      </c>
      <c r="B129">
        <v>1</v>
      </c>
      <c r="E129" t="s">
        <v>216</v>
      </c>
      <c r="F129" t="s">
        <v>217</v>
      </c>
      <c r="G129" t="s">
        <v>218</v>
      </c>
      <c r="H129" t="s">
        <v>202</v>
      </c>
      <c r="I129">
        <v>0</v>
      </c>
      <c r="J129">
        <v>0</v>
      </c>
      <c r="O129">
        <f t="shared" si="115"/>
        <v>0</v>
      </c>
      <c r="P129">
        <f t="shared" si="116"/>
        <v>0</v>
      </c>
      <c r="Q129">
        <f t="shared" si="117"/>
        <v>0</v>
      </c>
      <c r="R129">
        <f t="shared" si="118"/>
        <v>0</v>
      </c>
      <c r="S129">
        <f t="shared" si="119"/>
        <v>0</v>
      </c>
      <c r="T129">
        <f t="shared" si="120"/>
        <v>0</v>
      </c>
      <c r="U129">
        <f t="shared" si="121"/>
        <v>0</v>
      </c>
      <c r="V129">
        <f t="shared" si="122"/>
        <v>0</v>
      </c>
      <c r="W129">
        <f t="shared" si="123"/>
        <v>0</v>
      </c>
      <c r="X129">
        <f t="shared" si="124"/>
        <v>0</v>
      </c>
      <c r="Y129">
        <f t="shared" si="125"/>
        <v>0</v>
      </c>
      <c r="AA129">
        <v>45723533</v>
      </c>
      <c r="AB129">
        <f t="shared" si="126"/>
        <v>290.45999999999998</v>
      </c>
      <c r="AC129">
        <f t="shared" si="127"/>
        <v>290.45999999999998</v>
      </c>
      <c r="AD129">
        <f t="shared" si="128"/>
        <v>0</v>
      </c>
      <c r="AE129">
        <f t="shared" si="129"/>
        <v>0</v>
      </c>
      <c r="AF129">
        <f t="shared" si="130"/>
        <v>0</v>
      </c>
      <c r="AG129">
        <f t="shared" si="131"/>
        <v>0</v>
      </c>
      <c r="AH129">
        <f t="shared" si="132"/>
        <v>0</v>
      </c>
      <c r="AI129">
        <f t="shared" si="133"/>
        <v>0</v>
      </c>
      <c r="AJ129">
        <f t="shared" si="134"/>
        <v>0</v>
      </c>
      <c r="AK129">
        <v>290.45999999999998</v>
      </c>
      <c r="AL129">
        <v>290.45999999999998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2.2799999999999998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2</v>
      </c>
      <c r="BJ129" t="s">
        <v>219</v>
      </c>
      <c r="BM129">
        <v>1618</v>
      </c>
      <c r="BN129">
        <v>0</v>
      </c>
      <c r="BO129" t="s">
        <v>217</v>
      </c>
      <c r="BP129">
        <v>1</v>
      </c>
      <c r="BQ129">
        <v>201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0</v>
      </c>
      <c r="CA129">
        <v>0</v>
      </c>
      <c r="CE129">
        <v>30</v>
      </c>
      <c r="CF129">
        <v>0</v>
      </c>
      <c r="CG129">
        <v>0</v>
      </c>
      <c r="CM129">
        <v>0</v>
      </c>
      <c r="CN129" t="s">
        <v>3</v>
      </c>
      <c r="CO129">
        <v>0</v>
      </c>
      <c r="CP129">
        <f t="shared" si="135"/>
        <v>0</v>
      </c>
      <c r="CQ129">
        <f t="shared" si="136"/>
        <v>662.25</v>
      </c>
      <c r="CR129">
        <f t="shared" si="137"/>
        <v>0</v>
      </c>
      <c r="CS129">
        <f t="shared" si="138"/>
        <v>0</v>
      </c>
      <c r="CT129">
        <f t="shared" si="139"/>
        <v>0</v>
      </c>
      <c r="CU129">
        <f t="shared" si="140"/>
        <v>0</v>
      </c>
      <c r="CV129">
        <f t="shared" si="141"/>
        <v>0</v>
      </c>
      <c r="CW129">
        <f t="shared" si="142"/>
        <v>0</v>
      </c>
      <c r="CX129">
        <f t="shared" si="143"/>
        <v>0</v>
      </c>
      <c r="CY129">
        <f t="shared" si="144"/>
        <v>0</v>
      </c>
      <c r="CZ129">
        <f t="shared" si="145"/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1010</v>
      </c>
      <c r="DV129" t="s">
        <v>202</v>
      </c>
      <c r="DW129" t="s">
        <v>202</v>
      </c>
      <c r="DX129">
        <v>1</v>
      </c>
      <c r="EE129">
        <v>42514933</v>
      </c>
      <c r="EF129">
        <v>201</v>
      </c>
      <c r="EG129" t="s">
        <v>204</v>
      </c>
      <c r="EH129">
        <v>0</v>
      </c>
      <c r="EI129" t="s">
        <v>3</v>
      </c>
      <c r="EJ129">
        <v>2</v>
      </c>
      <c r="EK129">
        <v>1618</v>
      </c>
      <c r="EL129" t="s">
        <v>205</v>
      </c>
      <c r="EM129" t="s">
        <v>206</v>
      </c>
      <c r="EO129" t="s">
        <v>3</v>
      </c>
      <c r="EQ129">
        <v>0</v>
      </c>
      <c r="ER129">
        <v>290.45999999999998</v>
      </c>
      <c r="ES129">
        <v>290.45999999999998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FQ129">
        <v>0</v>
      </c>
      <c r="FR129">
        <f t="shared" si="146"/>
        <v>0</v>
      </c>
      <c r="FS129">
        <v>0</v>
      </c>
      <c r="FX129">
        <v>0</v>
      </c>
      <c r="FY129">
        <v>0</v>
      </c>
      <c r="GA129" t="s">
        <v>3</v>
      </c>
      <c r="GD129">
        <v>0</v>
      </c>
      <c r="GF129">
        <v>248294623</v>
      </c>
      <c r="GG129">
        <v>2</v>
      </c>
      <c r="GH129">
        <v>1</v>
      </c>
      <c r="GI129">
        <v>2</v>
      </c>
      <c r="GJ129">
        <v>0</v>
      </c>
      <c r="GK129">
        <f>ROUND(R129*(R12)/100,2)</f>
        <v>0</v>
      </c>
      <c r="GL129">
        <f t="shared" si="147"/>
        <v>0</v>
      </c>
      <c r="GM129">
        <f t="shared" si="148"/>
        <v>0</v>
      </c>
      <c r="GN129">
        <f t="shared" si="149"/>
        <v>0</v>
      </c>
      <c r="GO129">
        <f t="shared" si="150"/>
        <v>0</v>
      </c>
      <c r="GP129">
        <f t="shared" si="151"/>
        <v>0</v>
      </c>
      <c r="GR129">
        <v>0</v>
      </c>
      <c r="GS129">
        <v>3</v>
      </c>
      <c r="GT129">
        <v>0</v>
      </c>
      <c r="GU129" t="s">
        <v>3</v>
      </c>
      <c r="GV129">
        <f t="shared" si="152"/>
        <v>0</v>
      </c>
      <c r="GW129">
        <v>1</v>
      </c>
      <c r="GX129">
        <f t="shared" si="153"/>
        <v>0</v>
      </c>
      <c r="HA129">
        <v>0</v>
      </c>
      <c r="HB129">
        <v>0</v>
      </c>
      <c r="HC129">
        <f t="shared" si="154"/>
        <v>0</v>
      </c>
      <c r="IK129">
        <v>0</v>
      </c>
    </row>
    <row r="130" spans="1:245" x14ac:dyDescent="0.2">
      <c r="A130">
        <v>17</v>
      </c>
      <c r="B130">
        <v>1</v>
      </c>
      <c r="E130" t="s">
        <v>220</v>
      </c>
      <c r="F130" t="s">
        <v>221</v>
      </c>
      <c r="G130" t="s">
        <v>222</v>
      </c>
      <c r="H130" t="s">
        <v>202</v>
      </c>
      <c r="I130">
        <v>0</v>
      </c>
      <c r="J130">
        <v>0</v>
      </c>
      <c r="O130">
        <f t="shared" si="115"/>
        <v>0</v>
      </c>
      <c r="P130">
        <f t="shared" si="116"/>
        <v>0</v>
      </c>
      <c r="Q130">
        <f t="shared" si="117"/>
        <v>0</v>
      </c>
      <c r="R130">
        <f t="shared" si="118"/>
        <v>0</v>
      </c>
      <c r="S130">
        <f t="shared" si="119"/>
        <v>0</v>
      </c>
      <c r="T130">
        <f t="shared" si="120"/>
        <v>0</v>
      </c>
      <c r="U130">
        <f t="shared" si="121"/>
        <v>0</v>
      </c>
      <c r="V130">
        <f t="shared" si="122"/>
        <v>0</v>
      </c>
      <c r="W130">
        <f t="shared" si="123"/>
        <v>0</v>
      </c>
      <c r="X130">
        <f t="shared" si="124"/>
        <v>0</v>
      </c>
      <c r="Y130">
        <f t="shared" si="125"/>
        <v>0</v>
      </c>
      <c r="AA130">
        <v>45723533</v>
      </c>
      <c r="AB130">
        <f t="shared" si="126"/>
        <v>89.19</v>
      </c>
      <c r="AC130">
        <f t="shared" si="127"/>
        <v>89.19</v>
      </c>
      <c r="AD130">
        <f t="shared" si="128"/>
        <v>0</v>
      </c>
      <c r="AE130">
        <f t="shared" si="129"/>
        <v>0</v>
      </c>
      <c r="AF130">
        <f t="shared" si="130"/>
        <v>0</v>
      </c>
      <c r="AG130">
        <f t="shared" si="131"/>
        <v>0</v>
      </c>
      <c r="AH130">
        <f t="shared" si="132"/>
        <v>0</v>
      </c>
      <c r="AI130">
        <f t="shared" si="133"/>
        <v>0</v>
      </c>
      <c r="AJ130">
        <f t="shared" si="134"/>
        <v>0</v>
      </c>
      <c r="AK130">
        <v>89.19</v>
      </c>
      <c r="AL130">
        <v>89.19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1</v>
      </c>
      <c r="AW130">
        <v>1</v>
      </c>
      <c r="AZ130">
        <v>1</v>
      </c>
      <c r="BA130">
        <v>1</v>
      </c>
      <c r="BB130">
        <v>1</v>
      </c>
      <c r="BC130">
        <v>3.86</v>
      </c>
      <c r="BD130" t="s">
        <v>3</v>
      </c>
      <c r="BE130" t="s">
        <v>3</v>
      </c>
      <c r="BF130" t="s">
        <v>3</v>
      </c>
      <c r="BG130" t="s">
        <v>3</v>
      </c>
      <c r="BH130">
        <v>3</v>
      </c>
      <c r="BI130">
        <v>2</v>
      </c>
      <c r="BJ130" t="s">
        <v>223</v>
      </c>
      <c r="BM130">
        <v>1618</v>
      </c>
      <c r="BN130">
        <v>0</v>
      </c>
      <c r="BO130" t="s">
        <v>221</v>
      </c>
      <c r="BP130">
        <v>1</v>
      </c>
      <c r="BQ130">
        <v>201</v>
      </c>
      <c r="BR130">
        <v>0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</v>
      </c>
      <c r="BZ130">
        <v>0</v>
      </c>
      <c r="CA130">
        <v>0</v>
      </c>
      <c r="CE130">
        <v>30</v>
      </c>
      <c r="CF130">
        <v>0</v>
      </c>
      <c r="CG130">
        <v>0</v>
      </c>
      <c r="CM130">
        <v>0</v>
      </c>
      <c r="CN130" t="s">
        <v>3</v>
      </c>
      <c r="CO130">
        <v>0</v>
      </c>
      <c r="CP130">
        <f t="shared" si="135"/>
        <v>0</v>
      </c>
      <c r="CQ130">
        <f t="shared" si="136"/>
        <v>344.27</v>
      </c>
      <c r="CR130">
        <f t="shared" si="137"/>
        <v>0</v>
      </c>
      <c r="CS130">
        <f t="shared" si="138"/>
        <v>0</v>
      </c>
      <c r="CT130">
        <f t="shared" si="139"/>
        <v>0</v>
      </c>
      <c r="CU130">
        <f t="shared" si="140"/>
        <v>0</v>
      </c>
      <c r="CV130">
        <f t="shared" si="141"/>
        <v>0</v>
      </c>
      <c r="CW130">
        <f t="shared" si="142"/>
        <v>0</v>
      </c>
      <c r="CX130">
        <f t="shared" si="143"/>
        <v>0</v>
      </c>
      <c r="CY130">
        <f t="shared" si="144"/>
        <v>0</v>
      </c>
      <c r="CZ130">
        <f t="shared" si="145"/>
        <v>0</v>
      </c>
      <c r="DC130" t="s">
        <v>3</v>
      </c>
      <c r="DD130" t="s">
        <v>3</v>
      </c>
      <c r="DE130" t="s">
        <v>3</v>
      </c>
      <c r="DF130" t="s">
        <v>3</v>
      </c>
      <c r="DG130" t="s">
        <v>3</v>
      </c>
      <c r="DH130" t="s">
        <v>3</v>
      </c>
      <c r="DI130" t="s">
        <v>3</v>
      </c>
      <c r="DJ130" t="s">
        <v>3</v>
      </c>
      <c r="DK130" t="s">
        <v>3</v>
      </c>
      <c r="DL130" t="s">
        <v>3</v>
      </c>
      <c r="DM130" t="s">
        <v>3</v>
      </c>
      <c r="DN130">
        <v>0</v>
      </c>
      <c r="DO130">
        <v>0</v>
      </c>
      <c r="DP130">
        <v>1</v>
      </c>
      <c r="DQ130">
        <v>1</v>
      </c>
      <c r="DU130">
        <v>1010</v>
      </c>
      <c r="DV130" t="s">
        <v>202</v>
      </c>
      <c r="DW130" t="s">
        <v>202</v>
      </c>
      <c r="DX130">
        <v>1</v>
      </c>
      <c r="EE130">
        <v>42514933</v>
      </c>
      <c r="EF130">
        <v>201</v>
      </c>
      <c r="EG130" t="s">
        <v>204</v>
      </c>
      <c r="EH130">
        <v>0</v>
      </c>
      <c r="EI130" t="s">
        <v>3</v>
      </c>
      <c r="EJ130">
        <v>2</v>
      </c>
      <c r="EK130">
        <v>1618</v>
      </c>
      <c r="EL130" t="s">
        <v>205</v>
      </c>
      <c r="EM130" t="s">
        <v>206</v>
      </c>
      <c r="EO130" t="s">
        <v>3</v>
      </c>
      <c r="EQ130">
        <v>0</v>
      </c>
      <c r="ER130">
        <v>89.19</v>
      </c>
      <c r="ES130">
        <v>89.19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FQ130">
        <v>0</v>
      </c>
      <c r="FR130">
        <f t="shared" si="146"/>
        <v>0</v>
      </c>
      <c r="FS130">
        <v>0</v>
      </c>
      <c r="FX130">
        <v>0</v>
      </c>
      <c r="FY130">
        <v>0</v>
      </c>
      <c r="GA130" t="s">
        <v>3</v>
      </c>
      <c r="GD130">
        <v>0</v>
      </c>
      <c r="GF130">
        <v>-1489615719</v>
      </c>
      <c r="GG130">
        <v>2</v>
      </c>
      <c r="GH130">
        <v>1</v>
      </c>
      <c r="GI130">
        <v>2</v>
      </c>
      <c r="GJ130">
        <v>0</v>
      </c>
      <c r="GK130">
        <f>ROUND(R130*(R12)/100,2)</f>
        <v>0</v>
      </c>
      <c r="GL130">
        <f t="shared" si="147"/>
        <v>0</v>
      </c>
      <c r="GM130">
        <f t="shared" si="148"/>
        <v>0</v>
      </c>
      <c r="GN130">
        <f t="shared" si="149"/>
        <v>0</v>
      </c>
      <c r="GO130">
        <f t="shared" si="150"/>
        <v>0</v>
      </c>
      <c r="GP130">
        <f t="shared" si="151"/>
        <v>0</v>
      </c>
      <c r="GR130">
        <v>0</v>
      </c>
      <c r="GS130">
        <v>3</v>
      </c>
      <c r="GT130">
        <v>0</v>
      </c>
      <c r="GU130" t="s">
        <v>3</v>
      </c>
      <c r="GV130">
        <f t="shared" si="152"/>
        <v>0</v>
      </c>
      <c r="GW130">
        <v>1</v>
      </c>
      <c r="GX130">
        <f t="shared" si="153"/>
        <v>0</v>
      </c>
      <c r="HA130">
        <v>0</v>
      </c>
      <c r="HB130">
        <v>0</v>
      </c>
      <c r="HC130">
        <f t="shared" si="154"/>
        <v>0</v>
      </c>
      <c r="IK130">
        <v>0</v>
      </c>
    </row>
    <row r="131" spans="1:245" x14ac:dyDescent="0.2">
      <c r="A131">
        <v>17</v>
      </c>
      <c r="B131">
        <v>1</v>
      </c>
      <c r="E131" t="s">
        <v>224</v>
      </c>
      <c r="F131" t="s">
        <v>225</v>
      </c>
      <c r="G131" t="s">
        <v>226</v>
      </c>
      <c r="H131" t="s">
        <v>202</v>
      </c>
      <c r="I131">
        <v>0</v>
      </c>
      <c r="J131">
        <v>0</v>
      </c>
      <c r="O131">
        <f t="shared" si="115"/>
        <v>0</v>
      </c>
      <c r="P131">
        <f t="shared" si="116"/>
        <v>0</v>
      </c>
      <c r="Q131">
        <f t="shared" si="117"/>
        <v>0</v>
      </c>
      <c r="R131">
        <f t="shared" si="118"/>
        <v>0</v>
      </c>
      <c r="S131">
        <f t="shared" si="119"/>
        <v>0</v>
      </c>
      <c r="T131">
        <f t="shared" si="120"/>
        <v>0</v>
      </c>
      <c r="U131">
        <f t="shared" si="121"/>
        <v>0</v>
      </c>
      <c r="V131">
        <f t="shared" si="122"/>
        <v>0</v>
      </c>
      <c r="W131">
        <f t="shared" si="123"/>
        <v>0</v>
      </c>
      <c r="X131">
        <f t="shared" si="124"/>
        <v>0</v>
      </c>
      <c r="Y131">
        <f t="shared" si="125"/>
        <v>0</v>
      </c>
      <c r="AA131">
        <v>45723533</v>
      </c>
      <c r="AB131">
        <f t="shared" si="126"/>
        <v>130.58000000000001</v>
      </c>
      <c r="AC131">
        <f t="shared" si="127"/>
        <v>130.58000000000001</v>
      </c>
      <c r="AD131">
        <f t="shared" si="128"/>
        <v>0</v>
      </c>
      <c r="AE131">
        <f t="shared" si="129"/>
        <v>0</v>
      </c>
      <c r="AF131">
        <f t="shared" si="130"/>
        <v>0</v>
      </c>
      <c r="AG131">
        <f t="shared" si="131"/>
        <v>0</v>
      </c>
      <c r="AH131">
        <f t="shared" si="132"/>
        <v>0</v>
      </c>
      <c r="AI131">
        <f t="shared" si="133"/>
        <v>0</v>
      </c>
      <c r="AJ131">
        <f t="shared" si="134"/>
        <v>0</v>
      </c>
      <c r="AK131">
        <v>130.58000000000001</v>
      </c>
      <c r="AL131">
        <v>130.58000000000001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4.18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2</v>
      </c>
      <c r="BJ131" t="s">
        <v>227</v>
      </c>
      <c r="BM131">
        <v>1618</v>
      </c>
      <c r="BN131">
        <v>0</v>
      </c>
      <c r="BO131" t="s">
        <v>225</v>
      </c>
      <c r="BP131">
        <v>1</v>
      </c>
      <c r="BQ131">
        <v>201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0</v>
      </c>
      <c r="CA131">
        <v>0</v>
      </c>
      <c r="CE131">
        <v>30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 t="shared" si="135"/>
        <v>0</v>
      </c>
      <c r="CQ131">
        <f t="shared" si="136"/>
        <v>545.82000000000005</v>
      </c>
      <c r="CR131">
        <f t="shared" si="137"/>
        <v>0</v>
      </c>
      <c r="CS131">
        <f t="shared" si="138"/>
        <v>0</v>
      </c>
      <c r="CT131">
        <f t="shared" si="139"/>
        <v>0</v>
      </c>
      <c r="CU131">
        <f t="shared" si="140"/>
        <v>0</v>
      </c>
      <c r="CV131">
        <f t="shared" si="141"/>
        <v>0</v>
      </c>
      <c r="CW131">
        <f t="shared" si="142"/>
        <v>0</v>
      </c>
      <c r="CX131">
        <f t="shared" si="143"/>
        <v>0</v>
      </c>
      <c r="CY131">
        <f t="shared" si="144"/>
        <v>0</v>
      </c>
      <c r="CZ131">
        <f t="shared" si="145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1010</v>
      </c>
      <c r="DV131" t="s">
        <v>202</v>
      </c>
      <c r="DW131" t="s">
        <v>202</v>
      </c>
      <c r="DX131">
        <v>1</v>
      </c>
      <c r="EE131">
        <v>42514933</v>
      </c>
      <c r="EF131">
        <v>201</v>
      </c>
      <c r="EG131" t="s">
        <v>204</v>
      </c>
      <c r="EH131">
        <v>0</v>
      </c>
      <c r="EI131" t="s">
        <v>3</v>
      </c>
      <c r="EJ131">
        <v>2</v>
      </c>
      <c r="EK131">
        <v>1618</v>
      </c>
      <c r="EL131" t="s">
        <v>205</v>
      </c>
      <c r="EM131" t="s">
        <v>206</v>
      </c>
      <c r="EO131" t="s">
        <v>3</v>
      </c>
      <c r="EQ131">
        <v>0</v>
      </c>
      <c r="ER131">
        <v>130.58000000000001</v>
      </c>
      <c r="ES131">
        <v>130.58000000000001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FQ131">
        <v>0</v>
      </c>
      <c r="FR131">
        <f t="shared" si="146"/>
        <v>0</v>
      </c>
      <c r="FS131">
        <v>0</v>
      </c>
      <c r="FX131">
        <v>0</v>
      </c>
      <c r="FY131">
        <v>0</v>
      </c>
      <c r="GA131" t="s">
        <v>3</v>
      </c>
      <c r="GD131">
        <v>0</v>
      </c>
      <c r="GF131">
        <v>278385087</v>
      </c>
      <c r="GG131">
        <v>2</v>
      </c>
      <c r="GH131">
        <v>1</v>
      </c>
      <c r="GI131">
        <v>2</v>
      </c>
      <c r="GJ131">
        <v>0</v>
      </c>
      <c r="GK131">
        <f>ROUND(R131*(R12)/100,2)</f>
        <v>0</v>
      </c>
      <c r="GL131">
        <f t="shared" si="147"/>
        <v>0</v>
      </c>
      <c r="GM131">
        <f t="shared" si="148"/>
        <v>0</v>
      </c>
      <c r="GN131">
        <f t="shared" si="149"/>
        <v>0</v>
      </c>
      <c r="GO131">
        <f t="shared" si="150"/>
        <v>0</v>
      </c>
      <c r="GP131">
        <f t="shared" si="151"/>
        <v>0</v>
      </c>
      <c r="GR131">
        <v>0</v>
      </c>
      <c r="GS131">
        <v>3</v>
      </c>
      <c r="GT131">
        <v>0</v>
      </c>
      <c r="GU131" t="s">
        <v>3</v>
      </c>
      <c r="GV131">
        <f t="shared" si="152"/>
        <v>0</v>
      </c>
      <c r="GW131">
        <v>1</v>
      </c>
      <c r="GX131">
        <f t="shared" si="153"/>
        <v>0</v>
      </c>
      <c r="HA131">
        <v>0</v>
      </c>
      <c r="HB131">
        <v>0</v>
      </c>
      <c r="HC131">
        <f t="shared" si="154"/>
        <v>0</v>
      </c>
      <c r="IK131">
        <v>0</v>
      </c>
    </row>
    <row r="132" spans="1:245" x14ac:dyDescent="0.2">
      <c r="A132">
        <v>17</v>
      </c>
      <c r="B132">
        <v>1</v>
      </c>
      <c r="E132" t="s">
        <v>228</v>
      </c>
      <c r="F132" t="s">
        <v>229</v>
      </c>
      <c r="G132" t="s">
        <v>230</v>
      </c>
      <c r="H132" t="s">
        <v>202</v>
      </c>
      <c r="I132">
        <v>1</v>
      </c>
      <c r="J132">
        <v>0</v>
      </c>
      <c r="O132">
        <f t="shared" si="115"/>
        <v>4075.27</v>
      </c>
      <c r="P132">
        <f t="shared" si="116"/>
        <v>4075.27</v>
      </c>
      <c r="Q132">
        <f t="shared" si="117"/>
        <v>0</v>
      </c>
      <c r="R132">
        <f t="shared" si="118"/>
        <v>0</v>
      </c>
      <c r="S132">
        <f t="shared" si="119"/>
        <v>0</v>
      </c>
      <c r="T132">
        <f t="shared" si="120"/>
        <v>0</v>
      </c>
      <c r="U132">
        <f t="shared" si="121"/>
        <v>0</v>
      </c>
      <c r="V132">
        <f t="shared" si="122"/>
        <v>0</v>
      </c>
      <c r="W132">
        <f t="shared" si="123"/>
        <v>0</v>
      </c>
      <c r="X132">
        <f t="shared" si="124"/>
        <v>0</v>
      </c>
      <c r="Y132">
        <f t="shared" si="125"/>
        <v>0</v>
      </c>
      <c r="AA132">
        <v>45723533</v>
      </c>
      <c r="AB132">
        <f t="shared" si="126"/>
        <v>847.25</v>
      </c>
      <c r="AC132">
        <f t="shared" si="127"/>
        <v>847.25</v>
      </c>
      <c r="AD132">
        <f t="shared" si="128"/>
        <v>0</v>
      </c>
      <c r="AE132">
        <f t="shared" si="129"/>
        <v>0</v>
      </c>
      <c r="AF132">
        <f t="shared" si="130"/>
        <v>0</v>
      </c>
      <c r="AG132">
        <f t="shared" si="131"/>
        <v>0</v>
      </c>
      <c r="AH132">
        <f t="shared" si="132"/>
        <v>0</v>
      </c>
      <c r="AI132">
        <f t="shared" si="133"/>
        <v>0</v>
      </c>
      <c r="AJ132">
        <f t="shared" si="134"/>
        <v>0</v>
      </c>
      <c r="AK132">
        <v>847.25</v>
      </c>
      <c r="AL132">
        <v>847.25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1</v>
      </c>
      <c r="AW132">
        <v>1</v>
      </c>
      <c r="AZ132">
        <v>1</v>
      </c>
      <c r="BA132">
        <v>1</v>
      </c>
      <c r="BB132">
        <v>1</v>
      </c>
      <c r="BC132">
        <v>4.8099999999999996</v>
      </c>
      <c r="BD132" t="s">
        <v>3</v>
      </c>
      <c r="BE132" t="s">
        <v>3</v>
      </c>
      <c r="BF132" t="s">
        <v>3</v>
      </c>
      <c r="BG132" t="s">
        <v>3</v>
      </c>
      <c r="BH132">
        <v>3</v>
      </c>
      <c r="BI132">
        <v>2</v>
      </c>
      <c r="BJ132" t="s">
        <v>231</v>
      </c>
      <c r="BM132">
        <v>1618</v>
      </c>
      <c r="BN132">
        <v>0</v>
      </c>
      <c r="BO132" t="s">
        <v>229</v>
      </c>
      <c r="BP132">
        <v>1</v>
      </c>
      <c r="BQ132">
        <v>201</v>
      </c>
      <c r="BR132">
        <v>0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 t="s">
        <v>3</v>
      </c>
      <c r="BZ132">
        <v>0</v>
      </c>
      <c r="CA132">
        <v>0</v>
      </c>
      <c r="CE132">
        <v>30</v>
      </c>
      <c r="CF132">
        <v>0</v>
      </c>
      <c r="CG132">
        <v>0</v>
      </c>
      <c r="CM132">
        <v>0</v>
      </c>
      <c r="CN132" t="s">
        <v>3</v>
      </c>
      <c r="CO132">
        <v>0</v>
      </c>
      <c r="CP132">
        <f t="shared" si="135"/>
        <v>4075.27</v>
      </c>
      <c r="CQ132">
        <f t="shared" si="136"/>
        <v>4075.27</v>
      </c>
      <c r="CR132">
        <f t="shared" si="137"/>
        <v>0</v>
      </c>
      <c r="CS132">
        <f t="shared" si="138"/>
        <v>0</v>
      </c>
      <c r="CT132">
        <f t="shared" si="139"/>
        <v>0</v>
      </c>
      <c r="CU132">
        <f t="shared" si="140"/>
        <v>0</v>
      </c>
      <c r="CV132">
        <f t="shared" si="141"/>
        <v>0</v>
      </c>
      <c r="CW132">
        <f t="shared" si="142"/>
        <v>0</v>
      </c>
      <c r="CX132">
        <f t="shared" si="143"/>
        <v>0</v>
      </c>
      <c r="CY132">
        <f t="shared" si="144"/>
        <v>0</v>
      </c>
      <c r="CZ132">
        <f t="shared" si="145"/>
        <v>0</v>
      </c>
      <c r="DC132" t="s">
        <v>3</v>
      </c>
      <c r="DD132" t="s">
        <v>3</v>
      </c>
      <c r="DE132" t="s">
        <v>3</v>
      </c>
      <c r="DF132" t="s">
        <v>3</v>
      </c>
      <c r="DG132" t="s">
        <v>3</v>
      </c>
      <c r="DH132" t="s">
        <v>3</v>
      </c>
      <c r="DI132" t="s">
        <v>3</v>
      </c>
      <c r="DJ132" t="s">
        <v>3</v>
      </c>
      <c r="DK132" t="s">
        <v>3</v>
      </c>
      <c r="DL132" t="s">
        <v>3</v>
      </c>
      <c r="DM132" t="s">
        <v>3</v>
      </c>
      <c r="DN132">
        <v>0</v>
      </c>
      <c r="DO132">
        <v>0</v>
      </c>
      <c r="DP132">
        <v>1</v>
      </c>
      <c r="DQ132">
        <v>1</v>
      </c>
      <c r="DU132">
        <v>1010</v>
      </c>
      <c r="DV132" t="s">
        <v>202</v>
      </c>
      <c r="DW132" t="s">
        <v>202</v>
      </c>
      <c r="DX132">
        <v>1</v>
      </c>
      <c r="EE132">
        <v>42514933</v>
      </c>
      <c r="EF132">
        <v>201</v>
      </c>
      <c r="EG132" t="s">
        <v>204</v>
      </c>
      <c r="EH132">
        <v>0</v>
      </c>
      <c r="EI132" t="s">
        <v>3</v>
      </c>
      <c r="EJ132">
        <v>2</v>
      </c>
      <c r="EK132">
        <v>1618</v>
      </c>
      <c r="EL132" t="s">
        <v>205</v>
      </c>
      <c r="EM132" t="s">
        <v>206</v>
      </c>
      <c r="EO132" t="s">
        <v>3</v>
      </c>
      <c r="EQ132">
        <v>0</v>
      </c>
      <c r="ER132">
        <v>847.25</v>
      </c>
      <c r="ES132">
        <v>847.25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FQ132">
        <v>0</v>
      </c>
      <c r="FR132">
        <f t="shared" si="146"/>
        <v>0</v>
      </c>
      <c r="FS132">
        <v>0</v>
      </c>
      <c r="FX132">
        <v>0</v>
      </c>
      <c r="FY132">
        <v>0</v>
      </c>
      <c r="GA132" t="s">
        <v>3</v>
      </c>
      <c r="GD132">
        <v>0</v>
      </c>
      <c r="GF132">
        <v>1036011614</v>
      </c>
      <c r="GG132">
        <v>2</v>
      </c>
      <c r="GH132">
        <v>1</v>
      </c>
      <c r="GI132">
        <v>2</v>
      </c>
      <c r="GJ132">
        <v>0</v>
      </c>
      <c r="GK132">
        <f>ROUND(R132*(R12)/100,2)</f>
        <v>0</v>
      </c>
      <c r="GL132">
        <f t="shared" si="147"/>
        <v>0</v>
      </c>
      <c r="GM132">
        <f t="shared" si="148"/>
        <v>4075.27</v>
      </c>
      <c r="GN132">
        <f t="shared" si="149"/>
        <v>0</v>
      </c>
      <c r="GO132">
        <f t="shared" si="150"/>
        <v>4075.27</v>
      </c>
      <c r="GP132">
        <f t="shared" si="151"/>
        <v>0</v>
      </c>
      <c r="GR132">
        <v>0</v>
      </c>
      <c r="GS132">
        <v>3</v>
      </c>
      <c r="GT132">
        <v>0</v>
      </c>
      <c r="GU132" t="s">
        <v>3</v>
      </c>
      <c r="GV132">
        <f t="shared" si="152"/>
        <v>0</v>
      </c>
      <c r="GW132">
        <v>1</v>
      </c>
      <c r="GX132">
        <f t="shared" si="153"/>
        <v>0</v>
      </c>
      <c r="HA132">
        <v>0</v>
      </c>
      <c r="HB132">
        <v>0</v>
      </c>
      <c r="HC132">
        <f t="shared" si="154"/>
        <v>0</v>
      </c>
      <c r="IK132">
        <v>0</v>
      </c>
    </row>
    <row r="133" spans="1:245" x14ac:dyDescent="0.2">
      <c r="A133">
        <v>17</v>
      </c>
      <c r="B133">
        <v>1</v>
      </c>
      <c r="E133" t="s">
        <v>232</v>
      </c>
      <c r="F133" t="s">
        <v>233</v>
      </c>
      <c r="G133" t="s">
        <v>234</v>
      </c>
      <c r="H133" t="s">
        <v>202</v>
      </c>
      <c r="I133">
        <v>0</v>
      </c>
      <c r="J133">
        <v>0</v>
      </c>
      <c r="O133">
        <f t="shared" si="115"/>
        <v>0</v>
      </c>
      <c r="P133">
        <f t="shared" si="116"/>
        <v>0</v>
      </c>
      <c r="Q133">
        <f t="shared" si="117"/>
        <v>0</v>
      </c>
      <c r="R133">
        <f t="shared" si="118"/>
        <v>0</v>
      </c>
      <c r="S133">
        <f t="shared" si="119"/>
        <v>0</v>
      </c>
      <c r="T133">
        <f t="shared" si="120"/>
        <v>0</v>
      </c>
      <c r="U133">
        <f t="shared" si="121"/>
        <v>0</v>
      </c>
      <c r="V133">
        <f t="shared" si="122"/>
        <v>0</v>
      </c>
      <c r="W133">
        <f t="shared" si="123"/>
        <v>0</v>
      </c>
      <c r="X133">
        <f t="shared" si="124"/>
        <v>0</v>
      </c>
      <c r="Y133">
        <f t="shared" si="125"/>
        <v>0</v>
      </c>
      <c r="AA133">
        <v>45723533</v>
      </c>
      <c r="AB133">
        <f t="shared" si="126"/>
        <v>333.27</v>
      </c>
      <c r="AC133">
        <f t="shared" si="127"/>
        <v>333.27</v>
      </c>
      <c r="AD133">
        <f t="shared" si="128"/>
        <v>0</v>
      </c>
      <c r="AE133">
        <f t="shared" si="129"/>
        <v>0</v>
      </c>
      <c r="AF133">
        <f t="shared" si="130"/>
        <v>0</v>
      </c>
      <c r="AG133">
        <f t="shared" si="131"/>
        <v>0</v>
      </c>
      <c r="AH133">
        <f t="shared" si="132"/>
        <v>0</v>
      </c>
      <c r="AI133">
        <f t="shared" si="133"/>
        <v>0</v>
      </c>
      <c r="AJ133">
        <f t="shared" si="134"/>
        <v>0</v>
      </c>
      <c r="AK133">
        <v>333.27</v>
      </c>
      <c r="AL133">
        <v>333.27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4.51</v>
      </c>
      <c r="BD133" t="s">
        <v>3</v>
      </c>
      <c r="BE133" t="s">
        <v>3</v>
      </c>
      <c r="BF133" t="s">
        <v>3</v>
      </c>
      <c r="BG133" t="s">
        <v>3</v>
      </c>
      <c r="BH133">
        <v>3</v>
      </c>
      <c r="BI133">
        <v>2</v>
      </c>
      <c r="BJ133" t="s">
        <v>235</v>
      </c>
      <c r="BM133">
        <v>1618</v>
      </c>
      <c r="BN133">
        <v>0</v>
      </c>
      <c r="BO133" t="s">
        <v>233</v>
      </c>
      <c r="BP133">
        <v>1</v>
      </c>
      <c r="BQ133">
        <v>201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0</v>
      </c>
      <c r="CA133">
        <v>0</v>
      </c>
      <c r="CE133">
        <v>30</v>
      </c>
      <c r="CF133">
        <v>0</v>
      </c>
      <c r="CG133">
        <v>0</v>
      </c>
      <c r="CM133">
        <v>0</v>
      </c>
      <c r="CN133" t="s">
        <v>3</v>
      </c>
      <c r="CO133">
        <v>0</v>
      </c>
      <c r="CP133">
        <f t="shared" si="135"/>
        <v>0</v>
      </c>
      <c r="CQ133">
        <f t="shared" si="136"/>
        <v>1503.05</v>
      </c>
      <c r="CR133">
        <f t="shared" si="137"/>
        <v>0</v>
      </c>
      <c r="CS133">
        <f t="shared" si="138"/>
        <v>0</v>
      </c>
      <c r="CT133">
        <f t="shared" si="139"/>
        <v>0</v>
      </c>
      <c r="CU133">
        <f t="shared" si="140"/>
        <v>0</v>
      </c>
      <c r="CV133">
        <f t="shared" si="141"/>
        <v>0</v>
      </c>
      <c r="CW133">
        <f t="shared" si="142"/>
        <v>0</v>
      </c>
      <c r="CX133">
        <f t="shared" si="143"/>
        <v>0</v>
      </c>
      <c r="CY133">
        <f t="shared" si="144"/>
        <v>0</v>
      </c>
      <c r="CZ133">
        <f t="shared" si="145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1010</v>
      </c>
      <c r="DV133" t="s">
        <v>202</v>
      </c>
      <c r="DW133" t="s">
        <v>202</v>
      </c>
      <c r="DX133">
        <v>1</v>
      </c>
      <c r="EE133">
        <v>42514933</v>
      </c>
      <c r="EF133">
        <v>201</v>
      </c>
      <c r="EG133" t="s">
        <v>204</v>
      </c>
      <c r="EH133">
        <v>0</v>
      </c>
      <c r="EI133" t="s">
        <v>3</v>
      </c>
      <c r="EJ133">
        <v>2</v>
      </c>
      <c r="EK133">
        <v>1618</v>
      </c>
      <c r="EL133" t="s">
        <v>205</v>
      </c>
      <c r="EM133" t="s">
        <v>206</v>
      </c>
      <c r="EO133" t="s">
        <v>3</v>
      </c>
      <c r="EQ133">
        <v>0</v>
      </c>
      <c r="ER133">
        <v>333.27</v>
      </c>
      <c r="ES133">
        <v>333.27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FQ133">
        <v>0</v>
      </c>
      <c r="FR133">
        <f t="shared" si="146"/>
        <v>0</v>
      </c>
      <c r="FS133">
        <v>0</v>
      </c>
      <c r="FX133">
        <v>0</v>
      </c>
      <c r="FY133">
        <v>0</v>
      </c>
      <c r="GA133" t="s">
        <v>3</v>
      </c>
      <c r="GD133">
        <v>0</v>
      </c>
      <c r="GF133">
        <v>-1961116715</v>
      </c>
      <c r="GG133">
        <v>2</v>
      </c>
      <c r="GH133">
        <v>1</v>
      </c>
      <c r="GI133">
        <v>2</v>
      </c>
      <c r="GJ133">
        <v>0</v>
      </c>
      <c r="GK133">
        <f>ROUND(R133*(R12)/100,2)</f>
        <v>0</v>
      </c>
      <c r="GL133">
        <f t="shared" si="147"/>
        <v>0</v>
      </c>
      <c r="GM133">
        <f t="shared" si="148"/>
        <v>0</v>
      </c>
      <c r="GN133">
        <f t="shared" si="149"/>
        <v>0</v>
      </c>
      <c r="GO133">
        <f t="shared" si="150"/>
        <v>0</v>
      </c>
      <c r="GP133">
        <f t="shared" si="151"/>
        <v>0</v>
      </c>
      <c r="GR133">
        <v>0</v>
      </c>
      <c r="GS133">
        <v>3</v>
      </c>
      <c r="GT133">
        <v>0</v>
      </c>
      <c r="GU133" t="s">
        <v>3</v>
      </c>
      <c r="GV133">
        <f t="shared" si="152"/>
        <v>0</v>
      </c>
      <c r="GW133">
        <v>1</v>
      </c>
      <c r="GX133">
        <f t="shared" si="153"/>
        <v>0</v>
      </c>
      <c r="HA133">
        <v>0</v>
      </c>
      <c r="HB133">
        <v>0</v>
      </c>
      <c r="HC133">
        <f t="shared" si="154"/>
        <v>0</v>
      </c>
      <c r="IK133">
        <v>0</v>
      </c>
    </row>
    <row r="134" spans="1:245" x14ac:dyDescent="0.2">
      <c r="A134">
        <v>17</v>
      </c>
      <c r="B134">
        <v>1</v>
      </c>
      <c r="E134" t="s">
        <v>236</v>
      </c>
      <c r="F134" t="s">
        <v>237</v>
      </c>
      <c r="G134" t="s">
        <v>238</v>
      </c>
      <c r="H134" t="s">
        <v>202</v>
      </c>
      <c r="I134">
        <v>0</v>
      </c>
      <c r="J134">
        <v>0</v>
      </c>
      <c r="O134">
        <f t="shared" si="115"/>
        <v>0</v>
      </c>
      <c r="P134">
        <f t="shared" si="116"/>
        <v>0</v>
      </c>
      <c r="Q134">
        <f t="shared" si="117"/>
        <v>0</v>
      </c>
      <c r="R134">
        <f t="shared" si="118"/>
        <v>0</v>
      </c>
      <c r="S134">
        <f t="shared" si="119"/>
        <v>0</v>
      </c>
      <c r="T134">
        <f t="shared" si="120"/>
        <v>0</v>
      </c>
      <c r="U134">
        <f t="shared" si="121"/>
        <v>0</v>
      </c>
      <c r="V134">
        <f t="shared" si="122"/>
        <v>0</v>
      </c>
      <c r="W134">
        <f t="shared" si="123"/>
        <v>0</v>
      </c>
      <c r="X134">
        <f t="shared" si="124"/>
        <v>0</v>
      </c>
      <c r="Y134">
        <f t="shared" si="125"/>
        <v>0</v>
      </c>
      <c r="AA134">
        <v>45723533</v>
      </c>
      <c r="AB134">
        <f t="shared" si="126"/>
        <v>596.19000000000005</v>
      </c>
      <c r="AC134">
        <f t="shared" si="127"/>
        <v>596.19000000000005</v>
      </c>
      <c r="AD134">
        <f t="shared" si="128"/>
        <v>0</v>
      </c>
      <c r="AE134">
        <f t="shared" si="129"/>
        <v>0</v>
      </c>
      <c r="AF134">
        <f t="shared" si="130"/>
        <v>0</v>
      </c>
      <c r="AG134">
        <f t="shared" si="131"/>
        <v>0</v>
      </c>
      <c r="AH134">
        <f t="shared" si="132"/>
        <v>0</v>
      </c>
      <c r="AI134">
        <f t="shared" si="133"/>
        <v>0</v>
      </c>
      <c r="AJ134">
        <f t="shared" si="134"/>
        <v>0</v>
      </c>
      <c r="AK134">
        <v>596.19000000000005</v>
      </c>
      <c r="AL134">
        <v>596.19000000000005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1</v>
      </c>
      <c r="AW134">
        <v>1</v>
      </c>
      <c r="AZ134">
        <v>1</v>
      </c>
      <c r="BA134">
        <v>1</v>
      </c>
      <c r="BB134">
        <v>1</v>
      </c>
      <c r="BC134">
        <v>5.9</v>
      </c>
      <c r="BD134" t="s">
        <v>3</v>
      </c>
      <c r="BE134" t="s">
        <v>3</v>
      </c>
      <c r="BF134" t="s">
        <v>3</v>
      </c>
      <c r="BG134" t="s">
        <v>3</v>
      </c>
      <c r="BH134">
        <v>3</v>
      </c>
      <c r="BI134">
        <v>2</v>
      </c>
      <c r="BJ134" t="s">
        <v>239</v>
      </c>
      <c r="BM134">
        <v>1618</v>
      </c>
      <c r="BN134">
        <v>0</v>
      </c>
      <c r="BO134" t="s">
        <v>237</v>
      </c>
      <c r="BP134">
        <v>1</v>
      </c>
      <c r="BQ134">
        <v>201</v>
      </c>
      <c r="BR134">
        <v>0</v>
      </c>
      <c r="BS134">
        <v>1</v>
      </c>
      <c r="BT134">
        <v>1</v>
      </c>
      <c r="BU134">
        <v>1</v>
      </c>
      <c r="BV134">
        <v>1</v>
      </c>
      <c r="BW134">
        <v>1</v>
      </c>
      <c r="BX134">
        <v>1</v>
      </c>
      <c r="BY134" t="s">
        <v>3</v>
      </c>
      <c r="BZ134">
        <v>0</v>
      </c>
      <c r="CA134">
        <v>0</v>
      </c>
      <c r="CE134">
        <v>30</v>
      </c>
      <c r="CF134">
        <v>0</v>
      </c>
      <c r="CG134">
        <v>0</v>
      </c>
      <c r="CM134">
        <v>0</v>
      </c>
      <c r="CN134" t="s">
        <v>3</v>
      </c>
      <c r="CO134">
        <v>0</v>
      </c>
      <c r="CP134">
        <f t="shared" si="135"/>
        <v>0</v>
      </c>
      <c r="CQ134">
        <f t="shared" si="136"/>
        <v>3517.52</v>
      </c>
      <c r="CR134">
        <f t="shared" si="137"/>
        <v>0</v>
      </c>
      <c r="CS134">
        <f t="shared" si="138"/>
        <v>0</v>
      </c>
      <c r="CT134">
        <f t="shared" si="139"/>
        <v>0</v>
      </c>
      <c r="CU134">
        <f t="shared" si="140"/>
        <v>0</v>
      </c>
      <c r="CV134">
        <f t="shared" si="141"/>
        <v>0</v>
      </c>
      <c r="CW134">
        <f t="shared" si="142"/>
        <v>0</v>
      </c>
      <c r="CX134">
        <f t="shared" si="143"/>
        <v>0</v>
      </c>
      <c r="CY134">
        <f t="shared" si="144"/>
        <v>0</v>
      </c>
      <c r="CZ134">
        <f t="shared" si="145"/>
        <v>0</v>
      </c>
      <c r="DC134" t="s">
        <v>3</v>
      </c>
      <c r="DD134" t="s">
        <v>3</v>
      </c>
      <c r="DE134" t="s">
        <v>3</v>
      </c>
      <c r="DF134" t="s">
        <v>3</v>
      </c>
      <c r="DG134" t="s">
        <v>3</v>
      </c>
      <c r="DH134" t="s">
        <v>3</v>
      </c>
      <c r="DI134" t="s">
        <v>3</v>
      </c>
      <c r="DJ134" t="s">
        <v>3</v>
      </c>
      <c r="DK134" t="s">
        <v>3</v>
      </c>
      <c r="DL134" t="s">
        <v>3</v>
      </c>
      <c r="DM134" t="s">
        <v>3</v>
      </c>
      <c r="DN134">
        <v>0</v>
      </c>
      <c r="DO134">
        <v>0</v>
      </c>
      <c r="DP134">
        <v>1</v>
      </c>
      <c r="DQ134">
        <v>1</v>
      </c>
      <c r="DU134">
        <v>1010</v>
      </c>
      <c r="DV134" t="s">
        <v>202</v>
      </c>
      <c r="DW134" t="s">
        <v>202</v>
      </c>
      <c r="DX134">
        <v>1</v>
      </c>
      <c r="EE134">
        <v>42514933</v>
      </c>
      <c r="EF134">
        <v>201</v>
      </c>
      <c r="EG134" t="s">
        <v>204</v>
      </c>
      <c r="EH134">
        <v>0</v>
      </c>
      <c r="EI134" t="s">
        <v>3</v>
      </c>
      <c r="EJ134">
        <v>2</v>
      </c>
      <c r="EK134">
        <v>1618</v>
      </c>
      <c r="EL134" t="s">
        <v>205</v>
      </c>
      <c r="EM134" t="s">
        <v>206</v>
      </c>
      <c r="EO134" t="s">
        <v>3</v>
      </c>
      <c r="EQ134">
        <v>0</v>
      </c>
      <c r="ER134">
        <v>596.19000000000005</v>
      </c>
      <c r="ES134">
        <v>596.19000000000005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FQ134">
        <v>0</v>
      </c>
      <c r="FR134">
        <f t="shared" si="146"/>
        <v>0</v>
      </c>
      <c r="FS134">
        <v>0</v>
      </c>
      <c r="FX134">
        <v>0</v>
      </c>
      <c r="FY134">
        <v>0</v>
      </c>
      <c r="GA134" t="s">
        <v>3</v>
      </c>
      <c r="GD134">
        <v>0</v>
      </c>
      <c r="GF134">
        <v>1674547279</v>
      </c>
      <c r="GG134">
        <v>2</v>
      </c>
      <c r="GH134">
        <v>1</v>
      </c>
      <c r="GI134">
        <v>2</v>
      </c>
      <c r="GJ134">
        <v>0</v>
      </c>
      <c r="GK134">
        <f>ROUND(R134*(R12)/100,2)</f>
        <v>0</v>
      </c>
      <c r="GL134">
        <f t="shared" si="147"/>
        <v>0</v>
      </c>
      <c r="GM134">
        <f t="shared" si="148"/>
        <v>0</v>
      </c>
      <c r="GN134">
        <f t="shared" si="149"/>
        <v>0</v>
      </c>
      <c r="GO134">
        <f t="shared" si="150"/>
        <v>0</v>
      </c>
      <c r="GP134">
        <f t="shared" si="151"/>
        <v>0</v>
      </c>
      <c r="GR134">
        <v>0</v>
      </c>
      <c r="GS134">
        <v>3</v>
      </c>
      <c r="GT134">
        <v>0</v>
      </c>
      <c r="GU134" t="s">
        <v>3</v>
      </c>
      <c r="GV134">
        <f t="shared" si="152"/>
        <v>0</v>
      </c>
      <c r="GW134">
        <v>1</v>
      </c>
      <c r="GX134">
        <f t="shared" si="153"/>
        <v>0</v>
      </c>
      <c r="HA134">
        <v>0</v>
      </c>
      <c r="HB134">
        <v>0</v>
      </c>
      <c r="HC134">
        <f t="shared" si="154"/>
        <v>0</v>
      </c>
      <c r="IK134">
        <v>0</v>
      </c>
    </row>
    <row r="135" spans="1:245" x14ac:dyDescent="0.2">
      <c r="A135">
        <v>17</v>
      </c>
      <c r="B135">
        <v>1</v>
      </c>
      <c r="E135" t="s">
        <v>240</v>
      </c>
      <c r="F135" t="s">
        <v>241</v>
      </c>
      <c r="G135" t="s">
        <v>242</v>
      </c>
      <c r="H135" t="s">
        <v>202</v>
      </c>
      <c r="I135">
        <f>ROUND(I75,9)</f>
        <v>0</v>
      </c>
      <c r="J135">
        <v>0</v>
      </c>
      <c r="O135">
        <f t="shared" si="115"/>
        <v>0</v>
      </c>
      <c r="P135">
        <f t="shared" si="116"/>
        <v>0</v>
      </c>
      <c r="Q135">
        <f t="shared" si="117"/>
        <v>0</v>
      </c>
      <c r="R135">
        <f t="shared" si="118"/>
        <v>0</v>
      </c>
      <c r="S135">
        <f t="shared" si="119"/>
        <v>0</v>
      </c>
      <c r="T135">
        <f t="shared" si="120"/>
        <v>0</v>
      </c>
      <c r="U135">
        <f t="shared" si="121"/>
        <v>0</v>
      </c>
      <c r="V135">
        <f t="shared" si="122"/>
        <v>0</v>
      </c>
      <c r="W135">
        <f t="shared" si="123"/>
        <v>0</v>
      </c>
      <c r="X135">
        <f t="shared" si="124"/>
        <v>0</v>
      </c>
      <c r="Y135">
        <f t="shared" si="125"/>
        <v>0</v>
      </c>
      <c r="AA135">
        <v>45723533</v>
      </c>
      <c r="AB135">
        <f t="shared" si="126"/>
        <v>68.28</v>
      </c>
      <c r="AC135">
        <f t="shared" si="127"/>
        <v>68.28</v>
      </c>
      <c r="AD135">
        <f t="shared" si="128"/>
        <v>0</v>
      </c>
      <c r="AE135">
        <f t="shared" si="129"/>
        <v>0</v>
      </c>
      <c r="AF135">
        <f t="shared" si="130"/>
        <v>0</v>
      </c>
      <c r="AG135">
        <f t="shared" si="131"/>
        <v>0</v>
      </c>
      <c r="AH135">
        <f t="shared" si="132"/>
        <v>0</v>
      </c>
      <c r="AI135">
        <f t="shared" si="133"/>
        <v>0</v>
      </c>
      <c r="AJ135">
        <f t="shared" si="134"/>
        <v>0</v>
      </c>
      <c r="AK135">
        <v>68.28</v>
      </c>
      <c r="AL135">
        <v>68.28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1.4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2</v>
      </c>
      <c r="BJ135" t="s">
        <v>243</v>
      </c>
      <c r="BM135">
        <v>1618</v>
      </c>
      <c r="BN135">
        <v>0</v>
      </c>
      <c r="BO135" t="s">
        <v>241</v>
      </c>
      <c r="BP135">
        <v>1</v>
      </c>
      <c r="BQ135">
        <v>201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0</v>
      </c>
      <c r="CA135">
        <v>0</v>
      </c>
      <c r="CE135">
        <v>30</v>
      </c>
      <c r="CF135">
        <v>0</v>
      </c>
      <c r="CG135">
        <v>0</v>
      </c>
      <c r="CM135">
        <v>0</v>
      </c>
      <c r="CN135" t="s">
        <v>3</v>
      </c>
      <c r="CO135">
        <v>0</v>
      </c>
      <c r="CP135">
        <f t="shared" si="135"/>
        <v>0</v>
      </c>
      <c r="CQ135">
        <f t="shared" si="136"/>
        <v>95.59</v>
      </c>
      <c r="CR135">
        <f t="shared" si="137"/>
        <v>0</v>
      </c>
      <c r="CS135">
        <f t="shared" si="138"/>
        <v>0</v>
      </c>
      <c r="CT135">
        <f t="shared" si="139"/>
        <v>0</v>
      </c>
      <c r="CU135">
        <f t="shared" si="140"/>
        <v>0</v>
      </c>
      <c r="CV135">
        <f t="shared" si="141"/>
        <v>0</v>
      </c>
      <c r="CW135">
        <f t="shared" si="142"/>
        <v>0</v>
      </c>
      <c r="CX135">
        <f t="shared" si="143"/>
        <v>0</v>
      </c>
      <c r="CY135">
        <f t="shared" si="144"/>
        <v>0</v>
      </c>
      <c r="CZ135">
        <f t="shared" si="145"/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1010</v>
      </c>
      <c r="DV135" t="s">
        <v>202</v>
      </c>
      <c r="DW135" t="s">
        <v>202</v>
      </c>
      <c r="DX135">
        <v>1</v>
      </c>
      <c r="EE135">
        <v>42514933</v>
      </c>
      <c r="EF135">
        <v>201</v>
      </c>
      <c r="EG135" t="s">
        <v>204</v>
      </c>
      <c r="EH135">
        <v>0</v>
      </c>
      <c r="EI135" t="s">
        <v>3</v>
      </c>
      <c r="EJ135">
        <v>2</v>
      </c>
      <c r="EK135">
        <v>1618</v>
      </c>
      <c r="EL135" t="s">
        <v>205</v>
      </c>
      <c r="EM135" t="s">
        <v>206</v>
      </c>
      <c r="EO135" t="s">
        <v>3</v>
      </c>
      <c r="EQ135">
        <v>131072</v>
      </c>
      <c r="ER135">
        <v>68.28</v>
      </c>
      <c r="ES135">
        <v>68.28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FQ135">
        <v>0</v>
      </c>
      <c r="FR135">
        <f t="shared" si="146"/>
        <v>0</v>
      </c>
      <c r="FS135">
        <v>0</v>
      </c>
      <c r="FX135">
        <v>0</v>
      </c>
      <c r="FY135">
        <v>0</v>
      </c>
      <c r="GA135" t="s">
        <v>3</v>
      </c>
      <c r="GD135">
        <v>0</v>
      </c>
      <c r="GF135">
        <v>1925354040</v>
      </c>
      <c r="GG135">
        <v>2</v>
      </c>
      <c r="GH135">
        <v>1</v>
      </c>
      <c r="GI135">
        <v>2</v>
      </c>
      <c r="GJ135">
        <v>0</v>
      </c>
      <c r="GK135">
        <f>ROUND(R135*(R12)/100,2)</f>
        <v>0</v>
      </c>
      <c r="GL135">
        <f t="shared" si="147"/>
        <v>0</v>
      </c>
      <c r="GM135">
        <f t="shared" si="148"/>
        <v>0</v>
      </c>
      <c r="GN135">
        <f t="shared" si="149"/>
        <v>0</v>
      </c>
      <c r="GO135">
        <f t="shared" si="150"/>
        <v>0</v>
      </c>
      <c r="GP135">
        <f t="shared" si="151"/>
        <v>0</v>
      </c>
      <c r="GR135">
        <v>0</v>
      </c>
      <c r="GS135">
        <v>3</v>
      </c>
      <c r="GT135">
        <v>0</v>
      </c>
      <c r="GU135" t="s">
        <v>3</v>
      </c>
      <c r="GV135">
        <f t="shared" si="152"/>
        <v>0</v>
      </c>
      <c r="GW135">
        <v>1</v>
      </c>
      <c r="GX135">
        <f t="shared" si="153"/>
        <v>0</v>
      </c>
      <c r="HA135">
        <v>0</v>
      </c>
      <c r="HB135">
        <v>0</v>
      </c>
      <c r="HC135">
        <f t="shared" si="154"/>
        <v>0</v>
      </c>
      <c r="IK135">
        <v>0</v>
      </c>
    </row>
    <row r="136" spans="1:245" x14ac:dyDescent="0.2">
      <c r="A136">
        <v>17</v>
      </c>
      <c r="B136">
        <v>1</v>
      </c>
      <c r="E136" t="s">
        <v>244</v>
      </c>
      <c r="F136" t="s">
        <v>245</v>
      </c>
      <c r="G136" t="s">
        <v>246</v>
      </c>
      <c r="H136" t="s">
        <v>247</v>
      </c>
      <c r="I136">
        <f>ROUND(I76*100/1000,9)</f>
        <v>6.0000000000000001E-3</v>
      </c>
      <c r="J136">
        <v>0</v>
      </c>
      <c r="O136">
        <f t="shared" si="115"/>
        <v>182.03</v>
      </c>
      <c r="P136">
        <f t="shared" si="116"/>
        <v>182.03</v>
      </c>
      <c r="Q136">
        <f t="shared" si="117"/>
        <v>0</v>
      </c>
      <c r="R136">
        <f t="shared" si="118"/>
        <v>0</v>
      </c>
      <c r="S136">
        <f t="shared" si="119"/>
        <v>0</v>
      </c>
      <c r="T136">
        <f t="shared" si="120"/>
        <v>0</v>
      </c>
      <c r="U136">
        <f t="shared" si="121"/>
        <v>0</v>
      </c>
      <c r="V136">
        <f t="shared" si="122"/>
        <v>0</v>
      </c>
      <c r="W136">
        <f t="shared" si="123"/>
        <v>0</v>
      </c>
      <c r="X136">
        <f t="shared" si="124"/>
        <v>0</v>
      </c>
      <c r="Y136">
        <f t="shared" si="125"/>
        <v>0</v>
      </c>
      <c r="AA136">
        <v>45723533</v>
      </c>
      <c r="AB136">
        <f t="shared" si="126"/>
        <v>4534.92</v>
      </c>
      <c r="AC136">
        <f t="shared" si="127"/>
        <v>4534.92</v>
      </c>
      <c r="AD136">
        <f t="shared" si="128"/>
        <v>0</v>
      </c>
      <c r="AE136">
        <f t="shared" si="129"/>
        <v>0</v>
      </c>
      <c r="AF136">
        <f t="shared" si="130"/>
        <v>0</v>
      </c>
      <c r="AG136">
        <f t="shared" si="131"/>
        <v>0</v>
      </c>
      <c r="AH136">
        <f t="shared" si="132"/>
        <v>0</v>
      </c>
      <c r="AI136">
        <f t="shared" si="133"/>
        <v>0</v>
      </c>
      <c r="AJ136">
        <f t="shared" si="134"/>
        <v>0</v>
      </c>
      <c r="AK136">
        <v>4534.92</v>
      </c>
      <c r="AL136">
        <v>4534.92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1</v>
      </c>
      <c r="AW136">
        <v>1</v>
      </c>
      <c r="AZ136">
        <v>1</v>
      </c>
      <c r="BA136">
        <v>1</v>
      </c>
      <c r="BB136">
        <v>1</v>
      </c>
      <c r="BC136">
        <v>6.69</v>
      </c>
      <c r="BD136" t="s">
        <v>3</v>
      </c>
      <c r="BE136" t="s">
        <v>3</v>
      </c>
      <c r="BF136" t="s">
        <v>3</v>
      </c>
      <c r="BG136" t="s">
        <v>3</v>
      </c>
      <c r="BH136">
        <v>3</v>
      </c>
      <c r="BI136">
        <v>2</v>
      </c>
      <c r="BJ136" t="s">
        <v>248</v>
      </c>
      <c r="BM136">
        <v>1618</v>
      </c>
      <c r="BN136">
        <v>0</v>
      </c>
      <c r="BO136" t="s">
        <v>245</v>
      </c>
      <c r="BP136">
        <v>1</v>
      </c>
      <c r="BQ136">
        <v>201</v>
      </c>
      <c r="BR136">
        <v>0</v>
      </c>
      <c r="BS136">
        <v>1</v>
      </c>
      <c r="BT136">
        <v>1</v>
      </c>
      <c r="BU136">
        <v>1</v>
      </c>
      <c r="BV136">
        <v>1</v>
      </c>
      <c r="BW136">
        <v>1</v>
      </c>
      <c r="BX136">
        <v>1</v>
      </c>
      <c r="BY136" t="s">
        <v>3</v>
      </c>
      <c r="BZ136">
        <v>0</v>
      </c>
      <c r="CA136">
        <v>0</v>
      </c>
      <c r="CE136">
        <v>30</v>
      </c>
      <c r="CF136">
        <v>0</v>
      </c>
      <c r="CG136">
        <v>0</v>
      </c>
      <c r="CM136">
        <v>0</v>
      </c>
      <c r="CN136" t="s">
        <v>3</v>
      </c>
      <c r="CO136">
        <v>0</v>
      </c>
      <c r="CP136">
        <f t="shared" si="135"/>
        <v>182.03</v>
      </c>
      <c r="CQ136">
        <f t="shared" si="136"/>
        <v>30338.61</v>
      </c>
      <c r="CR136">
        <f t="shared" si="137"/>
        <v>0</v>
      </c>
      <c r="CS136">
        <f t="shared" si="138"/>
        <v>0</v>
      </c>
      <c r="CT136">
        <f t="shared" si="139"/>
        <v>0</v>
      </c>
      <c r="CU136">
        <f t="shared" si="140"/>
        <v>0</v>
      </c>
      <c r="CV136">
        <f t="shared" si="141"/>
        <v>0</v>
      </c>
      <c r="CW136">
        <f t="shared" si="142"/>
        <v>0</v>
      </c>
      <c r="CX136">
        <f t="shared" si="143"/>
        <v>0</v>
      </c>
      <c r="CY136">
        <f t="shared" si="144"/>
        <v>0</v>
      </c>
      <c r="CZ136">
        <f t="shared" si="145"/>
        <v>0</v>
      </c>
      <c r="DC136" t="s">
        <v>3</v>
      </c>
      <c r="DD136" t="s">
        <v>3</v>
      </c>
      <c r="DE136" t="s">
        <v>3</v>
      </c>
      <c r="DF136" t="s">
        <v>3</v>
      </c>
      <c r="DG136" t="s">
        <v>3</v>
      </c>
      <c r="DH136" t="s">
        <v>3</v>
      </c>
      <c r="DI136" t="s">
        <v>3</v>
      </c>
      <c r="DJ136" t="s">
        <v>3</v>
      </c>
      <c r="DK136" t="s">
        <v>3</v>
      </c>
      <c r="DL136" t="s">
        <v>3</v>
      </c>
      <c r="DM136" t="s">
        <v>3</v>
      </c>
      <c r="DN136">
        <v>0</v>
      </c>
      <c r="DO136">
        <v>0</v>
      </c>
      <c r="DP136">
        <v>1</v>
      </c>
      <c r="DQ136">
        <v>1</v>
      </c>
      <c r="DU136">
        <v>1010</v>
      </c>
      <c r="DV136" t="s">
        <v>247</v>
      </c>
      <c r="DW136" t="s">
        <v>247</v>
      </c>
      <c r="DX136">
        <v>1000</v>
      </c>
      <c r="EE136">
        <v>42514933</v>
      </c>
      <c r="EF136">
        <v>201</v>
      </c>
      <c r="EG136" t="s">
        <v>204</v>
      </c>
      <c r="EH136">
        <v>0</v>
      </c>
      <c r="EI136" t="s">
        <v>3</v>
      </c>
      <c r="EJ136">
        <v>2</v>
      </c>
      <c r="EK136">
        <v>1618</v>
      </c>
      <c r="EL136" t="s">
        <v>205</v>
      </c>
      <c r="EM136" t="s">
        <v>206</v>
      </c>
      <c r="EO136" t="s">
        <v>3</v>
      </c>
      <c r="EQ136">
        <v>131072</v>
      </c>
      <c r="ER136">
        <v>4534.92</v>
      </c>
      <c r="ES136">
        <v>4534.92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FQ136">
        <v>0</v>
      </c>
      <c r="FR136">
        <f t="shared" si="146"/>
        <v>0</v>
      </c>
      <c r="FS136">
        <v>0</v>
      </c>
      <c r="FX136">
        <v>0</v>
      </c>
      <c r="FY136">
        <v>0</v>
      </c>
      <c r="GA136" t="s">
        <v>3</v>
      </c>
      <c r="GD136">
        <v>0</v>
      </c>
      <c r="GF136">
        <v>432324857</v>
      </c>
      <c r="GG136">
        <v>2</v>
      </c>
      <c r="GH136">
        <v>1</v>
      </c>
      <c r="GI136">
        <v>2</v>
      </c>
      <c r="GJ136">
        <v>0</v>
      </c>
      <c r="GK136">
        <f>ROUND(R136*(R12)/100,2)</f>
        <v>0</v>
      </c>
      <c r="GL136">
        <f t="shared" si="147"/>
        <v>0</v>
      </c>
      <c r="GM136">
        <f t="shared" si="148"/>
        <v>182.03</v>
      </c>
      <c r="GN136">
        <f t="shared" si="149"/>
        <v>0</v>
      </c>
      <c r="GO136">
        <f t="shared" si="150"/>
        <v>182.03</v>
      </c>
      <c r="GP136">
        <f t="shared" si="151"/>
        <v>0</v>
      </c>
      <c r="GR136">
        <v>0</v>
      </c>
      <c r="GS136">
        <v>3</v>
      </c>
      <c r="GT136">
        <v>0</v>
      </c>
      <c r="GU136" t="s">
        <v>3</v>
      </c>
      <c r="GV136">
        <f t="shared" si="152"/>
        <v>0</v>
      </c>
      <c r="GW136">
        <v>1</v>
      </c>
      <c r="GX136">
        <f t="shared" si="153"/>
        <v>0</v>
      </c>
      <c r="HA136">
        <v>0</v>
      </c>
      <c r="HB136">
        <v>0</v>
      </c>
      <c r="HC136">
        <f t="shared" si="154"/>
        <v>0</v>
      </c>
      <c r="IK136">
        <v>0</v>
      </c>
    </row>
    <row r="137" spans="1:245" x14ac:dyDescent="0.2">
      <c r="A137">
        <v>17</v>
      </c>
      <c r="B137">
        <v>1</v>
      </c>
      <c r="E137" t="s">
        <v>249</v>
      </c>
      <c r="F137" t="s">
        <v>250</v>
      </c>
      <c r="G137" t="s">
        <v>251</v>
      </c>
      <c r="H137" t="s">
        <v>202</v>
      </c>
      <c r="I137">
        <f>ROUND(I78,9)</f>
        <v>0</v>
      </c>
      <c r="J137">
        <v>0</v>
      </c>
      <c r="O137">
        <f t="shared" si="115"/>
        <v>0</v>
      </c>
      <c r="P137">
        <f t="shared" si="116"/>
        <v>0</v>
      </c>
      <c r="Q137">
        <f t="shared" si="117"/>
        <v>0</v>
      </c>
      <c r="R137">
        <f t="shared" si="118"/>
        <v>0</v>
      </c>
      <c r="S137">
        <f t="shared" si="119"/>
        <v>0</v>
      </c>
      <c r="T137">
        <f t="shared" si="120"/>
        <v>0</v>
      </c>
      <c r="U137">
        <f t="shared" si="121"/>
        <v>0</v>
      </c>
      <c r="V137">
        <f t="shared" si="122"/>
        <v>0</v>
      </c>
      <c r="W137">
        <f t="shared" si="123"/>
        <v>0</v>
      </c>
      <c r="X137">
        <f t="shared" si="124"/>
        <v>0</v>
      </c>
      <c r="Y137">
        <f t="shared" si="125"/>
        <v>0</v>
      </c>
      <c r="AA137">
        <v>45723533</v>
      </c>
      <c r="AB137">
        <f t="shared" si="126"/>
        <v>583.89</v>
      </c>
      <c r="AC137">
        <f t="shared" si="127"/>
        <v>583.89</v>
      </c>
      <c r="AD137">
        <f t="shared" si="128"/>
        <v>0</v>
      </c>
      <c r="AE137">
        <f t="shared" si="129"/>
        <v>0</v>
      </c>
      <c r="AF137">
        <f t="shared" si="130"/>
        <v>0</v>
      </c>
      <c r="AG137">
        <f t="shared" si="131"/>
        <v>0</v>
      </c>
      <c r="AH137">
        <f t="shared" si="132"/>
        <v>0</v>
      </c>
      <c r="AI137">
        <f t="shared" si="133"/>
        <v>0</v>
      </c>
      <c r="AJ137">
        <f t="shared" si="134"/>
        <v>0</v>
      </c>
      <c r="AK137">
        <v>583.89</v>
      </c>
      <c r="AL137">
        <v>583.89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1</v>
      </c>
      <c r="BA137">
        <v>1</v>
      </c>
      <c r="BB137">
        <v>1</v>
      </c>
      <c r="BC137">
        <v>3.06</v>
      </c>
      <c r="BD137" t="s">
        <v>3</v>
      </c>
      <c r="BE137" t="s">
        <v>3</v>
      </c>
      <c r="BF137" t="s">
        <v>3</v>
      </c>
      <c r="BG137" t="s">
        <v>3</v>
      </c>
      <c r="BH137">
        <v>3</v>
      </c>
      <c r="BI137">
        <v>2</v>
      </c>
      <c r="BJ137" t="s">
        <v>252</v>
      </c>
      <c r="BM137">
        <v>1618</v>
      </c>
      <c r="BN137">
        <v>0</v>
      </c>
      <c r="BO137" t="s">
        <v>250</v>
      </c>
      <c r="BP137">
        <v>1</v>
      </c>
      <c r="BQ137">
        <v>201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0</v>
      </c>
      <c r="CA137">
        <v>0</v>
      </c>
      <c r="CE137">
        <v>30</v>
      </c>
      <c r="CF137">
        <v>0</v>
      </c>
      <c r="CG137">
        <v>0</v>
      </c>
      <c r="CM137">
        <v>0</v>
      </c>
      <c r="CN137" t="s">
        <v>3</v>
      </c>
      <c r="CO137">
        <v>0</v>
      </c>
      <c r="CP137">
        <f t="shared" si="135"/>
        <v>0</v>
      </c>
      <c r="CQ137">
        <f t="shared" si="136"/>
        <v>1786.7</v>
      </c>
      <c r="CR137">
        <f t="shared" si="137"/>
        <v>0</v>
      </c>
      <c r="CS137">
        <f t="shared" si="138"/>
        <v>0</v>
      </c>
      <c r="CT137">
        <f t="shared" si="139"/>
        <v>0</v>
      </c>
      <c r="CU137">
        <f t="shared" si="140"/>
        <v>0</v>
      </c>
      <c r="CV137">
        <f t="shared" si="141"/>
        <v>0</v>
      </c>
      <c r="CW137">
        <f t="shared" si="142"/>
        <v>0</v>
      </c>
      <c r="CX137">
        <f t="shared" si="143"/>
        <v>0</v>
      </c>
      <c r="CY137">
        <f t="shared" si="144"/>
        <v>0</v>
      </c>
      <c r="CZ137">
        <f t="shared" si="145"/>
        <v>0</v>
      </c>
      <c r="DC137" t="s">
        <v>3</v>
      </c>
      <c r="DD137" t="s">
        <v>3</v>
      </c>
      <c r="DE137" t="s">
        <v>3</v>
      </c>
      <c r="DF137" t="s">
        <v>3</v>
      </c>
      <c r="DG137" t="s">
        <v>3</v>
      </c>
      <c r="DH137" t="s">
        <v>3</v>
      </c>
      <c r="DI137" t="s">
        <v>3</v>
      </c>
      <c r="DJ137" t="s">
        <v>3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1010</v>
      </c>
      <c r="DV137" t="s">
        <v>202</v>
      </c>
      <c r="DW137" t="s">
        <v>202</v>
      </c>
      <c r="DX137">
        <v>1</v>
      </c>
      <c r="EE137">
        <v>42514933</v>
      </c>
      <c r="EF137">
        <v>201</v>
      </c>
      <c r="EG137" t="s">
        <v>204</v>
      </c>
      <c r="EH137">
        <v>0</v>
      </c>
      <c r="EI137" t="s">
        <v>3</v>
      </c>
      <c r="EJ137">
        <v>2</v>
      </c>
      <c r="EK137">
        <v>1618</v>
      </c>
      <c r="EL137" t="s">
        <v>205</v>
      </c>
      <c r="EM137" t="s">
        <v>206</v>
      </c>
      <c r="EO137" t="s">
        <v>3</v>
      </c>
      <c r="EQ137">
        <v>131072</v>
      </c>
      <c r="ER137">
        <v>583.89</v>
      </c>
      <c r="ES137">
        <v>583.89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f t="shared" si="146"/>
        <v>0</v>
      </c>
      <c r="FS137">
        <v>0</v>
      </c>
      <c r="FX137">
        <v>0</v>
      </c>
      <c r="FY137">
        <v>0</v>
      </c>
      <c r="GA137" t="s">
        <v>3</v>
      </c>
      <c r="GD137">
        <v>0</v>
      </c>
      <c r="GF137">
        <v>1928922360</v>
      </c>
      <c r="GG137">
        <v>2</v>
      </c>
      <c r="GH137">
        <v>1</v>
      </c>
      <c r="GI137">
        <v>2</v>
      </c>
      <c r="GJ137">
        <v>0</v>
      </c>
      <c r="GK137">
        <f>ROUND(R137*(R12)/100,2)</f>
        <v>0</v>
      </c>
      <c r="GL137">
        <f t="shared" si="147"/>
        <v>0</v>
      </c>
      <c r="GM137">
        <f t="shared" si="148"/>
        <v>0</v>
      </c>
      <c r="GN137">
        <f t="shared" si="149"/>
        <v>0</v>
      </c>
      <c r="GO137">
        <f t="shared" si="150"/>
        <v>0</v>
      </c>
      <c r="GP137">
        <f t="shared" si="151"/>
        <v>0</v>
      </c>
      <c r="GR137">
        <v>0</v>
      </c>
      <c r="GS137">
        <v>3</v>
      </c>
      <c r="GT137">
        <v>0</v>
      </c>
      <c r="GU137" t="s">
        <v>3</v>
      </c>
      <c r="GV137">
        <f t="shared" si="152"/>
        <v>0</v>
      </c>
      <c r="GW137">
        <v>1</v>
      </c>
      <c r="GX137">
        <f t="shared" si="153"/>
        <v>0</v>
      </c>
      <c r="HA137">
        <v>0</v>
      </c>
      <c r="HB137">
        <v>0</v>
      </c>
      <c r="HC137">
        <f t="shared" si="154"/>
        <v>0</v>
      </c>
      <c r="IK137">
        <v>0</v>
      </c>
    </row>
    <row r="138" spans="1:245" x14ac:dyDescent="0.2">
      <c r="A138">
        <v>17</v>
      </c>
      <c r="B138">
        <v>1</v>
      </c>
      <c r="E138" t="s">
        <v>253</v>
      </c>
      <c r="F138" t="s">
        <v>254</v>
      </c>
      <c r="G138" t="s">
        <v>255</v>
      </c>
      <c r="H138" t="s">
        <v>202</v>
      </c>
      <c r="I138">
        <f>ROUND(I77,9)</f>
        <v>3</v>
      </c>
      <c r="J138">
        <v>0</v>
      </c>
      <c r="O138">
        <f t="shared" si="115"/>
        <v>5796.62</v>
      </c>
      <c r="P138">
        <f t="shared" si="116"/>
        <v>5796.62</v>
      </c>
      <c r="Q138">
        <f t="shared" si="117"/>
        <v>0</v>
      </c>
      <c r="R138">
        <f t="shared" si="118"/>
        <v>0</v>
      </c>
      <c r="S138">
        <f t="shared" si="119"/>
        <v>0</v>
      </c>
      <c r="T138">
        <f t="shared" si="120"/>
        <v>0</v>
      </c>
      <c r="U138">
        <f t="shared" si="121"/>
        <v>0</v>
      </c>
      <c r="V138">
        <f t="shared" si="122"/>
        <v>0</v>
      </c>
      <c r="W138">
        <f t="shared" si="123"/>
        <v>0</v>
      </c>
      <c r="X138">
        <f t="shared" si="124"/>
        <v>0</v>
      </c>
      <c r="Y138">
        <f t="shared" si="125"/>
        <v>0</v>
      </c>
      <c r="AA138">
        <v>45723533</v>
      </c>
      <c r="AB138">
        <f t="shared" si="126"/>
        <v>1016.95</v>
      </c>
      <c r="AC138">
        <f t="shared" si="127"/>
        <v>1016.95</v>
      </c>
      <c r="AD138">
        <f t="shared" si="128"/>
        <v>0</v>
      </c>
      <c r="AE138">
        <f t="shared" si="129"/>
        <v>0</v>
      </c>
      <c r="AF138">
        <f t="shared" si="130"/>
        <v>0</v>
      </c>
      <c r="AG138">
        <f t="shared" si="131"/>
        <v>0</v>
      </c>
      <c r="AH138">
        <f t="shared" si="132"/>
        <v>0</v>
      </c>
      <c r="AI138">
        <f t="shared" si="133"/>
        <v>0</v>
      </c>
      <c r="AJ138">
        <f t="shared" si="134"/>
        <v>0</v>
      </c>
      <c r="AK138">
        <v>1016.95</v>
      </c>
      <c r="AL138">
        <v>1016.95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1</v>
      </c>
      <c r="AW138">
        <v>1</v>
      </c>
      <c r="AZ138">
        <v>1</v>
      </c>
      <c r="BA138">
        <v>1</v>
      </c>
      <c r="BB138">
        <v>1</v>
      </c>
      <c r="BC138">
        <v>1.9</v>
      </c>
      <c r="BD138" t="s">
        <v>3</v>
      </c>
      <c r="BE138" t="s">
        <v>3</v>
      </c>
      <c r="BF138" t="s">
        <v>3</v>
      </c>
      <c r="BG138" t="s">
        <v>3</v>
      </c>
      <c r="BH138">
        <v>3</v>
      </c>
      <c r="BI138">
        <v>2</v>
      </c>
      <c r="BJ138" t="s">
        <v>256</v>
      </c>
      <c r="BM138">
        <v>1618</v>
      </c>
      <c r="BN138">
        <v>0</v>
      </c>
      <c r="BO138" t="s">
        <v>254</v>
      </c>
      <c r="BP138">
        <v>1</v>
      </c>
      <c r="BQ138">
        <v>201</v>
      </c>
      <c r="BR138">
        <v>0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 t="s">
        <v>3</v>
      </c>
      <c r="BZ138">
        <v>0</v>
      </c>
      <c r="CA138">
        <v>0</v>
      </c>
      <c r="CE138">
        <v>30</v>
      </c>
      <c r="CF138">
        <v>0</v>
      </c>
      <c r="CG138">
        <v>0</v>
      </c>
      <c r="CM138">
        <v>0</v>
      </c>
      <c r="CN138" t="s">
        <v>3</v>
      </c>
      <c r="CO138">
        <v>0</v>
      </c>
      <c r="CP138">
        <f t="shared" si="135"/>
        <v>5796.62</v>
      </c>
      <c r="CQ138">
        <f t="shared" si="136"/>
        <v>1932.21</v>
      </c>
      <c r="CR138">
        <f t="shared" si="137"/>
        <v>0</v>
      </c>
      <c r="CS138">
        <f t="shared" si="138"/>
        <v>0</v>
      </c>
      <c r="CT138">
        <f t="shared" si="139"/>
        <v>0</v>
      </c>
      <c r="CU138">
        <f t="shared" si="140"/>
        <v>0</v>
      </c>
      <c r="CV138">
        <f t="shared" si="141"/>
        <v>0</v>
      </c>
      <c r="CW138">
        <f t="shared" si="142"/>
        <v>0</v>
      </c>
      <c r="CX138">
        <f t="shared" si="143"/>
        <v>0</v>
      </c>
      <c r="CY138">
        <f t="shared" si="144"/>
        <v>0</v>
      </c>
      <c r="CZ138">
        <f t="shared" si="145"/>
        <v>0</v>
      </c>
      <c r="DC138" t="s">
        <v>3</v>
      </c>
      <c r="DD138" t="s">
        <v>3</v>
      </c>
      <c r="DE138" t="s">
        <v>3</v>
      </c>
      <c r="DF138" t="s">
        <v>3</v>
      </c>
      <c r="DG138" t="s">
        <v>3</v>
      </c>
      <c r="DH138" t="s">
        <v>3</v>
      </c>
      <c r="DI138" t="s">
        <v>3</v>
      </c>
      <c r="DJ138" t="s">
        <v>3</v>
      </c>
      <c r="DK138" t="s">
        <v>3</v>
      </c>
      <c r="DL138" t="s">
        <v>3</v>
      </c>
      <c r="DM138" t="s">
        <v>3</v>
      </c>
      <c r="DN138">
        <v>0</v>
      </c>
      <c r="DO138">
        <v>0</v>
      </c>
      <c r="DP138">
        <v>1</v>
      </c>
      <c r="DQ138">
        <v>1</v>
      </c>
      <c r="DU138">
        <v>1010</v>
      </c>
      <c r="DV138" t="s">
        <v>202</v>
      </c>
      <c r="DW138" t="s">
        <v>202</v>
      </c>
      <c r="DX138">
        <v>1</v>
      </c>
      <c r="EE138">
        <v>42514933</v>
      </c>
      <c r="EF138">
        <v>201</v>
      </c>
      <c r="EG138" t="s">
        <v>204</v>
      </c>
      <c r="EH138">
        <v>0</v>
      </c>
      <c r="EI138" t="s">
        <v>3</v>
      </c>
      <c r="EJ138">
        <v>2</v>
      </c>
      <c r="EK138">
        <v>1618</v>
      </c>
      <c r="EL138" t="s">
        <v>205</v>
      </c>
      <c r="EM138" t="s">
        <v>206</v>
      </c>
      <c r="EO138" t="s">
        <v>3</v>
      </c>
      <c r="EQ138">
        <v>131072</v>
      </c>
      <c r="ER138">
        <v>1016.95</v>
      </c>
      <c r="ES138">
        <v>1016.95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FQ138">
        <v>0</v>
      </c>
      <c r="FR138">
        <f t="shared" si="146"/>
        <v>0</v>
      </c>
      <c r="FS138">
        <v>0</v>
      </c>
      <c r="FX138">
        <v>0</v>
      </c>
      <c r="FY138">
        <v>0</v>
      </c>
      <c r="GA138" t="s">
        <v>3</v>
      </c>
      <c r="GD138">
        <v>0</v>
      </c>
      <c r="GF138">
        <v>-1687045194</v>
      </c>
      <c r="GG138">
        <v>2</v>
      </c>
      <c r="GH138">
        <v>1</v>
      </c>
      <c r="GI138">
        <v>2</v>
      </c>
      <c r="GJ138">
        <v>0</v>
      </c>
      <c r="GK138">
        <f>ROUND(R138*(R12)/100,2)</f>
        <v>0</v>
      </c>
      <c r="GL138">
        <f t="shared" si="147"/>
        <v>0</v>
      </c>
      <c r="GM138">
        <f t="shared" si="148"/>
        <v>5796.62</v>
      </c>
      <c r="GN138">
        <f t="shared" si="149"/>
        <v>0</v>
      </c>
      <c r="GO138">
        <f t="shared" si="150"/>
        <v>5796.62</v>
      </c>
      <c r="GP138">
        <f t="shared" si="151"/>
        <v>0</v>
      </c>
      <c r="GR138">
        <v>0</v>
      </c>
      <c r="GS138">
        <v>3</v>
      </c>
      <c r="GT138">
        <v>0</v>
      </c>
      <c r="GU138" t="s">
        <v>3</v>
      </c>
      <c r="GV138">
        <f t="shared" si="152"/>
        <v>0</v>
      </c>
      <c r="GW138">
        <v>1</v>
      </c>
      <c r="GX138">
        <f t="shared" si="153"/>
        <v>0</v>
      </c>
      <c r="HA138">
        <v>0</v>
      </c>
      <c r="HB138">
        <v>0</v>
      </c>
      <c r="HC138">
        <f t="shared" si="154"/>
        <v>0</v>
      </c>
      <c r="IK138">
        <v>0</v>
      </c>
    </row>
    <row r="139" spans="1:245" x14ac:dyDescent="0.2">
      <c r="A139">
        <v>17</v>
      </c>
      <c r="B139">
        <v>1</v>
      </c>
      <c r="E139" t="s">
        <v>257</v>
      </c>
      <c r="F139" t="s">
        <v>258</v>
      </c>
      <c r="G139" t="s">
        <v>259</v>
      </c>
      <c r="H139" t="s">
        <v>260</v>
      </c>
      <c r="I139">
        <f>ROUND(I79*100/1000*1.02,9)</f>
        <v>5.1000000000000004E-3</v>
      </c>
      <c r="J139">
        <v>0</v>
      </c>
      <c r="O139">
        <f t="shared" si="115"/>
        <v>98.35</v>
      </c>
      <c r="P139">
        <f t="shared" si="116"/>
        <v>98.35</v>
      </c>
      <c r="Q139">
        <f t="shared" si="117"/>
        <v>0</v>
      </c>
      <c r="R139">
        <f t="shared" si="118"/>
        <v>0</v>
      </c>
      <c r="S139">
        <f t="shared" si="119"/>
        <v>0</v>
      </c>
      <c r="T139">
        <f t="shared" si="120"/>
        <v>0</v>
      </c>
      <c r="U139">
        <f t="shared" si="121"/>
        <v>0</v>
      </c>
      <c r="V139">
        <f t="shared" si="122"/>
        <v>0</v>
      </c>
      <c r="W139">
        <f t="shared" si="123"/>
        <v>0</v>
      </c>
      <c r="X139">
        <f t="shared" si="124"/>
        <v>0</v>
      </c>
      <c r="Y139">
        <f t="shared" si="125"/>
        <v>0</v>
      </c>
      <c r="AA139">
        <v>45723533</v>
      </c>
      <c r="AB139">
        <f t="shared" si="126"/>
        <v>4352.82</v>
      </c>
      <c r="AC139">
        <f t="shared" si="127"/>
        <v>4352.82</v>
      </c>
      <c r="AD139">
        <f t="shared" si="128"/>
        <v>0</v>
      </c>
      <c r="AE139">
        <f t="shared" si="129"/>
        <v>0</v>
      </c>
      <c r="AF139">
        <f t="shared" si="130"/>
        <v>0</v>
      </c>
      <c r="AG139">
        <f t="shared" si="131"/>
        <v>0</v>
      </c>
      <c r="AH139">
        <f t="shared" si="132"/>
        <v>0</v>
      </c>
      <c r="AI139">
        <f t="shared" si="133"/>
        <v>0</v>
      </c>
      <c r="AJ139">
        <f t="shared" si="134"/>
        <v>0</v>
      </c>
      <c r="AK139">
        <v>4352.82</v>
      </c>
      <c r="AL139">
        <v>4352.82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1</v>
      </c>
      <c r="AW139">
        <v>1</v>
      </c>
      <c r="AZ139">
        <v>1</v>
      </c>
      <c r="BA139">
        <v>1</v>
      </c>
      <c r="BB139">
        <v>1</v>
      </c>
      <c r="BC139">
        <v>4.43</v>
      </c>
      <c r="BD139" t="s">
        <v>3</v>
      </c>
      <c r="BE139" t="s">
        <v>3</v>
      </c>
      <c r="BF139" t="s">
        <v>3</v>
      </c>
      <c r="BG139" t="s">
        <v>3</v>
      </c>
      <c r="BH139">
        <v>3</v>
      </c>
      <c r="BI139">
        <v>2</v>
      </c>
      <c r="BJ139" t="s">
        <v>261</v>
      </c>
      <c r="BM139">
        <v>1618</v>
      </c>
      <c r="BN139">
        <v>0</v>
      </c>
      <c r="BO139" t="s">
        <v>258</v>
      </c>
      <c r="BP139">
        <v>1</v>
      </c>
      <c r="BQ139">
        <v>201</v>
      </c>
      <c r="BR139">
        <v>0</v>
      </c>
      <c r="BS139">
        <v>1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</v>
      </c>
      <c r="BZ139">
        <v>0</v>
      </c>
      <c r="CA139">
        <v>0</v>
      </c>
      <c r="CE139">
        <v>30</v>
      </c>
      <c r="CF139">
        <v>0</v>
      </c>
      <c r="CG139">
        <v>0</v>
      </c>
      <c r="CM139">
        <v>0</v>
      </c>
      <c r="CN139" t="s">
        <v>3</v>
      </c>
      <c r="CO139">
        <v>0</v>
      </c>
      <c r="CP139">
        <f t="shared" si="135"/>
        <v>98.35</v>
      </c>
      <c r="CQ139">
        <f t="shared" si="136"/>
        <v>19282.990000000002</v>
      </c>
      <c r="CR139">
        <f t="shared" si="137"/>
        <v>0</v>
      </c>
      <c r="CS139">
        <f t="shared" si="138"/>
        <v>0</v>
      </c>
      <c r="CT139">
        <f t="shared" si="139"/>
        <v>0</v>
      </c>
      <c r="CU139">
        <f t="shared" si="140"/>
        <v>0</v>
      </c>
      <c r="CV139">
        <f t="shared" si="141"/>
        <v>0</v>
      </c>
      <c r="CW139">
        <f t="shared" si="142"/>
        <v>0</v>
      </c>
      <c r="CX139">
        <f t="shared" si="143"/>
        <v>0</v>
      </c>
      <c r="CY139">
        <f t="shared" si="144"/>
        <v>0</v>
      </c>
      <c r="CZ139">
        <f t="shared" si="145"/>
        <v>0</v>
      </c>
      <c r="DC139" t="s">
        <v>3</v>
      </c>
      <c r="DD139" t="s">
        <v>3</v>
      </c>
      <c r="DE139" t="s">
        <v>3</v>
      </c>
      <c r="DF139" t="s">
        <v>3</v>
      </c>
      <c r="DG139" t="s">
        <v>3</v>
      </c>
      <c r="DH139" t="s">
        <v>3</v>
      </c>
      <c r="DI139" t="s">
        <v>3</v>
      </c>
      <c r="DJ139" t="s">
        <v>3</v>
      </c>
      <c r="DK139" t="s">
        <v>3</v>
      </c>
      <c r="DL139" t="s">
        <v>3</v>
      </c>
      <c r="DM139" t="s">
        <v>3</v>
      </c>
      <c r="DN139">
        <v>0</v>
      </c>
      <c r="DO139">
        <v>0</v>
      </c>
      <c r="DP139">
        <v>1</v>
      </c>
      <c r="DQ139">
        <v>1</v>
      </c>
      <c r="DU139">
        <v>1003</v>
      </c>
      <c r="DV139" t="s">
        <v>260</v>
      </c>
      <c r="DW139" t="s">
        <v>260</v>
      </c>
      <c r="DX139">
        <v>1000</v>
      </c>
      <c r="EE139">
        <v>42514933</v>
      </c>
      <c r="EF139">
        <v>201</v>
      </c>
      <c r="EG139" t="s">
        <v>204</v>
      </c>
      <c r="EH139">
        <v>0</v>
      </c>
      <c r="EI139" t="s">
        <v>3</v>
      </c>
      <c r="EJ139">
        <v>2</v>
      </c>
      <c r="EK139">
        <v>1618</v>
      </c>
      <c r="EL139" t="s">
        <v>205</v>
      </c>
      <c r="EM139" t="s">
        <v>206</v>
      </c>
      <c r="EO139" t="s">
        <v>3</v>
      </c>
      <c r="EQ139">
        <v>0</v>
      </c>
      <c r="ER139">
        <v>4352.82</v>
      </c>
      <c r="ES139">
        <v>4352.82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FQ139">
        <v>0</v>
      </c>
      <c r="FR139">
        <f t="shared" si="146"/>
        <v>0</v>
      </c>
      <c r="FS139">
        <v>0</v>
      </c>
      <c r="FX139">
        <v>0</v>
      </c>
      <c r="FY139">
        <v>0</v>
      </c>
      <c r="GA139" t="s">
        <v>3</v>
      </c>
      <c r="GD139">
        <v>0</v>
      </c>
      <c r="GF139">
        <v>-1198266220</v>
      </c>
      <c r="GG139">
        <v>2</v>
      </c>
      <c r="GH139">
        <v>1</v>
      </c>
      <c r="GI139">
        <v>2</v>
      </c>
      <c r="GJ139">
        <v>0</v>
      </c>
      <c r="GK139">
        <f>ROUND(R139*(R12)/100,2)</f>
        <v>0</v>
      </c>
      <c r="GL139">
        <f t="shared" si="147"/>
        <v>0</v>
      </c>
      <c r="GM139">
        <f t="shared" si="148"/>
        <v>98.35</v>
      </c>
      <c r="GN139">
        <f t="shared" si="149"/>
        <v>0</v>
      </c>
      <c r="GO139">
        <f t="shared" si="150"/>
        <v>98.35</v>
      </c>
      <c r="GP139">
        <f t="shared" si="151"/>
        <v>0</v>
      </c>
      <c r="GR139">
        <v>0</v>
      </c>
      <c r="GS139">
        <v>3</v>
      </c>
      <c r="GT139">
        <v>0</v>
      </c>
      <c r="GU139" t="s">
        <v>3</v>
      </c>
      <c r="GV139">
        <f t="shared" si="152"/>
        <v>0</v>
      </c>
      <c r="GW139">
        <v>1</v>
      </c>
      <c r="GX139">
        <f t="shared" si="153"/>
        <v>0</v>
      </c>
      <c r="HA139">
        <v>0</v>
      </c>
      <c r="HB139">
        <v>0</v>
      </c>
      <c r="HC139">
        <f t="shared" si="154"/>
        <v>0</v>
      </c>
      <c r="IK139">
        <v>0</v>
      </c>
    </row>
    <row r="140" spans="1:245" x14ac:dyDescent="0.2">
      <c r="A140">
        <v>17</v>
      </c>
      <c r="B140">
        <v>1</v>
      </c>
      <c r="E140" t="s">
        <v>262</v>
      </c>
      <c r="F140" t="s">
        <v>263</v>
      </c>
      <c r="G140" t="s">
        <v>264</v>
      </c>
      <c r="H140" t="s">
        <v>260</v>
      </c>
      <c r="I140">
        <f>ROUND(I79*100/1000*1.02*0,9)</f>
        <v>0</v>
      </c>
      <c r="J140">
        <v>0</v>
      </c>
      <c r="O140">
        <f t="shared" si="115"/>
        <v>0</v>
      </c>
      <c r="P140">
        <f t="shared" si="116"/>
        <v>0</v>
      </c>
      <c r="Q140">
        <f t="shared" si="117"/>
        <v>0</v>
      </c>
      <c r="R140">
        <f t="shared" si="118"/>
        <v>0</v>
      </c>
      <c r="S140">
        <f t="shared" si="119"/>
        <v>0</v>
      </c>
      <c r="T140">
        <f t="shared" si="120"/>
        <v>0</v>
      </c>
      <c r="U140">
        <f t="shared" si="121"/>
        <v>0</v>
      </c>
      <c r="V140">
        <f t="shared" si="122"/>
        <v>0</v>
      </c>
      <c r="W140">
        <f t="shared" si="123"/>
        <v>0</v>
      </c>
      <c r="X140">
        <f t="shared" si="124"/>
        <v>0</v>
      </c>
      <c r="Y140">
        <f t="shared" si="125"/>
        <v>0</v>
      </c>
      <c r="AA140">
        <v>45723533</v>
      </c>
      <c r="AB140">
        <f t="shared" si="126"/>
        <v>6189.72</v>
      </c>
      <c r="AC140">
        <f t="shared" si="127"/>
        <v>6189.72</v>
      </c>
      <c r="AD140">
        <f t="shared" si="128"/>
        <v>0</v>
      </c>
      <c r="AE140">
        <f t="shared" si="129"/>
        <v>0</v>
      </c>
      <c r="AF140">
        <f t="shared" si="130"/>
        <v>0</v>
      </c>
      <c r="AG140">
        <f t="shared" si="131"/>
        <v>0</v>
      </c>
      <c r="AH140">
        <f t="shared" si="132"/>
        <v>0</v>
      </c>
      <c r="AI140">
        <f t="shared" si="133"/>
        <v>0</v>
      </c>
      <c r="AJ140">
        <f t="shared" si="134"/>
        <v>0</v>
      </c>
      <c r="AK140">
        <v>6189.72</v>
      </c>
      <c r="AL140">
        <v>6189.72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1</v>
      </c>
      <c r="AW140">
        <v>1</v>
      </c>
      <c r="AZ140">
        <v>1</v>
      </c>
      <c r="BA140">
        <v>1</v>
      </c>
      <c r="BB140">
        <v>1</v>
      </c>
      <c r="BC140">
        <v>4.6100000000000003</v>
      </c>
      <c r="BD140" t="s">
        <v>3</v>
      </c>
      <c r="BE140" t="s">
        <v>3</v>
      </c>
      <c r="BF140" t="s">
        <v>3</v>
      </c>
      <c r="BG140" t="s">
        <v>3</v>
      </c>
      <c r="BH140">
        <v>3</v>
      </c>
      <c r="BI140">
        <v>2</v>
      </c>
      <c r="BJ140" t="s">
        <v>265</v>
      </c>
      <c r="BM140">
        <v>1618</v>
      </c>
      <c r="BN140">
        <v>0</v>
      </c>
      <c r="BO140" t="s">
        <v>263</v>
      </c>
      <c r="BP140">
        <v>1</v>
      </c>
      <c r="BQ140">
        <v>201</v>
      </c>
      <c r="BR140">
        <v>0</v>
      </c>
      <c r="BS140">
        <v>1</v>
      </c>
      <c r="BT140">
        <v>1</v>
      </c>
      <c r="BU140">
        <v>1</v>
      </c>
      <c r="BV140">
        <v>1</v>
      </c>
      <c r="BW140">
        <v>1</v>
      </c>
      <c r="BX140">
        <v>1</v>
      </c>
      <c r="BY140" t="s">
        <v>3</v>
      </c>
      <c r="BZ140">
        <v>0</v>
      </c>
      <c r="CA140">
        <v>0</v>
      </c>
      <c r="CE140">
        <v>30</v>
      </c>
      <c r="CF140">
        <v>0</v>
      </c>
      <c r="CG140">
        <v>0</v>
      </c>
      <c r="CM140">
        <v>0</v>
      </c>
      <c r="CN140" t="s">
        <v>3</v>
      </c>
      <c r="CO140">
        <v>0</v>
      </c>
      <c r="CP140">
        <f t="shared" si="135"/>
        <v>0</v>
      </c>
      <c r="CQ140">
        <f t="shared" si="136"/>
        <v>28534.61</v>
      </c>
      <c r="CR140">
        <f t="shared" si="137"/>
        <v>0</v>
      </c>
      <c r="CS140">
        <f t="shared" si="138"/>
        <v>0</v>
      </c>
      <c r="CT140">
        <f t="shared" si="139"/>
        <v>0</v>
      </c>
      <c r="CU140">
        <f t="shared" si="140"/>
        <v>0</v>
      </c>
      <c r="CV140">
        <f t="shared" si="141"/>
        <v>0</v>
      </c>
      <c r="CW140">
        <f t="shared" si="142"/>
        <v>0</v>
      </c>
      <c r="CX140">
        <f t="shared" si="143"/>
        <v>0</v>
      </c>
      <c r="CY140">
        <f t="shared" si="144"/>
        <v>0</v>
      </c>
      <c r="CZ140">
        <f t="shared" si="145"/>
        <v>0</v>
      </c>
      <c r="DC140" t="s">
        <v>3</v>
      </c>
      <c r="DD140" t="s">
        <v>3</v>
      </c>
      <c r="DE140" t="s">
        <v>3</v>
      </c>
      <c r="DF140" t="s">
        <v>3</v>
      </c>
      <c r="DG140" t="s">
        <v>3</v>
      </c>
      <c r="DH140" t="s">
        <v>3</v>
      </c>
      <c r="DI140" t="s">
        <v>3</v>
      </c>
      <c r="DJ140" t="s">
        <v>3</v>
      </c>
      <c r="DK140" t="s">
        <v>3</v>
      </c>
      <c r="DL140" t="s">
        <v>3</v>
      </c>
      <c r="DM140" t="s">
        <v>3</v>
      </c>
      <c r="DN140">
        <v>0</v>
      </c>
      <c r="DO140">
        <v>0</v>
      </c>
      <c r="DP140">
        <v>1</v>
      </c>
      <c r="DQ140">
        <v>1</v>
      </c>
      <c r="DU140">
        <v>1003</v>
      </c>
      <c r="DV140" t="s">
        <v>260</v>
      </c>
      <c r="DW140" t="s">
        <v>260</v>
      </c>
      <c r="DX140">
        <v>1000</v>
      </c>
      <c r="EE140">
        <v>42514933</v>
      </c>
      <c r="EF140">
        <v>201</v>
      </c>
      <c r="EG140" t="s">
        <v>204</v>
      </c>
      <c r="EH140">
        <v>0</v>
      </c>
      <c r="EI140" t="s">
        <v>3</v>
      </c>
      <c r="EJ140">
        <v>2</v>
      </c>
      <c r="EK140">
        <v>1618</v>
      </c>
      <c r="EL140" t="s">
        <v>205</v>
      </c>
      <c r="EM140" t="s">
        <v>206</v>
      </c>
      <c r="EO140" t="s">
        <v>3</v>
      </c>
      <c r="EQ140">
        <v>131072</v>
      </c>
      <c r="ER140">
        <v>6189.72</v>
      </c>
      <c r="ES140">
        <v>6189.72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FQ140">
        <v>0</v>
      </c>
      <c r="FR140">
        <f t="shared" si="146"/>
        <v>0</v>
      </c>
      <c r="FS140">
        <v>0</v>
      </c>
      <c r="FX140">
        <v>0</v>
      </c>
      <c r="FY140">
        <v>0</v>
      </c>
      <c r="GA140" t="s">
        <v>3</v>
      </c>
      <c r="GD140">
        <v>0</v>
      </c>
      <c r="GF140">
        <v>629572566</v>
      </c>
      <c r="GG140">
        <v>2</v>
      </c>
      <c r="GH140">
        <v>1</v>
      </c>
      <c r="GI140">
        <v>2</v>
      </c>
      <c r="GJ140">
        <v>0</v>
      </c>
      <c r="GK140">
        <f>ROUND(R140*(R12)/100,2)</f>
        <v>0</v>
      </c>
      <c r="GL140">
        <f t="shared" si="147"/>
        <v>0</v>
      </c>
      <c r="GM140">
        <f t="shared" si="148"/>
        <v>0</v>
      </c>
      <c r="GN140">
        <f t="shared" si="149"/>
        <v>0</v>
      </c>
      <c r="GO140">
        <f t="shared" si="150"/>
        <v>0</v>
      </c>
      <c r="GP140">
        <f t="shared" si="151"/>
        <v>0</v>
      </c>
      <c r="GR140">
        <v>0</v>
      </c>
      <c r="GS140">
        <v>3</v>
      </c>
      <c r="GT140">
        <v>0</v>
      </c>
      <c r="GU140" t="s">
        <v>3</v>
      </c>
      <c r="GV140">
        <f t="shared" si="152"/>
        <v>0</v>
      </c>
      <c r="GW140">
        <v>1</v>
      </c>
      <c r="GX140">
        <f t="shared" si="153"/>
        <v>0</v>
      </c>
      <c r="HA140">
        <v>0</v>
      </c>
      <c r="HB140">
        <v>0</v>
      </c>
      <c r="HC140">
        <f t="shared" si="154"/>
        <v>0</v>
      </c>
      <c r="IK140">
        <v>0</v>
      </c>
    </row>
    <row r="141" spans="1:245" x14ac:dyDescent="0.2">
      <c r="A141">
        <v>17</v>
      </c>
      <c r="B141">
        <v>1</v>
      </c>
      <c r="E141" t="s">
        <v>266</v>
      </c>
      <c r="F141" t="s">
        <v>267</v>
      </c>
      <c r="G141" t="s">
        <v>268</v>
      </c>
      <c r="H141" t="s">
        <v>260</v>
      </c>
      <c r="I141">
        <f t="shared" ref="I141:I146" si="155">ROUND(I80*100/1000*1.02,9)</f>
        <v>0</v>
      </c>
      <c r="J141">
        <v>0</v>
      </c>
      <c r="O141">
        <f t="shared" si="115"/>
        <v>0</v>
      </c>
      <c r="P141">
        <f t="shared" si="116"/>
        <v>0</v>
      </c>
      <c r="Q141">
        <f t="shared" si="117"/>
        <v>0</v>
      </c>
      <c r="R141">
        <f t="shared" si="118"/>
        <v>0</v>
      </c>
      <c r="S141">
        <f t="shared" si="119"/>
        <v>0</v>
      </c>
      <c r="T141">
        <f t="shared" si="120"/>
        <v>0</v>
      </c>
      <c r="U141">
        <f t="shared" si="121"/>
        <v>0</v>
      </c>
      <c r="V141">
        <f t="shared" si="122"/>
        <v>0</v>
      </c>
      <c r="W141">
        <f t="shared" si="123"/>
        <v>0</v>
      </c>
      <c r="X141">
        <f t="shared" si="124"/>
        <v>0</v>
      </c>
      <c r="Y141">
        <f t="shared" si="125"/>
        <v>0</v>
      </c>
      <c r="AA141">
        <v>45723533</v>
      </c>
      <c r="AB141">
        <f t="shared" si="126"/>
        <v>9541.82</v>
      </c>
      <c r="AC141">
        <f t="shared" si="127"/>
        <v>9541.82</v>
      </c>
      <c r="AD141">
        <f t="shared" si="128"/>
        <v>0</v>
      </c>
      <c r="AE141">
        <f t="shared" si="129"/>
        <v>0</v>
      </c>
      <c r="AF141">
        <f t="shared" si="130"/>
        <v>0</v>
      </c>
      <c r="AG141">
        <f t="shared" si="131"/>
        <v>0</v>
      </c>
      <c r="AH141">
        <f t="shared" si="132"/>
        <v>0</v>
      </c>
      <c r="AI141">
        <f t="shared" si="133"/>
        <v>0</v>
      </c>
      <c r="AJ141">
        <f t="shared" si="134"/>
        <v>0</v>
      </c>
      <c r="AK141">
        <v>9541.82</v>
      </c>
      <c r="AL141">
        <v>9541.82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1</v>
      </c>
      <c r="BA141">
        <v>1</v>
      </c>
      <c r="BB141">
        <v>1</v>
      </c>
      <c r="BC141">
        <v>5.09</v>
      </c>
      <c r="BD141" t="s">
        <v>3</v>
      </c>
      <c r="BE141" t="s">
        <v>3</v>
      </c>
      <c r="BF141" t="s">
        <v>3</v>
      </c>
      <c r="BG141" t="s">
        <v>3</v>
      </c>
      <c r="BH141">
        <v>3</v>
      </c>
      <c r="BI141">
        <v>2</v>
      </c>
      <c r="BJ141" t="s">
        <v>269</v>
      </c>
      <c r="BM141">
        <v>1618</v>
      </c>
      <c r="BN141">
        <v>0</v>
      </c>
      <c r="BO141" t="s">
        <v>267</v>
      </c>
      <c r="BP141">
        <v>1</v>
      </c>
      <c r="BQ141">
        <v>201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3</v>
      </c>
      <c r="BZ141">
        <v>0</v>
      </c>
      <c r="CA141">
        <v>0</v>
      </c>
      <c r="CE141">
        <v>30</v>
      </c>
      <c r="CF141">
        <v>0</v>
      </c>
      <c r="CG141">
        <v>0</v>
      </c>
      <c r="CM141">
        <v>0</v>
      </c>
      <c r="CN141" t="s">
        <v>3</v>
      </c>
      <c r="CO141">
        <v>0</v>
      </c>
      <c r="CP141">
        <f t="shared" si="135"/>
        <v>0</v>
      </c>
      <c r="CQ141">
        <f t="shared" si="136"/>
        <v>48567.86</v>
      </c>
      <c r="CR141">
        <f t="shared" si="137"/>
        <v>0</v>
      </c>
      <c r="CS141">
        <f t="shared" si="138"/>
        <v>0</v>
      </c>
      <c r="CT141">
        <f t="shared" si="139"/>
        <v>0</v>
      </c>
      <c r="CU141">
        <f t="shared" si="140"/>
        <v>0</v>
      </c>
      <c r="CV141">
        <f t="shared" si="141"/>
        <v>0</v>
      </c>
      <c r="CW141">
        <f t="shared" si="142"/>
        <v>0</v>
      </c>
      <c r="CX141">
        <f t="shared" si="143"/>
        <v>0</v>
      </c>
      <c r="CY141">
        <f t="shared" si="144"/>
        <v>0</v>
      </c>
      <c r="CZ141">
        <f t="shared" si="145"/>
        <v>0</v>
      </c>
      <c r="DC141" t="s">
        <v>3</v>
      </c>
      <c r="DD141" t="s">
        <v>3</v>
      </c>
      <c r="DE141" t="s">
        <v>3</v>
      </c>
      <c r="DF141" t="s">
        <v>3</v>
      </c>
      <c r="DG141" t="s">
        <v>3</v>
      </c>
      <c r="DH141" t="s">
        <v>3</v>
      </c>
      <c r="DI141" t="s">
        <v>3</v>
      </c>
      <c r="DJ141" t="s">
        <v>3</v>
      </c>
      <c r="DK141" t="s">
        <v>3</v>
      </c>
      <c r="DL141" t="s">
        <v>3</v>
      </c>
      <c r="DM141" t="s">
        <v>3</v>
      </c>
      <c r="DN141">
        <v>0</v>
      </c>
      <c r="DO141">
        <v>0</v>
      </c>
      <c r="DP141">
        <v>1</v>
      </c>
      <c r="DQ141">
        <v>1</v>
      </c>
      <c r="DU141">
        <v>1003</v>
      </c>
      <c r="DV141" t="s">
        <v>260</v>
      </c>
      <c r="DW141" t="s">
        <v>260</v>
      </c>
      <c r="DX141">
        <v>1000</v>
      </c>
      <c r="EE141">
        <v>42514933</v>
      </c>
      <c r="EF141">
        <v>201</v>
      </c>
      <c r="EG141" t="s">
        <v>204</v>
      </c>
      <c r="EH141">
        <v>0</v>
      </c>
      <c r="EI141" t="s">
        <v>3</v>
      </c>
      <c r="EJ141">
        <v>2</v>
      </c>
      <c r="EK141">
        <v>1618</v>
      </c>
      <c r="EL141" t="s">
        <v>205</v>
      </c>
      <c r="EM141" t="s">
        <v>206</v>
      </c>
      <c r="EO141" t="s">
        <v>3</v>
      </c>
      <c r="EQ141">
        <v>131072</v>
      </c>
      <c r="ER141">
        <v>9541.82</v>
      </c>
      <c r="ES141">
        <v>9541.82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FQ141">
        <v>0</v>
      </c>
      <c r="FR141">
        <f t="shared" si="146"/>
        <v>0</v>
      </c>
      <c r="FS141">
        <v>0</v>
      </c>
      <c r="FX141">
        <v>0</v>
      </c>
      <c r="FY141">
        <v>0</v>
      </c>
      <c r="GA141" t="s">
        <v>3</v>
      </c>
      <c r="GD141">
        <v>0</v>
      </c>
      <c r="GF141">
        <v>-1781413675</v>
      </c>
      <c r="GG141">
        <v>2</v>
      </c>
      <c r="GH141">
        <v>1</v>
      </c>
      <c r="GI141">
        <v>2</v>
      </c>
      <c r="GJ141">
        <v>0</v>
      </c>
      <c r="GK141">
        <f>ROUND(R141*(R12)/100,2)</f>
        <v>0</v>
      </c>
      <c r="GL141">
        <f t="shared" si="147"/>
        <v>0</v>
      </c>
      <c r="GM141">
        <f t="shared" si="148"/>
        <v>0</v>
      </c>
      <c r="GN141">
        <f t="shared" si="149"/>
        <v>0</v>
      </c>
      <c r="GO141">
        <f t="shared" si="150"/>
        <v>0</v>
      </c>
      <c r="GP141">
        <f t="shared" si="151"/>
        <v>0</v>
      </c>
      <c r="GR141">
        <v>0</v>
      </c>
      <c r="GS141">
        <v>3</v>
      </c>
      <c r="GT141">
        <v>0</v>
      </c>
      <c r="GU141" t="s">
        <v>3</v>
      </c>
      <c r="GV141">
        <f t="shared" si="152"/>
        <v>0</v>
      </c>
      <c r="GW141">
        <v>1</v>
      </c>
      <c r="GX141">
        <f t="shared" si="153"/>
        <v>0</v>
      </c>
      <c r="HA141">
        <v>0</v>
      </c>
      <c r="HB141">
        <v>0</v>
      </c>
      <c r="HC141">
        <f t="shared" si="154"/>
        <v>0</v>
      </c>
      <c r="IK141">
        <v>0</v>
      </c>
    </row>
    <row r="142" spans="1:245" x14ac:dyDescent="0.2">
      <c r="A142">
        <v>17</v>
      </c>
      <c r="B142">
        <v>1</v>
      </c>
      <c r="E142" t="s">
        <v>270</v>
      </c>
      <c r="F142" t="s">
        <v>271</v>
      </c>
      <c r="G142" t="s">
        <v>272</v>
      </c>
      <c r="H142" t="s">
        <v>260</v>
      </c>
      <c r="I142">
        <f t="shared" si="155"/>
        <v>0</v>
      </c>
      <c r="J142">
        <v>0</v>
      </c>
      <c r="O142">
        <f t="shared" si="115"/>
        <v>0</v>
      </c>
      <c r="P142">
        <f t="shared" si="116"/>
        <v>0</v>
      </c>
      <c r="Q142">
        <f t="shared" si="117"/>
        <v>0</v>
      </c>
      <c r="R142">
        <f t="shared" si="118"/>
        <v>0</v>
      </c>
      <c r="S142">
        <f t="shared" si="119"/>
        <v>0</v>
      </c>
      <c r="T142">
        <f t="shared" si="120"/>
        <v>0</v>
      </c>
      <c r="U142">
        <f t="shared" si="121"/>
        <v>0</v>
      </c>
      <c r="V142">
        <f t="shared" si="122"/>
        <v>0</v>
      </c>
      <c r="W142">
        <f t="shared" si="123"/>
        <v>0</v>
      </c>
      <c r="X142">
        <f t="shared" si="124"/>
        <v>0</v>
      </c>
      <c r="Y142">
        <f t="shared" si="125"/>
        <v>0</v>
      </c>
      <c r="AA142">
        <v>45723533</v>
      </c>
      <c r="AB142">
        <f t="shared" si="126"/>
        <v>13998.43</v>
      </c>
      <c r="AC142">
        <f t="shared" si="127"/>
        <v>13998.43</v>
      </c>
      <c r="AD142">
        <f t="shared" si="128"/>
        <v>0</v>
      </c>
      <c r="AE142">
        <f t="shared" si="129"/>
        <v>0</v>
      </c>
      <c r="AF142">
        <f t="shared" si="130"/>
        <v>0</v>
      </c>
      <c r="AG142">
        <f t="shared" si="131"/>
        <v>0</v>
      </c>
      <c r="AH142">
        <f t="shared" si="132"/>
        <v>0</v>
      </c>
      <c r="AI142">
        <f t="shared" si="133"/>
        <v>0</v>
      </c>
      <c r="AJ142">
        <f t="shared" si="134"/>
        <v>0</v>
      </c>
      <c r="AK142">
        <v>13998.43</v>
      </c>
      <c r="AL142">
        <v>13998.43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1</v>
      </c>
      <c r="AW142">
        <v>1</v>
      </c>
      <c r="AZ142">
        <v>1</v>
      </c>
      <c r="BA142">
        <v>1</v>
      </c>
      <c r="BB142">
        <v>1</v>
      </c>
      <c r="BC142">
        <v>5.2</v>
      </c>
      <c r="BD142" t="s">
        <v>3</v>
      </c>
      <c r="BE142" t="s">
        <v>3</v>
      </c>
      <c r="BF142" t="s">
        <v>3</v>
      </c>
      <c r="BG142" t="s">
        <v>3</v>
      </c>
      <c r="BH142">
        <v>3</v>
      </c>
      <c r="BI142">
        <v>2</v>
      </c>
      <c r="BJ142" t="s">
        <v>273</v>
      </c>
      <c r="BM142">
        <v>1618</v>
      </c>
      <c r="BN142">
        <v>0</v>
      </c>
      <c r="BO142" t="s">
        <v>271</v>
      </c>
      <c r="BP142">
        <v>1</v>
      </c>
      <c r="BQ142">
        <v>201</v>
      </c>
      <c r="BR142">
        <v>0</v>
      </c>
      <c r="BS142">
        <v>1</v>
      </c>
      <c r="BT142">
        <v>1</v>
      </c>
      <c r="BU142">
        <v>1</v>
      </c>
      <c r="BV142">
        <v>1</v>
      </c>
      <c r="BW142">
        <v>1</v>
      </c>
      <c r="BX142">
        <v>1</v>
      </c>
      <c r="BY142" t="s">
        <v>3</v>
      </c>
      <c r="BZ142">
        <v>0</v>
      </c>
      <c r="CA142">
        <v>0</v>
      </c>
      <c r="CE142">
        <v>30</v>
      </c>
      <c r="CF142">
        <v>0</v>
      </c>
      <c r="CG142">
        <v>0</v>
      </c>
      <c r="CM142">
        <v>0</v>
      </c>
      <c r="CN142" t="s">
        <v>3</v>
      </c>
      <c r="CO142">
        <v>0</v>
      </c>
      <c r="CP142">
        <f t="shared" si="135"/>
        <v>0</v>
      </c>
      <c r="CQ142">
        <f t="shared" si="136"/>
        <v>72791.839999999997</v>
      </c>
      <c r="CR142">
        <f t="shared" si="137"/>
        <v>0</v>
      </c>
      <c r="CS142">
        <f t="shared" si="138"/>
        <v>0</v>
      </c>
      <c r="CT142">
        <f t="shared" si="139"/>
        <v>0</v>
      </c>
      <c r="CU142">
        <f t="shared" si="140"/>
        <v>0</v>
      </c>
      <c r="CV142">
        <f t="shared" si="141"/>
        <v>0</v>
      </c>
      <c r="CW142">
        <f t="shared" si="142"/>
        <v>0</v>
      </c>
      <c r="CX142">
        <f t="shared" si="143"/>
        <v>0</v>
      </c>
      <c r="CY142">
        <f t="shared" si="144"/>
        <v>0</v>
      </c>
      <c r="CZ142">
        <f t="shared" si="145"/>
        <v>0</v>
      </c>
      <c r="DC142" t="s">
        <v>3</v>
      </c>
      <c r="DD142" t="s">
        <v>3</v>
      </c>
      <c r="DE142" t="s">
        <v>3</v>
      </c>
      <c r="DF142" t="s">
        <v>3</v>
      </c>
      <c r="DG142" t="s">
        <v>3</v>
      </c>
      <c r="DH142" t="s">
        <v>3</v>
      </c>
      <c r="DI142" t="s">
        <v>3</v>
      </c>
      <c r="DJ142" t="s">
        <v>3</v>
      </c>
      <c r="DK142" t="s">
        <v>3</v>
      </c>
      <c r="DL142" t="s">
        <v>3</v>
      </c>
      <c r="DM142" t="s">
        <v>3</v>
      </c>
      <c r="DN142">
        <v>0</v>
      </c>
      <c r="DO142">
        <v>0</v>
      </c>
      <c r="DP142">
        <v>1</v>
      </c>
      <c r="DQ142">
        <v>1</v>
      </c>
      <c r="DU142">
        <v>1003</v>
      </c>
      <c r="DV142" t="s">
        <v>260</v>
      </c>
      <c r="DW142" t="s">
        <v>260</v>
      </c>
      <c r="DX142">
        <v>1000</v>
      </c>
      <c r="EE142">
        <v>42514933</v>
      </c>
      <c r="EF142">
        <v>201</v>
      </c>
      <c r="EG142" t="s">
        <v>204</v>
      </c>
      <c r="EH142">
        <v>0</v>
      </c>
      <c r="EI142" t="s">
        <v>3</v>
      </c>
      <c r="EJ142">
        <v>2</v>
      </c>
      <c r="EK142">
        <v>1618</v>
      </c>
      <c r="EL142" t="s">
        <v>205</v>
      </c>
      <c r="EM142" t="s">
        <v>206</v>
      </c>
      <c r="EO142" t="s">
        <v>3</v>
      </c>
      <c r="EQ142">
        <v>131072</v>
      </c>
      <c r="ER142">
        <v>13998.43</v>
      </c>
      <c r="ES142">
        <v>13998.43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FQ142">
        <v>0</v>
      </c>
      <c r="FR142">
        <f t="shared" si="146"/>
        <v>0</v>
      </c>
      <c r="FS142">
        <v>0</v>
      </c>
      <c r="FX142">
        <v>0</v>
      </c>
      <c r="FY142">
        <v>0</v>
      </c>
      <c r="GA142" t="s">
        <v>3</v>
      </c>
      <c r="GD142">
        <v>0</v>
      </c>
      <c r="GF142">
        <v>1949220505</v>
      </c>
      <c r="GG142">
        <v>2</v>
      </c>
      <c r="GH142">
        <v>1</v>
      </c>
      <c r="GI142">
        <v>2</v>
      </c>
      <c r="GJ142">
        <v>0</v>
      </c>
      <c r="GK142">
        <f>ROUND(R142*(R12)/100,2)</f>
        <v>0</v>
      </c>
      <c r="GL142">
        <f t="shared" si="147"/>
        <v>0</v>
      </c>
      <c r="GM142">
        <f t="shared" si="148"/>
        <v>0</v>
      </c>
      <c r="GN142">
        <f t="shared" si="149"/>
        <v>0</v>
      </c>
      <c r="GO142">
        <f t="shared" si="150"/>
        <v>0</v>
      </c>
      <c r="GP142">
        <f t="shared" si="151"/>
        <v>0</v>
      </c>
      <c r="GR142">
        <v>0</v>
      </c>
      <c r="GS142">
        <v>3</v>
      </c>
      <c r="GT142">
        <v>0</v>
      </c>
      <c r="GU142" t="s">
        <v>3</v>
      </c>
      <c r="GV142">
        <f t="shared" si="152"/>
        <v>0</v>
      </c>
      <c r="GW142">
        <v>1</v>
      </c>
      <c r="GX142">
        <f t="shared" si="153"/>
        <v>0</v>
      </c>
      <c r="HA142">
        <v>0</v>
      </c>
      <c r="HB142">
        <v>0</v>
      </c>
      <c r="HC142">
        <f t="shared" si="154"/>
        <v>0</v>
      </c>
      <c r="IK142">
        <v>0</v>
      </c>
    </row>
    <row r="143" spans="1:245" x14ac:dyDescent="0.2">
      <c r="A143">
        <v>17</v>
      </c>
      <c r="B143">
        <v>1</v>
      </c>
      <c r="E143" t="s">
        <v>274</v>
      </c>
      <c r="F143" t="s">
        <v>275</v>
      </c>
      <c r="G143" t="s">
        <v>276</v>
      </c>
      <c r="H143" t="s">
        <v>260</v>
      </c>
      <c r="I143">
        <f t="shared" si="155"/>
        <v>0</v>
      </c>
      <c r="J143">
        <v>0</v>
      </c>
      <c r="O143">
        <f t="shared" si="115"/>
        <v>0</v>
      </c>
      <c r="P143">
        <f t="shared" si="116"/>
        <v>0</v>
      </c>
      <c r="Q143">
        <f t="shared" si="117"/>
        <v>0</v>
      </c>
      <c r="R143">
        <f t="shared" si="118"/>
        <v>0</v>
      </c>
      <c r="S143">
        <f t="shared" si="119"/>
        <v>0</v>
      </c>
      <c r="T143">
        <f t="shared" si="120"/>
        <v>0</v>
      </c>
      <c r="U143">
        <f t="shared" si="121"/>
        <v>0</v>
      </c>
      <c r="V143">
        <f t="shared" si="122"/>
        <v>0</v>
      </c>
      <c r="W143">
        <f t="shared" si="123"/>
        <v>0</v>
      </c>
      <c r="X143">
        <f t="shared" si="124"/>
        <v>0</v>
      </c>
      <c r="Y143">
        <f t="shared" si="125"/>
        <v>0</v>
      </c>
      <c r="AA143">
        <v>45723533</v>
      </c>
      <c r="AB143">
        <f t="shared" si="126"/>
        <v>21909.42</v>
      </c>
      <c r="AC143">
        <f t="shared" si="127"/>
        <v>21909.42</v>
      </c>
      <c r="AD143">
        <f t="shared" si="128"/>
        <v>0</v>
      </c>
      <c r="AE143">
        <f t="shared" si="129"/>
        <v>0</v>
      </c>
      <c r="AF143">
        <f t="shared" si="130"/>
        <v>0</v>
      </c>
      <c r="AG143">
        <f t="shared" si="131"/>
        <v>0</v>
      </c>
      <c r="AH143">
        <f t="shared" si="132"/>
        <v>0</v>
      </c>
      <c r="AI143">
        <f t="shared" si="133"/>
        <v>0</v>
      </c>
      <c r="AJ143">
        <f t="shared" si="134"/>
        <v>0</v>
      </c>
      <c r="AK143">
        <v>21909.42</v>
      </c>
      <c r="AL143">
        <v>21909.42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1</v>
      </c>
      <c r="AW143">
        <v>1</v>
      </c>
      <c r="AZ143">
        <v>1</v>
      </c>
      <c r="BA143">
        <v>1</v>
      </c>
      <c r="BB143">
        <v>1</v>
      </c>
      <c r="BC143">
        <v>5.26</v>
      </c>
      <c r="BD143" t="s">
        <v>3</v>
      </c>
      <c r="BE143" t="s">
        <v>3</v>
      </c>
      <c r="BF143" t="s">
        <v>3</v>
      </c>
      <c r="BG143" t="s">
        <v>3</v>
      </c>
      <c r="BH143">
        <v>3</v>
      </c>
      <c r="BI143">
        <v>2</v>
      </c>
      <c r="BJ143" t="s">
        <v>277</v>
      </c>
      <c r="BM143">
        <v>1618</v>
      </c>
      <c r="BN143">
        <v>0</v>
      </c>
      <c r="BO143" t="s">
        <v>275</v>
      </c>
      <c r="BP143">
        <v>1</v>
      </c>
      <c r="BQ143">
        <v>201</v>
      </c>
      <c r="BR143">
        <v>0</v>
      </c>
      <c r="BS143">
        <v>1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3</v>
      </c>
      <c r="BZ143">
        <v>0</v>
      </c>
      <c r="CA143">
        <v>0</v>
      </c>
      <c r="CE143">
        <v>30</v>
      </c>
      <c r="CF143">
        <v>0</v>
      </c>
      <c r="CG143">
        <v>0</v>
      </c>
      <c r="CM143">
        <v>0</v>
      </c>
      <c r="CN143" t="s">
        <v>3</v>
      </c>
      <c r="CO143">
        <v>0</v>
      </c>
      <c r="CP143">
        <f t="shared" si="135"/>
        <v>0</v>
      </c>
      <c r="CQ143">
        <f t="shared" si="136"/>
        <v>115243.55</v>
      </c>
      <c r="CR143">
        <f t="shared" si="137"/>
        <v>0</v>
      </c>
      <c r="CS143">
        <f t="shared" si="138"/>
        <v>0</v>
      </c>
      <c r="CT143">
        <f t="shared" si="139"/>
        <v>0</v>
      </c>
      <c r="CU143">
        <f t="shared" si="140"/>
        <v>0</v>
      </c>
      <c r="CV143">
        <f t="shared" si="141"/>
        <v>0</v>
      </c>
      <c r="CW143">
        <f t="shared" si="142"/>
        <v>0</v>
      </c>
      <c r="CX143">
        <f t="shared" si="143"/>
        <v>0</v>
      </c>
      <c r="CY143">
        <f t="shared" si="144"/>
        <v>0</v>
      </c>
      <c r="CZ143">
        <f t="shared" si="145"/>
        <v>0</v>
      </c>
      <c r="DC143" t="s">
        <v>3</v>
      </c>
      <c r="DD143" t="s">
        <v>3</v>
      </c>
      <c r="DE143" t="s">
        <v>3</v>
      </c>
      <c r="DF143" t="s">
        <v>3</v>
      </c>
      <c r="DG143" t="s">
        <v>3</v>
      </c>
      <c r="DH143" t="s">
        <v>3</v>
      </c>
      <c r="DI143" t="s">
        <v>3</v>
      </c>
      <c r="DJ143" t="s">
        <v>3</v>
      </c>
      <c r="DK143" t="s">
        <v>3</v>
      </c>
      <c r="DL143" t="s">
        <v>3</v>
      </c>
      <c r="DM143" t="s">
        <v>3</v>
      </c>
      <c r="DN143">
        <v>0</v>
      </c>
      <c r="DO143">
        <v>0</v>
      </c>
      <c r="DP143">
        <v>1</v>
      </c>
      <c r="DQ143">
        <v>1</v>
      </c>
      <c r="DU143">
        <v>1003</v>
      </c>
      <c r="DV143" t="s">
        <v>260</v>
      </c>
      <c r="DW143" t="s">
        <v>260</v>
      </c>
      <c r="DX143">
        <v>1000</v>
      </c>
      <c r="EE143">
        <v>42514933</v>
      </c>
      <c r="EF143">
        <v>201</v>
      </c>
      <c r="EG143" t="s">
        <v>204</v>
      </c>
      <c r="EH143">
        <v>0</v>
      </c>
      <c r="EI143" t="s">
        <v>3</v>
      </c>
      <c r="EJ143">
        <v>2</v>
      </c>
      <c r="EK143">
        <v>1618</v>
      </c>
      <c r="EL143" t="s">
        <v>205</v>
      </c>
      <c r="EM143" t="s">
        <v>206</v>
      </c>
      <c r="EO143" t="s">
        <v>3</v>
      </c>
      <c r="EQ143">
        <v>131072</v>
      </c>
      <c r="ER143">
        <v>21909.42</v>
      </c>
      <c r="ES143">
        <v>21909.42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FQ143">
        <v>0</v>
      </c>
      <c r="FR143">
        <f t="shared" si="146"/>
        <v>0</v>
      </c>
      <c r="FS143">
        <v>0</v>
      </c>
      <c r="FX143">
        <v>0</v>
      </c>
      <c r="FY143">
        <v>0</v>
      </c>
      <c r="GA143" t="s">
        <v>3</v>
      </c>
      <c r="GD143">
        <v>0</v>
      </c>
      <c r="GF143">
        <v>-155533098</v>
      </c>
      <c r="GG143">
        <v>2</v>
      </c>
      <c r="GH143">
        <v>1</v>
      </c>
      <c r="GI143">
        <v>2</v>
      </c>
      <c r="GJ143">
        <v>0</v>
      </c>
      <c r="GK143">
        <f>ROUND(R143*(R12)/100,2)</f>
        <v>0</v>
      </c>
      <c r="GL143">
        <f t="shared" si="147"/>
        <v>0</v>
      </c>
      <c r="GM143">
        <f t="shared" si="148"/>
        <v>0</v>
      </c>
      <c r="GN143">
        <f t="shared" si="149"/>
        <v>0</v>
      </c>
      <c r="GO143">
        <f t="shared" si="150"/>
        <v>0</v>
      </c>
      <c r="GP143">
        <f t="shared" si="151"/>
        <v>0</v>
      </c>
      <c r="GR143">
        <v>0</v>
      </c>
      <c r="GS143">
        <v>3</v>
      </c>
      <c r="GT143">
        <v>0</v>
      </c>
      <c r="GU143" t="s">
        <v>3</v>
      </c>
      <c r="GV143">
        <f t="shared" si="152"/>
        <v>0</v>
      </c>
      <c r="GW143">
        <v>1</v>
      </c>
      <c r="GX143">
        <f t="shared" si="153"/>
        <v>0</v>
      </c>
      <c r="HA143">
        <v>0</v>
      </c>
      <c r="HB143">
        <v>0</v>
      </c>
      <c r="HC143">
        <f t="shared" si="154"/>
        <v>0</v>
      </c>
      <c r="IK143">
        <v>0</v>
      </c>
    </row>
    <row r="144" spans="1:245" x14ac:dyDescent="0.2">
      <c r="A144">
        <v>17</v>
      </c>
      <c r="B144">
        <v>1</v>
      </c>
      <c r="E144" t="s">
        <v>278</v>
      </c>
      <c r="F144" t="s">
        <v>279</v>
      </c>
      <c r="G144" t="s">
        <v>280</v>
      </c>
      <c r="H144" t="s">
        <v>260</v>
      </c>
      <c r="I144">
        <f t="shared" si="155"/>
        <v>0</v>
      </c>
      <c r="J144">
        <v>0</v>
      </c>
      <c r="O144">
        <f t="shared" si="115"/>
        <v>0</v>
      </c>
      <c r="P144">
        <f t="shared" si="116"/>
        <v>0</v>
      </c>
      <c r="Q144">
        <f t="shared" si="117"/>
        <v>0</v>
      </c>
      <c r="R144">
        <f t="shared" si="118"/>
        <v>0</v>
      </c>
      <c r="S144">
        <f t="shared" si="119"/>
        <v>0</v>
      </c>
      <c r="T144">
        <f t="shared" si="120"/>
        <v>0</v>
      </c>
      <c r="U144">
        <f t="shared" si="121"/>
        <v>0</v>
      </c>
      <c r="V144">
        <f t="shared" si="122"/>
        <v>0</v>
      </c>
      <c r="W144">
        <f t="shared" si="123"/>
        <v>0</v>
      </c>
      <c r="X144">
        <f t="shared" si="124"/>
        <v>0</v>
      </c>
      <c r="Y144">
        <f t="shared" si="125"/>
        <v>0</v>
      </c>
      <c r="AA144">
        <v>45723533</v>
      </c>
      <c r="AB144">
        <f t="shared" si="126"/>
        <v>28913.07</v>
      </c>
      <c r="AC144">
        <f t="shared" si="127"/>
        <v>28913.07</v>
      </c>
      <c r="AD144">
        <f t="shared" si="128"/>
        <v>0</v>
      </c>
      <c r="AE144">
        <f t="shared" si="129"/>
        <v>0</v>
      </c>
      <c r="AF144">
        <f t="shared" si="130"/>
        <v>0</v>
      </c>
      <c r="AG144">
        <f t="shared" si="131"/>
        <v>0</v>
      </c>
      <c r="AH144">
        <f t="shared" si="132"/>
        <v>0</v>
      </c>
      <c r="AI144">
        <f t="shared" si="133"/>
        <v>0</v>
      </c>
      <c r="AJ144">
        <f t="shared" si="134"/>
        <v>0</v>
      </c>
      <c r="AK144">
        <v>28913.07</v>
      </c>
      <c r="AL144">
        <v>28913.07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1</v>
      </c>
      <c r="AW144">
        <v>1</v>
      </c>
      <c r="AZ144">
        <v>1</v>
      </c>
      <c r="BA144">
        <v>1</v>
      </c>
      <c r="BB144">
        <v>1</v>
      </c>
      <c r="BC144">
        <v>5.58</v>
      </c>
      <c r="BD144" t="s">
        <v>3</v>
      </c>
      <c r="BE144" t="s">
        <v>3</v>
      </c>
      <c r="BF144" t="s">
        <v>3</v>
      </c>
      <c r="BG144" t="s">
        <v>3</v>
      </c>
      <c r="BH144">
        <v>3</v>
      </c>
      <c r="BI144">
        <v>2</v>
      </c>
      <c r="BJ144" t="s">
        <v>281</v>
      </c>
      <c r="BM144">
        <v>1618</v>
      </c>
      <c r="BN144">
        <v>0</v>
      </c>
      <c r="BO144" t="s">
        <v>279</v>
      </c>
      <c r="BP144">
        <v>1</v>
      </c>
      <c r="BQ144">
        <v>201</v>
      </c>
      <c r="BR144">
        <v>0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 t="s">
        <v>3</v>
      </c>
      <c r="BZ144">
        <v>0</v>
      </c>
      <c r="CA144">
        <v>0</v>
      </c>
      <c r="CE144">
        <v>30</v>
      </c>
      <c r="CF144">
        <v>0</v>
      </c>
      <c r="CG144">
        <v>0</v>
      </c>
      <c r="CM144">
        <v>0</v>
      </c>
      <c r="CN144" t="s">
        <v>3</v>
      </c>
      <c r="CO144">
        <v>0</v>
      </c>
      <c r="CP144">
        <f t="shared" si="135"/>
        <v>0</v>
      </c>
      <c r="CQ144">
        <f t="shared" si="136"/>
        <v>161334.93</v>
      </c>
      <c r="CR144">
        <f t="shared" si="137"/>
        <v>0</v>
      </c>
      <c r="CS144">
        <f t="shared" si="138"/>
        <v>0</v>
      </c>
      <c r="CT144">
        <f t="shared" si="139"/>
        <v>0</v>
      </c>
      <c r="CU144">
        <f t="shared" si="140"/>
        <v>0</v>
      </c>
      <c r="CV144">
        <f t="shared" si="141"/>
        <v>0</v>
      </c>
      <c r="CW144">
        <f t="shared" si="142"/>
        <v>0</v>
      </c>
      <c r="CX144">
        <f t="shared" si="143"/>
        <v>0</v>
      </c>
      <c r="CY144">
        <f t="shared" si="144"/>
        <v>0</v>
      </c>
      <c r="CZ144">
        <f t="shared" si="145"/>
        <v>0</v>
      </c>
      <c r="DC144" t="s">
        <v>3</v>
      </c>
      <c r="DD144" t="s">
        <v>3</v>
      </c>
      <c r="DE144" t="s">
        <v>3</v>
      </c>
      <c r="DF144" t="s">
        <v>3</v>
      </c>
      <c r="DG144" t="s">
        <v>3</v>
      </c>
      <c r="DH144" t="s">
        <v>3</v>
      </c>
      <c r="DI144" t="s">
        <v>3</v>
      </c>
      <c r="DJ144" t="s">
        <v>3</v>
      </c>
      <c r="DK144" t="s">
        <v>3</v>
      </c>
      <c r="DL144" t="s">
        <v>3</v>
      </c>
      <c r="DM144" t="s">
        <v>3</v>
      </c>
      <c r="DN144">
        <v>0</v>
      </c>
      <c r="DO144">
        <v>0</v>
      </c>
      <c r="DP144">
        <v>1</v>
      </c>
      <c r="DQ144">
        <v>1</v>
      </c>
      <c r="DU144">
        <v>1003</v>
      </c>
      <c r="DV144" t="s">
        <v>260</v>
      </c>
      <c r="DW144" t="s">
        <v>260</v>
      </c>
      <c r="DX144">
        <v>1000</v>
      </c>
      <c r="EE144">
        <v>42514933</v>
      </c>
      <c r="EF144">
        <v>201</v>
      </c>
      <c r="EG144" t="s">
        <v>204</v>
      </c>
      <c r="EH144">
        <v>0</v>
      </c>
      <c r="EI144" t="s">
        <v>3</v>
      </c>
      <c r="EJ144">
        <v>2</v>
      </c>
      <c r="EK144">
        <v>1618</v>
      </c>
      <c r="EL144" t="s">
        <v>205</v>
      </c>
      <c r="EM144" t="s">
        <v>206</v>
      </c>
      <c r="EO144" t="s">
        <v>3</v>
      </c>
      <c r="EQ144">
        <v>131072</v>
      </c>
      <c r="ER144">
        <v>28913.07</v>
      </c>
      <c r="ES144">
        <v>28913.07</v>
      </c>
      <c r="ET144">
        <v>0</v>
      </c>
      <c r="EU144">
        <v>0</v>
      </c>
      <c r="EV144">
        <v>0</v>
      </c>
      <c r="EW144">
        <v>0</v>
      </c>
      <c r="EX144">
        <v>0</v>
      </c>
      <c r="EY144">
        <v>0</v>
      </c>
      <c r="FQ144">
        <v>0</v>
      </c>
      <c r="FR144">
        <f t="shared" si="146"/>
        <v>0</v>
      </c>
      <c r="FS144">
        <v>0</v>
      </c>
      <c r="FX144">
        <v>0</v>
      </c>
      <c r="FY144">
        <v>0</v>
      </c>
      <c r="GA144" t="s">
        <v>3</v>
      </c>
      <c r="GD144">
        <v>0</v>
      </c>
      <c r="GF144">
        <v>878828212</v>
      </c>
      <c r="GG144">
        <v>2</v>
      </c>
      <c r="GH144">
        <v>1</v>
      </c>
      <c r="GI144">
        <v>2</v>
      </c>
      <c r="GJ144">
        <v>0</v>
      </c>
      <c r="GK144">
        <f>ROUND(R144*(R12)/100,2)</f>
        <v>0</v>
      </c>
      <c r="GL144">
        <f t="shared" si="147"/>
        <v>0</v>
      </c>
      <c r="GM144">
        <f t="shared" si="148"/>
        <v>0</v>
      </c>
      <c r="GN144">
        <f t="shared" si="149"/>
        <v>0</v>
      </c>
      <c r="GO144">
        <f t="shared" si="150"/>
        <v>0</v>
      </c>
      <c r="GP144">
        <f t="shared" si="151"/>
        <v>0</v>
      </c>
      <c r="GR144">
        <v>0</v>
      </c>
      <c r="GS144">
        <v>3</v>
      </c>
      <c r="GT144">
        <v>0</v>
      </c>
      <c r="GU144" t="s">
        <v>3</v>
      </c>
      <c r="GV144">
        <f t="shared" si="152"/>
        <v>0</v>
      </c>
      <c r="GW144">
        <v>1</v>
      </c>
      <c r="GX144">
        <f t="shared" si="153"/>
        <v>0</v>
      </c>
      <c r="HA144">
        <v>0</v>
      </c>
      <c r="HB144">
        <v>0</v>
      </c>
      <c r="HC144">
        <f t="shared" si="154"/>
        <v>0</v>
      </c>
      <c r="IK144">
        <v>0</v>
      </c>
    </row>
    <row r="145" spans="1:245" x14ac:dyDescent="0.2">
      <c r="A145">
        <v>17</v>
      </c>
      <c r="B145">
        <v>1</v>
      </c>
      <c r="E145" t="s">
        <v>282</v>
      </c>
      <c r="F145" t="s">
        <v>283</v>
      </c>
      <c r="G145" t="s">
        <v>284</v>
      </c>
      <c r="H145" t="s">
        <v>260</v>
      </c>
      <c r="I145">
        <f t="shared" si="155"/>
        <v>0</v>
      </c>
      <c r="J145">
        <v>0</v>
      </c>
      <c r="O145">
        <f t="shared" si="115"/>
        <v>0</v>
      </c>
      <c r="P145">
        <f t="shared" si="116"/>
        <v>0</v>
      </c>
      <c r="Q145">
        <f t="shared" si="117"/>
        <v>0</v>
      </c>
      <c r="R145">
        <f t="shared" si="118"/>
        <v>0</v>
      </c>
      <c r="S145">
        <f t="shared" si="119"/>
        <v>0</v>
      </c>
      <c r="T145">
        <f t="shared" si="120"/>
        <v>0</v>
      </c>
      <c r="U145">
        <f t="shared" si="121"/>
        <v>0</v>
      </c>
      <c r="V145">
        <f t="shared" si="122"/>
        <v>0</v>
      </c>
      <c r="W145">
        <f t="shared" si="123"/>
        <v>0</v>
      </c>
      <c r="X145">
        <f t="shared" si="124"/>
        <v>0</v>
      </c>
      <c r="Y145">
        <f t="shared" si="125"/>
        <v>0</v>
      </c>
      <c r="AA145">
        <v>45723533</v>
      </c>
      <c r="AB145">
        <f t="shared" si="126"/>
        <v>42288.82</v>
      </c>
      <c r="AC145">
        <f t="shared" si="127"/>
        <v>42288.82</v>
      </c>
      <c r="AD145">
        <f t="shared" si="128"/>
        <v>0</v>
      </c>
      <c r="AE145">
        <f t="shared" si="129"/>
        <v>0</v>
      </c>
      <c r="AF145">
        <f t="shared" si="130"/>
        <v>0</v>
      </c>
      <c r="AG145">
        <f t="shared" si="131"/>
        <v>0</v>
      </c>
      <c r="AH145">
        <f t="shared" si="132"/>
        <v>0</v>
      </c>
      <c r="AI145">
        <f t="shared" si="133"/>
        <v>0</v>
      </c>
      <c r="AJ145">
        <f t="shared" si="134"/>
        <v>0</v>
      </c>
      <c r="AK145">
        <v>42288.82</v>
      </c>
      <c r="AL145">
        <v>42288.82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1</v>
      </c>
      <c r="BA145">
        <v>1</v>
      </c>
      <c r="BB145">
        <v>1</v>
      </c>
      <c r="BC145">
        <v>5.41</v>
      </c>
      <c r="BD145" t="s">
        <v>3</v>
      </c>
      <c r="BE145" t="s">
        <v>3</v>
      </c>
      <c r="BF145" t="s">
        <v>3</v>
      </c>
      <c r="BG145" t="s">
        <v>3</v>
      </c>
      <c r="BH145">
        <v>3</v>
      </c>
      <c r="BI145">
        <v>2</v>
      </c>
      <c r="BJ145" t="s">
        <v>285</v>
      </c>
      <c r="BM145">
        <v>1618</v>
      </c>
      <c r="BN145">
        <v>0</v>
      </c>
      <c r="BO145" t="s">
        <v>283</v>
      </c>
      <c r="BP145">
        <v>1</v>
      </c>
      <c r="BQ145">
        <v>201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</v>
      </c>
      <c r="BZ145">
        <v>0</v>
      </c>
      <c r="CA145">
        <v>0</v>
      </c>
      <c r="CE145">
        <v>30</v>
      </c>
      <c r="CF145">
        <v>0</v>
      </c>
      <c r="CG145">
        <v>0</v>
      </c>
      <c r="CM145">
        <v>0</v>
      </c>
      <c r="CN145" t="s">
        <v>3</v>
      </c>
      <c r="CO145">
        <v>0</v>
      </c>
      <c r="CP145">
        <f t="shared" si="135"/>
        <v>0</v>
      </c>
      <c r="CQ145">
        <f t="shared" si="136"/>
        <v>228782.52</v>
      </c>
      <c r="CR145">
        <f t="shared" si="137"/>
        <v>0</v>
      </c>
      <c r="CS145">
        <f t="shared" si="138"/>
        <v>0</v>
      </c>
      <c r="CT145">
        <f t="shared" si="139"/>
        <v>0</v>
      </c>
      <c r="CU145">
        <f t="shared" si="140"/>
        <v>0</v>
      </c>
      <c r="CV145">
        <f t="shared" si="141"/>
        <v>0</v>
      </c>
      <c r="CW145">
        <f t="shared" si="142"/>
        <v>0</v>
      </c>
      <c r="CX145">
        <f t="shared" si="143"/>
        <v>0</v>
      </c>
      <c r="CY145">
        <f t="shared" si="144"/>
        <v>0</v>
      </c>
      <c r="CZ145">
        <f t="shared" si="145"/>
        <v>0</v>
      </c>
      <c r="DC145" t="s">
        <v>3</v>
      </c>
      <c r="DD145" t="s">
        <v>3</v>
      </c>
      <c r="DE145" t="s">
        <v>3</v>
      </c>
      <c r="DF145" t="s">
        <v>3</v>
      </c>
      <c r="DG145" t="s">
        <v>3</v>
      </c>
      <c r="DH145" t="s">
        <v>3</v>
      </c>
      <c r="DI145" t="s">
        <v>3</v>
      </c>
      <c r="DJ145" t="s">
        <v>3</v>
      </c>
      <c r="DK145" t="s">
        <v>3</v>
      </c>
      <c r="DL145" t="s">
        <v>3</v>
      </c>
      <c r="DM145" t="s">
        <v>3</v>
      </c>
      <c r="DN145">
        <v>0</v>
      </c>
      <c r="DO145">
        <v>0</v>
      </c>
      <c r="DP145">
        <v>1</v>
      </c>
      <c r="DQ145">
        <v>1</v>
      </c>
      <c r="DU145">
        <v>1003</v>
      </c>
      <c r="DV145" t="s">
        <v>260</v>
      </c>
      <c r="DW145" t="s">
        <v>260</v>
      </c>
      <c r="DX145">
        <v>1000</v>
      </c>
      <c r="EE145">
        <v>42514933</v>
      </c>
      <c r="EF145">
        <v>201</v>
      </c>
      <c r="EG145" t="s">
        <v>204</v>
      </c>
      <c r="EH145">
        <v>0</v>
      </c>
      <c r="EI145" t="s">
        <v>3</v>
      </c>
      <c r="EJ145">
        <v>2</v>
      </c>
      <c r="EK145">
        <v>1618</v>
      </c>
      <c r="EL145" t="s">
        <v>205</v>
      </c>
      <c r="EM145" t="s">
        <v>206</v>
      </c>
      <c r="EO145" t="s">
        <v>3</v>
      </c>
      <c r="EQ145">
        <v>131072</v>
      </c>
      <c r="ER145">
        <v>42288.82</v>
      </c>
      <c r="ES145">
        <v>42288.82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146"/>
        <v>0</v>
      </c>
      <c r="FS145">
        <v>0</v>
      </c>
      <c r="FX145">
        <v>0</v>
      </c>
      <c r="FY145">
        <v>0</v>
      </c>
      <c r="GA145" t="s">
        <v>3</v>
      </c>
      <c r="GD145">
        <v>0</v>
      </c>
      <c r="GF145">
        <v>1352471700</v>
      </c>
      <c r="GG145">
        <v>2</v>
      </c>
      <c r="GH145">
        <v>1</v>
      </c>
      <c r="GI145">
        <v>2</v>
      </c>
      <c r="GJ145">
        <v>0</v>
      </c>
      <c r="GK145">
        <f>ROUND(R145*(R12)/100,2)</f>
        <v>0</v>
      </c>
      <c r="GL145">
        <f t="shared" si="147"/>
        <v>0</v>
      </c>
      <c r="GM145">
        <f t="shared" si="148"/>
        <v>0</v>
      </c>
      <c r="GN145">
        <f t="shared" si="149"/>
        <v>0</v>
      </c>
      <c r="GO145">
        <f t="shared" si="150"/>
        <v>0</v>
      </c>
      <c r="GP145">
        <f t="shared" si="151"/>
        <v>0</v>
      </c>
      <c r="GR145">
        <v>0</v>
      </c>
      <c r="GS145">
        <v>3</v>
      </c>
      <c r="GT145">
        <v>0</v>
      </c>
      <c r="GU145" t="s">
        <v>3</v>
      </c>
      <c r="GV145">
        <f t="shared" si="152"/>
        <v>0</v>
      </c>
      <c r="GW145">
        <v>1</v>
      </c>
      <c r="GX145">
        <f t="shared" si="153"/>
        <v>0</v>
      </c>
      <c r="HA145">
        <v>0</v>
      </c>
      <c r="HB145">
        <v>0</v>
      </c>
      <c r="HC145">
        <f t="shared" si="154"/>
        <v>0</v>
      </c>
      <c r="IK145">
        <v>0</v>
      </c>
    </row>
    <row r="146" spans="1:245" x14ac:dyDescent="0.2">
      <c r="A146">
        <v>17</v>
      </c>
      <c r="B146">
        <v>1</v>
      </c>
      <c r="E146" t="s">
        <v>286</v>
      </c>
      <c r="F146" t="s">
        <v>287</v>
      </c>
      <c r="G146" t="s">
        <v>288</v>
      </c>
      <c r="H146" t="s">
        <v>260</v>
      </c>
      <c r="I146">
        <f t="shared" si="155"/>
        <v>9.1800000000000007E-3</v>
      </c>
      <c r="J146">
        <v>0</v>
      </c>
      <c r="O146">
        <f t="shared" si="115"/>
        <v>3003.21</v>
      </c>
      <c r="P146">
        <f t="shared" si="116"/>
        <v>3003.21</v>
      </c>
      <c r="Q146">
        <f t="shared" si="117"/>
        <v>0</v>
      </c>
      <c r="R146">
        <f t="shared" si="118"/>
        <v>0</v>
      </c>
      <c r="S146">
        <f t="shared" si="119"/>
        <v>0</v>
      </c>
      <c r="T146">
        <f t="shared" si="120"/>
        <v>0</v>
      </c>
      <c r="U146">
        <f t="shared" si="121"/>
        <v>0</v>
      </c>
      <c r="V146">
        <f t="shared" si="122"/>
        <v>0</v>
      </c>
      <c r="W146">
        <f t="shared" si="123"/>
        <v>0</v>
      </c>
      <c r="X146">
        <f t="shared" si="124"/>
        <v>0</v>
      </c>
      <c r="Y146">
        <f t="shared" si="125"/>
        <v>0</v>
      </c>
      <c r="AA146">
        <v>45723533</v>
      </c>
      <c r="AB146">
        <f t="shared" si="126"/>
        <v>55922.54</v>
      </c>
      <c r="AC146">
        <f t="shared" si="127"/>
        <v>55922.54</v>
      </c>
      <c r="AD146">
        <f t="shared" si="128"/>
        <v>0</v>
      </c>
      <c r="AE146">
        <f t="shared" si="129"/>
        <v>0</v>
      </c>
      <c r="AF146">
        <f t="shared" si="130"/>
        <v>0</v>
      </c>
      <c r="AG146">
        <f t="shared" si="131"/>
        <v>0</v>
      </c>
      <c r="AH146">
        <f t="shared" si="132"/>
        <v>0</v>
      </c>
      <c r="AI146">
        <f t="shared" si="133"/>
        <v>0</v>
      </c>
      <c r="AJ146">
        <f t="shared" si="134"/>
        <v>0</v>
      </c>
      <c r="AK146">
        <v>55922.54</v>
      </c>
      <c r="AL146">
        <v>55922.54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1</v>
      </c>
      <c r="AW146">
        <v>1</v>
      </c>
      <c r="AZ146">
        <v>1</v>
      </c>
      <c r="BA146">
        <v>1</v>
      </c>
      <c r="BB146">
        <v>1</v>
      </c>
      <c r="BC146">
        <v>5.85</v>
      </c>
      <c r="BD146" t="s">
        <v>3</v>
      </c>
      <c r="BE146" t="s">
        <v>3</v>
      </c>
      <c r="BF146" t="s">
        <v>3</v>
      </c>
      <c r="BG146" t="s">
        <v>3</v>
      </c>
      <c r="BH146">
        <v>3</v>
      </c>
      <c r="BI146">
        <v>2</v>
      </c>
      <c r="BJ146" t="s">
        <v>289</v>
      </c>
      <c r="BM146">
        <v>1618</v>
      </c>
      <c r="BN146">
        <v>0</v>
      </c>
      <c r="BO146" t="s">
        <v>287</v>
      </c>
      <c r="BP146">
        <v>1</v>
      </c>
      <c r="BQ146">
        <v>201</v>
      </c>
      <c r="BR146">
        <v>0</v>
      </c>
      <c r="BS146">
        <v>1</v>
      </c>
      <c r="BT146">
        <v>1</v>
      </c>
      <c r="BU146">
        <v>1</v>
      </c>
      <c r="BV146">
        <v>1</v>
      </c>
      <c r="BW146">
        <v>1</v>
      </c>
      <c r="BX146">
        <v>1</v>
      </c>
      <c r="BY146" t="s">
        <v>3</v>
      </c>
      <c r="BZ146">
        <v>0</v>
      </c>
      <c r="CA146">
        <v>0</v>
      </c>
      <c r="CE146">
        <v>30</v>
      </c>
      <c r="CF146">
        <v>0</v>
      </c>
      <c r="CG146">
        <v>0</v>
      </c>
      <c r="CM146">
        <v>0</v>
      </c>
      <c r="CN146" t="s">
        <v>3</v>
      </c>
      <c r="CO146">
        <v>0</v>
      </c>
      <c r="CP146">
        <f t="shared" si="135"/>
        <v>3003.21</v>
      </c>
      <c r="CQ146">
        <f t="shared" si="136"/>
        <v>327146.86</v>
      </c>
      <c r="CR146">
        <f t="shared" si="137"/>
        <v>0</v>
      </c>
      <c r="CS146">
        <f t="shared" si="138"/>
        <v>0</v>
      </c>
      <c r="CT146">
        <f t="shared" si="139"/>
        <v>0</v>
      </c>
      <c r="CU146">
        <f t="shared" si="140"/>
        <v>0</v>
      </c>
      <c r="CV146">
        <f t="shared" si="141"/>
        <v>0</v>
      </c>
      <c r="CW146">
        <f t="shared" si="142"/>
        <v>0</v>
      </c>
      <c r="CX146">
        <f t="shared" si="143"/>
        <v>0</v>
      </c>
      <c r="CY146">
        <f t="shared" si="144"/>
        <v>0</v>
      </c>
      <c r="CZ146">
        <f t="shared" si="145"/>
        <v>0</v>
      </c>
      <c r="DC146" t="s">
        <v>3</v>
      </c>
      <c r="DD146" t="s">
        <v>3</v>
      </c>
      <c r="DE146" t="s">
        <v>3</v>
      </c>
      <c r="DF146" t="s">
        <v>3</v>
      </c>
      <c r="DG146" t="s">
        <v>3</v>
      </c>
      <c r="DH146" t="s">
        <v>3</v>
      </c>
      <c r="DI146" t="s">
        <v>3</v>
      </c>
      <c r="DJ146" t="s">
        <v>3</v>
      </c>
      <c r="DK146" t="s">
        <v>3</v>
      </c>
      <c r="DL146" t="s">
        <v>3</v>
      </c>
      <c r="DM146" t="s">
        <v>3</v>
      </c>
      <c r="DN146">
        <v>0</v>
      </c>
      <c r="DO146">
        <v>0</v>
      </c>
      <c r="DP146">
        <v>1</v>
      </c>
      <c r="DQ146">
        <v>1</v>
      </c>
      <c r="DU146">
        <v>1003</v>
      </c>
      <c r="DV146" t="s">
        <v>260</v>
      </c>
      <c r="DW146" t="s">
        <v>260</v>
      </c>
      <c r="DX146">
        <v>1000</v>
      </c>
      <c r="EE146">
        <v>42514933</v>
      </c>
      <c r="EF146">
        <v>201</v>
      </c>
      <c r="EG146" t="s">
        <v>204</v>
      </c>
      <c r="EH146">
        <v>0</v>
      </c>
      <c r="EI146" t="s">
        <v>3</v>
      </c>
      <c r="EJ146">
        <v>2</v>
      </c>
      <c r="EK146">
        <v>1618</v>
      </c>
      <c r="EL146" t="s">
        <v>205</v>
      </c>
      <c r="EM146" t="s">
        <v>206</v>
      </c>
      <c r="EO146" t="s">
        <v>3</v>
      </c>
      <c r="EQ146">
        <v>131072</v>
      </c>
      <c r="ER146">
        <v>55922.54</v>
      </c>
      <c r="ES146">
        <v>55922.54</v>
      </c>
      <c r="ET146">
        <v>0</v>
      </c>
      <c r="EU146">
        <v>0</v>
      </c>
      <c r="EV146">
        <v>0</v>
      </c>
      <c r="EW146">
        <v>0</v>
      </c>
      <c r="EX146">
        <v>0</v>
      </c>
      <c r="EY146">
        <v>0</v>
      </c>
      <c r="FQ146">
        <v>0</v>
      </c>
      <c r="FR146">
        <f t="shared" si="146"/>
        <v>0</v>
      </c>
      <c r="FS146">
        <v>0</v>
      </c>
      <c r="FX146">
        <v>0</v>
      </c>
      <c r="FY146">
        <v>0</v>
      </c>
      <c r="GA146" t="s">
        <v>3</v>
      </c>
      <c r="GD146">
        <v>0</v>
      </c>
      <c r="GF146">
        <v>1436030538</v>
      </c>
      <c r="GG146">
        <v>2</v>
      </c>
      <c r="GH146">
        <v>1</v>
      </c>
      <c r="GI146">
        <v>2</v>
      </c>
      <c r="GJ146">
        <v>0</v>
      </c>
      <c r="GK146">
        <f>ROUND(R146*(R12)/100,2)</f>
        <v>0</v>
      </c>
      <c r="GL146">
        <f t="shared" si="147"/>
        <v>0</v>
      </c>
      <c r="GM146">
        <f t="shared" si="148"/>
        <v>3003.21</v>
      </c>
      <c r="GN146">
        <f t="shared" si="149"/>
        <v>0</v>
      </c>
      <c r="GO146">
        <f t="shared" si="150"/>
        <v>3003.21</v>
      </c>
      <c r="GP146">
        <f t="shared" si="151"/>
        <v>0</v>
      </c>
      <c r="GR146">
        <v>0</v>
      </c>
      <c r="GS146">
        <v>3</v>
      </c>
      <c r="GT146">
        <v>0</v>
      </c>
      <c r="GU146" t="s">
        <v>3</v>
      </c>
      <c r="GV146">
        <f t="shared" si="152"/>
        <v>0</v>
      </c>
      <c r="GW146">
        <v>1</v>
      </c>
      <c r="GX146">
        <f t="shared" si="153"/>
        <v>0</v>
      </c>
      <c r="HA146">
        <v>0</v>
      </c>
      <c r="HB146">
        <v>0</v>
      </c>
      <c r="HC146">
        <f t="shared" si="154"/>
        <v>0</v>
      </c>
      <c r="IK146">
        <v>0</v>
      </c>
    </row>
    <row r="147" spans="1:245" x14ac:dyDescent="0.2">
      <c r="A147">
        <v>17</v>
      </c>
      <c r="B147">
        <v>1</v>
      </c>
      <c r="E147" t="s">
        <v>290</v>
      </c>
      <c r="F147" t="s">
        <v>291</v>
      </c>
      <c r="G147" t="s">
        <v>292</v>
      </c>
      <c r="H147" t="s">
        <v>202</v>
      </c>
      <c r="I147">
        <f>ROUND(I86*100,9)</f>
        <v>36</v>
      </c>
      <c r="J147">
        <v>0</v>
      </c>
      <c r="O147">
        <f t="shared" si="115"/>
        <v>6912.52</v>
      </c>
      <c r="P147">
        <f t="shared" si="116"/>
        <v>6912.52</v>
      </c>
      <c r="Q147">
        <f t="shared" si="117"/>
        <v>0</v>
      </c>
      <c r="R147">
        <f t="shared" si="118"/>
        <v>0</v>
      </c>
      <c r="S147">
        <f t="shared" si="119"/>
        <v>0</v>
      </c>
      <c r="T147">
        <f t="shared" si="120"/>
        <v>0</v>
      </c>
      <c r="U147">
        <f t="shared" si="121"/>
        <v>0</v>
      </c>
      <c r="V147">
        <f t="shared" si="122"/>
        <v>0</v>
      </c>
      <c r="W147">
        <f t="shared" si="123"/>
        <v>0</v>
      </c>
      <c r="X147">
        <f t="shared" si="124"/>
        <v>0</v>
      </c>
      <c r="Y147">
        <f t="shared" si="125"/>
        <v>0</v>
      </c>
      <c r="AA147">
        <v>45723533</v>
      </c>
      <c r="AB147">
        <f t="shared" si="126"/>
        <v>88.08</v>
      </c>
      <c r="AC147">
        <f t="shared" si="127"/>
        <v>88.08</v>
      </c>
      <c r="AD147">
        <f t="shared" si="128"/>
        <v>0</v>
      </c>
      <c r="AE147">
        <f t="shared" si="129"/>
        <v>0</v>
      </c>
      <c r="AF147">
        <f t="shared" si="130"/>
        <v>0</v>
      </c>
      <c r="AG147">
        <f t="shared" si="131"/>
        <v>0</v>
      </c>
      <c r="AH147">
        <f t="shared" si="132"/>
        <v>0</v>
      </c>
      <c r="AI147">
        <f t="shared" si="133"/>
        <v>0</v>
      </c>
      <c r="AJ147">
        <f t="shared" si="134"/>
        <v>0</v>
      </c>
      <c r="AK147">
        <v>88.08</v>
      </c>
      <c r="AL147">
        <v>88.08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1</v>
      </c>
      <c r="AW147">
        <v>1</v>
      </c>
      <c r="AZ147">
        <v>1</v>
      </c>
      <c r="BA147">
        <v>1</v>
      </c>
      <c r="BB147">
        <v>1</v>
      </c>
      <c r="BC147">
        <v>2.1800000000000002</v>
      </c>
      <c r="BD147" t="s">
        <v>3</v>
      </c>
      <c r="BE147" t="s">
        <v>3</v>
      </c>
      <c r="BF147" t="s">
        <v>3</v>
      </c>
      <c r="BG147" t="s">
        <v>3</v>
      </c>
      <c r="BH147">
        <v>3</v>
      </c>
      <c r="BI147">
        <v>2</v>
      </c>
      <c r="BJ147" t="s">
        <v>293</v>
      </c>
      <c r="BM147">
        <v>1618</v>
      </c>
      <c r="BN147">
        <v>0</v>
      </c>
      <c r="BO147" t="s">
        <v>291</v>
      </c>
      <c r="BP147">
        <v>1</v>
      </c>
      <c r="BQ147">
        <v>201</v>
      </c>
      <c r="BR147">
        <v>0</v>
      </c>
      <c r="BS147">
        <v>1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</v>
      </c>
      <c r="BZ147">
        <v>0</v>
      </c>
      <c r="CA147">
        <v>0</v>
      </c>
      <c r="CE147">
        <v>30</v>
      </c>
      <c r="CF147">
        <v>0</v>
      </c>
      <c r="CG147">
        <v>0</v>
      </c>
      <c r="CM147">
        <v>0</v>
      </c>
      <c r="CN147" t="s">
        <v>3</v>
      </c>
      <c r="CO147">
        <v>0</v>
      </c>
      <c r="CP147">
        <f t="shared" si="135"/>
        <v>6912.52</v>
      </c>
      <c r="CQ147">
        <f t="shared" si="136"/>
        <v>192.01</v>
      </c>
      <c r="CR147">
        <f t="shared" si="137"/>
        <v>0</v>
      </c>
      <c r="CS147">
        <f t="shared" si="138"/>
        <v>0</v>
      </c>
      <c r="CT147">
        <f t="shared" si="139"/>
        <v>0</v>
      </c>
      <c r="CU147">
        <f t="shared" si="140"/>
        <v>0</v>
      </c>
      <c r="CV147">
        <f t="shared" si="141"/>
        <v>0</v>
      </c>
      <c r="CW147">
        <f t="shared" si="142"/>
        <v>0</v>
      </c>
      <c r="CX147">
        <f t="shared" si="143"/>
        <v>0</v>
      </c>
      <c r="CY147">
        <f t="shared" si="144"/>
        <v>0</v>
      </c>
      <c r="CZ147">
        <f t="shared" si="145"/>
        <v>0</v>
      </c>
      <c r="DC147" t="s">
        <v>3</v>
      </c>
      <c r="DD147" t="s">
        <v>3</v>
      </c>
      <c r="DE147" t="s">
        <v>3</v>
      </c>
      <c r="DF147" t="s">
        <v>3</v>
      </c>
      <c r="DG147" t="s">
        <v>3</v>
      </c>
      <c r="DH147" t="s">
        <v>3</v>
      </c>
      <c r="DI147" t="s">
        <v>3</v>
      </c>
      <c r="DJ147" t="s">
        <v>3</v>
      </c>
      <c r="DK147" t="s">
        <v>3</v>
      </c>
      <c r="DL147" t="s">
        <v>3</v>
      </c>
      <c r="DM147" t="s">
        <v>3</v>
      </c>
      <c r="DN147">
        <v>0</v>
      </c>
      <c r="DO147">
        <v>0</v>
      </c>
      <c r="DP147">
        <v>1</v>
      </c>
      <c r="DQ147">
        <v>1</v>
      </c>
      <c r="DU147">
        <v>1010</v>
      </c>
      <c r="DV147" t="s">
        <v>202</v>
      </c>
      <c r="DW147" t="s">
        <v>202</v>
      </c>
      <c r="DX147">
        <v>1</v>
      </c>
      <c r="EE147">
        <v>42514933</v>
      </c>
      <c r="EF147">
        <v>201</v>
      </c>
      <c r="EG147" t="s">
        <v>204</v>
      </c>
      <c r="EH147">
        <v>0</v>
      </c>
      <c r="EI147" t="s">
        <v>3</v>
      </c>
      <c r="EJ147">
        <v>2</v>
      </c>
      <c r="EK147">
        <v>1618</v>
      </c>
      <c r="EL147" t="s">
        <v>205</v>
      </c>
      <c r="EM147" t="s">
        <v>206</v>
      </c>
      <c r="EO147" t="s">
        <v>3</v>
      </c>
      <c r="EQ147">
        <v>131072</v>
      </c>
      <c r="ER147">
        <v>88.08</v>
      </c>
      <c r="ES147">
        <v>88.08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FQ147">
        <v>0</v>
      </c>
      <c r="FR147">
        <f t="shared" si="146"/>
        <v>0</v>
      </c>
      <c r="FS147">
        <v>0</v>
      </c>
      <c r="FX147">
        <v>0</v>
      </c>
      <c r="FY147">
        <v>0</v>
      </c>
      <c r="GA147" t="s">
        <v>3</v>
      </c>
      <c r="GD147">
        <v>0</v>
      </c>
      <c r="GF147">
        <v>1102793712</v>
      </c>
      <c r="GG147">
        <v>2</v>
      </c>
      <c r="GH147">
        <v>1</v>
      </c>
      <c r="GI147">
        <v>2</v>
      </c>
      <c r="GJ147">
        <v>0</v>
      </c>
      <c r="GK147">
        <f>ROUND(R147*(R12)/100,2)</f>
        <v>0</v>
      </c>
      <c r="GL147">
        <f t="shared" si="147"/>
        <v>0</v>
      </c>
      <c r="GM147">
        <f t="shared" si="148"/>
        <v>6912.52</v>
      </c>
      <c r="GN147">
        <f t="shared" si="149"/>
        <v>0</v>
      </c>
      <c r="GO147">
        <f t="shared" si="150"/>
        <v>6912.52</v>
      </c>
      <c r="GP147">
        <f t="shared" si="151"/>
        <v>0</v>
      </c>
      <c r="GR147">
        <v>0</v>
      </c>
      <c r="GS147">
        <v>3</v>
      </c>
      <c r="GT147">
        <v>0</v>
      </c>
      <c r="GU147" t="s">
        <v>3</v>
      </c>
      <c r="GV147">
        <f t="shared" si="152"/>
        <v>0</v>
      </c>
      <c r="GW147">
        <v>1</v>
      </c>
      <c r="GX147">
        <f t="shared" si="153"/>
        <v>0</v>
      </c>
      <c r="HA147">
        <v>0</v>
      </c>
      <c r="HB147">
        <v>0</v>
      </c>
      <c r="HC147">
        <f t="shared" si="154"/>
        <v>0</v>
      </c>
      <c r="IK147">
        <v>0</v>
      </c>
    </row>
    <row r="148" spans="1:245" x14ac:dyDescent="0.2">
      <c r="A148">
        <v>17</v>
      </c>
      <c r="B148">
        <v>1</v>
      </c>
      <c r="E148" t="s">
        <v>294</v>
      </c>
      <c r="F148" t="s">
        <v>295</v>
      </c>
      <c r="G148" t="s">
        <v>296</v>
      </c>
      <c r="H148" t="s">
        <v>297</v>
      </c>
      <c r="I148">
        <v>0</v>
      </c>
      <c r="J148">
        <v>0</v>
      </c>
      <c r="O148">
        <f t="shared" si="115"/>
        <v>0</v>
      </c>
      <c r="P148">
        <f>ROUND(CQ148*I148,2)</f>
        <v>0</v>
      </c>
      <c r="Q148">
        <f>ROUND(CR148*I148,2)</f>
        <v>0</v>
      </c>
      <c r="R148">
        <f>ROUND(CS148*I148,2)</f>
        <v>0</v>
      </c>
      <c r="S148">
        <f>ROUND(CT148*I148,2)</f>
        <v>0</v>
      </c>
      <c r="T148">
        <f t="shared" si="120"/>
        <v>0</v>
      </c>
      <c r="U148">
        <f t="shared" si="121"/>
        <v>0</v>
      </c>
      <c r="V148">
        <f t="shared" si="122"/>
        <v>0</v>
      </c>
      <c r="W148">
        <f t="shared" si="123"/>
        <v>0</v>
      </c>
      <c r="X148">
        <f t="shared" si="124"/>
        <v>0</v>
      </c>
      <c r="Y148">
        <f t="shared" si="125"/>
        <v>0</v>
      </c>
      <c r="AA148">
        <v>45723533</v>
      </c>
      <c r="AB148">
        <f t="shared" si="126"/>
        <v>1986.62</v>
      </c>
      <c r="AC148">
        <f t="shared" si="127"/>
        <v>1986.62</v>
      </c>
      <c r="AD148">
        <f>ROUND((ET148),6)</f>
        <v>0</v>
      </c>
      <c r="AE148">
        <f t="shared" si="129"/>
        <v>0</v>
      </c>
      <c r="AF148">
        <f t="shared" si="130"/>
        <v>0</v>
      </c>
      <c r="AG148">
        <f t="shared" si="131"/>
        <v>0</v>
      </c>
      <c r="AH148">
        <f t="shared" si="132"/>
        <v>0</v>
      </c>
      <c r="AI148">
        <f t="shared" si="133"/>
        <v>0</v>
      </c>
      <c r="AJ148">
        <f t="shared" si="134"/>
        <v>0</v>
      </c>
      <c r="AK148">
        <v>1986.6200000000001</v>
      </c>
      <c r="AL148">
        <v>1986.6200000000001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1</v>
      </c>
      <c r="AW148">
        <v>1</v>
      </c>
      <c r="AZ148">
        <v>1</v>
      </c>
      <c r="BA148">
        <v>1</v>
      </c>
      <c r="BB148">
        <v>1</v>
      </c>
      <c r="BC148">
        <v>1</v>
      </c>
      <c r="BD148" t="s">
        <v>3</v>
      </c>
      <c r="BE148" t="s">
        <v>3</v>
      </c>
      <c r="BF148" t="s">
        <v>3</v>
      </c>
      <c r="BG148" t="s">
        <v>3</v>
      </c>
      <c r="BH148">
        <v>3</v>
      </c>
      <c r="BI148">
        <v>1</v>
      </c>
      <c r="BJ148" t="s">
        <v>3</v>
      </c>
      <c r="BM148">
        <v>700003</v>
      </c>
      <c r="BN148">
        <v>0</v>
      </c>
      <c r="BO148" t="s">
        <v>3</v>
      </c>
      <c r="BP148">
        <v>0</v>
      </c>
      <c r="BQ148">
        <v>0</v>
      </c>
      <c r="BR148">
        <v>0</v>
      </c>
      <c r="BS148">
        <v>1</v>
      </c>
      <c r="BT148">
        <v>1</v>
      </c>
      <c r="BU148">
        <v>1</v>
      </c>
      <c r="BV148">
        <v>1</v>
      </c>
      <c r="BW148">
        <v>1</v>
      </c>
      <c r="BX148">
        <v>1</v>
      </c>
      <c r="BY148" t="s">
        <v>3</v>
      </c>
      <c r="BZ148">
        <v>0</v>
      </c>
      <c r="CA148">
        <v>0</v>
      </c>
      <c r="CE148">
        <v>0</v>
      </c>
      <c r="CF148">
        <v>0</v>
      </c>
      <c r="CG148">
        <v>0</v>
      </c>
      <c r="CM148">
        <v>0</v>
      </c>
      <c r="CN148" t="s">
        <v>3</v>
      </c>
      <c r="CO148">
        <v>0</v>
      </c>
      <c r="CP148">
        <f t="shared" si="135"/>
        <v>0</v>
      </c>
      <c r="CQ148">
        <f>AC148*BC148</f>
        <v>1986.62</v>
      </c>
      <c r="CR148">
        <f>AD148*BB148</f>
        <v>0</v>
      </c>
      <c r="CS148">
        <f>AE148*BS148</f>
        <v>0</v>
      </c>
      <c r="CT148">
        <f>AF148*BA148</f>
        <v>0</v>
      </c>
      <c r="CU148">
        <f t="shared" si="140"/>
        <v>0</v>
      </c>
      <c r="CV148">
        <f>AH148</f>
        <v>0</v>
      </c>
      <c r="CW148">
        <f t="shared" si="142"/>
        <v>0</v>
      </c>
      <c r="CX148">
        <f t="shared" si="143"/>
        <v>0</v>
      </c>
      <c r="CY148">
        <f t="shared" si="144"/>
        <v>0</v>
      </c>
      <c r="CZ148">
        <f t="shared" si="145"/>
        <v>0</v>
      </c>
      <c r="DC148" t="s">
        <v>3</v>
      </c>
      <c r="DD148" t="s">
        <v>3</v>
      </c>
      <c r="DE148" t="s">
        <v>3</v>
      </c>
      <c r="DF148" t="s">
        <v>3</v>
      </c>
      <c r="DG148" t="s">
        <v>3</v>
      </c>
      <c r="DH148" t="s">
        <v>3</v>
      </c>
      <c r="DI148" t="s">
        <v>3</v>
      </c>
      <c r="DJ148" t="s">
        <v>3</v>
      </c>
      <c r="DK148" t="s">
        <v>3</v>
      </c>
      <c r="DL148" t="s">
        <v>3</v>
      </c>
      <c r="DM148" t="s">
        <v>3</v>
      </c>
      <c r="DN148">
        <v>0</v>
      </c>
      <c r="DO148">
        <v>0</v>
      </c>
      <c r="DP148">
        <v>1</v>
      </c>
      <c r="DQ148">
        <v>1</v>
      </c>
      <c r="DU148">
        <v>1013</v>
      </c>
      <c r="DV148" t="s">
        <v>297</v>
      </c>
      <c r="DW148" t="s">
        <v>297</v>
      </c>
      <c r="DX148">
        <v>1</v>
      </c>
      <c r="EE148">
        <v>0</v>
      </c>
      <c r="EF148">
        <v>0</v>
      </c>
      <c r="EG148" t="s">
        <v>3</v>
      </c>
      <c r="EH148">
        <v>0</v>
      </c>
      <c r="EI148" t="s">
        <v>3</v>
      </c>
      <c r="EJ148">
        <v>0</v>
      </c>
      <c r="EK148">
        <v>700003</v>
      </c>
      <c r="EL148" t="s">
        <v>3</v>
      </c>
      <c r="EM148" t="s">
        <v>3</v>
      </c>
      <c r="EO148" t="s">
        <v>3</v>
      </c>
      <c r="EQ148">
        <v>131072</v>
      </c>
      <c r="ER148">
        <v>1986.6200000000001</v>
      </c>
      <c r="ES148">
        <v>1986.6200000000001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5</v>
      </c>
      <c r="FC148">
        <v>1</v>
      </c>
      <c r="FD148">
        <v>18</v>
      </c>
      <c r="FF148">
        <v>2298.25</v>
      </c>
      <c r="FQ148">
        <v>0</v>
      </c>
      <c r="FR148">
        <f t="shared" si="146"/>
        <v>0</v>
      </c>
      <c r="FS148">
        <v>0</v>
      </c>
      <c r="FX148">
        <v>0</v>
      </c>
      <c r="FY148">
        <v>0</v>
      </c>
      <c r="GA148" t="s">
        <v>298</v>
      </c>
      <c r="GD148">
        <v>0</v>
      </c>
      <c r="GF148">
        <v>1963308740</v>
      </c>
      <c r="GG148">
        <v>2</v>
      </c>
      <c r="GH148">
        <v>3</v>
      </c>
      <c r="GI148">
        <v>-2</v>
      </c>
      <c r="GJ148">
        <v>0</v>
      </c>
      <c r="GK148">
        <f>ROUND(R148*(R12)/100,2)</f>
        <v>0</v>
      </c>
      <c r="GL148">
        <f t="shared" si="147"/>
        <v>0</v>
      </c>
      <c r="GM148">
        <f t="shared" si="148"/>
        <v>0</v>
      </c>
      <c r="GN148">
        <f t="shared" si="149"/>
        <v>0</v>
      </c>
      <c r="GO148">
        <f t="shared" si="150"/>
        <v>0</v>
      </c>
      <c r="GP148">
        <f t="shared" si="151"/>
        <v>0</v>
      </c>
      <c r="GR148">
        <v>1</v>
      </c>
      <c r="GS148">
        <v>1</v>
      </c>
      <c r="GT148">
        <v>0</v>
      </c>
      <c r="GU148" t="s">
        <v>3</v>
      </c>
      <c r="GV148">
        <f t="shared" si="152"/>
        <v>0</v>
      </c>
      <c r="GW148">
        <v>1</v>
      </c>
      <c r="GX148">
        <f t="shared" si="153"/>
        <v>0</v>
      </c>
      <c r="HA148">
        <v>0</v>
      </c>
      <c r="HB148">
        <v>0</v>
      </c>
      <c r="HC148">
        <f t="shared" si="154"/>
        <v>0</v>
      </c>
      <c r="IK148">
        <v>0</v>
      </c>
    </row>
    <row r="149" spans="1:245" x14ac:dyDescent="0.2">
      <c r="A149">
        <v>17</v>
      </c>
      <c r="B149">
        <v>1</v>
      </c>
      <c r="E149" t="s">
        <v>299</v>
      </c>
      <c r="F149" t="s">
        <v>295</v>
      </c>
      <c r="G149" t="s">
        <v>300</v>
      </c>
      <c r="H149" t="s">
        <v>301</v>
      </c>
      <c r="I149">
        <v>0</v>
      </c>
      <c r="J149">
        <v>0</v>
      </c>
      <c r="O149">
        <f t="shared" si="115"/>
        <v>0</v>
      </c>
      <c r="P149">
        <f>ROUND(CQ149*I149,2)</f>
        <v>0</v>
      </c>
      <c r="Q149">
        <f>ROUND(CR149*I149,2)</f>
        <v>0</v>
      </c>
      <c r="R149">
        <f>ROUND(CS149*I149,2)</f>
        <v>0</v>
      </c>
      <c r="S149">
        <f>ROUND(CT149*I149,2)</f>
        <v>0</v>
      </c>
      <c r="T149">
        <f t="shared" si="120"/>
        <v>0</v>
      </c>
      <c r="U149">
        <f t="shared" si="121"/>
        <v>0</v>
      </c>
      <c r="V149">
        <f t="shared" si="122"/>
        <v>0</v>
      </c>
      <c r="W149">
        <f t="shared" si="123"/>
        <v>0</v>
      </c>
      <c r="X149">
        <f t="shared" si="124"/>
        <v>0</v>
      </c>
      <c r="Y149">
        <f t="shared" si="125"/>
        <v>0</v>
      </c>
      <c r="AA149">
        <v>45723533</v>
      </c>
      <c r="AB149">
        <f t="shared" si="126"/>
        <v>248.95</v>
      </c>
      <c r="AC149">
        <f t="shared" si="127"/>
        <v>248.95</v>
      </c>
      <c r="AD149">
        <f>ROUND((ET149),6)</f>
        <v>0</v>
      </c>
      <c r="AE149">
        <f t="shared" si="129"/>
        <v>0</v>
      </c>
      <c r="AF149">
        <f t="shared" si="130"/>
        <v>0</v>
      </c>
      <c r="AG149">
        <f t="shared" si="131"/>
        <v>0</v>
      </c>
      <c r="AH149">
        <f t="shared" si="132"/>
        <v>0</v>
      </c>
      <c r="AI149">
        <f t="shared" si="133"/>
        <v>0</v>
      </c>
      <c r="AJ149">
        <f t="shared" si="134"/>
        <v>0</v>
      </c>
      <c r="AK149">
        <v>248.95</v>
      </c>
      <c r="AL149">
        <v>248.95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1</v>
      </c>
      <c r="BA149">
        <v>1</v>
      </c>
      <c r="BB149">
        <v>1</v>
      </c>
      <c r="BC149">
        <v>1</v>
      </c>
      <c r="BD149" t="s">
        <v>3</v>
      </c>
      <c r="BE149" t="s">
        <v>3</v>
      </c>
      <c r="BF149" t="s">
        <v>3</v>
      </c>
      <c r="BG149" t="s">
        <v>3</v>
      </c>
      <c r="BH149">
        <v>3</v>
      </c>
      <c r="BI149">
        <v>1</v>
      </c>
      <c r="BJ149" t="s">
        <v>3</v>
      </c>
      <c r="BM149">
        <v>700003</v>
      </c>
      <c r="BN149">
        <v>0</v>
      </c>
      <c r="BO149" t="s">
        <v>3</v>
      </c>
      <c r="BP149">
        <v>0</v>
      </c>
      <c r="BQ149">
        <v>0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</v>
      </c>
      <c r="BZ149">
        <v>0</v>
      </c>
      <c r="CA149">
        <v>0</v>
      </c>
      <c r="CE149">
        <v>0</v>
      </c>
      <c r="CF149">
        <v>0</v>
      </c>
      <c r="CG149">
        <v>0</v>
      </c>
      <c r="CM149">
        <v>0</v>
      </c>
      <c r="CN149" t="s">
        <v>3</v>
      </c>
      <c r="CO149">
        <v>0</v>
      </c>
      <c r="CP149">
        <f t="shared" si="135"/>
        <v>0</v>
      </c>
      <c r="CQ149">
        <f>AC149*BC149</f>
        <v>248.95</v>
      </c>
      <c r="CR149">
        <f>AD149*BB149</f>
        <v>0</v>
      </c>
      <c r="CS149">
        <f>AE149*BS149</f>
        <v>0</v>
      </c>
      <c r="CT149">
        <f>AF149*BA149</f>
        <v>0</v>
      </c>
      <c r="CU149">
        <f t="shared" si="140"/>
        <v>0</v>
      </c>
      <c r="CV149">
        <f>AH149</f>
        <v>0</v>
      </c>
      <c r="CW149">
        <f t="shared" si="142"/>
        <v>0</v>
      </c>
      <c r="CX149">
        <f t="shared" si="143"/>
        <v>0</v>
      </c>
      <c r="CY149">
        <f t="shared" si="144"/>
        <v>0</v>
      </c>
      <c r="CZ149">
        <f t="shared" si="145"/>
        <v>0</v>
      </c>
      <c r="DC149" t="s">
        <v>3</v>
      </c>
      <c r="DD149" t="s">
        <v>3</v>
      </c>
      <c r="DE149" t="s">
        <v>3</v>
      </c>
      <c r="DF149" t="s">
        <v>3</v>
      </c>
      <c r="DG149" t="s">
        <v>3</v>
      </c>
      <c r="DH149" t="s">
        <v>3</v>
      </c>
      <c r="DI149" t="s">
        <v>3</v>
      </c>
      <c r="DJ149" t="s">
        <v>3</v>
      </c>
      <c r="DK149" t="s">
        <v>3</v>
      </c>
      <c r="DL149" t="s">
        <v>3</v>
      </c>
      <c r="DM149" t="s">
        <v>3</v>
      </c>
      <c r="DN149">
        <v>0</v>
      </c>
      <c r="DO149">
        <v>0</v>
      </c>
      <c r="DP149">
        <v>1</v>
      </c>
      <c r="DQ149">
        <v>1</v>
      </c>
      <c r="DU149">
        <v>1013</v>
      </c>
      <c r="DV149" t="s">
        <v>301</v>
      </c>
      <c r="DW149" t="s">
        <v>301</v>
      </c>
      <c r="DX149">
        <v>1</v>
      </c>
      <c r="EE149">
        <v>0</v>
      </c>
      <c r="EF149">
        <v>0</v>
      </c>
      <c r="EG149" t="s">
        <v>3</v>
      </c>
      <c r="EH149">
        <v>0</v>
      </c>
      <c r="EI149" t="s">
        <v>3</v>
      </c>
      <c r="EJ149">
        <v>0</v>
      </c>
      <c r="EK149">
        <v>700003</v>
      </c>
      <c r="EL149" t="s">
        <v>3</v>
      </c>
      <c r="EM149" t="s">
        <v>3</v>
      </c>
      <c r="EO149" t="s">
        <v>3</v>
      </c>
      <c r="EQ149">
        <v>131072</v>
      </c>
      <c r="ER149">
        <v>248.95</v>
      </c>
      <c r="ES149">
        <v>248.95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5</v>
      </c>
      <c r="FC149">
        <v>1</v>
      </c>
      <c r="FD149">
        <v>18</v>
      </c>
      <c r="FF149">
        <v>288</v>
      </c>
      <c r="FQ149">
        <v>0</v>
      </c>
      <c r="FR149">
        <f t="shared" si="146"/>
        <v>0</v>
      </c>
      <c r="FS149">
        <v>0</v>
      </c>
      <c r="FX149">
        <v>0</v>
      </c>
      <c r="FY149">
        <v>0</v>
      </c>
      <c r="GA149" t="s">
        <v>302</v>
      </c>
      <c r="GD149">
        <v>0</v>
      </c>
      <c r="GF149">
        <v>1805217392</v>
      </c>
      <c r="GG149">
        <v>2</v>
      </c>
      <c r="GH149">
        <v>3</v>
      </c>
      <c r="GI149">
        <v>-2</v>
      </c>
      <c r="GJ149">
        <v>0</v>
      </c>
      <c r="GK149">
        <f>ROUND(R149*(R12)/100,2)</f>
        <v>0</v>
      </c>
      <c r="GL149">
        <f t="shared" si="147"/>
        <v>0</v>
      </c>
      <c r="GM149">
        <f t="shared" si="148"/>
        <v>0</v>
      </c>
      <c r="GN149">
        <f t="shared" si="149"/>
        <v>0</v>
      </c>
      <c r="GO149">
        <f t="shared" si="150"/>
        <v>0</v>
      </c>
      <c r="GP149">
        <f t="shared" si="151"/>
        <v>0</v>
      </c>
      <c r="GR149">
        <v>1</v>
      </c>
      <c r="GS149">
        <v>1</v>
      </c>
      <c r="GT149">
        <v>0</v>
      </c>
      <c r="GU149" t="s">
        <v>3</v>
      </c>
      <c r="GV149">
        <f t="shared" si="152"/>
        <v>0</v>
      </c>
      <c r="GW149">
        <v>1</v>
      </c>
      <c r="GX149">
        <f t="shared" si="153"/>
        <v>0</v>
      </c>
      <c r="HA149">
        <v>0</v>
      </c>
      <c r="HB149">
        <v>0</v>
      </c>
      <c r="HC149">
        <f t="shared" si="154"/>
        <v>0</v>
      </c>
      <c r="IK149">
        <v>0</v>
      </c>
    </row>
    <row r="150" spans="1:245" x14ac:dyDescent="0.2">
      <c r="A150">
        <v>17</v>
      </c>
      <c r="B150">
        <v>1</v>
      </c>
      <c r="E150" t="s">
        <v>303</v>
      </c>
      <c r="F150" t="s">
        <v>295</v>
      </c>
      <c r="G150" t="s">
        <v>304</v>
      </c>
      <c r="H150" t="s">
        <v>297</v>
      </c>
      <c r="I150">
        <v>0</v>
      </c>
      <c r="J150">
        <v>0</v>
      </c>
      <c r="O150">
        <f t="shared" si="115"/>
        <v>0</v>
      </c>
      <c r="P150">
        <f>ROUND(CQ150*I150,2)</f>
        <v>0</v>
      </c>
      <c r="Q150">
        <f>ROUND(CR150*I150,2)</f>
        <v>0</v>
      </c>
      <c r="R150">
        <f>ROUND(CS150*I150,2)</f>
        <v>0</v>
      </c>
      <c r="S150">
        <f>ROUND(CT150*I150,2)</f>
        <v>0</v>
      </c>
      <c r="T150">
        <f t="shared" si="120"/>
        <v>0</v>
      </c>
      <c r="U150">
        <f t="shared" si="121"/>
        <v>0</v>
      </c>
      <c r="V150">
        <f t="shared" si="122"/>
        <v>0</v>
      </c>
      <c r="W150">
        <f t="shared" si="123"/>
        <v>0</v>
      </c>
      <c r="X150">
        <f t="shared" si="124"/>
        <v>0</v>
      </c>
      <c r="Y150">
        <f t="shared" si="125"/>
        <v>0</v>
      </c>
      <c r="AA150">
        <v>45723533</v>
      </c>
      <c r="AB150">
        <f t="shared" si="126"/>
        <v>25.93</v>
      </c>
      <c r="AC150">
        <f t="shared" si="127"/>
        <v>25.93</v>
      </c>
      <c r="AD150">
        <f>ROUND((ET150),6)</f>
        <v>0</v>
      </c>
      <c r="AE150">
        <f t="shared" si="129"/>
        <v>0</v>
      </c>
      <c r="AF150">
        <f t="shared" si="130"/>
        <v>0</v>
      </c>
      <c r="AG150">
        <f t="shared" si="131"/>
        <v>0</v>
      </c>
      <c r="AH150">
        <f t="shared" si="132"/>
        <v>0</v>
      </c>
      <c r="AI150">
        <f t="shared" si="133"/>
        <v>0</v>
      </c>
      <c r="AJ150">
        <f t="shared" si="134"/>
        <v>0</v>
      </c>
      <c r="AK150">
        <v>25.930000000000003</v>
      </c>
      <c r="AL150">
        <v>25.930000000000003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1</v>
      </c>
      <c r="AW150">
        <v>1</v>
      </c>
      <c r="AZ150">
        <v>1</v>
      </c>
      <c r="BA150">
        <v>1</v>
      </c>
      <c r="BB150">
        <v>1</v>
      </c>
      <c r="BC150">
        <v>1</v>
      </c>
      <c r="BD150" t="s">
        <v>3</v>
      </c>
      <c r="BE150" t="s">
        <v>3</v>
      </c>
      <c r="BF150" t="s">
        <v>3</v>
      </c>
      <c r="BG150" t="s">
        <v>3</v>
      </c>
      <c r="BH150">
        <v>3</v>
      </c>
      <c r="BI150">
        <v>1</v>
      </c>
      <c r="BJ150" t="s">
        <v>3</v>
      </c>
      <c r="BM150">
        <v>700003</v>
      </c>
      <c r="BN150">
        <v>0</v>
      </c>
      <c r="BO150" t="s">
        <v>3</v>
      </c>
      <c r="BP150">
        <v>0</v>
      </c>
      <c r="BQ150">
        <v>0</v>
      </c>
      <c r="BR150">
        <v>0</v>
      </c>
      <c r="BS150">
        <v>1</v>
      </c>
      <c r="BT150">
        <v>1</v>
      </c>
      <c r="BU150">
        <v>1</v>
      </c>
      <c r="BV150">
        <v>1</v>
      </c>
      <c r="BW150">
        <v>1</v>
      </c>
      <c r="BX150">
        <v>1</v>
      </c>
      <c r="BY150" t="s">
        <v>3</v>
      </c>
      <c r="BZ150">
        <v>0</v>
      </c>
      <c r="CA150">
        <v>0</v>
      </c>
      <c r="CE150">
        <v>0</v>
      </c>
      <c r="CF150">
        <v>0</v>
      </c>
      <c r="CG150">
        <v>0</v>
      </c>
      <c r="CM150">
        <v>0</v>
      </c>
      <c r="CN150" t="s">
        <v>3</v>
      </c>
      <c r="CO150">
        <v>0</v>
      </c>
      <c r="CP150">
        <f t="shared" si="135"/>
        <v>0</v>
      </c>
      <c r="CQ150">
        <f>AC150*BC150</f>
        <v>25.93</v>
      </c>
      <c r="CR150">
        <f>AD150*BB150</f>
        <v>0</v>
      </c>
      <c r="CS150">
        <f>AE150*BS150</f>
        <v>0</v>
      </c>
      <c r="CT150">
        <f>AF150*BA150</f>
        <v>0</v>
      </c>
      <c r="CU150">
        <f t="shared" si="140"/>
        <v>0</v>
      </c>
      <c r="CV150">
        <f>AH150</f>
        <v>0</v>
      </c>
      <c r="CW150">
        <f t="shared" si="142"/>
        <v>0</v>
      </c>
      <c r="CX150">
        <f t="shared" si="143"/>
        <v>0</v>
      </c>
      <c r="CY150">
        <f t="shared" si="144"/>
        <v>0</v>
      </c>
      <c r="CZ150">
        <f t="shared" si="145"/>
        <v>0</v>
      </c>
      <c r="DC150" t="s">
        <v>3</v>
      </c>
      <c r="DD150" t="s">
        <v>3</v>
      </c>
      <c r="DE150" t="s">
        <v>3</v>
      </c>
      <c r="DF150" t="s">
        <v>3</v>
      </c>
      <c r="DG150" t="s">
        <v>3</v>
      </c>
      <c r="DH150" t="s">
        <v>3</v>
      </c>
      <c r="DI150" t="s">
        <v>3</v>
      </c>
      <c r="DJ150" t="s">
        <v>3</v>
      </c>
      <c r="DK150" t="s">
        <v>3</v>
      </c>
      <c r="DL150" t="s">
        <v>3</v>
      </c>
      <c r="DM150" t="s">
        <v>3</v>
      </c>
      <c r="DN150">
        <v>0</v>
      </c>
      <c r="DO150">
        <v>0</v>
      </c>
      <c r="DP150">
        <v>1</v>
      </c>
      <c r="DQ150">
        <v>1</v>
      </c>
      <c r="DU150">
        <v>1013</v>
      </c>
      <c r="DV150" t="s">
        <v>297</v>
      </c>
      <c r="DW150" t="s">
        <v>297</v>
      </c>
      <c r="DX150">
        <v>1</v>
      </c>
      <c r="EE150">
        <v>0</v>
      </c>
      <c r="EF150">
        <v>0</v>
      </c>
      <c r="EG150" t="s">
        <v>3</v>
      </c>
      <c r="EH150">
        <v>0</v>
      </c>
      <c r="EI150" t="s">
        <v>3</v>
      </c>
      <c r="EJ150">
        <v>0</v>
      </c>
      <c r="EK150">
        <v>700003</v>
      </c>
      <c r="EL150" t="s">
        <v>3</v>
      </c>
      <c r="EM150" t="s">
        <v>3</v>
      </c>
      <c r="EO150" t="s">
        <v>3</v>
      </c>
      <c r="EQ150">
        <v>131072</v>
      </c>
      <c r="ER150">
        <v>25.930000000000003</v>
      </c>
      <c r="ES150">
        <v>25.930000000000003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5</v>
      </c>
      <c r="FC150">
        <v>1</v>
      </c>
      <c r="FD150">
        <v>18</v>
      </c>
      <c r="FF150">
        <v>30</v>
      </c>
      <c r="FQ150">
        <v>0</v>
      </c>
      <c r="FR150">
        <f t="shared" si="146"/>
        <v>0</v>
      </c>
      <c r="FS150">
        <v>0</v>
      </c>
      <c r="FX150">
        <v>0</v>
      </c>
      <c r="FY150">
        <v>0</v>
      </c>
      <c r="GA150" t="s">
        <v>305</v>
      </c>
      <c r="GD150">
        <v>0</v>
      </c>
      <c r="GF150">
        <v>969602355</v>
      </c>
      <c r="GG150">
        <v>2</v>
      </c>
      <c r="GH150">
        <v>3</v>
      </c>
      <c r="GI150">
        <v>-2</v>
      </c>
      <c r="GJ150">
        <v>0</v>
      </c>
      <c r="GK150">
        <f>ROUND(R150*(R12)/100,2)</f>
        <v>0</v>
      </c>
      <c r="GL150">
        <f t="shared" si="147"/>
        <v>0</v>
      </c>
      <c r="GM150">
        <f t="shared" si="148"/>
        <v>0</v>
      </c>
      <c r="GN150">
        <f t="shared" si="149"/>
        <v>0</v>
      </c>
      <c r="GO150">
        <f t="shared" si="150"/>
        <v>0</v>
      </c>
      <c r="GP150">
        <f t="shared" si="151"/>
        <v>0</v>
      </c>
      <c r="GR150">
        <v>1</v>
      </c>
      <c r="GS150">
        <v>1</v>
      </c>
      <c r="GT150">
        <v>0</v>
      </c>
      <c r="GU150" t="s">
        <v>3</v>
      </c>
      <c r="GV150">
        <f t="shared" si="152"/>
        <v>0</v>
      </c>
      <c r="GW150">
        <v>1</v>
      </c>
      <c r="GX150">
        <f t="shared" si="153"/>
        <v>0</v>
      </c>
      <c r="HA150">
        <v>0</v>
      </c>
      <c r="HB150">
        <v>0</v>
      </c>
      <c r="HC150">
        <f t="shared" si="154"/>
        <v>0</v>
      </c>
      <c r="IK150">
        <v>0</v>
      </c>
    </row>
    <row r="151" spans="1:245" x14ac:dyDescent="0.2">
      <c r="A151">
        <v>17</v>
      </c>
      <c r="B151">
        <v>1</v>
      </c>
      <c r="E151" t="s">
        <v>306</v>
      </c>
      <c r="F151" t="s">
        <v>295</v>
      </c>
      <c r="G151" t="s">
        <v>307</v>
      </c>
      <c r="H151" t="s">
        <v>297</v>
      </c>
      <c r="I151">
        <v>0</v>
      </c>
      <c r="J151">
        <v>0</v>
      </c>
      <c r="O151">
        <f t="shared" si="115"/>
        <v>0</v>
      </c>
      <c r="P151">
        <f>ROUND(CQ151*I151,2)</f>
        <v>0</v>
      </c>
      <c r="Q151">
        <f>ROUND(CR151*I151,2)</f>
        <v>0</v>
      </c>
      <c r="R151">
        <f>ROUND(CS151*I151,2)</f>
        <v>0</v>
      </c>
      <c r="S151">
        <f>ROUND(CT151*I151,2)</f>
        <v>0</v>
      </c>
      <c r="T151">
        <f t="shared" si="120"/>
        <v>0</v>
      </c>
      <c r="U151">
        <f t="shared" si="121"/>
        <v>0</v>
      </c>
      <c r="V151">
        <f t="shared" si="122"/>
        <v>0</v>
      </c>
      <c r="W151">
        <f t="shared" si="123"/>
        <v>0</v>
      </c>
      <c r="X151">
        <f t="shared" si="124"/>
        <v>0</v>
      </c>
      <c r="Y151">
        <f t="shared" si="125"/>
        <v>0</v>
      </c>
      <c r="AA151">
        <v>45723533</v>
      </c>
      <c r="AB151">
        <f t="shared" si="126"/>
        <v>427.43</v>
      </c>
      <c r="AC151">
        <f t="shared" si="127"/>
        <v>427.43</v>
      </c>
      <c r="AD151">
        <f>ROUND((ET151),6)</f>
        <v>0</v>
      </c>
      <c r="AE151">
        <f t="shared" si="129"/>
        <v>0</v>
      </c>
      <c r="AF151">
        <f t="shared" si="130"/>
        <v>0</v>
      </c>
      <c r="AG151">
        <f t="shared" si="131"/>
        <v>0</v>
      </c>
      <c r="AH151">
        <f t="shared" si="132"/>
        <v>0</v>
      </c>
      <c r="AI151">
        <f t="shared" si="133"/>
        <v>0</v>
      </c>
      <c r="AJ151">
        <f t="shared" si="134"/>
        <v>0</v>
      </c>
      <c r="AK151">
        <v>427.43</v>
      </c>
      <c r="AL151">
        <v>427.43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1</v>
      </c>
      <c r="AW151">
        <v>1</v>
      </c>
      <c r="AZ151">
        <v>1</v>
      </c>
      <c r="BA151">
        <v>1</v>
      </c>
      <c r="BB151">
        <v>1</v>
      </c>
      <c r="BC151">
        <v>1</v>
      </c>
      <c r="BD151" t="s">
        <v>3</v>
      </c>
      <c r="BE151" t="s">
        <v>3</v>
      </c>
      <c r="BF151" t="s">
        <v>3</v>
      </c>
      <c r="BG151" t="s">
        <v>3</v>
      </c>
      <c r="BH151">
        <v>3</v>
      </c>
      <c r="BI151">
        <v>1</v>
      </c>
      <c r="BJ151" t="s">
        <v>3</v>
      </c>
      <c r="BM151">
        <v>700003</v>
      </c>
      <c r="BN151">
        <v>0</v>
      </c>
      <c r="BO151" t="s">
        <v>3</v>
      </c>
      <c r="BP151">
        <v>0</v>
      </c>
      <c r="BQ151">
        <v>0</v>
      </c>
      <c r="BR151">
        <v>0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0</v>
      </c>
      <c r="CA151">
        <v>0</v>
      </c>
      <c r="CE151">
        <v>0</v>
      </c>
      <c r="CF151">
        <v>0</v>
      </c>
      <c r="CG151">
        <v>0</v>
      </c>
      <c r="CM151">
        <v>0</v>
      </c>
      <c r="CN151" t="s">
        <v>3</v>
      </c>
      <c r="CO151">
        <v>0</v>
      </c>
      <c r="CP151">
        <f t="shared" si="135"/>
        <v>0</v>
      </c>
      <c r="CQ151">
        <f>AC151*BC151</f>
        <v>427.43</v>
      </c>
      <c r="CR151">
        <f>AD151*BB151</f>
        <v>0</v>
      </c>
      <c r="CS151">
        <f>AE151*BS151</f>
        <v>0</v>
      </c>
      <c r="CT151">
        <f>AF151*BA151</f>
        <v>0</v>
      </c>
      <c r="CU151">
        <f t="shared" si="140"/>
        <v>0</v>
      </c>
      <c r="CV151">
        <f>AH151</f>
        <v>0</v>
      </c>
      <c r="CW151">
        <f t="shared" si="142"/>
        <v>0</v>
      </c>
      <c r="CX151">
        <f t="shared" si="143"/>
        <v>0</v>
      </c>
      <c r="CY151">
        <f t="shared" si="144"/>
        <v>0</v>
      </c>
      <c r="CZ151">
        <f t="shared" si="145"/>
        <v>0</v>
      </c>
      <c r="DC151" t="s">
        <v>3</v>
      </c>
      <c r="DD151" t="s">
        <v>3</v>
      </c>
      <c r="DE151" t="s">
        <v>3</v>
      </c>
      <c r="DF151" t="s">
        <v>3</v>
      </c>
      <c r="DG151" t="s">
        <v>3</v>
      </c>
      <c r="DH151" t="s">
        <v>3</v>
      </c>
      <c r="DI151" t="s">
        <v>3</v>
      </c>
      <c r="DJ151" t="s">
        <v>3</v>
      </c>
      <c r="DK151" t="s">
        <v>3</v>
      </c>
      <c r="DL151" t="s">
        <v>3</v>
      </c>
      <c r="DM151" t="s">
        <v>3</v>
      </c>
      <c r="DN151">
        <v>0</v>
      </c>
      <c r="DO151">
        <v>0</v>
      </c>
      <c r="DP151">
        <v>1</v>
      </c>
      <c r="DQ151">
        <v>1</v>
      </c>
      <c r="DU151">
        <v>1013</v>
      </c>
      <c r="DV151" t="s">
        <v>297</v>
      </c>
      <c r="DW151" t="s">
        <v>297</v>
      </c>
      <c r="DX151">
        <v>1</v>
      </c>
      <c r="EE151">
        <v>0</v>
      </c>
      <c r="EF151">
        <v>0</v>
      </c>
      <c r="EG151" t="s">
        <v>3</v>
      </c>
      <c r="EH151">
        <v>0</v>
      </c>
      <c r="EI151" t="s">
        <v>3</v>
      </c>
      <c r="EJ151">
        <v>0</v>
      </c>
      <c r="EK151">
        <v>700003</v>
      </c>
      <c r="EL151" t="s">
        <v>3</v>
      </c>
      <c r="EM151" t="s">
        <v>3</v>
      </c>
      <c r="EO151" t="s">
        <v>3</v>
      </c>
      <c r="EQ151">
        <v>131072</v>
      </c>
      <c r="ER151">
        <v>427.43</v>
      </c>
      <c r="ES151">
        <v>427.43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5</v>
      </c>
      <c r="FC151">
        <v>1</v>
      </c>
      <c r="FD151">
        <v>18</v>
      </c>
      <c r="FF151">
        <v>494.48</v>
      </c>
      <c r="FQ151">
        <v>0</v>
      </c>
      <c r="FR151">
        <f t="shared" si="146"/>
        <v>0</v>
      </c>
      <c r="FS151">
        <v>0</v>
      </c>
      <c r="FX151">
        <v>0</v>
      </c>
      <c r="FY151">
        <v>0</v>
      </c>
      <c r="GA151" t="s">
        <v>308</v>
      </c>
      <c r="GD151">
        <v>0</v>
      </c>
      <c r="GF151">
        <v>-2062469542</v>
      </c>
      <c r="GG151">
        <v>2</v>
      </c>
      <c r="GH151">
        <v>3</v>
      </c>
      <c r="GI151">
        <v>-2</v>
      </c>
      <c r="GJ151">
        <v>0</v>
      </c>
      <c r="GK151">
        <f>ROUND(R151*(R12)/100,2)</f>
        <v>0</v>
      </c>
      <c r="GL151">
        <f t="shared" si="147"/>
        <v>0</v>
      </c>
      <c r="GM151">
        <f t="shared" si="148"/>
        <v>0</v>
      </c>
      <c r="GN151">
        <f t="shared" si="149"/>
        <v>0</v>
      </c>
      <c r="GO151">
        <f t="shared" si="150"/>
        <v>0</v>
      </c>
      <c r="GP151">
        <f t="shared" si="151"/>
        <v>0</v>
      </c>
      <c r="GR151">
        <v>1</v>
      </c>
      <c r="GS151">
        <v>1</v>
      </c>
      <c r="GT151">
        <v>0</v>
      </c>
      <c r="GU151" t="s">
        <v>3</v>
      </c>
      <c r="GV151">
        <f t="shared" si="152"/>
        <v>0</v>
      </c>
      <c r="GW151">
        <v>1</v>
      </c>
      <c r="GX151">
        <f t="shared" si="153"/>
        <v>0</v>
      </c>
      <c r="HA151">
        <v>0</v>
      </c>
      <c r="HB151">
        <v>0</v>
      </c>
      <c r="HC151">
        <f t="shared" si="154"/>
        <v>0</v>
      </c>
      <c r="IK151">
        <v>0</v>
      </c>
    </row>
    <row r="153" spans="1:245" x14ac:dyDescent="0.2">
      <c r="A153" s="2">
        <v>51</v>
      </c>
      <c r="B153" s="2">
        <f>B121</f>
        <v>1</v>
      </c>
      <c r="C153" s="2">
        <f>A121</f>
        <v>4</v>
      </c>
      <c r="D153" s="2">
        <f>ROW(A121)</f>
        <v>121</v>
      </c>
      <c r="E153" s="2"/>
      <c r="F153" s="2" t="str">
        <f>IF(F121&lt;&gt;"",F121,"")</f>
        <v>Новый раздел</v>
      </c>
      <c r="G153" s="2" t="str">
        <f>IF(G121&lt;&gt;"",G121,"")</f>
        <v>Материалы</v>
      </c>
      <c r="H153" s="2">
        <v>0</v>
      </c>
      <c r="I153" s="2"/>
      <c r="J153" s="2"/>
      <c r="K153" s="2"/>
      <c r="L153" s="2"/>
      <c r="M153" s="2"/>
      <c r="N153" s="2"/>
      <c r="O153" s="2">
        <f t="shared" ref="O153:T153" si="156">ROUND(AB153,2)</f>
        <v>23534.68</v>
      </c>
      <c r="P153" s="2">
        <f t="shared" si="156"/>
        <v>23534.68</v>
      </c>
      <c r="Q153" s="2">
        <f t="shared" si="156"/>
        <v>0</v>
      </c>
      <c r="R153" s="2">
        <f t="shared" si="156"/>
        <v>0</v>
      </c>
      <c r="S153" s="2">
        <f t="shared" si="156"/>
        <v>0</v>
      </c>
      <c r="T153" s="2">
        <f t="shared" si="156"/>
        <v>0</v>
      </c>
      <c r="U153" s="2">
        <f>AH153</f>
        <v>0</v>
      </c>
      <c r="V153" s="2">
        <f>AI153</f>
        <v>0</v>
      </c>
      <c r="W153" s="2">
        <f>ROUND(AJ153,2)</f>
        <v>0</v>
      </c>
      <c r="X153" s="2">
        <f>ROUND(AK153,2)</f>
        <v>0</v>
      </c>
      <c r="Y153" s="2">
        <f>ROUND(AL153,2)</f>
        <v>0</v>
      </c>
      <c r="Z153" s="2"/>
      <c r="AA153" s="2"/>
      <c r="AB153" s="2">
        <f>ROUND(SUMIF(AA125:AA151,"=45723533",O125:O151),2)</f>
        <v>23534.68</v>
      </c>
      <c r="AC153" s="2">
        <f>ROUND(SUMIF(AA125:AA151,"=45723533",P125:P151),2)</f>
        <v>23534.68</v>
      </c>
      <c r="AD153" s="2">
        <f>ROUND(SUMIF(AA125:AA151,"=45723533",Q125:Q151),2)</f>
        <v>0</v>
      </c>
      <c r="AE153" s="2">
        <f>ROUND(SUMIF(AA125:AA151,"=45723533",R125:R151),2)</f>
        <v>0</v>
      </c>
      <c r="AF153" s="2">
        <f>ROUND(SUMIF(AA125:AA151,"=45723533",S125:S151),2)</f>
        <v>0</v>
      </c>
      <c r="AG153" s="2">
        <f>ROUND(SUMIF(AA125:AA151,"=45723533",T125:T151),2)</f>
        <v>0</v>
      </c>
      <c r="AH153" s="2">
        <f>SUMIF(AA125:AA151,"=45723533",U125:U151)</f>
        <v>0</v>
      </c>
      <c r="AI153" s="2">
        <f>SUMIF(AA125:AA151,"=45723533",V125:V151)</f>
        <v>0</v>
      </c>
      <c r="AJ153" s="2">
        <f>ROUND(SUMIF(AA125:AA151,"=45723533",W125:W151),2)</f>
        <v>0</v>
      </c>
      <c r="AK153" s="2">
        <f>ROUND(SUMIF(AA125:AA151,"=45723533",X125:X151),2)</f>
        <v>0</v>
      </c>
      <c r="AL153" s="2">
        <f>ROUND(SUMIF(AA125:AA151,"=45723533",Y125:Y151),2)</f>
        <v>0</v>
      </c>
      <c r="AM153" s="2"/>
      <c r="AN153" s="2"/>
      <c r="AO153" s="2">
        <f t="shared" ref="AO153:BC153" si="157">ROUND(BX153,2)</f>
        <v>0</v>
      </c>
      <c r="AP153" s="2">
        <f t="shared" si="157"/>
        <v>0</v>
      </c>
      <c r="AQ153" s="2">
        <f t="shared" si="157"/>
        <v>0</v>
      </c>
      <c r="AR153" s="2">
        <f t="shared" si="157"/>
        <v>23534.68</v>
      </c>
      <c r="AS153" s="2">
        <f t="shared" si="157"/>
        <v>0</v>
      </c>
      <c r="AT153" s="2">
        <f t="shared" si="157"/>
        <v>23534.68</v>
      </c>
      <c r="AU153" s="2">
        <f t="shared" si="157"/>
        <v>0</v>
      </c>
      <c r="AV153" s="2">
        <f t="shared" si="157"/>
        <v>23534.68</v>
      </c>
      <c r="AW153" s="2">
        <f t="shared" si="157"/>
        <v>23534.68</v>
      </c>
      <c r="AX153" s="2">
        <f t="shared" si="157"/>
        <v>0</v>
      </c>
      <c r="AY153" s="2">
        <f t="shared" si="157"/>
        <v>23534.68</v>
      </c>
      <c r="AZ153" s="2">
        <f t="shared" si="157"/>
        <v>0</v>
      </c>
      <c r="BA153" s="2">
        <f t="shared" si="157"/>
        <v>0</v>
      </c>
      <c r="BB153" s="2">
        <f t="shared" si="157"/>
        <v>0</v>
      </c>
      <c r="BC153" s="2">
        <f t="shared" si="157"/>
        <v>0</v>
      </c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>
        <f>ROUND(SUMIF(AA125:AA151,"=45723533",FQ125:FQ151),2)</f>
        <v>0</v>
      </c>
      <c r="BY153" s="2">
        <f>ROUND(SUMIF(AA125:AA151,"=45723533",FR125:FR151),2)</f>
        <v>0</v>
      </c>
      <c r="BZ153" s="2">
        <f>ROUND(SUMIF(AA125:AA151,"=45723533",GL125:GL151),2)</f>
        <v>0</v>
      </c>
      <c r="CA153" s="2">
        <f>ROUND(SUMIF(AA125:AA151,"=45723533",GM125:GM151),2)</f>
        <v>23534.68</v>
      </c>
      <c r="CB153" s="2">
        <f>ROUND(SUMIF(AA125:AA151,"=45723533",GN125:GN151),2)</f>
        <v>0</v>
      </c>
      <c r="CC153" s="2">
        <f>ROUND(SUMIF(AA125:AA151,"=45723533",GO125:GO151),2)</f>
        <v>23534.68</v>
      </c>
      <c r="CD153" s="2">
        <f>ROUND(SUMIF(AA125:AA151,"=45723533",GP125:GP151),2)</f>
        <v>0</v>
      </c>
      <c r="CE153" s="2">
        <f>AC153-BX153</f>
        <v>23534.68</v>
      </c>
      <c r="CF153" s="2">
        <f>AC153-BY153</f>
        <v>23534.68</v>
      </c>
      <c r="CG153" s="2">
        <f>BX153-BZ153</f>
        <v>0</v>
      </c>
      <c r="CH153" s="2">
        <f>AC153-BX153-BY153+BZ153</f>
        <v>23534.68</v>
      </c>
      <c r="CI153" s="2">
        <f>BY153-BZ153</f>
        <v>0</v>
      </c>
      <c r="CJ153" s="2">
        <f>ROUND(SUMIF(AA125:AA151,"=45723533",GX125:GX151),2)</f>
        <v>0</v>
      </c>
      <c r="CK153" s="2">
        <f>ROUND(SUMIF(AA125:AA151,"=45723533",GY125:GY151),2)</f>
        <v>0</v>
      </c>
      <c r="CL153" s="2">
        <f>ROUND(SUMIF(AA125:AA151,"=45723533",GZ125:GZ151),2)</f>
        <v>0</v>
      </c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>
        <v>0</v>
      </c>
    </row>
    <row r="155" spans="1:245" x14ac:dyDescent="0.2">
      <c r="A155" s="4">
        <v>50</v>
      </c>
      <c r="B155" s="4">
        <v>0</v>
      </c>
      <c r="C155" s="4">
        <v>0</v>
      </c>
      <c r="D155" s="4">
        <v>1</v>
      </c>
      <c r="E155" s="4">
        <v>201</v>
      </c>
      <c r="F155" s="4">
        <f>ROUND(Source!O153,O155)</f>
        <v>23534.68</v>
      </c>
      <c r="G155" s="4" t="s">
        <v>68</v>
      </c>
      <c r="H155" s="4" t="s">
        <v>69</v>
      </c>
      <c r="I155" s="4"/>
      <c r="J155" s="4"/>
      <c r="K155" s="4">
        <v>201</v>
      </c>
      <c r="L155" s="4">
        <v>1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45" x14ac:dyDescent="0.2">
      <c r="A156" s="4">
        <v>50</v>
      </c>
      <c r="B156" s="4">
        <v>0</v>
      </c>
      <c r="C156" s="4">
        <v>0</v>
      </c>
      <c r="D156" s="4">
        <v>1</v>
      </c>
      <c r="E156" s="4">
        <v>202</v>
      </c>
      <c r="F156" s="4">
        <f>ROUND(Source!P153,O156)</f>
        <v>23534.68</v>
      </c>
      <c r="G156" s="4" t="s">
        <v>70</v>
      </c>
      <c r="H156" s="4" t="s">
        <v>71</v>
      </c>
      <c r="I156" s="4"/>
      <c r="J156" s="4"/>
      <c r="K156" s="4">
        <v>202</v>
      </c>
      <c r="L156" s="4">
        <v>2</v>
      </c>
      <c r="M156" s="4">
        <v>3</v>
      </c>
      <c r="N156" s="4" t="s">
        <v>3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7" spans="1:245" x14ac:dyDescent="0.2">
      <c r="A157" s="4">
        <v>50</v>
      </c>
      <c r="B157" s="4">
        <v>0</v>
      </c>
      <c r="C157" s="4">
        <v>0</v>
      </c>
      <c r="D157" s="4">
        <v>1</v>
      </c>
      <c r="E157" s="4">
        <v>44066418</v>
      </c>
      <c r="F157" s="4">
        <f>ROUND(Source!AO153,O157)</f>
        <v>0</v>
      </c>
      <c r="G157" s="4" t="s">
        <v>72</v>
      </c>
      <c r="H157" s="4" t="s">
        <v>73</v>
      </c>
      <c r="I157" s="4"/>
      <c r="J157" s="4"/>
      <c r="K157" s="4">
        <v>222</v>
      </c>
      <c r="L157" s="4">
        <v>3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45" x14ac:dyDescent="0.2">
      <c r="A158" s="4">
        <v>50</v>
      </c>
      <c r="B158" s="4">
        <v>0</v>
      </c>
      <c r="C158" s="4">
        <v>0</v>
      </c>
      <c r="D158" s="4">
        <v>1</v>
      </c>
      <c r="E158" s="4">
        <v>225</v>
      </c>
      <c r="F158" s="4">
        <f>ROUND(Source!AV153,O158)</f>
        <v>23534.68</v>
      </c>
      <c r="G158" s="4" t="s">
        <v>74</v>
      </c>
      <c r="H158" s="4" t="s">
        <v>75</v>
      </c>
      <c r="I158" s="4"/>
      <c r="J158" s="4"/>
      <c r="K158" s="4">
        <v>225</v>
      </c>
      <c r="L158" s="4">
        <v>4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45" x14ac:dyDescent="0.2">
      <c r="A159" s="4">
        <v>50</v>
      </c>
      <c r="B159" s="4">
        <v>0</v>
      </c>
      <c r="C159" s="4">
        <v>0</v>
      </c>
      <c r="D159" s="4">
        <v>1</v>
      </c>
      <c r="E159" s="4">
        <v>226</v>
      </c>
      <c r="F159" s="4">
        <f>ROUND(Source!AW153,O159)</f>
        <v>23534.68</v>
      </c>
      <c r="G159" s="4" t="s">
        <v>76</v>
      </c>
      <c r="H159" s="4" t="s">
        <v>77</v>
      </c>
      <c r="I159" s="4"/>
      <c r="J159" s="4"/>
      <c r="K159" s="4">
        <v>226</v>
      </c>
      <c r="L159" s="4">
        <v>5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45" x14ac:dyDescent="0.2">
      <c r="A160" s="4">
        <v>50</v>
      </c>
      <c r="B160" s="4">
        <v>0</v>
      </c>
      <c r="C160" s="4">
        <v>0</v>
      </c>
      <c r="D160" s="4">
        <v>1</v>
      </c>
      <c r="E160" s="4">
        <v>227</v>
      </c>
      <c r="F160" s="4">
        <f>ROUND(Source!AX153,O160)</f>
        <v>0</v>
      </c>
      <c r="G160" s="4" t="s">
        <v>78</v>
      </c>
      <c r="H160" s="4" t="s">
        <v>79</v>
      </c>
      <c r="I160" s="4"/>
      <c r="J160" s="4"/>
      <c r="K160" s="4">
        <v>227</v>
      </c>
      <c r="L160" s="4">
        <v>6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3" x14ac:dyDescent="0.2">
      <c r="A161" s="4">
        <v>50</v>
      </c>
      <c r="B161" s="4">
        <v>0</v>
      </c>
      <c r="C161" s="4">
        <v>0</v>
      </c>
      <c r="D161" s="4">
        <v>1</v>
      </c>
      <c r="E161" s="4">
        <v>228</v>
      </c>
      <c r="F161" s="4">
        <f>ROUND(Source!AY153,O161)</f>
        <v>23534.68</v>
      </c>
      <c r="G161" s="4" t="s">
        <v>80</v>
      </c>
      <c r="H161" s="4" t="s">
        <v>81</v>
      </c>
      <c r="I161" s="4"/>
      <c r="J161" s="4"/>
      <c r="K161" s="4">
        <v>228</v>
      </c>
      <c r="L161" s="4">
        <v>7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3" x14ac:dyDescent="0.2">
      <c r="A162" s="4">
        <v>50</v>
      </c>
      <c r="B162" s="4">
        <v>0</v>
      </c>
      <c r="C162" s="4">
        <v>0</v>
      </c>
      <c r="D162" s="4">
        <v>1</v>
      </c>
      <c r="E162" s="4">
        <v>216</v>
      </c>
      <c r="F162" s="4">
        <f>ROUND(Source!AP153,O162)</f>
        <v>0</v>
      </c>
      <c r="G162" s="4" t="s">
        <v>82</v>
      </c>
      <c r="H162" s="4" t="s">
        <v>83</v>
      </c>
      <c r="I162" s="4"/>
      <c r="J162" s="4"/>
      <c r="K162" s="4">
        <v>216</v>
      </c>
      <c r="L162" s="4">
        <v>8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 x14ac:dyDescent="0.2">
      <c r="A163" s="4">
        <v>50</v>
      </c>
      <c r="B163" s="4">
        <v>0</v>
      </c>
      <c r="C163" s="4">
        <v>0</v>
      </c>
      <c r="D163" s="4">
        <v>1</v>
      </c>
      <c r="E163" s="4">
        <v>223</v>
      </c>
      <c r="F163" s="4">
        <f>ROUND(Source!AQ153,O163)</f>
        <v>0</v>
      </c>
      <c r="G163" s="4" t="s">
        <v>84</v>
      </c>
      <c r="H163" s="4" t="s">
        <v>85</v>
      </c>
      <c r="I163" s="4"/>
      <c r="J163" s="4"/>
      <c r="K163" s="4">
        <v>223</v>
      </c>
      <c r="L163" s="4">
        <v>9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/>
    </row>
    <row r="164" spans="1:23" x14ac:dyDescent="0.2">
      <c r="A164" s="4">
        <v>50</v>
      </c>
      <c r="B164" s="4">
        <v>0</v>
      </c>
      <c r="C164" s="4">
        <v>0</v>
      </c>
      <c r="D164" s="4">
        <v>1</v>
      </c>
      <c r="E164" s="4">
        <v>229</v>
      </c>
      <c r="F164" s="4">
        <f>ROUND(Source!AZ153,O164)</f>
        <v>0</v>
      </c>
      <c r="G164" s="4" t="s">
        <v>86</v>
      </c>
      <c r="H164" s="4" t="s">
        <v>87</v>
      </c>
      <c r="I164" s="4"/>
      <c r="J164" s="4"/>
      <c r="K164" s="4">
        <v>229</v>
      </c>
      <c r="L164" s="4">
        <v>10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/>
    </row>
    <row r="165" spans="1:23" x14ac:dyDescent="0.2">
      <c r="A165" s="4">
        <v>50</v>
      </c>
      <c r="B165" s="4">
        <v>0</v>
      </c>
      <c r="C165" s="4">
        <v>0</v>
      </c>
      <c r="D165" s="4">
        <v>1</v>
      </c>
      <c r="E165" s="4">
        <v>203</v>
      </c>
      <c r="F165" s="4">
        <f>ROUND(Source!Q153,O165)</f>
        <v>0</v>
      </c>
      <c r="G165" s="4" t="s">
        <v>88</v>
      </c>
      <c r="H165" s="4" t="s">
        <v>89</v>
      </c>
      <c r="I165" s="4"/>
      <c r="J165" s="4"/>
      <c r="K165" s="4">
        <v>203</v>
      </c>
      <c r="L165" s="4">
        <v>11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3" x14ac:dyDescent="0.2">
      <c r="A166" s="4">
        <v>50</v>
      </c>
      <c r="B166" s="4">
        <v>0</v>
      </c>
      <c r="C166" s="4">
        <v>0</v>
      </c>
      <c r="D166" s="4">
        <v>1</v>
      </c>
      <c r="E166" s="4">
        <v>231</v>
      </c>
      <c r="F166" s="4">
        <f>ROUND(Source!BB153,O166)</f>
        <v>0</v>
      </c>
      <c r="G166" s="4" t="s">
        <v>90</v>
      </c>
      <c r="H166" s="4" t="s">
        <v>91</v>
      </c>
      <c r="I166" s="4"/>
      <c r="J166" s="4"/>
      <c r="K166" s="4">
        <v>231</v>
      </c>
      <c r="L166" s="4">
        <v>12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3" x14ac:dyDescent="0.2">
      <c r="A167" s="4">
        <v>50</v>
      </c>
      <c r="B167" s="4">
        <v>0</v>
      </c>
      <c r="C167" s="4">
        <v>0</v>
      </c>
      <c r="D167" s="4">
        <v>1</v>
      </c>
      <c r="E167" s="4">
        <v>204</v>
      </c>
      <c r="F167" s="4">
        <f>ROUND(Source!R153,O167)</f>
        <v>0</v>
      </c>
      <c r="G167" s="4" t="s">
        <v>92</v>
      </c>
      <c r="H167" s="4" t="s">
        <v>93</v>
      </c>
      <c r="I167" s="4"/>
      <c r="J167" s="4"/>
      <c r="K167" s="4">
        <v>204</v>
      </c>
      <c r="L167" s="4">
        <v>13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3" x14ac:dyDescent="0.2">
      <c r="A168" s="4">
        <v>50</v>
      </c>
      <c r="B168" s="4">
        <v>0</v>
      </c>
      <c r="C168" s="4">
        <v>0</v>
      </c>
      <c r="D168" s="4">
        <v>1</v>
      </c>
      <c r="E168" s="4">
        <v>205</v>
      </c>
      <c r="F168" s="4">
        <f>ROUND(Source!S153,O168)</f>
        <v>0</v>
      </c>
      <c r="G168" s="4" t="s">
        <v>94</v>
      </c>
      <c r="H168" s="4" t="s">
        <v>95</v>
      </c>
      <c r="I168" s="4"/>
      <c r="J168" s="4"/>
      <c r="K168" s="4">
        <v>205</v>
      </c>
      <c r="L168" s="4">
        <v>14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3" x14ac:dyDescent="0.2">
      <c r="A169" s="4">
        <v>50</v>
      </c>
      <c r="B169" s="4">
        <v>0</v>
      </c>
      <c r="C169" s="4">
        <v>0</v>
      </c>
      <c r="D169" s="4">
        <v>1</v>
      </c>
      <c r="E169" s="4">
        <v>232</v>
      </c>
      <c r="F169" s="4">
        <f>ROUND(Source!BC153,O169)</f>
        <v>0</v>
      </c>
      <c r="G169" s="4" t="s">
        <v>96</v>
      </c>
      <c r="H169" s="4" t="s">
        <v>97</v>
      </c>
      <c r="I169" s="4"/>
      <c r="J169" s="4"/>
      <c r="K169" s="4">
        <v>232</v>
      </c>
      <c r="L169" s="4">
        <v>15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3" x14ac:dyDescent="0.2">
      <c r="A170" s="4">
        <v>50</v>
      </c>
      <c r="B170" s="4">
        <v>0</v>
      </c>
      <c r="C170" s="4">
        <v>0</v>
      </c>
      <c r="D170" s="4">
        <v>1</v>
      </c>
      <c r="E170" s="4">
        <v>214</v>
      </c>
      <c r="F170" s="4">
        <f>ROUND(Source!AS153,O170)</f>
        <v>0</v>
      </c>
      <c r="G170" s="4" t="s">
        <v>98</v>
      </c>
      <c r="H170" s="4" t="s">
        <v>99</v>
      </c>
      <c r="I170" s="4"/>
      <c r="J170" s="4"/>
      <c r="K170" s="4">
        <v>214</v>
      </c>
      <c r="L170" s="4">
        <v>16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3" x14ac:dyDescent="0.2">
      <c r="A171" s="4">
        <v>50</v>
      </c>
      <c r="B171" s="4">
        <v>0</v>
      </c>
      <c r="C171" s="4">
        <v>0</v>
      </c>
      <c r="D171" s="4">
        <v>1</v>
      </c>
      <c r="E171" s="4">
        <v>215</v>
      </c>
      <c r="F171" s="4">
        <f>ROUND(Source!AT153,O171)</f>
        <v>23534.68</v>
      </c>
      <c r="G171" s="4" t="s">
        <v>100</v>
      </c>
      <c r="H171" s="4" t="s">
        <v>101</v>
      </c>
      <c r="I171" s="4"/>
      <c r="J171" s="4"/>
      <c r="K171" s="4">
        <v>215</v>
      </c>
      <c r="L171" s="4">
        <v>17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3" x14ac:dyDescent="0.2">
      <c r="A172" s="4">
        <v>50</v>
      </c>
      <c r="B172" s="4">
        <v>0</v>
      </c>
      <c r="C172" s="4">
        <v>0</v>
      </c>
      <c r="D172" s="4">
        <v>1</v>
      </c>
      <c r="E172" s="4">
        <v>217</v>
      </c>
      <c r="F172" s="4">
        <f>ROUND(Source!AU153,O172)</f>
        <v>0</v>
      </c>
      <c r="G172" s="4" t="s">
        <v>102</v>
      </c>
      <c r="H172" s="4" t="s">
        <v>103</v>
      </c>
      <c r="I172" s="4"/>
      <c r="J172" s="4"/>
      <c r="K172" s="4">
        <v>217</v>
      </c>
      <c r="L172" s="4">
        <v>18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3" x14ac:dyDescent="0.2">
      <c r="A173" s="4">
        <v>50</v>
      </c>
      <c r="B173" s="4">
        <v>0</v>
      </c>
      <c r="C173" s="4">
        <v>0</v>
      </c>
      <c r="D173" s="4">
        <v>1</v>
      </c>
      <c r="E173" s="4">
        <v>230</v>
      </c>
      <c r="F173" s="4">
        <f>ROUND(Source!BA153,O173)</f>
        <v>0</v>
      </c>
      <c r="G173" s="4" t="s">
        <v>104</v>
      </c>
      <c r="H173" s="4" t="s">
        <v>105</v>
      </c>
      <c r="I173" s="4"/>
      <c r="J173" s="4"/>
      <c r="K173" s="4">
        <v>230</v>
      </c>
      <c r="L173" s="4">
        <v>19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3" x14ac:dyDescent="0.2">
      <c r="A174" s="4">
        <v>50</v>
      </c>
      <c r="B174" s="4">
        <v>0</v>
      </c>
      <c r="C174" s="4">
        <v>0</v>
      </c>
      <c r="D174" s="4">
        <v>1</v>
      </c>
      <c r="E174" s="4">
        <v>206</v>
      </c>
      <c r="F174" s="4">
        <f>ROUND(Source!T153,O174)</f>
        <v>0</v>
      </c>
      <c r="G174" s="4" t="s">
        <v>106</v>
      </c>
      <c r="H174" s="4" t="s">
        <v>107</v>
      </c>
      <c r="I174" s="4"/>
      <c r="J174" s="4"/>
      <c r="K174" s="4">
        <v>206</v>
      </c>
      <c r="L174" s="4">
        <v>20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3" x14ac:dyDescent="0.2">
      <c r="A175" s="4">
        <v>50</v>
      </c>
      <c r="B175" s="4">
        <v>0</v>
      </c>
      <c r="C175" s="4">
        <v>0</v>
      </c>
      <c r="D175" s="4">
        <v>1</v>
      </c>
      <c r="E175" s="4">
        <v>207</v>
      </c>
      <c r="F175" s="4">
        <f>Source!U153</f>
        <v>0</v>
      </c>
      <c r="G175" s="4" t="s">
        <v>108</v>
      </c>
      <c r="H175" s="4" t="s">
        <v>109</v>
      </c>
      <c r="I175" s="4"/>
      <c r="J175" s="4"/>
      <c r="K175" s="4">
        <v>207</v>
      </c>
      <c r="L175" s="4">
        <v>21</v>
      </c>
      <c r="M175" s="4">
        <v>3</v>
      </c>
      <c r="N175" s="4" t="s">
        <v>3</v>
      </c>
      <c r="O175" s="4">
        <v>-1</v>
      </c>
      <c r="P175" s="4"/>
      <c r="Q175" s="4"/>
      <c r="R175" s="4"/>
      <c r="S175" s="4"/>
      <c r="T175" s="4"/>
      <c r="U175" s="4"/>
      <c r="V175" s="4"/>
      <c r="W175" s="4"/>
    </row>
    <row r="176" spans="1:23" x14ac:dyDescent="0.2">
      <c r="A176" s="4">
        <v>50</v>
      </c>
      <c r="B176" s="4">
        <v>0</v>
      </c>
      <c r="C176" s="4">
        <v>0</v>
      </c>
      <c r="D176" s="4">
        <v>1</v>
      </c>
      <c r="E176" s="4">
        <v>208</v>
      </c>
      <c r="F176" s="4">
        <f>Source!V153</f>
        <v>0</v>
      </c>
      <c r="G176" s="4" t="s">
        <v>110</v>
      </c>
      <c r="H176" s="4" t="s">
        <v>111</v>
      </c>
      <c r="I176" s="4"/>
      <c r="J176" s="4"/>
      <c r="K176" s="4">
        <v>208</v>
      </c>
      <c r="L176" s="4">
        <v>22</v>
      </c>
      <c r="M176" s="4">
        <v>3</v>
      </c>
      <c r="N176" s="4" t="s">
        <v>3</v>
      </c>
      <c r="O176" s="4">
        <v>-1</v>
      </c>
      <c r="P176" s="4"/>
      <c r="Q176" s="4"/>
      <c r="R176" s="4"/>
      <c r="S176" s="4"/>
      <c r="T176" s="4"/>
      <c r="U176" s="4"/>
      <c r="V176" s="4"/>
      <c r="W176" s="4"/>
    </row>
    <row r="177" spans="1:206" x14ac:dyDescent="0.2">
      <c r="A177" s="4">
        <v>50</v>
      </c>
      <c r="B177" s="4">
        <v>0</v>
      </c>
      <c r="C177" s="4">
        <v>0</v>
      </c>
      <c r="D177" s="4">
        <v>1</v>
      </c>
      <c r="E177" s="4">
        <v>209</v>
      </c>
      <c r="F177" s="4">
        <f>ROUND(Source!W153,O177)</f>
        <v>0</v>
      </c>
      <c r="G177" s="4" t="s">
        <v>112</v>
      </c>
      <c r="H177" s="4" t="s">
        <v>113</v>
      </c>
      <c r="I177" s="4"/>
      <c r="J177" s="4"/>
      <c r="K177" s="4">
        <v>209</v>
      </c>
      <c r="L177" s="4">
        <v>23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06" x14ac:dyDescent="0.2">
      <c r="A178" s="4">
        <v>50</v>
      </c>
      <c r="B178" s="4">
        <v>0</v>
      </c>
      <c r="C178" s="4">
        <v>0</v>
      </c>
      <c r="D178" s="4">
        <v>1</v>
      </c>
      <c r="E178" s="4">
        <v>210</v>
      </c>
      <c r="F178" s="4">
        <f>ROUND(Source!X153,O178)</f>
        <v>0</v>
      </c>
      <c r="G178" s="4" t="s">
        <v>114</v>
      </c>
      <c r="H178" s="4" t="s">
        <v>115</v>
      </c>
      <c r="I178" s="4"/>
      <c r="J178" s="4"/>
      <c r="K178" s="4">
        <v>210</v>
      </c>
      <c r="L178" s="4">
        <v>24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06" x14ac:dyDescent="0.2">
      <c r="A179" s="4">
        <v>50</v>
      </c>
      <c r="B179" s="4">
        <v>0</v>
      </c>
      <c r="C179" s="4">
        <v>0</v>
      </c>
      <c r="D179" s="4">
        <v>1</v>
      </c>
      <c r="E179" s="4">
        <v>211</v>
      </c>
      <c r="F179" s="4">
        <f>ROUND(Source!Y153,O179)</f>
        <v>0</v>
      </c>
      <c r="G179" s="4" t="s">
        <v>116</v>
      </c>
      <c r="H179" s="4" t="s">
        <v>117</v>
      </c>
      <c r="I179" s="4"/>
      <c r="J179" s="4"/>
      <c r="K179" s="4">
        <v>211</v>
      </c>
      <c r="L179" s="4">
        <v>25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06" x14ac:dyDescent="0.2">
      <c r="A180" s="4">
        <v>50</v>
      </c>
      <c r="B180" s="4">
        <v>0</v>
      </c>
      <c r="C180" s="4">
        <v>0</v>
      </c>
      <c r="D180" s="4">
        <v>1</v>
      </c>
      <c r="E180" s="4">
        <v>224</v>
      </c>
      <c r="F180" s="4">
        <f>ROUND(Source!AR153,O180)</f>
        <v>23534.68</v>
      </c>
      <c r="G180" s="4" t="s">
        <v>118</v>
      </c>
      <c r="H180" s="4" t="s">
        <v>119</v>
      </c>
      <c r="I180" s="4"/>
      <c r="J180" s="4"/>
      <c r="K180" s="4">
        <v>224</v>
      </c>
      <c r="L180" s="4">
        <v>26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2" spans="1:206" x14ac:dyDescent="0.2">
      <c r="A182" s="2">
        <v>51</v>
      </c>
      <c r="B182" s="2">
        <f>B20</f>
        <v>1</v>
      </c>
      <c r="C182" s="2">
        <f>A20</f>
        <v>3</v>
      </c>
      <c r="D182" s="2">
        <f>ROW(A20)</f>
        <v>20</v>
      </c>
      <c r="E182" s="2"/>
      <c r="F182" s="2" t="str">
        <f>IF(F20&lt;&gt;"",F20,"")</f>
        <v>Новая локальная смета</v>
      </c>
      <c r="G182" s="2" t="str">
        <f>IF(G20&lt;&gt;"",G20,"")</f>
        <v>Комплекс электромонтажных работ по адресу: МО, Люберецкий р-н, п. Октябрьский мкр. Западный, Спортивная ул., д. 2, ТУ3714 от 10.12.2019 г. п.п. 1-7</v>
      </c>
      <c r="H182" s="2">
        <v>0</v>
      </c>
      <c r="I182" s="2"/>
      <c r="J182" s="2"/>
      <c r="K182" s="2"/>
      <c r="L182" s="2"/>
      <c r="M182" s="2"/>
      <c r="N182" s="2"/>
      <c r="O182" s="2">
        <f t="shared" ref="O182:T182" si="158">ROUND(O37+O92+O153+AB182,2)</f>
        <v>70999.22</v>
      </c>
      <c r="P182" s="2">
        <f t="shared" si="158"/>
        <v>25078.04</v>
      </c>
      <c r="Q182" s="2">
        <f t="shared" si="158"/>
        <v>1006.07</v>
      </c>
      <c r="R182" s="2">
        <f t="shared" si="158"/>
        <v>410.93</v>
      </c>
      <c r="S182" s="2">
        <f t="shared" si="158"/>
        <v>44915.11</v>
      </c>
      <c r="T182" s="2">
        <f t="shared" si="158"/>
        <v>0</v>
      </c>
      <c r="U182" s="2">
        <f>U37+U92+U153+AH182</f>
        <v>137.69220000000001</v>
      </c>
      <c r="V182" s="2">
        <f>V37+V92+V153+AI182</f>
        <v>0</v>
      </c>
      <c r="W182" s="2">
        <f>ROUND(W37+W92+W153+AJ182,2)</f>
        <v>0</v>
      </c>
      <c r="X182" s="2">
        <f>ROUND(X37+X92+X153+AK182,2)</f>
        <v>32408.65</v>
      </c>
      <c r="Y182" s="2">
        <f>ROUND(Y37+Y92+Y153+AL182,2)</f>
        <v>18415.18</v>
      </c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>
        <f t="shared" ref="AO182:BC182" si="159">ROUND(AO37+AO92+AO153+BX182,2)</f>
        <v>0</v>
      </c>
      <c r="AP182" s="2">
        <f t="shared" si="159"/>
        <v>0</v>
      </c>
      <c r="AQ182" s="2">
        <f t="shared" si="159"/>
        <v>0</v>
      </c>
      <c r="AR182" s="2">
        <f t="shared" si="159"/>
        <v>122468.2</v>
      </c>
      <c r="AS182" s="2">
        <f t="shared" si="159"/>
        <v>0</v>
      </c>
      <c r="AT182" s="2">
        <f t="shared" si="159"/>
        <v>71937.25</v>
      </c>
      <c r="AU182" s="2">
        <f t="shared" si="159"/>
        <v>50530.95</v>
      </c>
      <c r="AV182" s="2">
        <f t="shared" si="159"/>
        <v>25078.04</v>
      </c>
      <c r="AW182" s="2">
        <f t="shared" si="159"/>
        <v>25078.04</v>
      </c>
      <c r="AX182" s="2">
        <f t="shared" si="159"/>
        <v>0</v>
      </c>
      <c r="AY182" s="2">
        <f t="shared" si="159"/>
        <v>25078.04</v>
      </c>
      <c r="AZ182" s="2">
        <f t="shared" si="159"/>
        <v>0</v>
      </c>
      <c r="BA182" s="2">
        <f t="shared" si="159"/>
        <v>0</v>
      </c>
      <c r="BB182" s="2">
        <f t="shared" si="159"/>
        <v>0</v>
      </c>
      <c r="BC182" s="2">
        <f t="shared" si="159"/>
        <v>0</v>
      </c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>
        <v>0</v>
      </c>
    </row>
    <row r="184" spans="1:206" x14ac:dyDescent="0.2">
      <c r="A184" s="4">
        <v>50</v>
      </c>
      <c r="B184" s="4">
        <v>0</v>
      </c>
      <c r="C184" s="4">
        <v>0</v>
      </c>
      <c r="D184" s="4">
        <v>1</v>
      </c>
      <c r="E184" s="4">
        <v>201</v>
      </c>
      <c r="F184" s="4">
        <f>ROUND(Source!O182,O184)</f>
        <v>70999.22</v>
      </c>
      <c r="G184" s="4" t="s">
        <v>68</v>
      </c>
      <c r="H184" s="4" t="s">
        <v>69</v>
      </c>
      <c r="I184" s="4"/>
      <c r="J184" s="4"/>
      <c r="K184" s="4">
        <v>201</v>
      </c>
      <c r="L184" s="4">
        <v>1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06" x14ac:dyDescent="0.2">
      <c r="A185" s="4">
        <v>50</v>
      </c>
      <c r="B185" s="4">
        <v>0</v>
      </c>
      <c r="C185" s="4">
        <v>0</v>
      </c>
      <c r="D185" s="4">
        <v>1</v>
      </c>
      <c r="E185" s="4">
        <v>202</v>
      </c>
      <c r="F185" s="4">
        <f>ROUND(Source!P182,O185)</f>
        <v>25078.04</v>
      </c>
      <c r="G185" s="4" t="s">
        <v>70</v>
      </c>
      <c r="H185" s="4" t="s">
        <v>71</v>
      </c>
      <c r="I185" s="4"/>
      <c r="J185" s="4"/>
      <c r="K185" s="4">
        <v>202</v>
      </c>
      <c r="L185" s="4">
        <v>2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06" x14ac:dyDescent="0.2">
      <c r="A186" s="4">
        <v>50</v>
      </c>
      <c r="B186" s="4">
        <v>0</v>
      </c>
      <c r="C186" s="4">
        <v>0</v>
      </c>
      <c r="D186" s="4">
        <v>1</v>
      </c>
      <c r="E186" s="4">
        <v>44066418</v>
      </c>
      <c r="F186" s="4">
        <f>ROUND(Source!AO182,O186)</f>
        <v>0</v>
      </c>
      <c r="G186" s="4" t="s">
        <v>72</v>
      </c>
      <c r="H186" s="4" t="s">
        <v>73</v>
      </c>
      <c r="I186" s="4"/>
      <c r="J186" s="4"/>
      <c r="K186" s="4">
        <v>222</v>
      </c>
      <c r="L186" s="4">
        <v>3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06" x14ac:dyDescent="0.2">
      <c r="A187" s="4">
        <v>50</v>
      </c>
      <c r="B187" s="4">
        <v>0</v>
      </c>
      <c r="C187" s="4">
        <v>0</v>
      </c>
      <c r="D187" s="4">
        <v>1</v>
      </c>
      <c r="E187" s="4">
        <v>225</v>
      </c>
      <c r="F187" s="4">
        <f>ROUND(Source!AV182,O187)</f>
        <v>25078.04</v>
      </c>
      <c r="G187" s="4" t="s">
        <v>74</v>
      </c>
      <c r="H187" s="4" t="s">
        <v>75</v>
      </c>
      <c r="I187" s="4"/>
      <c r="J187" s="4"/>
      <c r="K187" s="4">
        <v>225</v>
      </c>
      <c r="L187" s="4">
        <v>4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06" x14ac:dyDescent="0.2">
      <c r="A188" s="4">
        <v>50</v>
      </c>
      <c r="B188" s="4">
        <v>0</v>
      </c>
      <c r="C188" s="4">
        <v>0</v>
      </c>
      <c r="D188" s="4">
        <v>1</v>
      </c>
      <c r="E188" s="4">
        <v>226</v>
      </c>
      <c r="F188" s="4">
        <f>ROUND(Source!AW182,O188)</f>
        <v>25078.04</v>
      </c>
      <c r="G188" s="4" t="s">
        <v>76</v>
      </c>
      <c r="H188" s="4" t="s">
        <v>77</v>
      </c>
      <c r="I188" s="4"/>
      <c r="J188" s="4"/>
      <c r="K188" s="4">
        <v>226</v>
      </c>
      <c r="L188" s="4">
        <v>5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06" x14ac:dyDescent="0.2">
      <c r="A189" s="4">
        <v>50</v>
      </c>
      <c r="B189" s="4">
        <v>0</v>
      </c>
      <c r="C189" s="4">
        <v>0</v>
      </c>
      <c r="D189" s="4">
        <v>1</v>
      </c>
      <c r="E189" s="4">
        <v>227</v>
      </c>
      <c r="F189" s="4">
        <f>ROUND(Source!AX182,O189)</f>
        <v>0</v>
      </c>
      <c r="G189" s="4" t="s">
        <v>78</v>
      </c>
      <c r="H189" s="4" t="s">
        <v>79</v>
      </c>
      <c r="I189" s="4"/>
      <c r="J189" s="4"/>
      <c r="K189" s="4">
        <v>227</v>
      </c>
      <c r="L189" s="4">
        <v>6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06" x14ac:dyDescent="0.2">
      <c r="A190" s="4">
        <v>50</v>
      </c>
      <c r="B190" s="4">
        <v>0</v>
      </c>
      <c r="C190" s="4">
        <v>0</v>
      </c>
      <c r="D190" s="4">
        <v>1</v>
      </c>
      <c r="E190" s="4">
        <v>228</v>
      </c>
      <c r="F190" s="4">
        <f>ROUND(Source!AY182,O190)</f>
        <v>25078.04</v>
      </c>
      <c r="G190" s="4" t="s">
        <v>80</v>
      </c>
      <c r="H190" s="4" t="s">
        <v>81</v>
      </c>
      <c r="I190" s="4"/>
      <c r="J190" s="4"/>
      <c r="K190" s="4">
        <v>228</v>
      </c>
      <c r="L190" s="4">
        <v>7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06" x14ac:dyDescent="0.2">
      <c r="A191" s="4">
        <v>50</v>
      </c>
      <c r="B191" s="4">
        <v>0</v>
      </c>
      <c r="C191" s="4">
        <v>0</v>
      </c>
      <c r="D191" s="4">
        <v>1</v>
      </c>
      <c r="E191" s="4">
        <v>216</v>
      </c>
      <c r="F191" s="4">
        <f>ROUND(Source!AP182,O191)</f>
        <v>0</v>
      </c>
      <c r="G191" s="4" t="s">
        <v>82</v>
      </c>
      <c r="H191" s="4" t="s">
        <v>83</v>
      </c>
      <c r="I191" s="4"/>
      <c r="J191" s="4"/>
      <c r="K191" s="4">
        <v>216</v>
      </c>
      <c r="L191" s="4">
        <v>8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06" x14ac:dyDescent="0.2">
      <c r="A192" s="4">
        <v>50</v>
      </c>
      <c r="B192" s="4">
        <v>0</v>
      </c>
      <c r="C192" s="4">
        <v>0</v>
      </c>
      <c r="D192" s="4">
        <v>1</v>
      </c>
      <c r="E192" s="4">
        <v>223</v>
      </c>
      <c r="F192" s="4">
        <f>ROUND(Source!AQ182,O192)</f>
        <v>0</v>
      </c>
      <c r="G192" s="4" t="s">
        <v>84</v>
      </c>
      <c r="H192" s="4" t="s">
        <v>85</v>
      </c>
      <c r="I192" s="4"/>
      <c r="J192" s="4"/>
      <c r="K192" s="4">
        <v>223</v>
      </c>
      <c r="L192" s="4">
        <v>9</v>
      </c>
      <c r="M192" s="4">
        <v>3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3" x14ac:dyDescent="0.2">
      <c r="A193" s="4">
        <v>50</v>
      </c>
      <c r="B193" s="4">
        <v>0</v>
      </c>
      <c r="C193" s="4">
        <v>0</v>
      </c>
      <c r="D193" s="4">
        <v>1</v>
      </c>
      <c r="E193" s="4">
        <v>229</v>
      </c>
      <c r="F193" s="4">
        <f>ROUND(Source!AZ182,O193)</f>
        <v>0</v>
      </c>
      <c r="G193" s="4" t="s">
        <v>86</v>
      </c>
      <c r="H193" s="4" t="s">
        <v>87</v>
      </c>
      <c r="I193" s="4"/>
      <c r="J193" s="4"/>
      <c r="K193" s="4">
        <v>229</v>
      </c>
      <c r="L193" s="4">
        <v>10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3" x14ac:dyDescent="0.2">
      <c r="A194" s="4">
        <v>50</v>
      </c>
      <c r="B194" s="4">
        <v>0</v>
      </c>
      <c r="C194" s="4">
        <v>0</v>
      </c>
      <c r="D194" s="4">
        <v>1</v>
      </c>
      <c r="E194" s="4">
        <v>203</v>
      </c>
      <c r="F194" s="4">
        <f>ROUND(Source!Q182,O194)</f>
        <v>1006.07</v>
      </c>
      <c r="G194" s="4" t="s">
        <v>88</v>
      </c>
      <c r="H194" s="4" t="s">
        <v>89</v>
      </c>
      <c r="I194" s="4"/>
      <c r="J194" s="4"/>
      <c r="K194" s="4">
        <v>203</v>
      </c>
      <c r="L194" s="4">
        <v>11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3" x14ac:dyDescent="0.2">
      <c r="A195" s="4">
        <v>50</v>
      </c>
      <c r="B195" s="4">
        <v>0</v>
      </c>
      <c r="C195" s="4">
        <v>0</v>
      </c>
      <c r="D195" s="4">
        <v>1</v>
      </c>
      <c r="E195" s="4">
        <v>231</v>
      </c>
      <c r="F195" s="4">
        <f>ROUND(Source!BB182,O195)</f>
        <v>0</v>
      </c>
      <c r="G195" s="4" t="s">
        <v>90</v>
      </c>
      <c r="H195" s="4" t="s">
        <v>91</v>
      </c>
      <c r="I195" s="4"/>
      <c r="J195" s="4"/>
      <c r="K195" s="4">
        <v>231</v>
      </c>
      <c r="L195" s="4">
        <v>12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3" x14ac:dyDescent="0.2">
      <c r="A196" s="4">
        <v>50</v>
      </c>
      <c r="B196" s="4">
        <v>0</v>
      </c>
      <c r="C196" s="4">
        <v>0</v>
      </c>
      <c r="D196" s="4">
        <v>1</v>
      </c>
      <c r="E196" s="4">
        <v>204</v>
      </c>
      <c r="F196" s="4">
        <f>ROUND(Source!R182,O196)</f>
        <v>410.93</v>
      </c>
      <c r="G196" s="4" t="s">
        <v>92</v>
      </c>
      <c r="H196" s="4" t="s">
        <v>93</v>
      </c>
      <c r="I196" s="4"/>
      <c r="J196" s="4"/>
      <c r="K196" s="4">
        <v>204</v>
      </c>
      <c r="L196" s="4">
        <v>13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3" x14ac:dyDescent="0.2">
      <c r="A197" s="4">
        <v>50</v>
      </c>
      <c r="B197" s="4">
        <v>0</v>
      </c>
      <c r="C197" s="4">
        <v>0</v>
      </c>
      <c r="D197" s="4">
        <v>1</v>
      </c>
      <c r="E197" s="4">
        <v>205</v>
      </c>
      <c r="F197" s="4">
        <f>ROUND(Source!S182,O197)</f>
        <v>44915.11</v>
      </c>
      <c r="G197" s="4" t="s">
        <v>94</v>
      </c>
      <c r="H197" s="4" t="s">
        <v>95</v>
      </c>
      <c r="I197" s="4"/>
      <c r="J197" s="4"/>
      <c r="K197" s="4">
        <v>205</v>
      </c>
      <c r="L197" s="4">
        <v>14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8" spans="1:23" x14ac:dyDescent="0.2">
      <c r="A198" s="4">
        <v>50</v>
      </c>
      <c r="B198" s="4">
        <v>0</v>
      </c>
      <c r="C198" s="4">
        <v>0</v>
      </c>
      <c r="D198" s="4">
        <v>1</v>
      </c>
      <c r="E198" s="4">
        <v>232</v>
      </c>
      <c r="F198" s="4">
        <f>ROUND(Source!BC182,O198)</f>
        <v>0</v>
      </c>
      <c r="G198" s="4" t="s">
        <v>96</v>
      </c>
      <c r="H198" s="4" t="s">
        <v>97</v>
      </c>
      <c r="I198" s="4"/>
      <c r="J198" s="4"/>
      <c r="K198" s="4">
        <v>232</v>
      </c>
      <c r="L198" s="4">
        <v>15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3" x14ac:dyDescent="0.2">
      <c r="A199" s="4">
        <v>50</v>
      </c>
      <c r="B199" s="4">
        <v>0</v>
      </c>
      <c r="C199" s="4">
        <v>0</v>
      </c>
      <c r="D199" s="4">
        <v>1</v>
      </c>
      <c r="E199" s="4">
        <v>214</v>
      </c>
      <c r="F199" s="4">
        <f>ROUND(Source!AS182,O199)</f>
        <v>0</v>
      </c>
      <c r="G199" s="4" t="s">
        <v>98</v>
      </c>
      <c r="H199" s="4" t="s">
        <v>99</v>
      </c>
      <c r="I199" s="4"/>
      <c r="J199" s="4"/>
      <c r="K199" s="4">
        <v>214</v>
      </c>
      <c r="L199" s="4">
        <v>16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3" x14ac:dyDescent="0.2">
      <c r="A200" s="4">
        <v>50</v>
      </c>
      <c r="B200" s="4">
        <v>0</v>
      </c>
      <c r="C200" s="4">
        <v>0</v>
      </c>
      <c r="D200" s="4">
        <v>1</v>
      </c>
      <c r="E200" s="4">
        <v>215</v>
      </c>
      <c r="F200" s="4">
        <f>ROUND(Source!AT182,O200)</f>
        <v>71937.25</v>
      </c>
      <c r="G200" s="4" t="s">
        <v>100</v>
      </c>
      <c r="H200" s="4" t="s">
        <v>101</v>
      </c>
      <c r="I200" s="4"/>
      <c r="J200" s="4"/>
      <c r="K200" s="4">
        <v>215</v>
      </c>
      <c r="L200" s="4">
        <v>17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3" x14ac:dyDescent="0.2">
      <c r="A201" s="4">
        <v>50</v>
      </c>
      <c r="B201" s="4">
        <v>0</v>
      </c>
      <c r="C201" s="4">
        <v>0</v>
      </c>
      <c r="D201" s="4">
        <v>1</v>
      </c>
      <c r="E201" s="4">
        <v>217</v>
      </c>
      <c r="F201" s="4">
        <f>ROUND(Source!AU182,O201)</f>
        <v>50530.95</v>
      </c>
      <c r="G201" s="4" t="s">
        <v>102</v>
      </c>
      <c r="H201" s="4" t="s">
        <v>103</v>
      </c>
      <c r="I201" s="4"/>
      <c r="J201" s="4"/>
      <c r="K201" s="4">
        <v>217</v>
      </c>
      <c r="L201" s="4">
        <v>18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3" x14ac:dyDescent="0.2">
      <c r="A202" s="4">
        <v>50</v>
      </c>
      <c r="B202" s="4">
        <v>0</v>
      </c>
      <c r="C202" s="4">
        <v>0</v>
      </c>
      <c r="D202" s="4">
        <v>1</v>
      </c>
      <c r="E202" s="4">
        <v>230</v>
      </c>
      <c r="F202" s="4">
        <f>ROUND(Source!BA182,O202)</f>
        <v>0</v>
      </c>
      <c r="G202" s="4" t="s">
        <v>104</v>
      </c>
      <c r="H202" s="4" t="s">
        <v>105</v>
      </c>
      <c r="I202" s="4"/>
      <c r="J202" s="4"/>
      <c r="K202" s="4">
        <v>230</v>
      </c>
      <c r="L202" s="4">
        <v>19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3" x14ac:dyDescent="0.2">
      <c r="A203" s="4">
        <v>50</v>
      </c>
      <c r="B203" s="4">
        <v>0</v>
      </c>
      <c r="C203" s="4">
        <v>0</v>
      </c>
      <c r="D203" s="4">
        <v>1</v>
      </c>
      <c r="E203" s="4">
        <v>206</v>
      </c>
      <c r="F203" s="4">
        <f>ROUND(Source!T182,O203)</f>
        <v>0</v>
      </c>
      <c r="G203" s="4" t="s">
        <v>106</v>
      </c>
      <c r="H203" s="4" t="s">
        <v>107</v>
      </c>
      <c r="I203" s="4"/>
      <c r="J203" s="4"/>
      <c r="K203" s="4">
        <v>206</v>
      </c>
      <c r="L203" s="4">
        <v>20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3" x14ac:dyDescent="0.2">
      <c r="A204" s="4">
        <v>50</v>
      </c>
      <c r="B204" s="4">
        <v>0</v>
      </c>
      <c r="C204" s="4">
        <v>0</v>
      </c>
      <c r="D204" s="4">
        <v>1</v>
      </c>
      <c r="E204" s="4">
        <v>207</v>
      </c>
      <c r="F204" s="4">
        <f>Source!U182</f>
        <v>137.69220000000001</v>
      </c>
      <c r="G204" s="4" t="s">
        <v>108</v>
      </c>
      <c r="H204" s="4" t="s">
        <v>109</v>
      </c>
      <c r="I204" s="4"/>
      <c r="J204" s="4"/>
      <c r="K204" s="4">
        <v>207</v>
      </c>
      <c r="L204" s="4">
        <v>21</v>
      </c>
      <c r="M204" s="4">
        <v>3</v>
      </c>
      <c r="N204" s="4" t="s">
        <v>3</v>
      </c>
      <c r="O204" s="4">
        <v>-1</v>
      </c>
      <c r="P204" s="4"/>
      <c r="Q204" s="4"/>
      <c r="R204" s="4"/>
      <c r="S204" s="4"/>
      <c r="T204" s="4"/>
      <c r="U204" s="4"/>
      <c r="V204" s="4"/>
      <c r="W204" s="4"/>
    </row>
    <row r="205" spans="1:23" x14ac:dyDescent="0.2">
      <c r="A205" s="4">
        <v>50</v>
      </c>
      <c r="B205" s="4">
        <v>0</v>
      </c>
      <c r="C205" s="4">
        <v>0</v>
      </c>
      <c r="D205" s="4">
        <v>1</v>
      </c>
      <c r="E205" s="4">
        <v>208</v>
      </c>
      <c r="F205" s="4">
        <f>Source!V182</f>
        <v>0</v>
      </c>
      <c r="G205" s="4" t="s">
        <v>110</v>
      </c>
      <c r="H205" s="4" t="s">
        <v>111</v>
      </c>
      <c r="I205" s="4"/>
      <c r="J205" s="4"/>
      <c r="K205" s="4">
        <v>208</v>
      </c>
      <c r="L205" s="4">
        <v>22</v>
      </c>
      <c r="M205" s="4">
        <v>3</v>
      </c>
      <c r="N205" s="4" t="s">
        <v>3</v>
      </c>
      <c r="O205" s="4">
        <v>-1</v>
      </c>
      <c r="P205" s="4"/>
      <c r="Q205" s="4"/>
      <c r="R205" s="4"/>
      <c r="S205" s="4"/>
      <c r="T205" s="4"/>
      <c r="U205" s="4"/>
      <c r="V205" s="4"/>
      <c r="W205" s="4"/>
    </row>
    <row r="206" spans="1:23" x14ac:dyDescent="0.2">
      <c r="A206" s="4">
        <v>50</v>
      </c>
      <c r="B206" s="4">
        <v>0</v>
      </c>
      <c r="C206" s="4">
        <v>0</v>
      </c>
      <c r="D206" s="4">
        <v>1</v>
      </c>
      <c r="E206" s="4">
        <v>209</v>
      </c>
      <c r="F206" s="4">
        <f>ROUND(Source!W182,O206)</f>
        <v>0</v>
      </c>
      <c r="G206" s="4" t="s">
        <v>112</v>
      </c>
      <c r="H206" s="4" t="s">
        <v>113</v>
      </c>
      <c r="I206" s="4"/>
      <c r="J206" s="4"/>
      <c r="K206" s="4">
        <v>209</v>
      </c>
      <c r="L206" s="4">
        <v>23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3" x14ac:dyDescent="0.2">
      <c r="A207" s="4">
        <v>50</v>
      </c>
      <c r="B207" s="4">
        <v>0</v>
      </c>
      <c r="C207" s="4">
        <v>0</v>
      </c>
      <c r="D207" s="4">
        <v>1</v>
      </c>
      <c r="E207" s="4">
        <v>210</v>
      </c>
      <c r="F207" s="4">
        <f>ROUND(Source!X182,O207)</f>
        <v>32408.65</v>
      </c>
      <c r="G207" s="4" t="s">
        <v>114</v>
      </c>
      <c r="H207" s="4" t="s">
        <v>115</v>
      </c>
      <c r="I207" s="4"/>
      <c r="J207" s="4"/>
      <c r="K207" s="4">
        <v>210</v>
      </c>
      <c r="L207" s="4">
        <v>24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3" x14ac:dyDescent="0.2">
      <c r="A208" s="4">
        <v>50</v>
      </c>
      <c r="B208" s="4">
        <v>0</v>
      </c>
      <c r="C208" s="4">
        <v>0</v>
      </c>
      <c r="D208" s="4">
        <v>1</v>
      </c>
      <c r="E208" s="4">
        <v>211</v>
      </c>
      <c r="F208" s="4">
        <f>ROUND(Source!Y182,O208)</f>
        <v>18415.18</v>
      </c>
      <c r="G208" s="4" t="s">
        <v>116</v>
      </c>
      <c r="H208" s="4" t="s">
        <v>117</v>
      </c>
      <c r="I208" s="4"/>
      <c r="J208" s="4"/>
      <c r="K208" s="4">
        <v>211</v>
      </c>
      <c r="L208" s="4">
        <v>25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06" x14ac:dyDescent="0.2">
      <c r="A209" s="4">
        <v>50</v>
      </c>
      <c r="B209" s="4">
        <v>0</v>
      </c>
      <c r="C209" s="4">
        <v>0</v>
      </c>
      <c r="D209" s="4">
        <v>1</v>
      </c>
      <c r="E209" s="4">
        <v>224</v>
      </c>
      <c r="F209" s="4">
        <f>ROUND(Source!AR182,O209)</f>
        <v>122468.2</v>
      </c>
      <c r="G209" s="4" t="s">
        <v>118</v>
      </c>
      <c r="H209" s="4" t="s">
        <v>119</v>
      </c>
      <c r="I209" s="4"/>
      <c r="J209" s="4"/>
      <c r="K209" s="4">
        <v>224</v>
      </c>
      <c r="L209" s="4">
        <v>26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1" spans="1:206" x14ac:dyDescent="0.2">
      <c r="A211" s="2">
        <v>51</v>
      </c>
      <c r="B211" s="2">
        <f>B12</f>
        <v>246</v>
      </c>
      <c r="C211" s="2">
        <f>A12</f>
        <v>1</v>
      </c>
      <c r="D211" s="2">
        <f>ROW(A12)</f>
        <v>12</v>
      </c>
      <c r="E211" s="2"/>
      <c r="F211" s="2" t="str">
        <f>IF(F12&lt;&gt;"",F12,"")</f>
        <v/>
      </c>
      <c r="G211" s="2" t="str">
        <f>IF(G12&lt;&gt;"",G12,"")</f>
        <v>Комплекс электромонтажных работ по выполнению п.п. 1-6 технических условий №3714 от 10.12.2019г.</v>
      </c>
      <c r="H211" s="2">
        <v>0</v>
      </c>
      <c r="I211" s="2"/>
      <c r="J211" s="2"/>
      <c r="K211" s="2"/>
      <c r="L211" s="2"/>
      <c r="M211" s="2"/>
      <c r="N211" s="2"/>
      <c r="O211" s="2">
        <f t="shared" ref="O211:T211" si="160">ROUND(O182,2)</f>
        <v>70999.22</v>
      </c>
      <c r="P211" s="2">
        <f t="shared" si="160"/>
        <v>25078.04</v>
      </c>
      <c r="Q211" s="2">
        <f t="shared" si="160"/>
        <v>1006.07</v>
      </c>
      <c r="R211" s="2">
        <f t="shared" si="160"/>
        <v>410.93</v>
      </c>
      <c r="S211" s="2">
        <f t="shared" si="160"/>
        <v>44915.11</v>
      </c>
      <c r="T211" s="2">
        <f t="shared" si="160"/>
        <v>0</v>
      </c>
      <c r="U211" s="2">
        <f>U182</f>
        <v>137.69220000000001</v>
      </c>
      <c r="V211" s="2">
        <f>V182</f>
        <v>0</v>
      </c>
      <c r="W211" s="2">
        <f>ROUND(W182,2)</f>
        <v>0</v>
      </c>
      <c r="X211" s="2">
        <f>ROUND(X182,2)</f>
        <v>32408.65</v>
      </c>
      <c r="Y211" s="2">
        <f>ROUND(Y182,2)</f>
        <v>18415.18</v>
      </c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>
        <f t="shared" ref="AO211:BC211" si="161">ROUND(AO182,2)</f>
        <v>0</v>
      </c>
      <c r="AP211" s="2">
        <f t="shared" si="161"/>
        <v>0</v>
      </c>
      <c r="AQ211" s="2">
        <f t="shared" si="161"/>
        <v>0</v>
      </c>
      <c r="AR211" s="2">
        <f t="shared" si="161"/>
        <v>122468.2</v>
      </c>
      <c r="AS211" s="2">
        <f t="shared" si="161"/>
        <v>0</v>
      </c>
      <c r="AT211" s="2">
        <f t="shared" si="161"/>
        <v>71937.25</v>
      </c>
      <c r="AU211" s="2">
        <f t="shared" si="161"/>
        <v>50530.95</v>
      </c>
      <c r="AV211" s="2">
        <f t="shared" si="161"/>
        <v>25078.04</v>
      </c>
      <c r="AW211" s="2">
        <f t="shared" si="161"/>
        <v>25078.04</v>
      </c>
      <c r="AX211" s="2">
        <f t="shared" si="161"/>
        <v>0</v>
      </c>
      <c r="AY211" s="2">
        <f t="shared" si="161"/>
        <v>25078.04</v>
      </c>
      <c r="AZ211" s="2">
        <f t="shared" si="161"/>
        <v>0</v>
      </c>
      <c r="BA211" s="2">
        <f t="shared" si="161"/>
        <v>0</v>
      </c>
      <c r="BB211" s="2">
        <f t="shared" si="161"/>
        <v>0</v>
      </c>
      <c r="BC211" s="2">
        <f t="shared" si="161"/>
        <v>0</v>
      </c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>
        <v>0</v>
      </c>
    </row>
    <row r="213" spans="1:206" x14ac:dyDescent="0.2">
      <c r="A213" s="4">
        <v>50</v>
      </c>
      <c r="B213" s="4">
        <v>0</v>
      </c>
      <c r="C213" s="4">
        <v>0</v>
      </c>
      <c r="D213" s="4">
        <v>1</v>
      </c>
      <c r="E213" s="4">
        <v>201</v>
      </c>
      <c r="F213" s="4">
        <f>ROUND(Source!O211,O213)</f>
        <v>70999.22</v>
      </c>
      <c r="G213" s="4" t="s">
        <v>68</v>
      </c>
      <c r="H213" s="4" t="s">
        <v>69</v>
      </c>
      <c r="I213" s="4"/>
      <c r="J213" s="4"/>
      <c r="K213" s="4">
        <v>201</v>
      </c>
      <c r="L213" s="4">
        <v>1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06" x14ac:dyDescent="0.2">
      <c r="A214" s="4">
        <v>50</v>
      </c>
      <c r="B214" s="4">
        <v>0</v>
      </c>
      <c r="C214" s="4">
        <v>0</v>
      </c>
      <c r="D214" s="4">
        <v>1</v>
      </c>
      <c r="E214" s="4">
        <v>202</v>
      </c>
      <c r="F214" s="4">
        <f>ROUND(Source!P211,O214)</f>
        <v>25078.04</v>
      </c>
      <c r="G214" s="4" t="s">
        <v>70</v>
      </c>
      <c r="H214" s="4" t="s">
        <v>71</v>
      </c>
      <c r="I214" s="4"/>
      <c r="J214" s="4"/>
      <c r="K214" s="4">
        <v>202</v>
      </c>
      <c r="L214" s="4">
        <v>2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06" x14ac:dyDescent="0.2">
      <c r="A215" s="4">
        <v>50</v>
      </c>
      <c r="B215" s="4">
        <v>0</v>
      </c>
      <c r="C215" s="4">
        <v>0</v>
      </c>
      <c r="D215" s="4">
        <v>1</v>
      </c>
      <c r="E215" s="4">
        <v>44066418</v>
      </c>
      <c r="F215" s="4">
        <f>ROUND(Source!AO211,O215)</f>
        <v>0</v>
      </c>
      <c r="G215" s="4" t="s">
        <v>72</v>
      </c>
      <c r="H215" s="4" t="s">
        <v>73</v>
      </c>
      <c r="I215" s="4"/>
      <c r="J215" s="4"/>
      <c r="K215" s="4">
        <v>222</v>
      </c>
      <c r="L215" s="4">
        <v>3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06" x14ac:dyDescent="0.2">
      <c r="A216" s="4">
        <v>50</v>
      </c>
      <c r="B216" s="4">
        <v>0</v>
      </c>
      <c r="C216" s="4">
        <v>0</v>
      </c>
      <c r="D216" s="4">
        <v>1</v>
      </c>
      <c r="E216" s="4">
        <v>225</v>
      </c>
      <c r="F216" s="4">
        <f>ROUND(Source!AV211,O216)</f>
        <v>25078.04</v>
      </c>
      <c r="G216" s="4" t="s">
        <v>74</v>
      </c>
      <c r="H216" s="4" t="s">
        <v>75</v>
      </c>
      <c r="I216" s="4"/>
      <c r="J216" s="4"/>
      <c r="K216" s="4">
        <v>225</v>
      </c>
      <c r="L216" s="4">
        <v>4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06" x14ac:dyDescent="0.2">
      <c r="A217" s="4">
        <v>50</v>
      </c>
      <c r="B217" s="4">
        <v>0</v>
      </c>
      <c r="C217" s="4">
        <v>0</v>
      </c>
      <c r="D217" s="4">
        <v>1</v>
      </c>
      <c r="E217" s="4">
        <v>226</v>
      </c>
      <c r="F217" s="4">
        <f>ROUND(Source!AW211,O217)</f>
        <v>25078.04</v>
      </c>
      <c r="G217" s="4" t="s">
        <v>76</v>
      </c>
      <c r="H217" s="4" t="s">
        <v>77</v>
      </c>
      <c r="I217" s="4"/>
      <c r="J217" s="4"/>
      <c r="K217" s="4">
        <v>226</v>
      </c>
      <c r="L217" s="4">
        <v>5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06" x14ac:dyDescent="0.2">
      <c r="A218" s="4">
        <v>50</v>
      </c>
      <c r="B218" s="4">
        <v>0</v>
      </c>
      <c r="C218" s="4">
        <v>0</v>
      </c>
      <c r="D218" s="4">
        <v>1</v>
      </c>
      <c r="E218" s="4">
        <v>227</v>
      </c>
      <c r="F218" s="4">
        <f>ROUND(Source!AX211,O218)</f>
        <v>0</v>
      </c>
      <c r="G218" s="4" t="s">
        <v>78</v>
      </c>
      <c r="H218" s="4" t="s">
        <v>79</v>
      </c>
      <c r="I218" s="4"/>
      <c r="J218" s="4"/>
      <c r="K218" s="4">
        <v>227</v>
      </c>
      <c r="L218" s="4">
        <v>6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06" x14ac:dyDescent="0.2">
      <c r="A219" s="4">
        <v>50</v>
      </c>
      <c r="B219" s="4">
        <v>0</v>
      </c>
      <c r="C219" s="4">
        <v>0</v>
      </c>
      <c r="D219" s="4">
        <v>1</v>
      </c>
      <c r="E219" s="4">
        <v>228</v>
      </c>
      <c r="F219" s="4">
        <f>ROUND(Source!AY211,O219)</f>
        <v>25078.04</v>
      </c>
      <c r="G219" s="4" t="s">
        <v>80</v>
      </c>
      <c r="H219" s="4" t="s">
        <v>81</v>
      </c>
      <c r="I219" s="4"/>
      <c r="J219" s="4"/>
      <c r="K219" s="4">
        <v>228</v>
      </c>
      <c r="L219" s="4">
        <v>7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06" x14ac:dyDescent="0.2">
      <c r="A220" s="4">
        <v>50</v>
      </c>
      <c r="B220" s="4">
        <v>0</v>
      </c>
      <c r="C220" s="4">
        <v>0</v>
      </c>
      <c r="D220" s="4">
        <v>1</v>
      </c>
      <c r="E220" s="4">
        <v>216</v>
      </c>
      <c r="F220" s="4">
        <f>ROUND(Source!AP211,O220)</f>
        <v>0</v>
      </c>
      <c r="G220" s="4" t="s">
        <v>82</v>
      </c>
      <c r="H220" s="4" t="s">
        <v>83</v>
      </c>
      <c r="I220" s="4"/>
      <c r="J220" s="4"/>
      <c r="K220" s="4">
        <v>216</v>
      </c>
      <c r="L220" s="4">
        <v>8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06" x14ac:dyDescent="0.2">
      <c r="A221" s="4">
        <v>50</v>
      </c>
      <c r="B221" s="4">
        <v>0</v>
      </c>
      <c r="C221" s="4">
        <v>0</v>
      </c>
      <c r="D221" s="4">
        <v>1</v>
      </c>
      <c r="E221" s="4">
        <v>223</v>
      </c>
      <c r="F221" s="4">
        <f>ROUND(Source!AQ211,O221)</f>
        <v>0</v>
      </c>
      <c r="G221" s="4" t="s">
        <v>84</v>
      </c>
      <c r="H221" s="4" t="s">
        <v>85</v>
      </c>
      <c r="I221" s="4"/>
      <c r="J221" s="4"/>
      <c r="K221" s="4">
        <v>223</v>
      </c>
      <c r="L221" s="4">
        <v>9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06" x14ac:dyDescent="0.2">
      <c r="A222" s="4">
        <v>50</v>
      </c>
      <c r="B222" s="4">
        <v>0</v>
      </c>
      <c r="C222" s="4">
        <v>0</v>
      </c>
      <c r="D222" s="4">
        <v>1</v>
      </c>
      <c r="E222" s="4">
        <v>229</v>
      </c>
      <c r="F222" s="4">
        <f>ROUND(Source!AZ211,O222)</f>
        <v>0</v>
      </c>
      <c r="G222" s="4" t="s">
        <v>86</v>
      </c>
      <c r="H222" s="4" t="s">
        <v>87</v>
      </c>
      <c r="I222" s="4"/>
      <c r="J222" s="4"/>
      <c r="K222" s="4">
        <v>229</v>
      </c>
      <c r="L222" s="4">
        <v>10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06" x14ac:dyDescent="0.2">
      <c r="A223" s="4">
        <v>50</v>
      </c>
      <c r="B223" s="4">
        <v>0</v>
      </c>
      <c r="C223" s="4">
        <v>0</v>
      </c>
      <c r="D223" s="4">
        <v>1</v>
      </c>
      <c r="E223" s="4">
        <v>203</v>
      </c>
      <c r="F223" s="4">
        <f>ROUND(Source!Q211,O223)</f>
        <v>1006.07</v>
      </c>
      <c r="G223" s="4" t="s">
        <v>88</v>
      </c>
      <c r="H223" s="4" t="s">
        <v>89</v>
      </c>
      <c r="I223" s="4"/>
      <c r="J223" s="4"/>
      <c r="K223" s="4">
        <v>203</v>
      </c>
      <c r="L223" s="4">
        <v>11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06" x14ac:dyDescent="0.2">
      <c r="A224" s="4">
        <v>50</v>
      </c>
      <c r="B224" s="4">
        <v>0</v>
      </c>
      <c r="C224" s="4">
        <v>0</v>
      </c>
      <c r="D224" s="4">
        <v>1</v>
      </c>
      <c r="E224" s="4">
        <v>231</v>
      </c>
      <c r="F224" s="4">
        <f>ROUND(Source!BB211,O224)</f>
        <v>0</v>
      </c>
      <c r="G224" s="4" t="s">
        <v>90</v>
      </c>
      <c r="H224" s="4" t="s">
        <v>91</v>
      </c>
      <c r="I224" s="4"/>
      <c r="J224" s="4"/>
      <c r="K224" s="4">
        <v>231</v>
      </c>
      <c r="L224" s="4">
        <v>12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3" x14ac:dyDescent="0.2">
      <c r="A225" s="4">
        <v>50</v>
      </c>
      <c r="B225" s="4">
        <v>0</v>
      </c>
      <c r="C225" s="4">
        <v>0</v>
      </c>
      <c r="D225" s="4">
        <v>1</v>
      </c>
      <c r="E225" s="4">
        <v>204</v>
      </c>
      <c r="F225" s="4">
        <f>ROUND(Source!R211,O225)</f>
        <v>410.93</v>
      </c>
      <c r="G225" s="4" t="s">
        <v>92</v>
      </c>
      <c r="H225" s="4" t="s">
        <v>93</v>
      </c>
      <c r="I225" s="4"/>
      <c r="J225" s="4"/>
      <c r="K225" s="4">
        <v>204</v>
      </c>
      <c r="L225" s="4">
        <v>13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 x14ac:dyDescent="0.2">
      <c r="A226" s="4">
        <v>50</v>
      </c>
      <c r="B226" s="4">
        <v>0</v>
      </c>
      <c r="C226" s="4">
        <v>0</v>
      </c>
      <c r="D226" s="4">
        <v>1</v>
      </c>
      <c r="E226" s="4">
        <v>205</v>
      </c>
      <c r="F226" s="4">
        <f>ROUND(Source!S211,O226)</f>
        <v>44915.11</v>
      </c>
      <c r="G226" s="4" t="s">
        <v>94</v>
      </c>
      <c r="H226" s="4" t="s">
        <v>95</v>
      </c>
      <c r="I226" s="4"/>
      <c r="J226" s="4"/>
      <c r="K226" s="4">
        <v>205</v>
      </c>
      <c r="L226" s="4">
        <v>14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 x14ac:dyDescent="0.2">
      <c r="A227" s="4">
        <v>50</v>
      </c>
      <c r="B227" s="4">
        <v>0</v>
      </c>
      <c r="C227" s="4">
        <v>0</v>
      </c>
      <c r="D227" s="4">
        <v>1</v>
      </c>
      <c r="E227" s="4">
        <v>232</v>
      </c>
      <c r="F227" s="4">
        <f>ROUND(Source!BC211,O227)</f>
        <v>0</v>
      </c>
      <c r="G227" s="4" t="s">
        <v>96</v>
      </c>
      <c r="H227" s="4" t="s">
        <v>97</v>
      </c>
      <c r="I227" s="4"/>
      <c r="J227" s="4"/>
      <c r="K227" s="4">
        <v>232</v>
      </c>
      <c r="L227" s="4">
        <v>15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 x14ac:dyDescent="0.2">
      <c r="A228" s="4">
        <v>50</v>
      </c>
      <c r="B228" s="4">
        <v>0</v>
      </c>
      <c r="C228" s="4">
        <v>0</v>
      </c>
      <c r="D228" s="4">
        <v>1</v>
      </c>
      <c r="E228" s="4">
        <v>214</v>
      </c>
      <c r="F228" s="4">
        <f>ROUND(Source!AS211,O228)</f>
        <v>0</v>
      </c>
      <c r="G228" s="4" t="s">
        <v>98</v>
      </c>
      <c r="H228" s="4" t="s">
        <v>99</v>
      </c>
      <c r="I228" s="4"/>
      <c r="J228" s="4"/>
      <c r="K228" s="4">
        <v>214</v>
      </c>
      <c r="L228" s="4">
        <v>16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 x14ac:dyDescent="0.2">
      <c r="A229" s="4">
        <v>50</v>
      </c>
      <c r="B229" s="4">
        <v>0</v>
      </c>
      <c r="C229" s="4">
        <v>0</v>
      </c>
      <c r="D229" s="4">
        <v>1</v>
      </c>
      <c r="E229" s="4">
        <v>215</v>
      </c>
      <c r="F229" s="4">
        <f>ROUND(Source!AT211,O229)</f>
        <v>71937.25</v>
      </c>
      <c r="G229" s="4" t="s">
        <v>100</v>
      </c>
      <c r="H229" s="4" t="s">
        <v>101</v>
      </c>
      <c r="I229" s="4"/>
      <c r="J229" s="4"/>
      <c r="K229" s="4">
        <v>215</v>
      </c>
      <c r="L229" s="4">
        <v>17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 x14ac:dyDescent="0.2">
      <c r="A230" s="4">
        <v>50</v>
      </c>
      <c r="B230" s="4">
        <v>0</v>
      </c>
      <c r="C230" s="4">
        <v>0</v>
      </c>
      <c r="D230" s="4">
        <v>1</v>
      </c>
      <c r="E230" s="4">
        <v>217</v>
      </c>
      <c r="F230" s="4">
        <f>ROUND(Source!AU211,O230)</f>
        <v>50530.95</v>
      </c>
      <c r="G230" s="4" t="s">
        <v>102</v>
      </c>
      <c r="H230" s="4" t="s">
        <v>103</v>
      </c>
      <c r="I230" s="4"/>
      <c r="J230" s="4"/>
      <c r="K230" s="4">
        <v>217</v>
      </c>
      <c r="L230" s="4">
        <v>18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 x14ac:dyDescent="0.2">
      <c r="A231" s="4">
        <v>50</v>
      </c>
      <c r="B231" s="4">
        <v>0</v>
      </c>
      <c r="C231" s="4">
        <v>0</v>
      </c>
      <c r="D231" s="4">
        <v>1</v>
      </c>
      <c r="E231" s="4">
        <v>230</v>
      </c>
      <c r="F231" s="4">
        <f>ROUND(Source!BA211,O231)</f>
        <v>0</v>
      </c>
      <c r="G231" s="4" t="s">
        <v>104</v>
      </c>
      <c r="H231" s="4" t="s">
        <v>105</v>
      </c>
      <c r="I231" s="4"/>
      <c r="J231" s="4"/>
      <c r="K231" s="4">
        <v>230</v>
      </c>
      <c r="L231" s="4">
        <v>19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 x14ac:dyDescent="0.2">
      <c r="A232" s="4">
        <v>50</v>
      </c>
      <c r="B232" s="4">
        <v>0</v>
      </c>
      <c r="C232" s="4">
        <v>0</v>
      </c>
      <c r="D232" s="4">
        <v>1</v>
      </c>
      <c r="E232" s="4">
        <v>206</v>
      </c>
      <c r="F232" s="4">
        <f>ROUND(Source!T211,O232)</f>
        <v>0</v>
      </c>
      <c r="G232" s="4" t="s">
        <v>106</v>
      </c>
      <c r="H232" s="4" t="s">
        <v>107</v>
      </c>
      <c r="I232" s="4"/>
      <c r="J232" s="4"/>
      <c r="K232" s="4">
        <v>206</v>
      </c>
      <c r="L232" s="4">
        <v>20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 x14ac:dyDescent="0.2">
      <c r="A233" s="4">
        <v>50</v>
      </c>
      <c r="B233" s="4">
        <v>0</v>
      </c>
      <c r="C233" s="4">
        <v>0</v>
      </c>
      <c r="D233" s="4">
        <v>1</v>
      </c>
      <c r="E233" s="4">
        <v>207</v>
      </c>
      <c r="F233" s="4">
        <f>Source!U211</f>
        <v>137.69220000000001</v>
      </c>
      <c r="G233" s="4" t="s">
        <v>108</v>
      </c>
      <c r="H233" s="4" t="s">
        <v>109</v>
      </c>
      <c r="I233" s="4"/>
      <c r="J233" s="4"/>
      <c r="K233" s="4">
        <v>207</v>
      </c>
      <c r="L233" s="4">
        <v>21</v>
      </c>
      <c r="M233" s="4">
        <v>3</v>
      </c>
      <c r="N233" s="4" t="s">
        <v>3</v>
      </c>
      <c r="O233" s="4">
        <v>-1</v>
      </c>
      <c r="P233" s="4"/>
      <c r="Q233" s="4"/>
      <c r="R233" s="4"/>
      <c r="S233" s="4"/>
      <c r="T233" s="4"/>
      <c r="U233" s="4"/>
      <c r="V233" s="4"/>
      <c r="W233" s="4"/>
    </row>
    <row r="234" spans="1:23" x14ac:dyDescent="0.2">
      <c r="A234" s="4">
        <v>50</v>
      </c>
      <c r="B234" s="4">
        <v>0</v>
      </c>
      <c r="C234" s="4">
        <v>0</v>
      </c>
      <c r="D234" s="4">
        <v>1</v>
      </c>
      <c r="E234" s="4">
        <v>208</v>
      </c>
      <c r="F234" s="4">
        <f>Source!V211</f>
        <v>0</v>
      </c>
      <c r="G234" s="4" t="s">
        <v>110</v>
      </c>
      <c r="H234" s="4" t="s">
        <v>111</v>
      </c>
      <c r="I234" s="4"/>
      <c r="J234" s="4"/>
      <c r="K234" s="4">
        <v>208</v>
      </c>
      <c r="L234" s="4">
        <v>22</v>
      </c>
      <c r="M234" s="4">
        <v>3</v>
      </c>
      <c r="N234" s="4" t="s">
        <v>3</v>
      </c>
      <c r="O234" s="4">
        <v>-1</v>
      </c>
      <c r="P234" s="4"/>
      <c r="Q234" s="4"/>
      <c r="R234" s="4"/>
      <c r="S234" s="4"/>
      <c r="T234" s="4"/>
      <c r="U234" s="4"/>
      <c r="V234" s="4"/>
      <c r="W234" s="4"/>
    </row>
    <row r="235" spans="1:23" x14ac:dyDescent="0.2">
      <c r="A235" s="4">
        <v>50</v>
      </c>
      <c r="B235" s="4">
        <v>0</v>
      </c>
      <c r="C235" s="4">
        <v>0</v>
      </c>
      <c r="D235" s="4">
        <v>1</v>
      </c>
      <c r="E235" s="4">
        <v>209</v>
      </c>
      <c r="F235" s="4">
        <f>ROUND(Source!W211,O235)</f>
        <v>0</v>
      </c>
      <c r="G235" s="4" t="s">
        <v>112</v>
      </c>
      <c r="H235" s="4" t="s">
        <v>113</v>
      </c>
      <c r="I235" s="4"/>
      <c r="J235" s="4"/>
      <c r="K235" s="4">
        <v>209</v>
      </c>
      <c r="L235" s="4">
        <v>23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3" x14ac:dyDescent="0.2">
      <c r="A236" s="4">
        <v>50</v>
      </c>
      <c r="B236" s="4">
        <v>0</v>
      </c>
      <c r="C236" s="4">
        <v>0</v>
      </c>
      <c r="D236" s="4">
        <v>1</v>
      </c>
      <c r="E236" s="4">
        <v>210</v>
      </c>
      <c r="F236" s="4">
        <f>ROUND(Source!X211,O236)</f>
        <v>32408.65</v>
      </c>
      <c r="G236" s="4" t="s">
        <v>114</v>
      </c>
      <c r="H236" s="4" t="s">
        <v>115</v>
      </c>
      <c r="I236" s="4"/>
      <c r="J236" s="4"/>
      <c r="K236" s="4">
        <v>210</v>
      </c>
      <c r="L236" s="4">
        <v>24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/>
    </row>
    <row r="237" spans="1:23" x14ac:dyDescent="0.2">
      <c r="A237" s="4">
        <v>50</v>
      </c>
      <c r="B237" s="4">
        <v>0</v>
      </c>
      <c r="C237" s="4">
        <v>0</v>
      </c>
      <c r="D237" s="4">
        <v>1</v>
      </c>
      <c r="E237" s="4">
        <v>211</v>
      </c>
      <c r="F237" s="4">
        <f>ROUND(Source!Y211,O237)</f>
        <v>18415.18</v>
      </c>
      <c r="G237" s="4" t="s">
        <v>116</v>
      </c>
      <c r="H237" s="4" t="s">
        <v>117</v>
      </c>
      <c r="I237" s="4"/>
      <c r="J237" s="4"/>
      <c r="K237" s="4">
        <v>211</v>
      </c>
      <c r="L237" s="4">
        <v>25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/>
    </row>
    <row r="238" spans="1:23" x14ac:dyDescent="0.2">
      <c r="A238" s="4">
        <v>50</v>
      </c>
      <c r="B238" s="4">
        <v>0</v>
      </c>
      <c r="C238" s="4">
        <v>0</v>
      </c>
      <c r="D238" s="4">
        <v>1</v>
      </c>
      <c r="E238" s="4">
        <v>224</v>
      </c>
      <c r="F238" s="4">
        <f>ROUND(Source!AR211,O238)</f>
        <v>122468.2</v>
      </c>
      <c r="G238" s="4" t="s">
        <v>118</v>
      </c>
      <c r="H238" s="4" t="s">
        <v>119</v>
      </c>
      <c r="I238" s="4"/>
      <c r="J238" s="4"/>
      <c r="K238" s="4">
        <v>224</v>
      </c>
      <c r="L238" s="4">
        <v>26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/>
    </row>
    <row r="239" spans="1:23" x14ac:dyDescent="0.2">
      <c r="A239" s="4">
        <v>50</v>
      </c>
      <c r="B239" s="4">
        <v>1</v>
      </c>
      <c r="C239" s="4">
        <v>0</v>
      </c>
      <c r="D239" s="4">
        <v>2</v>
      </c>
      <c r="E239" s="4">
        <v>0</v>
      </c>
      <c r="F239" s="4">
        <f>ROUND(F238,O239)</f>
        <v>122468.2</v>
      </c>
      <c r="G239" s="4" t="s">
        <v>309</v>
      </c>
      <c r="H239" s="4" t="s">
        <v>310</v>
      </c>
      <c r="I239" s="4"/>
      <c r="J239" s="4"/>
      <c r="K239" s="4">
        <v>212</v>
      </c>
      <c r="L239" s="4">
        <v>27</v>
      </c>
      <c r="M239" s="4">
        <v>0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3" x14ac:dyDescent="0.2">
      <c r="A240" s="4">
        <v>50</v>
      </c>
      <c r="B240" s="4">
        <v>1</v>
      </c>
      <c r="C240" s="4">
        <v>0</v>
      </c>
      <c r="D240" s="4">
        <v>2</v>
      </c>
      <c r="E240" s="4">
        <v>0</v>
      </c>
      <c r="F240" s="4">
        <f>ROUND(F239*0.2,O240)</f>
        <v>24493.64</v>
      </c>
      <c r="G240" s="4" t="s">
        <v>311</v>
      </c>
      <c r="H240" s="4" t="s">
        <v>312</v>
      </c>
      <c r="I240" s="4"/>
      <c r="J240" s="4"/>
      <c r="K240" s="4">
        <v>212</v>
      </c>
      <c r="L240" s="4">
        <v>28</v>
      </c>
      <c r="M240" s="4">
        <v>0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7" x14ac:dyDescent="0.2">
      <c r="A241" s="4">
        <v>50</v>
      </c>
      <c r="B241" s="4">
        <v>1</v>
      </c>
      <c r="C241" s="4">
        <v>0</v>
      </c>
      <c r="D241" s="4">
        <v>2</v>
      </c>
      <c r="E241" s="4">
        <v>0</v>
      </c>
      <c r="F241" s="4">
        <f>ROUND(F239+F240,O241)</f>
        <v>146961.84</v>
      </c>
      <c r="G241" s="4" t="s">
        <v>313</v>
      </c>
      <c r="H241" s="4" t="s">
        <v>314</v>
      </c>
      <c r="I241" s="4"/>
      <c r="J241" s="4"/>
      <c r="K241" s="4">
        <v>212</v>
      </c>
      <c r="L241" s="4">
        <v>29</v>
      </c>
      <c r="M241" s="4">
        <v>0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4" spans="1:27" x14ac:dyDescent="0.2">
      <c r="A244">
        <v>-1</v>
      </c>
    </row>
    <row r="246" spans="1:27" x14ac:dyDescent="0.2">
      <c r="A246" s="3">
        <v>75</v>
      </c>
      <c r="B246" s="3" t="s">
        <v>315</v>
      </c>
      <c r="C246" s="3">
        <v>2019</v>
      </c>
      <c r="D246" s="3">
        <v>0</v>
      </c>
      <c r="E246" s="3">
        <v>8</v>
      </c>
      <c r="F246" s="3"/>
      <c r="G246" s="3">
        <v>0</v>
      </c>
      <c r="H246" s="3">
        <v>2</v>
      </c>
      <c r="I246" s="3">
        <v>1</v>
      </c>
      <c r="J246" s="3">
        <v>1</v>
      </c>
      <c r="K246" s="3">
        <v>93</v>
      </c>
      <c r="L246" s="3">
        <v>64</v>
      </c>
      <c r="M246" s="3">
        <v>0</v>
      </c>
      <c r="N246" s="3">
        <v>45723533</v>
      </c>
      <c r="O246" s="3">
        <v>1</v>
      </c>
    </row>
    <row r="247" spans="1:27" x14ac:dyDescent="0.2">
      <c r="A247" s="5">
        <v>1</v>
      </c>
      <c r="B247" s="5" t="s">
        <v>316</v>
      </c>
      <c r="C247" s="5" t="s">
        <v>317</v>
      </c>
      <c r="D247" s="5">
        <v>2019</v>
      </c>
      <c r="E247" s="5">
        <v>8</v>
      </c>
      <c r="F247" s="5">
        <v>1</v>
      </c>
      <c r="G247" s="5">
        <v>1</v>
      </c>
      <c r="H247" s="5">
        <v>0</v>
      </c>
      <c r="I247" s="5">
        <v>2</v>
      </c>
      <c r="J247" s="5">
        <v>1</v>
      </c>
      <c r="K247" s="5">
        <v>1</v>
      </c>
      <c r="L247" s="5">
        <v>1</v>
      </c>
      <c r="M247" s="5">
        <v>1</v>
      </c>
      <c r="N247" s="5">
        <v>1</v>
      </c>
      <c r="O247" s="5">
        <v>1</v>
      </c>
      <c r="P247" s="5">
        <v>1</v>
      </c>
      <c r="Q247" s="5">
        <v>1</v>
      </c>
      <c r="R247" s="5" t="s">
        <v>3</v>
      </c>
      <c r="S247" s="5" t="s">
        <v>3</v>
      </c>
      <c r="T247" s="5" t="s">
        <v>3</v>
      </c>
      <c r="U247" s="5" t="s">
        <v>3</v>
      </c>
      <c r="V247" s="5" t="s">
        <v>3</v>
      </c>
      <c r="W247" s="5" t="s">
        <v>3</v>
      </c>
      <c r="X247" s="5" t="s">
        <v>3</v>
      </c>
      <c r="Y247" s="5" t="s">
        <v>3</v>
      </c>
      <c r="Z247" s="5" t="s">
        <v>3</v>
      </c>
      <c r="AA247" s="5" t="s">
        <v>318</v>
      </c>
    </row>
    <row r="251" spans="1:27" x14ac:dyDescent="0.2">
      <c r="A251">
        <v>65</v>
      </c>
      <c r="C251">
        <v>1</v>
      </c>
      <c r="D251">
        <v>0</v>
      </c>
      <c r="E25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4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319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0</v>
      </c>
      <c r="L1">
        <v>32306</v>
      </c>
      <c r="M1">
        <v>38078497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53</v>
      </c>
      <c r="C12" s="1">
        <v>0</v>
      </c>
      <c r="D12" s="1"/>
      <c r="E12" s="1">
        <v>0</v>
      </c>
      <c r="F12" s="1" t="s">
        <v>3</v>
      </c>
      <c r="G12" s="1" t="s">
        <v>4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157</v>
      </c>
      <c r="S12" s="1"/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5</v>
      </c>
      <c r="BI12" s="1" t="s">
        <v>6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7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16785416</v>
      </c>
      <c r="CI12" s="1" t="s">
        <v>3</v>
      </c>
      <c r="CJ12" s="1" t="s">
        <v>3</v>
      </c>
      <c r="CK12" s="1">
        <v>51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45723533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11</v>
      </c>
      <c r="D16" s="6" t="s">
        <v>12</v>
      </c>
      <c r="E16" s="7">
        <f>(Source!F199)/1000</f>
        <v>0</v>
      </c>
      <c r="F16" s="7">
        <f>(Source!F200)/1000</f>
        <v>71.937250000000006</v>
      </c>
      <c r="G16" s="7">
        <f>(Source!F191)/1000</f>
        <v>0</v>
      </c>
      <c r="H16" s="7">
        <f>(Source!F201)/1000+(Source!F202)/1000</f>
        <v>50.530949999999997</v>
      </c>
      <c r="I16" s="7">
        <f>E16+F16+G16+H16</f>
        <v>122.4682</v>
      </c>
      <c r="J16" s="7">
        <f>(Source!F197)/1000</f>
        <v>44.915109999999999</v>
      </c>
      <c r="AI16" s="6">
        <v>0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70999.22</v>
      </c>
      <c r="AU16" s="7">
        <v>25078.04</v>
      </c>
      <c r="AW16" s="7">
        <v>0</v>
      </c>
      <c r="AX16" s="7">
        <v>0</v>
      </c>
      <c r="AY16" s="7">
        <v>1006.07</v>
      </c>
      <c r="AZ16" s="7">
        <v>410.93</v>
      </c>
      <c r="BA16" s="7">
        <v>44915.11</v>
      </c>
      <c r="BB16" s="7">
        <v>0</v>
      </c>
      <c r="BC16" s="7">
        <v>71937.25</v>
      </c>
      <c r="BD16" s="7">
        <v>50530.95</v>
      </c>
      <c r="BE16" s="7">
        <v>0</v>
      </c>
      <c r="BF16" s="7">
        <v>137.69219999999999</v>
      </c>
      <c r="BG16" s="7">
        <v>0</v>
      </c>
      <c r="BH16" s="7">
        <v>0</v>
      </c>
      <c r="BI16" s="7">
        <v>32408.65</v>
      </c>
      <c r="BJ16" s="7">
        <v>18415.18</v>
      </c>
      <c r="BK16" s="7">
        <v>122468.2</v>
      </c>
    </row>
    <row r="18" spans="1:19" x14ac:dyDescent="0.2">
      <c r="A18">
        <v>51</v>
      </c>
      <c r="E18" s="8">
        <f>SUMIF(A16:A17,3,E16:E17)</f>
        <v>0</v>
      </c>
      <c r="F18" s="8">
        <f>SUMIF(A16:A17,3,F16:F17)</f>
        <v>71.937250000000006</v>
      </c>
      <c r="G18" s="8">
        <f>SUMIF(A16:A17,3,G16:G17)</f>
        <v>0</v>
      </c>
      <c r="H18" s="8">
        <f>SUMIF(A16:A17,3,H16:H17)</f>
        <v>50.530949999999997</v>
      </c>
      <c r="I18" s="8">
        <f>SUMIF(A16:A17,3,I16:I17)</f>
        <v>122.4682</v>
      </c>
      <c r="J18" s="8">
        <f>SUMIF(A16:A17,3,J16:J17)</f>
        <v>44.915109999999999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70999.22</v>
      </c>
      <c r="G20" s="4" t="s">
        <v>68</v>
      </c>
      <c r="H20" s="4" t="s">
        <v>69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25078.04</v>
      </c>
      <c r="G21" s="4" t="s">
        <v>70</v>
      </c>
      <c r="H21" s="4" t="s">
        <v>71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44066418</v>
      </c>
      <c r="F22" s="4">
        <v>0</v>
      </c>
      <c r="G22" s="4" t="s">
        <v>72</v>
      </c>
      <c r="H22" s="4" t="s">
        <v>73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25078.04</v>
      </c>
      <c r="G23" s="4" t="s">
        <v>74</v>
      </c>
      <c r="H23" s="4" t="s">
        <v>75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25078.04</v>
      </c>
      <c r="G24" s="4" t="s">
        <v>76</v>
      </c>
      <c r="H24" s="4" t="s">
        <v>77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78</v>
      </c>
      <c r="H25" s="4" t="s">
        <v>79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25078.04</v>
      </c>
      <c r="G26" s="4" t="s">
        <v>80</v>
      </c>
      <c r="H26" s="4" t="s">
        <v>81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82</v>
      </c>
      <c r="H27" s="4" t="s">
        <v>83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84</v>
      </c>
      <c r="H28" s="4" t="s">
        <v>85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86</v>
      </c>
      <c r="H29" s="4" t="s">
        <v>87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1006.07</v>
      </c>
      <c r="G30" s="4" t="s">
        <v>88</v>
      </c>
      <c r="H30" s="4" t="s">
        <v>89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90</v>
      </c>
      <c r="H31" s="4" t="s">
        <v>91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410.93</v>
      </c>
      <c r="G32" s="4" t="s">
        <v>92</v>
      </c>
      <c r="H32" s="4" t="s">
        <v>93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44915.11</v>
      </c>
      <c r="G33" s="4" t="s">
        <v>94</v>
      </c>
      <c r="H33" s="4" t="s">
        <v>95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96</v>
      </c>
      <c r="H34" s="4" t="s">
        <v>97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0</v>
      </c>
      <c r="G35" s="4" t="s">
        <v>98</v>
      </c>
      <c r="H35" s="4" t="s">
        <v>99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71937.25</v>
      </c>
      <c r="G36" s="4" t="s">
        <v>100</v>
      </c>
      <c r="H36" s="4" t="s">
        <v>101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50530.95</v>
      </c>
      <c r="G37" s="4" t="s">
        <v>102</v>
      </c>
      <c r="H37" s="4" t="s">
        <v>103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104</v>
      </c>
      <c r="H38" s="4" t="s">
        <v>105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106</v>
      </c>
      <c r="H39" s="4" t="s">
        <v>107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137.69219999999999</v>
      </c>
      <c r="G40" s="4" t="s">
        <v>108</v>
      </c>
      <c r="H40" s="4" t="s">
        <v>109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110</v>
      </c>
      <c r="H41" s="4" t="s">
        <v>111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112</v>
      </c>
      <c r="H42" s="4" t="s">
        <v>113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210</v>
      </c>
      <c r="F43" s="4">
        <v>32408.65</v>
      </c>
      <c r="G43" s="4" t="s">
        <v>114</v>
      </c>
      <c r="H43" s="4" t="s">
        <v>115</v>
      </c>
      <c r="I43" s="4"/>
      <c r="J43" s="4"/>
      <c r="K43" s="4">
        <v>210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0</v>
      </c>
      <c r="C44" s="4">
        <v>0</v>
      </c>
      <c r="D44" s="4">
        <v>1</v>
      </c>
      <c r="E44" s="4">
        <v>211</v>
      </c>
      <c r="F44" s="4">
        <v>18415.18</v>
      </c>
      <c r="G44" s="4" t="s">
        <v>116</v>
      </c>
      <c r="H44" s="4" t="s">
        <v>117</v>
      </c>
      <c r="I44" s="4"/>
      <c r="J44" s="4"/>
      <c r="K44" s="4">
        <v>211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224</v>
      </c>
      <c r="F45" s="4">
        <v>122468.2</v>
      </c>
      <c r="G45" s="4" t="s">
        <v>118</v>
      </c>
      <c r="H45" s="4" t="s">
        <v>119</v>
      </c>
      <c r="I45" s="4"/>
      <c r="J45" s="4"/>
      <c r="K45" s="4">
        <v>224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1</v>
      </c>
      <c r="C46" s="4">
        <v>0</v>
      </c>
      <c r="D46" s="4">
        <v>2</v>
      </c>
      <c r="E46" s="4">
        <v>0</v>
      </c>
      <c r="F46" s="4">
        <v>122468.2</v>
      </c>
      <c r="G46" s="4" t="s">
        <v>309</v>
      </c>
      <c r="H46" s="4" t="s">
        <v>310</v>
      </c>
      <c r="I46" s="4"/>
      <c r="J46" s="4"/>
      <c r="K46" s="4">
        <v>212</v>
      </c>
      <c r="L46" s="4">
        <v>27</v>
      </c>
      <c r="M46" s="4">
        <v>0</v>
      </c>
      <c r="N46" s="4" t="s">
        <v>3</v>
      </c>
      <c r="O46" s="4">
        <v>2</v>
      </c>
      <c r="P46" s="4"/>
    </row>
    <row r="47" spans="1:16" x14ac:dyDescent="0.2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24493.64</v>
      </c>
      <c r="G47" s="4" t="s">
        <v>311</v>
      </c>
      <c r="H47" s="4" t="s">
        <v>312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 x14ac:dyDescent="0.2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146961.84</v>
      </c>
      <c r="G48" s="4" t="s">
        <v>313</v>
      </c>
      <c r="H48" s="4" t="s">
        <v>314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27" x14ac:dyDescent="0.2">
      <c r="A50">
        <v>-1</v>
      </c>
    </row>
    <row r="53" spans="1:27" x14ac:dyDescent="0.2">
      <c r="A53" s="3">
        <v>75</v>
      </c>
      <c r="B53" s="3" t="s">
        <v>315</v>
      </c>
      <c r="C53" s="3">
        <v>2019</v>
      </c>
      <c r="D53" s="3">
        <v>0</v>
      </c>
      <c r="E53" s="3">
        <v>8</v>
      </c>
      <c r="F53" s="3"/>
      <c r="G53" s="3">
        <v>0</v>
      </c>
      <c r="H53" s="3">
        <v>2</v>
      </c>
      <c r="I53" s="3">
        <v>1</v>
      </c>
      <c r="J53" s="3">
        <v>1</v>
      </c>
      <c r="K53" s="3">
        <v>93</v>
      </c>
      <c r="L53" s="3">
        <v>64</v>
      </c>
      <c r="M53" s="3">
        <v>0</v>
      </c>
      <c r="N53" s="3">
        <v>45723533</v>
      </c>
      <c r="O53" s="3">
        <v>1</v>
      </c>
    </row>
    <row r="54" spans="1:27" x14ac:dyDescent="0.2">
      <c r="A54" s="5">
        <v>1</v>
      </c>
      <c r="B54" s="5" t="s">
        <v>316</v>
      </c>
      <c r="C54" s="5" t="s">
        <v>317</v>
      </c>
      <c r="D54" s="5">
        <v>2019</v>
      </c>
      <c r="E54" s="5">
        <v>8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318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3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ROW(Source!A28)</f>
        <v>28</v>
      </c>
      <c r="B1">
        <v>45723533</v>
      </c>
      <c r="C1">
        <v>45723761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320</v>
      </c>
      <c r="J1" t="s">
        <v>3</v>
      </c>
      <c r="K1" t="s">
        <v>321</v>
      </c>
      <c r="L1">
        <v>1191</v>
      </c>
      <c r="N1">
        <v>1013</v>
      </c>
      <c r="O1" t="s">
        <v>322</v>
      </c>
      <c r="P1" t="s">
        <v>322</v>
      </c>
      <c r="Q1">
        <v>1</v>
      </c>
      <c r="W1">
        <v>0</v>
      </c>
      <c r="X1">
        <v>476480486</v>
      </c>
      <c r="Y1">
        <v>9.64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9.64</v>
      </c>
      <c r="AU1" t="s">
        <v>3</v>
      </c>
      <c r="AV1">
        <v>1</v>
      </c>
      <c r="AW1">
        <v>2</v>
      </c>
      <c r="AX1">
        <v>45723763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0</v>
      </c>
      <c r="CY1">
        <f t="shared" ref="CY1:CY13" si="0">AD1</f>
        <v>0</v>
      </c>
      <c r="CZ1">
        <f t="shared" ref="CZ1:CZ13" si="1">AH1</f>
        <v>0</v>
      </c>
      <c r="DA1">
        <f t="shared" ref="DA1:DA13" si="2">AL1</f>
        <v>1</v>
      </c>
      <c r="DB1">
        <f>ROUND(ROUND(AT1*CZ1,2),6)</f>
        <v>0</v>
      </c>
      <c r="DC1">
        <f>ROUND(ROUND(AT1*AG1,2),6)</f>
        <v>0</v>
      </c>
    </row>
    <row r="2" spans="1:107" x14ac:dyDescent="0.2">
      <c r="A2">
        <f>ROW(Source!A29)</f>
        <v>29</v>
      </c>
      <c r="B2">
        <v>45723533</v>
      </c>
      <c r="C2">
        <v>45723764</v>
      </c>
      <c r="D2">
        <v>30515951</v>
      </c>
      <c r="E2">
        <v>30515945</v>
      </c>
      <c r="F2">
        <v>1</v>
      </c>
      <c r="G2">
        <v>30515945</v>
      </c>
      <c r="H2">
        <v>1</v>
      </c>
      <c r="I2" t="s">
        <v>320</v>
      </c>
      <c r="J2" t="s">
        <v>3</v>
      </c>
      <c r="K2" t="s">
        <v>321</v>
      </c>
      <c r="L2">
        <v>1191</v>
      </c>
      <c r="N2">
        <v>1013</v>
      </c>
      <c r="O2" t="s">
        <v>322</v>
      </c>
      <c r="P2" t="s">
        <v>322</v>
      </c>
      <c r="Q2">
        <v>1</v>
      </c>
      <c r="W2">
        <v>0</v>
      </c>
      <c r="X2">
        <v>476480486</v>
      </c>
      <c r="Y2">
        <v>0.6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2</v>
      </c>
      <c r="AU2" t="s">
        <v>29</v>
      </c>
      <c r="AV2">
        <v>1</v>
      </c>
      <c r="AW2">
        <v>2</v>
      </c>
      <c r="AX2">
        <v>45723766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Y2*Source!I29</f>
        <v>0</v>
      </c>
      <c r="CY2">
        <f t="shared" si="0"/>
        <v>0</v>
      </c>
      <c r="CZ2">
        <f t="shared" si="1"/>
        <v>0</v>
      </c>
      <c r="DA2">
        <f t="shared" si="2"/>
        <v>1</v>
      </c>
      <c r="DB2">
        <f>ROUND((ROUND(AT2*CZ2,2)*0.3),6)</f>
        <v>0</v>
      </c>
      <c r="DC2">
        <f>ROUND((ROUND(AT2*AG2,2)*0.3),6)</f>
        <v>0</v>
      </c>
    </row>
    <row r="3" spans="1:107" x14ac:dyDescent="0.2">
      <c r="A3">
        <f>ROW(Source!A30)</f>
        <v>30</v>
      </c>
      <c r="B3">
        <v>45723533</v>
      </c>
      <c r="C3">
        <v>45723767</v>
      </c>
      <c r="D3">
        <v>30515951</v>
      </c>
      <c r="E3">
        <v>30515945</v>
      </c>
      <c r="F3">
        <v>1</v>
      </c>
      <c r="G3">
        <v>30515945</v>
      </c>
      <c r="H3">
        <v>1</v>
      </c>
      <c r="I3" t="s">
        <v>320</v>
      </c>
      <c r="J3" t="s">
        <v>3</v>
      </c>
      <c r="K3" t="s">
        <v>321</v>
      </c>
      <c r="L3">
        <v>1191</v>
      </c>
      <c r="N3">
        <v>1013</v>
      </c>
      <c r="O3" t="s">
        <v>322</v>
      </c>
      <c r="P3" t="s">
        <v>322</v>
      </c>
      <c r="Q3">
        <v>1</v>
      </c>
      <c r="W3">
        <v>0</v>
      </c>
      <c r="X3">
        <v>476480486</v>
      </c>
      <c r="Y3">
        <v>0.318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1.06</v>
      </c>
      <c r="AU3" t="s">
        <v>39</v>
      </c>
      <c r="AV3">
        <v>1</v>
      </c>
      <c r="AW3">
        <v>2</v>
      </c>
      <c r="AX3">
        <v>46528406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0</v>
      </c>
      <c r="CY3">
        <f t="shared" si="0"/>
        <v>0</v>
      </c>
      <c r="CZ3">
        <f t="shared" si="1"/>
        <v>0</v>
      </c>
      <c r="DA3">
        <f t="shared" si="2"/>
        <v>1</v>
      </c>
      <c r="DB3">
        <f>ROUND((ROUND(AT3*CZ3,2)*0.3),6)</f>
        <v>0</v>
      </c>
      <c r="DC3">
        <f>ROUND((ROUND(AT3*AG3,2)*0.3),6)</f>
        <v>0</v>
      </c>
    </row>
    <row r="4" spans="1:107" x14ac:dyDescent="0.2">
      <c r="A4">
        <f>ROW(Source!A32)</f>
        <v>32</v>
      </c>
      <c r="B4">
        <v>45723533</v>
      </c>
      <c r="C4">
        <v>45723772</v>
      </c>
      <c r="D4">
        <v>30515951</v>
      </c>
      <c r="E4">
        <v>30515945</v>
      </c>
      <c r="F4">
        <v>1</v>
      </c>
      <c r="G4">
        <v>30515945</v>
      </c>
      <c r="H4">
        <v>1</v>
      </c>
      <c r="I4" t="s">
        <v>320</v>
      </c>
      <c r="J4" t="s">
        <v>3</v>
      </c>
      <c r="K4" t="s">
        <v>321</v>
      </c>
      <c r="L4">
        <v>1191</v>
      </c>
      <c r="N4">
        <v>1013</v>
      </c>
      <c r="O4" t="s">
        <v>322</v>
      </c>
      <c r="P4" t="s">
        <v>322</v>
      </c>
      <c r="Q4">
        <v>1</v>
      </c>
      <c r="W4">
        <v>0</v>
      </c>
      <c r="X4">
        <v>476480486</v>
      </c>
      <c r="Y4">
        <v>4.0199999999999996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13.4</v>
      </c>
      <c r="AU4" t="s">
        <v>39</v>
      </c>
      <c r="AV4">
        <v>1</v>
      </c>
      <c r="AW4">
        <v>2</v>
      </c>
      <c r="AX4">
        <v>48667114</v>
      </c>
      <c r="AY4">
        <v>1</v>
      </c>
      <c r="AZ4">
        <v>0</v>
      </c>
      <c r="BA4">
        <v>5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Y4*Source!I32</f>
        <v>12.059999999999999</v>
      </c>
      <c r="CY4">
        <f t="shared" si="0"/>
        <v>0</v>
      </c>
      <c r="CZ4">
        <f t="shared" si="1"/>
        <v>0</v>
      </c>
      <c r="DA4">
        <f t="shared" si="2"/>
        <v>1</v>
      </c>
      <c r="DB4">
        <f>ROUND((ROUND(AT4*CZ4,2)*0.3),6)</f>
        <v>0</v>
      </c>
      <c r="DC4">
        <f>ROUND((ROUND(AT4*AG4,2)*0.3),6)</f>
        <v>0</v>
      </c>
    </row>
    <row r="5" spans="1:107" x14ac:dyDescent="0.2">
      <c r="A5">
        <f>ROW(Source!A34)</f>
        <v>34</v>
      </c>
      <c r="B5">
        <v>45723533</v>
      </c>
      <c r="C5">
        <v>45723777</v>
      </c>
      <c r="D5">
        <v>30515951</v>
      </c>
      <c r="E5">
        <v>30515945</v>
      </c>
      <c r="F5">
        <v>1</v>
      </c>
      <c r="G5">
        <v>30515945</v>
      </c>
      <c r="H5">
        <v>1</v>
      </c>
      <c r="I5" t="s">
        <v>320</v>
      </c>
      <c r="J5" t="s">
        <v>3</v>
      </c>
      <c r="K5" t="s">
        <v>321</v>
      </c>
      <c r="L5">
        <v>1191</v>
      </c>
      <c r="N5">
        <v>1013</v>
      </c>
      <c r="O5" t="s">
        <v>322</v>
      </c>
      <c r="P5" t="s">
        <v>322</v>
      </c>
      <c r="Q5">
        <v>1</v>
      </c>
      <c r="W5">
        <v>0</v>
      </c>
      <c r="X5">
        <v>476480486</v>
      </c>
      <c r="Y5">
        <v>3.3239999999999998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11.08</v>
      </c>
      <c r="AU5" t="s">
        <v>39</v>
      </c>
      <c r="AV5">
        <v>1</v>
      </c>
      <c r="AW5">
        <v>2</v>
      </c>
      <c r="AX5">
        <v>47030577</v>
      </c>
      <c r="AY5">
        <v>1</v>
      </c>
      <c r="AZ5">
        <v>0</v>
      </c>
      <c r="BA5">
        <v>7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Y5*Source!I34</f>
        <v>0</v>
      </c>
      <c r="CY5">
        <f t="shared" si="0"/>
        <v>0</v>
      </c>
      <c r="CZ5">
        <f t="shared" si="1"/>
        <v>0</v>
      </c>
      <c r="DA5">
        <f t="shared" si="2"/>
        <v>1</v>
      </c>
      <c r="DB5">
        <f>ROUND((ROUND(AT5*CZ5,2)*0.3),6)</f>
        <v>0</v>
      </c>
      <c r="DC5">
        <f>ROUND((ROUND(AT5*AG5,2)*0.3),6)</f>
        <v>0</v>
      </c>
    </row>
    <row r="6" spans="1:107" x14ac:dyDescent="0.2">
      <c r="A6">
        <f>ROW(Source!A70)</f>
        <v>70</v>
      </c>
      <c r="B6">
        <v>45723533</v>
      </c>
      <c r="C6">
        <v>55868100</v>
      </c>
      <c r="D6">
        <v>30515951</v>
      </c>
      <c r="E6">
        <v>30515945</v>
      </c>
      <c r="F6">
        <v>1</v>
      </c>
      <c r="G6">
        <v>30515945</v>
      </c>
      <c r="H6">
        <v>1</v>
      </c>
      <c r="I6" t="s">
        <v>320</v>
      </c>
      <c r="J6" t="s">
        <v>3</v>
      </c>
      <c r="K6" t="s">
        <v>321</v>
      </c>
      <c r="L6">
        <v>1191</v>
      </c>
      <c r="N6">
        <v>1013</v>
      </c>
      <c r="O6" t="s">
        <v>322</v>
      </c>
      <c r="P6" t="s">
        <v>322</v>
      </c>
      <c r="Q6">
        <v>1</v>
      </c>
      <c r="W6">
        <v>0</v>
      </c>
      <c r="X6">
        <v>476480486</v>
      </c>
      <c r="Y6">
        <v>1.34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1.34</v>
      </c>
      <c r="AU6" t="s">
        <v>3</v>
      </c>
      <c r="AV6">
        <v>1</v>
      </c>
      <c r="AW6">
        <v>2</v>
      </c>
      <c r="AX6">
        <v>55868103</v>
      </c>
      <c r="AY6">
        <v>1</v>
      </c>
      <c r="AZ6">
        <v>0</v>
      </c>
      <c r="BA6">
        <v>9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Y6*Source!I70</f>
        <v>1.34</v>
      </c>
      <c r="CY6">
        <f t="shared" si="0"/>
        <v>0</v>
      </c>
      <c r="CZ6">
        <f t="shared" si="1"/>
        <v>0</v>
      </c>
      <c r="DA6">
        <f t="shared" si="2"/>
        <v>1</v>
      </c>
      <c r="DB6">
        <f t="shared" ref="DB6:DB13" si="3">ROUND(ROUND(AT6*CZ6,2),6)</f>
        <v>0</v>
      </c>
      <c r="DC6">
        <f t="shared" ref="DC6:DC13" si="4">ROUND(ROUND(AT6*AG6,2),6)</f>
        <v>0</v>
      </c>
    </row>
    <row r="7" spans="1:107" x14ac:dyDescent="0.2">
      <c r="A7">
        <f>ROW(Source!A71)</f>
        <v>71</v>
      </c>
      <c r="B7">
        <v>45723533</v>
      </c>
      <c r="C7">
        <v>45723781</v>
      </c>
      <c r="D7">
        <v>30515951</v>
      </c>
      <c r="E7">
        <v>30515945</v>
      </c>
      <c r="F7">
        <v>1</v>
      </c>
      <c r="G7">
        <v>30515945</v>
      </c>
      <c r="H7">
        <v>1</v>
      </c>
      <c r="I7" t="s">
        <v>320</v>
      </c>
      <c r="J7" t="s">
        <v>3</v>
      </c>
      <c r="K7" t="s">
        <v>321</v>
      </c>
      <c r="L7">
        <v>1191</v>
      </c>
      <c r="N7">
        <v>1013</v>
      </c>
      <c r="O7" t="s">
        <v>322</v>
      </c>
      <c r="P7" t="s">
        <v>322</v>
      </c>
      <c r="Q7">
        <v>1</v>
      </c>
      <c r="W7">
        <v>0</v>
      </c>
      <c r="X7">
        <v>476480486</v>
      </c>
      <c r="Y7">
        <v>2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2</v>
      </c>
      <c r="AU7" t="s">
        <v>3</v>
      </c>
      <c r="AV7">
        <v>1</v>
      </c>
      <c r="AW7">
        <v>2</v>
      </c>
      <c r="AX7">
        <v>55648066</v>
      </c>
      <c r="AY7">
        <v>1</v>
      </c>
      <c r="AZ7">
        <v>0</v>
      </c>
      <c r="BA7">
        <v>10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Y7*Source!I71</f>
        <v>4</v>
      </c>
      <c r="CY7">
        <f t="shared" si="0"/>
        <v>0</v>
      </c>
      <c r="CZ7">
        <f t="shared" si="1"/>
        <v>0</v>
      </c>
      <c r="DA7">
        <f t="shared" si="2"/>
        <v>1</v>
      </c>
      <c r="DB7">
        <f t="shared" si="3"/>
        <v>0</v>
      </c>
      <c r="DC7">
        <f t="shared" si="4"/>
        <v>0</v>
      </c>
    </row>
    <row r="8" spans="1:107" x14ac:dyDescent="0.2">
      <c r="A8">
        <f>ROW(Source!A72)</f>
        <v>72</v>
      </c>
      <c r="B8">
        <v>45723533</v>
      </c>
      <c r="C8">
        <v>49254277</v>
      </c>
      <c r="D8">
        <v>30515951</v>
      </c>
      <c r="E8">
        <v>30515945</v>
      </c>
      <c r="F8">
        <v>1</v>
      </c>
      <c r="G8">
        <v>30515945</v>
      </c>
      <c r="H8">
        <v>1</v>
      </c>
      <c r="I8" t="s">
        <v>320</v>
      </c>
      <c r="J8" t="s">
        <v>3</v>
      </c>
      <c r="K8" t="s">
        <v>321</v>
      </c>
      <c r="L8">
        <v>1191</v>
      </c>
      <c r="N8">
        <v>1013</v>
      </c>
      <c r="O8" t="s">
        <v>322</v>
      </c>
      <c r="P8" t="s">
        <v>322</v>
      </c>
      <c r="Q8">
        <v>1</v>
      </c>
      <c r="W8">
        <v>0</v>
      </c>
      <c r="X8">
        <v>476480486</v>
      </c>
      <c r="Y8">
        <v>0.8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0.8</v>
      </c>
      <c r="AU8" t="s">
        <v>3</v>
      </c>
      <c r="AV8">
        <v>1</v>
      </c>
      <c r="AW8">
        <v>2</v>
      </c>
      <c r="AX8">
        <v>55990325</v>
      </c>
      <c r="AY8">
        <v>1</v>
      </c>
      <c r="AZ8">
        <v>0</v>
      </c>
      <c r="BA8">
        <v>11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Y8*Source!I72</f>
        <v>0.8</v>
      </c>
      <c r="CY8">
        <f t="shared" si="0"/>
        <v>0</v>
      </c>
      <c r="CZ8">
        <f t="shared" si="1"/>
        <v>0</v>
      </c>
      <c r="DA8">
        <f t="shared" si="2"/>
        <v>1</v>
      </c>
      <c r="DB8">
        <f t="shared" si="3"/>
        <v>0</v>
      </c>
      <c r="DC8">
        <f t="shared" si="4"/>
        <v>0</v>
      </c>
    </row>
    <row r="9" spans="1:107" x14ac:dyDescent="0.2">
      <c r="A9">
        <f>ROW(Source!A73)</f>
        <v>73</v>
      </c>
      <c r="B9">
        <v>45723533</v>
      </c>
      <c r="C9">
        <v>49255599</v>
      </c>
      <c r="D9">
        <v>30515951</v>
      </c>
      <c r="E9">
        <v>30515945</v>
      </c>
      <c r="F9">
        <v>1</v>
      </c>
      <c r="G9">
        <v>30515945</v>
      </c>
      <c r="H9">
        <v>1</v>
      </c>
      <c r="I9" t="s">
        <v>320</v>
      </c>
      <c r="J9" t="s">
        <v>3</v>
      </c>
      <c r="K9" t="s">
        <v>321</v>
      </c>
      <c r="L9">
        <v>1191</v>
      </c>
      <c r="N9">
        <v>1013</v>
      </c>
      <c r="O9" t="s">
        <v>322</v>
      </c>
      <c r="P9" t="s">
        <v>322</v>
      </c>
      <c r="Q9">
        <v>1</v>
      </c>
      <c r="W9">
        <v>0</v>
      </c>
      <c r="X9">
        <v>476480486</v>
      </c>
      <c r="Y9">
        <v>2.06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2.06</v>
      </c>
      <c r="AU9" t="s">
        <v>3</v>
      </c>
      <c r="AV9">
        <v>1</v>
      </c>
      <c r="AW9">
        <v>2</v>
      </c>
      <c r="AX9">
        <v>49256257</v>
      </c>
      <c r="AY9">
        <v>1</v>
      </c>
      <c r="AZ9">
        <v>0</v>
      </c>
      <c r="BA9">
        <v>12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Y9*Source!I73</f>
        <v>0</v>
      </c>
      <c r="CY9">
        <f t="shared" si="0"/>
        <v>0</v>
      </c>
      <c r="CZ9">
        <f t="shared" si="1"/>
        <v>0</v>
      </c>
      <c r="DA9">
        <f t="shared" si="2"/>
        <v>1</v>
      </c>
      <c r="DB9">
        <f t="shared" si="3"/>
        <v>0</v>
      </c>
      <c r="DC9">
        <f t="shared" si="4"/>
        <v>0</v>
      </c>
    </row>
    <row r="10" spans="1:107" x14ac:dyDescent="0.2">
      <c r="A10">
        <f>ROW(Source!A74)</f>
        <v>74</v>
      </c>
      <c r="B10">
        <v>45723533</v>
      </c>
      <c r="C10">
        <v>51402963</v>
      </c>
      <c r="D10">
        <v>30515951</v>
      </c>
      <c r="E10">
        <v>30515945</v>
      </c>
      <c r="F10">
        <v>1</v>
      </c>
      <c r="G10">
        <v>30515945</v>
      </c>
      <c r="H10">
        <v>1</v>
      </c>
      <c r="I10" t="s">
        <v>320</v>
      </c>
      <c r="J10" t="s">
        <v>3</v>
      </c>
      <c r="K10" t="s">
        <v>321</v>
      </c>
      <c r="L10">
        <v>1191</v>
      </c>
      <c r="N10">
        <v>1013</v>
      </c>
      <c r="O10" t="s">
        <v>322</v>
      </c>
      <c r="P10" t="s">
        <v>322</v>
      </c>
      <c r="Q10">
        <v>1</v>
      </c>
      <c r="W10">
        <v>0</v>
      </c>
      <c r="X10">
        <v>476480486</v>
      </c>
      <c r="Y10">
        <v>3.38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3.38</v>
      </c>
      <c r="AU10" t="s">
        <v>3</v>
      </c>
      <c r="AV10">
        <v>1</v>
      </c>
      <c r="AW10">
        <v>2</v>
      </c>
      <c r="AX10">
        <v>51402964</v>
      </c>
      <c r="AY10">
        <v>1</v>
      </c>
      <c r="AZ10">
        <v>0</v>
      </c>
      <c r="BA10">
        <v>13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Y10*Source!I74</f>
        <v>0</v>
      </c>
      <c r="CY10">
        <f t="shared" si="0"/>
        <v>0</v>
      </c>
      <c r="CZ10">
        <f t="shared" si="1"/>
        <v>0</v>
      </c>
      <c r="DA10">
        <f t="shared" si="2"/>
        <v>1</v>
      </c>
      <c r="DB10">
        <f t="shared" si="3"/>
        <v>0</v>
      </c>
      <c r="DC10">
        <f t="shared" si="4"/>
        <v>0</v>
      </c>
    </row>
    <row r="11" spans="1:107" x14ac:dyDescent="0.2">
      <c r="A11">
        <f>ROW(Source!A75)</f>
        <v>75</v>
      </c>
      <c r="B11">
        <v>45723533</v>
      </c>
      <c r="C11">
        <v>45723783</v>
      </c>
      <c r="D11">
        <v>30515951</v>
      </c>
      <c r="E11">
        <v>30515945</v>
      </c>
      <c r="F11">
        <v>1</v>
      </c>
      <c r="G11">
        <v>30515945</v>
      </c>
      <c r="H11">
        <v>1</v>
      </c>
      <c r="I11" t="s">
        <v>320</v>
      </c>
      <c r="J11" t="s">
        <v>3</v>
      </c>
      <c r="K11" t="s">
        <v>321</v>
      </c>
      <c r="L11">
        <v>1191</v>
      </c>
      <c r="N11">
        <v>1013</v>
      </c>
      <c r="O11" t="s">
        <v>322</v>
      </c>
      <c r="P11" t="s">
        <v>322</v>
      </c>
      <c r="Q11">
        <v>1</v>
      </c>
      <c r="W11">
        <v>0</v>
      </c>
      <c r="X11">
        <v>476480486</v>
      </c>
      <c r="Y11">
        <v>1.06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1.06</v>
      </c>
      <c r="AU11" t="s">
        <v>3</v>
      </c>
      <c r="AV11">
        <v>1</v>
      </c>
      <c r="AW11">
        <v>2</v>
      </c>
      <c r="AX11">
        <v>46528405</v>
      </c>
      <c r="AY11">
        <v>1</v>
      </c>
      <c r="AZ11">
        <v>0</v>
      </c>
      <c r="BA11">
        <v>14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Y11*Source!I75</f>
        <v>0</v>
      </c>
      <c r="CY11">
        <f t="shared" si="0"/>
        <v>0</v>
      </c>
      <c r="CZ11">
        <f t="shared" si="1"/>
        <v>0</v>
      </c>
      <c r="DA11">
        <f t="shared" si="2"/>
        <v>1</v>
      </c>
      <c r="DB11">
        <f t="shared" si="3"/>
        <v>0</v>
      </c>
      <c r="DC11">
        <f t="shared" si="4"/>
        <v>0</v>
      </c>
    </row>
    <row r="12" spans="1:107" x14ac:dyDescent="0.2">
      <c r="A12">
        <f>ROW(Source!A77)</f>
        <v>77</v>
      </c>
      <c r="B12">
        <v>45723533</v>
      </c>
      <c r="C12">
        <v>45723788</v>
      </c>
      <c r="D12">
        <v>30515951</v>
      </c>
      <c r="E12">
        <v>30515945</v>
      </c>
      <c r="F12">
        <v>1</v>
      </c>
      <c r="G12">
        <v>30515945</v>
      </c>
      <c r="H12">
        <v>1</v>
      </c>
      <c r="I12" t="s">
        <v>320</v>
      </c>
      <c r="J12" t="s">
        <v>3</v>
      </c>
      <c r="K12" t="s">
        <v>321</v>
      </c>
      <c r="L12">
        <v>1191</v>
      </c>
      <c r="N12">
        <v>1013</v>
      </c>
      <c r="O12" t="s">
        <v>322</v>
      </c>
      <c r="P12" t="s">
        <v>322</v>
      </c>
      <c r="Q12">
        <v>1</v>
      </c>
      <c r="W12">
        <v>0</v>
      </c>
      <c r="X12">
        <v>476480486</v>
      </c>
      <c r="Y12">
        <v>13.4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13.4</v>
      </c>
      <c r="AU12" t="s">
        <v>3</v>
      </c>
      <c r="AV12">
        <v>1</v>
      </c>
      <c r="AW12">
        <v>2</v>
      </c>
      <c r="AX12">
        <v>48667115</v>
      </c>
      <c r="AY12">
        <v>1</v>
      </c>
      <c r="AZ12">
        <v>0</v>
      </c>
      <c r="BA12">
        <v>16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Y12*Source!I77</f>
        <v>40.200000000000003</v>
      </c>
      <c r="CY12">
        <f t="shared" si="0"/>
        <v>0</v>
      </c>
      <c r="CZ12">
        <f t="shared" si="1"/>
        <v>0</v>
      </c>
      <c r="DA12">
        <f t="shared" si="2"/>
        <v>1</v>
      </c>
      <c r="DB12">
        <f t="shared" si="3"/>
        <v>0</v>
      </c>
      <c r="DC12">
        <f t="shared" si="4"/>
        <v>0</v>
      </c>
    </row>
    <row r="13" spans="1:107" x14ac:dyDescent="0.2">
      <c r="A13">
        <f>ROW(Source!A78)</f>
        <v>78</v>
      </c>
      <c r="B13">
        <v>45723533</v>
      </c>
      <c r="C13">
        <v>45723791</v>
      </c>
      <c r="D13">
        <v>30515951</v>
      </c>
      <c r="E13">
        <v>30515945</v>
      </c>
      <c r="F13">
        <v>1</v>
      </c>
      <c r="G13">
        <v>30515945</v>
      </c>
      <c r="H13">
        <v>1</v>
      </c>
      <c r="I13" t="s">
        <v>320</v>
      </c>
      <c r="J13" t="s">
        <v>3</v>
      </c>
      <c r="K13" t="s">
        <v>321</v>
      </c>
      <c r="L13">
        <v>1191</v>
      </c>
      <c r="N13">
        <v>1013</v>
      </c>
      <c r="O13" t="s">
        <v>322</v>
      </c>
      <c r="P13" t="s">
        <v>322</v>
      </c>
      <c r="Q13">
        <v>1</v>
      </c>
      <c r="W13">
        <v>0</v>
      </c>
      <c r="X13">
        <v>476480486</v>
      </c>
      <c r="Y13">
        <v>5.12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5.12</v>
      </c>
      <c r="AU13" t="s">
        <v>3</v>
      </c>
      <c r="AV13">
        <v>1</v>
      </c>
      <c r="AW13">
        <v>2</v>
      </c>
      <c r="AX13">
        <v>55868099</v>
      </c>
      <c r="AY13">
        <v>1</v>
      </c>
      <c r="AZ13">
        <v>0</v>
      </c>
      <c r="BA13">
        <v>17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Y13*Source!I78</f>
        <v>0</v>
      </c>
      <c r="CY13">
        <f t="shared" si="0"/>
        <v>0</v>
      </c>
      <c r="CZ13">
        <f t="shared" si="1"/>
        <v>0</v>
      </c>
      <c r="DA13">
        <f t="shared" si="2"/>
        <v>1</v>
      </c>
      <c r="DB13">
        <f t="shared" si="3"/>
        <v>0</v>
      </c>
      <c r="DC13">
        <f t="shared" si="4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45723763</v>
      </c>
      <c r="C1">
        <v>45723761</v>
      </c>
      <c r="D1">
        <v>30515951</v>
      </c>
      <c r="E1">
        <v>30515945</v>
      </c>
      <c r="F1">
        <v>1</v>
      </c>
      <c r="G1">
        <v>30515945</v>
      </c>
      <c r="H1">
        <v>1</v>
      </c>
      <c r="I1" t="s">
        <v>320</v>
      </c>
      <c r="J1" t="s">
        <v>3</v>
      </c>
      <c r="K1" t="s">
        <v>321</v>
      </c>
      <c r="L1">
        <v>1191</v>
      </c>
      <c r="N1">
        <v>1013</v>
      </c>
      <c r="O1" t="s">
        <v>322</v>
      </c>
      <c r="P1" t="s">
        <v>322</v>
      </c>
      <c r="Q1">
        <v>1</v>
      </c>
      <c r="X1">
        <v>9.64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3</v>
      </c>
      <c r="AG1">
        <v>9.64</v>
      </c>
      <c r="AH1">
        <v>2</v>
      </c>
      <c r="AI1">
        <v>45723762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ROW(Source!A29)</f>
        <v>29</v>
      </c>
      <c r="B2">
        <v>45723766</v>
      </c>
      <c r="C2">
        <v>45723764</v>
      </c>
      <c r="D2">
        <v>30515951</v>
      </c>
      <c r="E2">
        <v>30515945</v>
      </c>
      <c r="F2">
        <v>1</v>
      </c>
      <c r="G2">
        <v>30515945</v>
      </c>
      <c r="H2">
        <v>1</v>
      </c>
      <c r="I2" t="s">
        <v>320</v>
      </c>
      <c r="J2" t="s">
        <v>3</v>
      </c>
      <c r="K2" t="s">
        <v>321</v>
      </c>
      <c r="L2">
        <v>1191</v>
      </c>
      <c r="N2">
        <v>1013</v>
      </c>
      <c r="O2" t="s">
        <v>322</v>
      </c>
      <c r="P2" t="s">
        <v>322</v>
      </c>
      <c r="Q2">
        <v>1</v>
      </c>
      <c r="X2">
        <v>2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1</v>
      </c>
      <c r="AF2" t="s">
        <v>29</v>
      </c>
      <c r="AG2">
        <v>0.6</v>
      </c>
      <c r="AH2">
        <v>2</v>
      </c>
      <c r="AI2">
        <v>45723765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ROW(Source!A30)</f>
        <v>30</v>
      </c>
      <c r="B3">
        <v>46528406</v>
      </c>
      <c r="C3">
        <v>45723767</v>
      </c>
      <c r="D3">
        <v>30515951</v>
      </c>
      <c r="E3">
        <v>30515945</v>
      </c>
      <c r="F3">
        <v>1</v>
      </c>
      <c r="G3">
        <v>30515945</v>
      </c>
      <c r="H3">
        <v>1</v>
      </c>
      <c r="I3" t="s">
        <v>320</v>
      </c>
      <c r="J3" t="s">
        <v>3</v>
      </c>
      <c r="K3" t="s">
        <v>321</v>
      </c>
      <c r="L3">
        <v>1191</v>
      </c>
      <c r="N3">
        <v>1013</v>
      </c>
      <c r="O3" t="s">
        <v>322</v>
      </c>
      <c r="P3" t="s">
        <v>322</v>
      </c>
      <c r="Q3">
        <v>1</v>
      </c>
      <c r="X3">
        <v>1.06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39</v>
      </c>
      <c r="AG3">
        <v>0.318</v>
      </c>
      <c r="AH3">
        <v>2</v>
      </c>
      <c r="AI3">
        <v>46528406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ROW(Source!A31)</f>
        <v>31</v>
      </c>
      <c r="B4">
        <v>45723771</v>
      </c>
      <c r="C4">
        <v>45723770</v>
      </c>
      <c r="D4">
        <v>30515951</v>
      </c>
      <c r="E4">
        <v>30515945</v>
      </c>
      <c r="F4">
        <v>1</v>
      </c>
      <c r="G4">
        <v>30515945</v>
      </c>
      <c r="H4">
        <v>1</v>
      </c>
      <c r="I4" t="s">
        <v>320</v>
      </c>
      <c r="J4" t="s">
        <v>3</v>
      </c>
      <c r="K4" t="s">
        <v>321</v>
      </c>
      <c r="L4">
        <v>1191</v>
      </c>
      <c r="N4">
        <v>1013</v>
      </c>
      <c r="O4" t="s">
        <v>322</v>
      </c>
      <c r="P4" t="s">
        <v>322</v>
      </c>
      <c r="Q4">
        <v>1</v>
      </c>
      <c r="X4">
        <v>41.2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1</v>
      </c>
      <c r="AF4" t="s">
        <v>29</v>
      </c>
      <c r="AG4">
        <v>12.360000000000001</v>
      </c>
      <c r="AH4">
        <v>3</v>
      </c>
      <c r="AI4">
        <v>-1</v>
      </c>
      <c r="AJ4" t="s">
        <v>3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ROW(Source!A32)</f>
        <v>32</v>
      </c>
      <c r="B5">
        <v>48667114</v>
      </c>
      <c r="C5">
        <v>45723772</v>
      </c>
      <c r="D5">
        <v>30515951</v>
      </c>
      <c r="E5">
        <v>30515945</v>
      </c>
      <c r="F5">
        <v>1</v>
      </c>
      <c r="G5">
        <v>30515945</v>
      </c>
      <c r="H5">
        <v>1</v>
      </c>
      <c r="I5" t="s">
        <v>320</v>
      </c>
      <c r="J5" t="s">
        <v>3</v>
      </c>
      <c r="K5" t="s">
        <v>321</v>
      </c>
      <c r="L5">
        <v>1191</v>
      </c>
      <c r="N5">
        <v>1013</v>
      </c>
      <c r="O5" t="s">
        <v>322</v>
      </c>
      <c r="P5" t="s">
        <v>322</v>
      </c>
      <c r="Q5">
        <v>1</v>
      </c>
      <c r="X5">
        <v>13.4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1</v>
      </c>
      <c r="AF5" t="s">
        <v>39</v>
      </c>
      <c r="AG5">
        <v>4.0199999999999996</v>
      </c>
      <c r="AH5">
        <v>2</v>
      </c>
      <c r="AI5">
        <v>48667114</v>
      </c>
      <c r="AJ5">
        <v>4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ROW(Source!A33)</f>
        <v>33</v>
      </c>
      <c r="B6">
        <v>45723776</v>
      </c>
      <c r="C6">
        <v>45723775</v>
      </c>
      <c r="D6">
        <v>30515951</v>
      </c>
      <c r="E6">
        <v>30515945</v>
      </c>
      <c r="F6">
        <v>1</v>
      </c>
      <c r="G6">
        <v>30515945</v>
      </c>
      <c r="H6">
        <v>1</v>
      </c>
      <c r="I6" t="s">
        <v>320</v>
      </c>
      <c r="J6" t="s">
        <v>3</v>
      </c>
      <c r="K6" t="s">
        <v>321</v>
      </c>
      <c r="L6">
        <v>1191</v>
      </c>
      <c r="N6">
        <v>1013</v>
      </c>
      <c r="O6" t="s">
        <v>322</v>
      </c>
      <c r="P6" t="s">
        <v>322</v>
      </c>
      <c r="Q6">
        <v>1</v>
      </c>
      <c r="X6">
        <v>34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1</v>
      </c>
      <c r="AF6" t="s">
        <v>29</v>
      </c>
      <c r="AG6">
        <v>10.199999999999999</v>
      </c>
      <c r="AH6">
        <v>3</v>
      </c>
      <c r="AI6">
        <v>-1</v>
      </c>
      <c r="AJ6" t="s">
        <v>3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ROW(Source!A34)</f>
        <v>34</v>
      </c>
      <c r="B7">
        <v>47030577</v>
      </c>
      <c r="C7">
        <v>45723777</v>
      </c>
      <c r="D7">
        <v>30515951</v>
      </c>
      <c r="E7">
        <v>30515945</v>
      </c>
      <c r="F7">
        <v>1</v>
      </c>
      <c r="G7">
        <v>30515945</v>
      </c>
      <c r="H7">
        <v>1</v>
      </c>
      <c r="I7" t="s">
        <v>320</v>
      </c>
      <c r="J7" t="s">
        <v>3</v>
      </c>
      <c r="K7" t="s">
        <v>321</v>
      </c>
      <c r="L7">
        <v>1191</v>
      </c>
      <c r="N7">
        <v>1013</v>
      </c>
      <c r="O7" t="s">
        <v>322</v>
      </c>
      <c r="P7" t="s">
        <v>322</v>
      </c>
      <c r="Q7">
        <v>1</v>
      </c>
      <c r="X7">
        <v>11.08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1</v>
      </c>
      <c r="AF7" t="s">
        <v>39</v>
      </c>
      <c r="AG7">
        <v>3.3239999999999998</v>
      </c>
      <c r="AH7">
        <v>2</v>
      </c>
      <c r="AI7">
        <v>47030577</v>
      </c>
      <c r="AJ7">
        <v>5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ROW(Source!A35)</f>
        <v>35</v>
      </c>
      <c r="B8">
        <v>45723780</v>
      </c>
      <c r="C8">
        <v>45723779</v>
      </c>
      <c r="D8">
        <v>30515951</v>
      </c>
      <c r="E8">
        <v>30515945</v>
      </c>
      <c r="F8">
        <v>1</v>
      </c>
      <c r="G8">
        <v>30515945</v>
      </c>
      <c r="H8">
        <v>1</v>
      </c>
      <c r="I8" t="s">
        <v>320</v>
      </c>
      <c r="J8" t="s">
        <v>3</v>
      </c>
      <c r="K8" t="s">
        <v>321</v>
      </c>
      <c r="L8">
        <v>1191</v>
      </c>
      <c r="N8">
        <v>1013</v>
      </c>
      <c r="O8" t="s">
        <v>322</v>
      </c>
      <c r="P8" t="s">
        <v>322</v>
      </c>
      <c r="Q8">
        <v>1</v>
      </c>
      <c r="X8">
        <v>15.2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1</v>
      </c>
      <c r="AF8" t="s">
        <v>29</v>
      </c>
      <c r="AG8">
        <v>4.5599999999999996</v>
      </c>
      <c r="AH8">
        <v>3</v>
      </c>
      <c r="AI8">
        <v>-1</v>
      </c>
      <c r="AJ8" t="s">
        <v>3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ROW(Source!A70)</f>
        <v>70</v>
      </c>
      <c r="B9">
        <v>55868103</v>
      </c>
      <c r="C9">
        <v>55868100</v>
      </c>
      <c r="D9">
        <v>30515951</v>
      </c>
      <c r="E9">
        <v>30515945</v>
      </c>
      <c r="F9">
        <v>1</v>
      </c>
      <c r="G9">
        <v>30515945</v>
      </c>
      <c r="H9">
        <v>1</v>
      </c>
      <c r="I9" t="s">
        <v>320</v>
      </c>
      <c r="J9" t="s">
        <v>3</v>
      </c>
      <c r="K9" t="s">
        <v>321</v>
      </c>
      <c r="L9">
        <v>1191</v>
      </c>
      <c r="N9">
        <v>1013</v>
      </c>
      <c r="O9" t="s">
        <v>322</v>
      </c>
      <c r="P9" t="s">
        <v>322</v>
      </c>
      <c r="Q9">
        <v>1</v>
      </c>
      <c r="X9">
        <v>1.34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1</v>
      </c>
      <c r="AF9" t="s">
        <v>3</v>
      </c>
      <c r="AG9">
        <v>1.34</v>
      </c>
      <c r="AH9">
        <v>2</v>
      </c>
      <c r="AI9">
        <v>55868103</v>
      </c>
      <c r="AJ9">
        <v>6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ROW(Source!A71)</f>
        <v>71</v>
      </c>
      <c r="B10">
        <v>55648066</v>
      </c>
      <c r="C10">
        <v>45723781</v>
      </c>
      <c r="D10">
        <v>30515951</v>
      </c>
      <c r="E10">
        <v>30515945</v>
      </c>
      <c r="F10">
        <v>1</v>
      </c>
      <c r="G10">
        <v>30515945</v>
      </c>
      <c r="H10">
        <v>1</v>
      </c>
      <c r="I10" t="s">
        <v>320</v>
      </c>
      <c r="J10" t="s">
        <v>3</v>
      </c>
      <c r="K10" t="s">
        <v>321</v>
      </c>
      <c r="L10">
        <v>1191</v>
      </c>
      <c r="N10">
        <v>1013</v>
      </c>
      <c r="O10" t="s">
        <v>322</v>
      </c>
      <c r="P10" t="s">
        <v>322</v>
      </c>
      <c r="Q10">
        <v>1</v>
      </c>
      <c r="X10">
        <v>2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1</v>
      </c>
      <c r="AF10" t="s">
        <v>3</v>
      </c>
      <c r="AG10">
        <v>2</v>
      </c>
      <c r="AH10">
        <v>2</v>
      </c>
      <c r="AI10">
        <v>55648066</v>
      </c>
      <c r="AJ10">
        <v>7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ROW(Source!A72)</f>
        <v>72</v>
      </c>
      <c r="B11">
        <v>55990325</v>
      </c>
      <c r="C11">
        <v>49254277</v>
      </c>
      <c r="D11">
        <v>30515951</v>
      </c>
      <c r="E11">
        <v>30515945</v>
      </c>
      <c r="F11">
        <v>1</v>
      </c>
      <c r="G11">
        <v>30515945</v>
      </c>
      <c r="H11">
        <v>1</v>
      </c>
      <c r="I11" t="s">
        <v>320</v>
      </c>
      <c r="J11" t="s">
        <v>3</v>
      </c>
      <c r="K11" t="s">
        <v>321</v>
      </c>
      <c r="L11">
        <v>1191</v>
      </c>
      <c r="N11">
        <v>1013</v>
      </c>
      <c r="O11" t="s">
        <v>322</v>
      </c>
      <c r="P11" t="s">
        <v>322</v>
      </c>
      <c r="Q11">
        <v>1</v>
      </c>
      <c r="X11">
        <v>0.8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1</v>
      </c>
      <c r="AF11" t="s">
        <v>3</v>
      </c>
      <c r="AG11">
        <v>0.8</v>
      </c>
      <c r="AH11">
        <v>2</v>
      </c>
      <c r="AI11">
        <v>55990325</v>
      </c>
      <c r="AJ11">
        <v>8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ROW(Source!A73)</f>
        <v>73</v>
      </c>
      <c r="B12">
        <v>49256257</v>
      </c>
      <c r="C12">
        <v>49255599</v>
      </c>
      <c r="D12">
        <v>30515951</v>
      </c>
      <c r="E12">
        <v>30515945</v>
      </c>
      <c r="F12">
        <v>1</v>
      </c>
      <c r="G12">
        <v>30515945</v>
      </c>
      <c r="H12">
        <v>1</v>
      </c>
      <c r="I12" t="s">
        <v>320</v>
      </c>
      <c r="J12" t="s">
        <v>3</v>
      </c>
      <c r="K12" t="s">
        <v>321</v>
      </c>
      <c r="L12">
        <v>1191</v>
      </c>
      <c r="N12">
        <v>1013</v>
      </c>
      <c r="O12" t="s">
        <v>322</v>
      </c>
      <c r="P12" t="s">
        <v>322</v>
      </c>
      <c r="Q12">
        <v>1</v>
      </c>
      <c r="X12">
        <v>2.06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1</v>
      </c>
      <c r="AF12" t="s">
        <v>3</v>
      </c>
      <c r="AG12">
        <v>2.06</v>
      </c>
      <c r="AH12">
        <v>2</v>
      </c>
      <c r="AI12">
        <v>49256257</v>
      </c>
      <c r="AJ12">
        <v>9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ROW(Source!A74)</f>
        <v>74</v>
      </c>
      <c r="B13">
        <v>51402964</v>
      </c>
      <c r="C13">
        <v>51402963</v>
      </c>
      <c r="D13">
        <v>30515951</v>
      </c>
      <c r="E13">
        <v>30515945</v>
      </c>
      <c r="F13">
        <v>1</v>
      </c>
      <c r="G13">
        <v>30515945</v>
      </c>
      <c r="H13">
        <v>1</v>
      </c>
      <c r="I13" t="s">
        <v>320</v>
      </c>
      <c r="J13" t="s">
        <v>3</v>
      </c>
      <c r="K13" t="s">
        <v>321</v>
      </c>
      <c r="L13">
        <v>1191</v>
      </c>
      <c r="N13">
        <v>1013</v>
      </c>
      <c r="O13" t="s">
        <v>322</v>
      </c>
      <c r="P13" t="s">
        <v>322</v>
      </c>
      <c r="Q13">
        <v>1</v>
      </c>
      <c r="X13">
        <v>3.38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1</v>
      </c>
      <c r="AF13" t="s">
        <v>3</v>
      </c>
      <c r="AG13">
        <v>3.38</v>
      </c>
      <c r="AH13">
        <v>2</v>
      </c>
      <c r="AI13">
        <v>51402964</v>
      </c>
      <c r="AJ13">
        <v>10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ROW(Source!A75)</f>
        <v>75</v>
      </c>
      <c r="B14">
        <v>46528405</v>
      </c>
      <c r="C14">
        <v>45723783</v>
      </c>
      <c r="D14">
        <v>30515951</v>
      </c>
      <c r="E14">
        <v>30515945</v>
      </c>
      <c r="F14">
        <v>1</v>
      </c>
      <c r="G14">
        <v>30515945</v>
      </c>
      <c r="H14">
        <v>1</v>
      </c>
      <c r="I14" t="s">
        <v>320</v>
      </c>
      <c r="J14" t="s">
        <v>3</v>
      </c>
      <c r="K14" t="s">
        <v>321</v>
      </c>
      <c r="L14">
        <v>1191</v>
      </c>
      <c r="N14">
        <v>1013</v>
      </c>
      <c r="O14" t="s">
        <v>322</v>
      </c>
      <c r="P14" t="s">
        <v>322</v>
      </c>
      <c r="Q14">
        <v>1</v>
      </c>
      <c r="X14">
        <v>1.06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 t="s">
        <v>3</v>
      </c>
      <c r="AG14">
        <v>1.06</v>
      </c>
      <c r="AH14">
        <v>2</v>
      </c>
      <c r="AI14">
        <v>46528405</v>
      </c>
      <c r="AJ14">
        <v>11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ROW(Source!A76)</f>
        <v>76</v>
      </c>
      <c r="B15">
        <v>45723787</v>
      </c>
      <c r="C15">
        <v>45723786</v>
      </c>
      <c r="D15">
        <v>30515951</v>
      </c>
      <c r="E15">
        <v>30515945</v>
      </c>
      <c r="F15">
        <v>1</v>
      </c>
      <c r="G15">
        <v>30515945</v>
      </c>
      <c r="H15">
        <v>1</v>
      </c>
      <c r="I15" t="s">
        <v>320</v>
      </c>
      <c r="J15" t="s">
        <v>3</v>
      </c>
      <c r="K15" t="s">
        <v>321</v>
      </c>
      <c r="L15">
        <v>1191</v>
      </c>
      <c r="N15">
        <v>1013</v>
      </c>
      <c r="O15" t="s">
        <v>322</v>
      </c>
      <c r="P15" t="s">
        <v>322</v>
      </c>
      <c r="Q15">
        <v>1</v>
      </c>
      <c r="X15">
        <v>41.2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1</v>
      </c>
      <c r="AF15" t="s">
        <v>3</v>
      </c>
      <c r="AG15">
        <v>41.2</v>
      </c>
      <c r="AH15">
        <v>3</v>
      </c>
      <c r="AI15">
        <v>-1</v>
      </c>
      <c r="AJ15" t="s">
        <v>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ROW(Source!A77)</f>
        <v>77</v>
      </c>
      <c r="B16">
        <v>48667115</v>
      </c>
      <c r="C16">
        <v>45723788</v>
      </c>
      <c r="D16">
        <v>30515951</v>
      </c>
      <c r="E16">
        <v>30515945</v>
      </c>
      <c r="F16">
        <v>1</v>
      </c>
      <c r="G16">
        <v>30515945</v>
      </c>
      <c r="H16">
        <v>1</v>
      </c>
      <c r="I16" t="s">
        <v>320</v>
      </c>
      <c r="J16" t="s">
        <v>3</v>
      </c>
      <c r="K16" t="s">
        <v>321</v>
      </c>
      <c r="L16">
        <v>1191</v>
      </c>
      <c r="N16">
        <v>1013</v>
      </c>
      <c r="O16" t="s">
        <v>322</v>
      </c>
      <c r="P16" t="s">
        <v>322</v>
      </c>
      <c r="Q16">
        <v>1</v>
      </c>
      <c r="X16">
        <v>13.4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1</v>
      </c>
      <c r="AF16" t="s">
        <v>3</v>
      </c>
      <c r="AG16">
        <v>13.4</v>
      </c>
      <c r="AH16">
        <v>2</v>
      </c>
      <c r="AI16">
        <v>48667115</v>
      </c>
      <c r="AJ16">
        <v>12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ROW(Source!A78)</f>
        <v>78</v>
      </c>
      <c r="B17">
        <v>55868099</v>
      </c>
      <c r="C17">
        <v>45723791</v>
      </c>
      <c r="D17">
        <v>30515951</v>
      </c>
      <c r="E17">
        <v>30515945</v>
      </c>
      <c r="F17">
        <v>1</v>
      </c>
      <c r="G17">
        <v>30515945</v>
      </c>
      <c r="H17">
        <v>1</v>
      </c>
      <c r="I17" t="s">
        <v>320</v>
      </c>
      <c r="J17" t="s">
        <v>3</v>
      </c>
      <c r="K17" t="s">
        <v>321</v>
      </c>
      <c r="L17">
        <v>1191</v>
      </c>
      <c r="N17">
        <v>1013</v>
      </c>
      <c r="O17" t="s">
        <v>322</v>
      </c>
      <c r="P17" t="s">
        <v>322</v>
      </c>
      <c r="Q17">
        <v>1</v>
      </c>
      <c r="X17">
        <v>5.12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1</v>
      </c>
      <c r="AF17" t="s">
        <v>3</v>
      </c>
      <c r="AG17">
        <v>5.12</v>
      </c>
      <c r="AH17">
        <v>2</v>
      </c>
      <c r="AI17">
        <v>55868099</v>
      </c>
      <c r="AJ17">
        <v>13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ROW(Source!A79)</f>
        <v>79</v>
      </c>
      <c r="B18">
        <v>45723795</v>
      </c>
      <c r="C18">
        <v>45723794</v>
      </c>
      <c r="D18">
        <v>30515951</v>
      </c>
      <c r="E18">
        <v>30515945</v>
      </c>
      <c r="F18">
        <v>1</v>
      </c>
      <c r="G18">
        <v>30515945</v>
      </c>
      <c r="H18">
        <v>1</v>
      </c>
      <c r="I18" t="s">
        <v>320</v>
      </c>
      <c r="J18" t="s">
        <v>3</v>
      </c>
      <c r="K18" t="s">
        <v>321</v>
      </c>
      <c r="L18">
        <v>1191</v>
      </c>
      <c r="N18">
        <v>1013</v>
      </c>
      <c r="O18" t="s">
        <v>322</v>
      </c>
      <c r="P18" t="s">
        <v>322</v>
      </c>
      <c r="Q18">
        <v>1</v>
      </c>
      <c r="X18">
        <v>11.3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1</v>
      </c>
      <c r="AF18" t="s">
        <v>3</v>
      </c>
      <c r="AG18">
        <v>11.3</v>
      </c>
      <c r="AH18">
        <v>3</v>
      </c>
      <c r="AI18">
        <v>-1</v>
      </c>
      <c r="AJ18" t="s">
        <v>3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ROW(Source!A80)</f>
        <v>80</v>
      </c>
      <c r="B19">
        <v>45723797</v>
      </c>
      <c r="C19">
        <v>45723796</v>
      </c>
      <c r="D19">
        <v>30515951</v>
      </c>
      <c r="E19">
        <v>30515945</v>
      </c>
      <c r="F19">
        <v>1</v>
      </c>
      <c r="G19">
        <v>30515945</v>
      </c>
      <c r="H19">
        <v>1</v>
      </c>
      <c r="I19" t="s">
        <v>320</v>
      </c>
      <c r="J19" t="s">
        <v>3</v>
      </c>
      <c r="K19" t="s">
        <v>321</v>
      </c>
      <c r="L19">
        <v>1191</v>
      </c>
      <c r="N19">
        <v>1013</v>
      </c>
      <c r="O19" t="s">
        <v>322</v>
      </c>
      <c r="P19" t="s">
        <v>322</v>
      </c>
      <c r="Q19">
        <v>1</v>
      </c>
      <c r="X19">
        <v>14.4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1</v>
      </c>
      <c r="AF19" t="s">
        <v>3</v>
      </c>
      <c r="AG19">
        <v>14.4</v>
      </c>
      <c r="AH19">
        <v>3</v>
      </c>
      <c r="AI19">
        <v>-1</v>
      </c>
      <c r="AJ19" t="s">
        <v>3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ROW(Source!A81)</f>
        <v>81</v>
      </c>
      <c r="B20">
        <v>45723799</v>
      </c>
      <c r="C20">
        <v>45723798</v>
      </c>
      <c r="D20">
        <v>30515951</v>
      </c>
      <c r="E20">
        <v>30515945</v>
      </c>
      <c r="F20">
        <v>1</v>
      </c>
      <c r="G20">
        <v>30515945</v>
      </c>
      <c r="H20">
        <v>1</v>
      </c>
      <c r="I20" t="s">
        <v>320</v>
      </c>
      <c r="J20" t="s">
        <v>3</v>
      </c>
      <c r="K20" t="s">
        <v>321</v>
      </c>
      <c r="L20">
        <v>1191</v>
      </c>
      <c r="N20">
        <v>1013</v>
      </c>
      <c r="O20" t="s">
        <v>322</v>
      </c>
      <c r="P20" t="s">
        <v>322</v>
      </c>
      <c r="Q20">
        <v>1</v>
      </c>
      <c r="X20">
        <v>14.4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1</v>
      </c>
      <c r="AF20" t="s">
        <v>3</v>
      </c>
      <c r="AG20">
        <v>14.4</v>
      </c>
      <c r="AH20">
        <v>3</v>
      </c>
      <c r="AI20">
        <v>-1</v>
      </c>
      <c r="AJ20" t="s">
        <v>3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ROW(Source!A82)</f>
        <v>82</v>
      </c>
      <c r="B21">
        <v>45723801</v>
      </c>
      <c r="C21">
        <v>45723800</v>
      </c>
      <c r="D21">
        <v>30515951</v>
      </c>
      <c r="E21">
        <v>30515945</v>
      </c>
      <c r="F21">
        <v>1</v>
      </c>
      <c r="G21">
        <v>30515945</v>
      </c>
      <c r="H21">
        <v>1</v>
      </c>
      <c r="I21" t="s">
        <v>320</v>
      </c>
      <c r="J21" t="s">
        <v>3</v>
      </c>
      <c r="K21" t="s">
        <v>321</v>
      </c>
      <c r="L21">
        <v>1191</v>
      </c>
      <c r="N21">
        <v>1013</v>
      </c>
      <c r="O21" t="s">
        <v>322</v>
      </c>
      <c r="P21" t="s">
        <v>322</v>
      </c>
      <c r="Q21">
        <v>1</v>
      </c>
      <c r="X21">
        <v>15.4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1</v>
      </c>
      <c r="AF21" t="s">
        <v>3</v>
      </c>
      <c r="AG21">
        <v>15.4</v>
      </c>
      <c r="AH21">
        <v>3</v>
      </c>
      <c r="AI21">
        <v>-1</v>
      </c>
      <c r="AJ21" t="s">
        <v>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ROW(Source!A83)</f>
        <v>83</v>
      </c>
      <c r="B22">
        <v>45723803</v>
      </c>
      <c r="C22">
        <v>45723802</v>
      </c>
      <c r="D22">
        <v>30515951</v>
      </c>
      <c r="E22">
        <v>30515945</v>
      </c>
      <c r="F22">
        <v>1</v>
      </c>
      <c r="G22">
        <v>30515945</v>
      </c>
      <c r="H22">
        <v>1</v>
      </c>
      <c r="I22" t="s">
        <v>320</v>
      </c>
      <c r="J22" t="s">
        <v>3</v>
      </c>
      <c r="K22" t="s">
        <v>321</v>
      </c>
      <c r="L22">
        <v>1191</v>
      </c>
      <c r="N22">
        <v>1013</v>
      </c>
      <c r="O22" t="s">
        <v>322</v>
      </c>
      <c r="P22" t="s">
        <v>322</v>
      </c>
      <c r="Q22">
        <v>1</v>
      </c>
      <c r="X22">
        <v>24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1</v>
      </c>
      <c r="AF22" t="s">
        <v>3</v>
      </c>
      <c r="AG22">
        <v>24</v>
      </c>
      <c r="AH22">
        <v>3</v>
      </c>
      <c r="AI22">
        <v>-1</v>
      </c>
      <c r="AJ22" t="s">
        <v>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ROW(Source!A84)</f>
        <v>84</v>
      </c>
      <c r="B23">
        <v>45723805</v>
      </c>
      <c r="C23">
        <v>45723804</v>
      </c>
      <c r="D23">
        <v>30515951</v>
      </c>
      <c r="E23">
        <v>30515945</v>
      </c>
      <c r="F23">
        <v>1</v>
      </c>
      <c r="G23">
        <v>30515945</v>
      </c>
      <c r="H23">
        <v>1</v>
      </c>
      <c r="I23" t="s">
        <v>320</v>
      </c>
      <c r="J23" t="s">
        <v>3</v>
      </c>
      <c r="K23" t="s">
        <v>321</v>
      </c>
      <c r="L23">
        <v>1191</v>
      </c>
      <c r="N23">
        <v>1013</v>
      </c>
      <c r="O23" t="s">
        <v>322</v>
      </c>
      <c r="P23" t="s">
        <v>322</v>
      </c>
      <c r="Q23">
        <v>1</v>
      </c>
      <c r="X23">
        <v>24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1</v>
      </c>
      <c r="AF23" t="s">
        <v>3</v>
      </c>
      <c r="AG23">
        <v>24</v>
      </c>
      <c r="AH23">
        <v>3</v>
      </c>
      <c r="AI23">
        <v>-1</v>
      </c>
      <c r="AJ23" t="s">
        <v>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ROW(Source!A85)</f>
        <v>85</v>
      </c>
      <c r="B24">
        <v>45723807</v>
      </c>
      <c r="C24">
        <v>45723806</v>
      </c>
      <c r="D24">
        <v>30515951</v>
      </c>
      <c r="E24">
        <v>30515945</v>
      </c>
      <c r="F24">
        <v>1</v>
      </c>
      <c r="G24">
        <v>30515945</v>
      </c>
      <c r="H24">
        <v>1</v>
      </c>
      <c r="I24" t="s">
        <v>320</v>
      </c>
      <c r="J24" t="s">
        <v>3</v>
      </c>
      <c r="K24" t="s">
        <v>321</v>
      </c>
      <c r="L24">
        <v>1191</v>
      </c>
      <c r="N24">
        <v>1013</v>
      </c>
      <c r="O24" t="s">
        <v>322</v>
      </c>
      <c r="P24" t="s">
        <v>322</v>
      </c>
      <c r="Q24">
        <v>1</v>
      </c>
      <c r="X24">
        <v>24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1</v>
      </c>
      <c r="AF24" t="s">
        <v>3</v>
      </c>
      <c r="AG24">
        <v>24</v>
      </c>
      <c r="AH24">
        <v>3</v>
      </c>
      <c r="AI24">
        <v>-1</v>
      </c>
      <c r="AJ24" t="s">
        <v>3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ROW(Source!A86)</f>
        <v>86</v>
      </c>
      <c r="B25">
        <v>45723809</v>
      </c>
      <c r="C25">
        <v>45723808</v>
      </c>
      <c r="D25">
        <v>30515951</v>
      </c>
      <c r="E25">
        <v>30515945</v>
      </c>
      <c r="F25">
        <v>1</v>
      </c>
      <c r="G25">
        <v>30515945</v>
      </c>
      <c r="H25">
        <v>1</v>
      </c>
      <c r="I25" t="s">
        <v>320</v>
      </c>
      <c r="J25" t="s">
        <v>3</v>
      </c>
      <c r="K25" t="s">
        <v>321</v>
      </c>
      <c r="L25">
        <v>1191</v>
      </c>
      <c r="N25">
        <v>1013</v>
      </c>
      <c r="O25" t="s">
        <v>322</v>
      </c>
      <c r="P25" t="s">
        <v>322</v>
      </c>
      <c r="Q25">
        <v>1</v>
      </c>
      <c r="X25">
        <v>15.2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1</v>
      </c>
      <c r="AF25" t="s">
        <v>3</v>
      </c>
      <c r="AG25">
        <v>15.2</v>
      </c>
      <c r="AH25">
        <v>3</v>
      </c>
      <c r="AI25">
        <v>-1</v>
      </c>
      <c r="AJ25" t="s">
        <v>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ROW(Source!A87)</f>
        <v>87</v>
      </c>
      <c r="B26">
        <v>45723811</v>
      </c>
      <c r="C26">
        <v>45723810</v>
      </c>
      <c r="D26">
        <v>30515951</v>
      </c>
      <c r="E26">
        <v>30515945</v>
      </c>
      <c r="F26">
        <v>1</v>
      </c>
      <c r="G26">
        <v>30515945</v>
      </c>
      <c r="H26">
        <v>1</v>
      </c>
      <c r="I26" t="s">
        <v>320</v>
      </c>
      <c r="J26" t="s">
        <v>3</v>
      </c>
      <c r="K26" t="s">
        <v>321</v>
      </c>
      <c r="L26">
        <v>1191</v>
      </c>
      <c r="N26">
        <v>1013</v>
      </c>
      <c r="O26" t="s">
        <v>322</v>
      </c>
      <c r="P26" t="s">
        <v>322</v>
      </c>
      <c r="Q26">
        <v>1</v>
      </c>
      <c r="X26">
        <v>0.9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1</v>
      </c>
      <c r="AF26" t="s">
        <v>3</v>
      </c>
      <c r="AG26">
        <v>0.9</v>
      </c>
      <c r="AH26">
        <v>3</v>
      </c>
      <c r="AI26">
        <v>-1</v>
      </c>
      <c r="AJ26" t="s">
        <v>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ROW(Source!A88)</f>
        <v>88</v>
      </c>
      <c r="B27">
        <v>45723813</v>
      </c>
      <c r="C27">
        <v>45723812</v>
      </c>
      <c r="D27">
        <v>30515951</v>
      </c>
      <c r="E27">
        <v>30515945</v>
      </c>
      <c r="F27">
        <v>1</v>
      </c>
      <c r="G27">
        <v>30515945</v>
      </c>
      <c r="H27">
        <v>1</v>
      </c>
      <c r="I27" t="s">
        <v>320</v>
      </c>
      <c r="J27" t="s">
        <v>3</v>
      </c>
      <c r="K27" t="s">
        <v>321</v>
      </c>
      <c r="L27">
        <v>1191</v>
      </c>
      <c r="N27">
        <v>1013</v>
      </c>
      <c r="O27" t="s">
        <v>322</v>
      </c>
      <c r="P27" t="s">
        <v>322</v>
      </c>
      <c r="Q27">
        <v>1</v>
      </c>
      <c r="X27">
        <v>1.8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1</v>
      </c>
      <c r="AF27" t="s">
        <v>186</v>
      </c>
      <c r="AG27">
        <v>1.4400000000000002</v>
      </c>
      <c r="AH27">
        <v>3</v>
      </c>
      <c r="AI27">
        <v>-1</v>
      </c>
      <c r="AJ27" t="s">
        <v>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ROW(Source!A89)</f>
        <v>89</v>
      </c>
      <c r="B28">
        <v>45723815</v>
      </c>
      <c r="C28">
        <v>45723814</v>
      </c>
      <c r="D28">
        <v>30515951</v>
      </c>
      <c r="E28">
        <v>30515945</v>
      </c>
      <c r="F28">
        <v>1</v>
      </c>
      <c r="G28">
        <v>30515945</v>
      </c>
      <c r="H28">
        <v>1</v>
      </c>
      <c r="I28" t="s">
        <v>320</v>
      </c>
      <c r="J28" t="s">
        <v>3</v>
      </c>
      <c r="K28" t="s">
        <v>321</v>
      </c>
      <c r="L28">
        <v>1191</v>
      </c>
      <c r="N28">
        <v>1013</v>
      </c>
      <c r="O28" t="s">
        <v>322</v>
      </c>
      <c r="P28" t="s">
        <v>322</v>
      </c>
      <c r="Q28">
        <v>1</v>
      </c>
      <c r="X28">
        <v>1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1</v>
      </c>
      <c r="AF28" t="s">
        <v>186</v>
      </c>
      <c r="AG28">
        <v>0.8</v>
      </c>
      <c r="AH28">
        <v>3</v>
      </c>
      <c r="AI28">
        <v>-1</v>
      </c>
      <c r="AJ28" t="s">
        <v>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ROW(Source!A90)</f>
        <v>90</v>
      </c>
      <c r="B29">
        <v>45723817</v>
      </c>
      <c r="C29">
        <v>45723816</v>
      </c>
      <c r="D29">
        <v>30515951</v>
      </c>
      <c r="E29">
        <v>30515945</v>
      </c>
      <c r="F29">
        <v>1</v>
      </c>
      <c r="G29">
        <v>30515945</v>
      </c>
      <c r="H29">
        <v>1</v>
      </c>
      <c r="I29" t="s">
        <v>320</v>
      </c>
      <c r="J29" t="s">
        <v>3</v>
      </c>
      <c r="K29" t="s">
        <v>321</v>
      </c>
      <c r="L29">
        <v>1191</v>
      </c>
      <c r="N29">
        <v>1013</v>
      </c>
      <c r="O29" t="s">
        <v>322</v>
      </c>
      <c r="P29" t="s">
        <v>322</v>
      </c>
      <c r="Q29">
        <v>1</v>
      </c>
      <c r="X29">
        <v>31.35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1</v>
      </c>
      <c r="AF29" t="s">
        <v>186</v>
      </c>
      <c r="AG29">
        <v>25.080000000000002</v>
      </c>
      <c r="AH29">
        <v>3</v>
      </c>
      <c r="AI29">
        <v>-1</v>
      </c>
      <c r="AJ29" t="s">
        <v>3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Смета по ТСН-2001</vt:lpstr>
      <vt:lpstr>Акт КС-2 по ТСН-2001</vt:lpstr>
      <vt:lpstr>Макет форма-3</vt:lpstr>
      <vt:lpstr>Source</vt:lpstr>
      <vt:lpstr>SourceObSm</vt:lpstr>
      <vt:lpstr>SmtRes</vt:lpstr>
      <vt:lpstr>EtalonRes</vt:lpstr>
      <vt:lpstr>'Акт КС-2 по ТСН-2001'!Заголовки_для_печати</vt:lpstr>
      <vt:lpstr>'Смета по ТСН-2001'!Заголовки_для_печати</vt:lpstr>
      <vt:lpstr>'Акт КС-2 по ТСН-2001'!Область_печати</vt:lpstr>
      <vt:lpstr>'Смета по ТСН-2001'!Область_печати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2020-01-24T06:14:13Z</dcterms:created>
  <dcterms:modified xsi:type="dcterms:W3CDTF">2020-01-24T06:58:07Z</dcterms:modified>
</cp:coreProperties>
</file>