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Смета 12 гр. по ФЕР" sheetId="5" r:id="rId1"/>
    <sheet name="RV_DATA" sheetId="7" state="hidden" r:id="rId2"/>
    <sheet name="Расчет стоимости ресурсов" sheetId="6" r:id="rId3"/>
    <sheet name="Source" sheetId="1" r:id="rId4"/>
    <sheet name="SourceObSm" sheetId="2" r:id="rId5"/>
    <sheet name="SmtRes" sheetId="3" r:id="rId6"/>
    <sheet name="EtalonRes" sheetId="4" r:id="rId7"/>
  </sheets>
  <definedNames>
    <definedName name="_xlnm.Print_Titles" localSheetId="2">'Расчет стоимости ресурсов'!$4:$7</definedName>
    <definedName name="_xlnm.Print_Titles" localSheetId="0">'Смета 12 гр. по ФЕР'!$28:$28</definedName>
    <definedName name="_xlnm.Print_Area" localSheetId="2">'Расчет стоимости ресурсов'!$A$1:$H$292</definedName>
    <definedName name="_xlnm.Print_Area" localSheetId="0">'Смета 12 гр. по ФЕР'!$A$1:$L$595</definedName>
  </definedNames>
  <calcPr calcId="145621"/>
</workbook>
</file>

<file path=xl/calcChain.xml><?xml version="1.0" encoding="utf-8"?>
<calcChain xmlns="http://schemas.openxmlformats.org/spreadsheetml/2006/main">
  <c r="J588" i="5" l="1"/>
  <c r="J587" i="5"/>
  <c r="A14" i="5"/>
  <c r="I20" i="5"/>
  <c r="I21" i="5"/>
  <c r="I22" i="5"/>
  <c r="I23" i="5"/>
  <c r="I24" i="5"/>
  <c r="G289" i="6"/>
  <c r="E289" i="6"/>
  <c r="G288" i="6"/>
  <c r="E288" i="6"/>
  <c r="G287" i="6"/>
  <c r="E287" i="6"/>
  <c r="A282" i="6"/>
  <c r="H279" i="6"/>
  <c r="G279" i="6"/>
  <c r="F279" i="6"/>
  <c r="E279" i="6"/>
  <c r="D279" i="6"/>
  <c r="H278" i="6"/>
  <c r="G280" i="6" s="1"/>
  <c r="G278" i="6"/>
  <c r="F278" i="6"/>
  <c r="E280" i="6" s="1"/>
  <c r="E278" i="6"/>
  <c r="D278" i="6"/>
  <c r="H274" i="6"/>
  <c r="G276" i="6" s="1"/>
  <c r="G274" i="6"/>
  <c r="F274" i="6"/>
  <c r="E276" i="6" s="1"/>
  <c r="E274" i="6"/>
  <c r="H273" i="6"/>
  <c r="G275" i="6" s="1"/>
  <c r="G273" i="6"/>
  <c r="F273" i="6"/>
  <c r="E275" i="6" s="1"/>
  <c r="E273" i="6"/>
  <c r="D273" i="6"/>
  <c r="H268" i="6"/>
  <c r="G271" i="6" s="1"/>
  <c r="G268" i="6"/>
  <c r="F268" i="6"/>
  <c r="E268" i="6"/>
  <c r="D268" i="6"/>
  <c r="H269" i="6"/>
  <c r="G269" i="6"/>
  <c r="F269" i="6"/>
  <c r="E271" i="6" s="1"/>
  <c r="E269" i="6"/>
  <c r="D269" i="6"/>
  <c r="H270" i="6"/>
  <c r="G270" i="6"/>
  <c r="F270" i="6"/>
  <c r="E270" i="6"/>
  <c r="D270" i="6"/>
  <c r="A266" i="6"/>
  <c r="H260" i="6"/>
  <c r="G260" i="6"/>
  <c r="F260" i="6"/>
  <c r="E260" i="6"/>
  <c r="D260" i="6"/>
  <c r="H255" i="6"/>
  <c r="G265" i="6" s="1"/>
  <c r="G255" i="6"/>
  <c r="F255" i="6"/>
  <c r="E265" i="6" s="1"/>
  <c r="E255" i="6"/>
  <c r="D255" i="6"/>
  <c r="H261" i="6"/>
  <c r="G261" i="6"/>
  <c r="F261" i="6"/>
  <c r="E261" i="6"/>
  <c r="D261" i="6"/>
  <c r="H262" i="6"/>
  <c r="G262" i="6"/>
  <c r="F262" i="6"/>
  <c r="E262" i="6"/>
  <c r="D262" i="6"/>
  <c r="H256" i="6"/>
  <c r="G256" i="6"/>
  <c r="F256" i="6"/>
  <c r="E256" i="6"/>
  <c r="D256" i="6"/>
  <c r="H263" i="6"/>
  <c r="G263" i="6"/>
  <c r="F263" i="6"/>
  <c r="E263" i="6"/>
  <c r="D263" i="6"/>
  <c r="H264" i="6"/>
  <c r="G264" i="6"/>
  <c r="F264" i="6"/>
  <c r="E264" i="6"/>
  <c r="D264" i="6"/>
  <c r="H258" i="6"/>
  <c r="G258" i="6"/>
  <c r="F258" i="6"/>
  <c r="E258" i="6"/>
  <c r="D258" i="6"/>
  <c r="H259" i="6"/>
  <c r="G259" i="6"/>
  <c r="F259" i="6"/>
  <c r="E259" i="6"/>
  <c r="D259" i="6"/>
  <c r="H257" i="6"/>
  <c r="G257" i="6"/>
  <c r="F257" i="6"/>
  <c r="E257" i="6"/>
  <c r="D257" i="6"/>
  <c r="H241" i="6"/>
  <c r="G241" i="6"/>
  <c r="F241" i="6"/>
  <c r="E241" i="6"/>
  <c r="H240" i="6"/>
  <c r="G240" i="6"/>
  <c r="F240" i="6"/>
  <c r="E240" i="6"/>
  <c r="D240" i="6"/>
  <c r="H227" i="6"/>
  <c r="G227" i="6"/>
  <c r="F227" i="6"/>
  <c r="E227" i="6"/>
  <c r="H226" i="6"/>
  <c r="G226" i="6"/>
  <c r="F226" i="6"/>
  <c r="E226" i="6"/>
  <c r="D226" i="6"/>
  <c r="H231" i="6"/>
  <c r="G231" i="6"/>
  <c r="F231" i="6"/>
  <c r="E231" i="6"/>
  <c r="H230" i="6"/>
  <c r="G230" i="6"/>
  <c r="F230" i="6"/>
  <c r="E230" i="6"/>
  <c r="D230" i="6"/>
  <c r="H233" i="6"/>
  <c r="G233" i="6"/>
  <c r="F233" i="6"/>
  <c r="E233" i="6"/>
  <c r="H232" i="6"/>
  <c r="G232" i="6"/>
  <c r="F232" i="6"/>
  <c r="E232" i="6"/>
  <c r="D232" i="6"/>
  <c r="H235" i="6"/>
  <c r="G235" i="6"/>
  <c r="F235" i="6"/>
  <c r="E235" i="6"/>
  <c r="H234" i="6"/>
  <c r="G234" i="6"/>
  <c r="F234" i="6"/>
  <c r="E234" i="6"/>
  <c r="D234" i="6"/>
  <c r="H237" i="6"/>
  <c r="G237" i="6"/>
  <c r="F237" i="6"/>
  <c r="E237" i="6"/>
  <c r="H236" i="6"/>
  <c r="G236" i="6"/>
  <c r="F236" i="6"/>
  <c r="E236" i="6"/>
  <c r="D236" i="6"/>
  <c r="H247" i="6"/>
  <c r="G247" i="6"/>
  <c r="F247" i="6"/>
  <c r="E247" i="6"/>
  <c r="H246" i="6"/>
  <c r="G246" i="6"/>
  <c r="F246" i="6"/>
  <c r="E246" i="6"/>
  <c r="D246" i="6"/>
  <c r="H223" i="6"/>
  <c r="G253" i="6" s="1"/>
  <c r="G223" i="6"/>
  <c r="F223" i="6"/>
  <c r="E253" i="6" s="1"/>
  <c r="E223" i="6"/>
  <c r="H222" i="6"/>
  <c r="G252" i="6" s="1"/>
  <c r="G222" i="6"/>
  <c r="F222" i="6"/>
  <c r="E252" i="6" s="1"/>
  <c r="E222" i="6"/>
  <c r="D222" i="6"/>
  <c r="H229" i="6"/>
  <c r="G229" i="6"/>
  <c r="F229" i="6"/>
  <c r="E229" i="6"/>
  <c r="H228" i="6"/>
  <c r="G228" i="6"/>
  <c r="F228" i="6"/>
  <c r="E228" i="6"/>
  <c r="D228" i="6"/>
  <c r="H239" i="6"/>
  <c r="G239" i="6"/>
  <c r="F239" i="6"/>
  <c r="E239" i="6"/>
  <c r="H238" i="6"/>
  <c r="G238" i="6"/>
  <c r="F238" i="6"/>
  <c r="E238" i="6"/>
  <c r="D238" i="6"/>
  <c r="H243" i="6"/>
  <c r="G243" i="6"/>
  <c r="F243" i="6"/>
  <c r="E243" i="6"/>
  <c r="H242" i="6"/>
  <c r="G242" i="6"/>
  <c r="F242" i="6"/>
  <c r="E242" i="6"/>
  <c r="D242" i="6"/>
  <c r="H225" i="6"/>
  <c r="G225" i="6"/>
  <c r="F225" i="6"/>
  <c r="E225" i="6"/>
  <c r="H224" i="6"/>
  <c r="G224" i="6"/>
  <c r="F224" i="6"/>
  <c r="E224" i="6"/>
  <c r="D224" i="6"/>
  <c r="H245" i="6"/>
  <c r="G245" i="6"/>
  <c r="F245" i="6"/>
  <c r="E245" i="6"/>
  <c r="H244" i="6"/>
  <c r="G244" i="6"/>
  <c r="F244" i="6"/>
  <c r="E244" i="6"/>
  <c r="D244" i="6"/>
  <c r="H249" i="6"/>
  <c r="G249" i="6"/>
  <c r="F249" i="6"/>
  <c r="E249" i="6"/>
  <c r="H248" i="6"/>
  <c r="G248" i="6"/>
  <c r="F248" i="6"/>
  <c r="E248" i="6"/>
  <c r="D248" i="6"/>
  <c r="H251" i="6"/>
  <c r="G251" i="6"/>
  <c r="F251" i="6"/>
  <c r="E251" i="6"/>
  <c r="H250" i="6"/>
  <c r="G250" i="6"/>
  <c r="F250" i="6"/>
  <c r="E250" i="6"/>
  <c r="D250" i="6"/>
  <c r="H217" i="6"/>
  <c r="G217" i="6"/>
  <c r="F217" i="6"/>
  <c r="E217" i="6"/>
  <c r="D217" i="6"/>
  <c r="H216" i="6"/>
  <c r="G216" i="6"/>
  <c r="F216" i="6"/>
  <c r="E216" i="6"/>
  <c r="D216" i="6"/>
  <c r="H218" i="6"/>
  <c r="G218" i="6"/>
  <c r="F218" i="6"/>
  <c r="E218" i="6"/>
  <c r="D218" i="6"/>
  <c r="H214" i="6"/>
  <c r="G214" i="6"/>
  <c r="F214" i="6"/>
  <c r="E214" i="6"/>
  <c r="D214" i="6"/>
  <c r="H213" i="6"/>
  <c r="G213" i="6"/>
  <c r="F213" i="6"/>
  <c r="E213" i="6"/>
  <c r="D213" i="6"/>
  <c r="H212" i="6"/>
  <c r="G220" i="6" s="1"/>
  <c r="G212" i="6"/>
  <c r="F212" i="6"/>
  <c r="E220" i="6" s="1"/>
  <c r="E212" i="6"/>
  <c r="D212" i="6"/>
  <c r="H215" i="6"/>
  <c r="G215" i="6"/>
  <c r="F215" i="6"/>
  <c r="E215" i="6"/>
  <c r="D215" i="6"/>
  <c r="H219" i="6"/>
  <c r="G219" i="6"/>
  <c r="F219" i="6"/>
  <c r="E219" i="6"/>
  <c r="D219" i="6"/>
  <c r="A210" i="6"/>
  <c r="H205" i="6"/>
  <c r="G205" i="6"/>
  <c r="F205" i="6"/>
  <c r="E205" i="6"/>
  <c r="D205" i="6"/>
  <c r="H206" i="6"/>
  <c r="G206" i="6"/>
  <c r="F206" i="6"/>
  <c r="E206" i="6"/>
  <c r="D206" i="6"/>
  <c r="H201" i="6"/>
  <c r="G209" i="6" s="1"/>
  <c r="G201" i="6"/>
  <c r="F201" i="6"/>
  <c r="E209" i="6" s="1"/>
  <c r="E201" i="6"/>
  <c r="D201" i="6"/>
  <c r="H207" i="6"/>
  <c r="G207" i="6"/>
  <c r="F207" i="6"/>
  <c r="E207" i="6"/>
  <c r="D207" i="6"/>
  <c r="H208" i="6"/>
  <c r="G208" i="6"/>
  <c r="F208" i="6"/>
  <c r="E208" i="6"/>
  <c r="D208" i="6"/>
  <c r="H203" i="6"/>
  <c r="G203" i="6"/>
  <c r="F203" i="6"/>
  <c r="E203" i="6"/>
  <c r="D203" i="6"/>
  <c r="H204" i="6"/>
  <c r="G204" i="6"/>
  <c r="F204" i="6"/>
  <c r="E204" i="6"/>
  <c r="D204" i="6"/>
  <c r="H202" i="6"/>
  <c r="G202" i="6"/>
  <c r="F202" i="6"/>
  <c r="E202" i="6"/>
  <c r="D202" i="6"/>
  <c r="H171" i="6"/>
  <c r="G171" i="6"/>
  <c r="F171" i="6"/>
  <c r="E171" i="6"/>
  <c r="H170" i="6"/>
  <c r="G170" i="6"/>
  <c r="F170" i="6"/>
  <c r="E170" i="6"/>
  <c r="D170" i="6"/>
  <c r="H177" i="6"/>
  <c r="G177" i="6"/>
  <c r="F177" i="6"/>
  <c r="E177" i="6"/>
  <c r="H176" i="6"/>
  <c r="G176" i="6"/>
  <c r="F176" i="6"/>
  <c r="E176" i="6"/>
  <c r="D176" i="6"/>
  <c r="H179" i="6"/>
  <c r="G179" i="6"/>
  <c r="F179" i="6"/>
  <c r="E179" i="6"/>
  <c r="H178" i="6"/>
  <c r="G178" i="6"/>
  <c r="F178" i="6"/>
  <c r="E178" i="6"/>
  <c r="D178" i="6"/>
  <c r="H181" i="6"/>
  <c r="G181" i="6"/>
  <c r="F181" i="6"/>
  <c r="E181" i="6"/>
  <c r="H180" i="6"/>
  <c r="G180" i="6"/>
  <c r="F180" i="6"/>
  <c r="E180" i="6"/>
  <c r="D180" i="6"/>
  <c r="H183" i="6"/>
  <c r="G183" i="6"/>
  <c r="F183" i="6"/>
  <c r="E183" i="6"/>
  <c r="H182" i="6"/>
  <c r="G182" i="6"/>
  <c r="F182" i="6"/>
  <c r="E182" i="6"/>
  <c r="D182" i="6"/>
  <c r="H193" i="6"/>
  <c r="G193" i="6"/>
  <c r="F193" i="6"/>
  <c r="E193" i="6"/>
  <c r="H192" i="6"/>
  <c r="G192" i="6"/>
  <c r="F192" i="6"/>
  <c r="E192" i="6"/>
  <c r="D192" i="6"/>
  <c r="H167" i="6"/>
  <c r="G167" i="6"/>
  <c r="F167" i="6"/>
  <c r="E199" i="6" s="1"/>
  <c r="E167" i="6"/>
  <c r="H166" i="6"/>
  <c r="G198" i="6" s="1"/>
  <c r="G166" i="6"/>
  <c r="F166" i="6"/>
  <c r="E198" i="6" s="1"/>
  <c r="E166" i="6"/>
  <c r="D166" i="6"/>
  <c r="H175" i="6"/>
  <c r="G175" i="6"/>
  <c r="F175" i="6"/>
  <c r="E175" i="6"/>
  <c r="H174" i="6"/>
  <c r="G174" i="6"/>
  <c r="F174" i="6"/>
  <c r="E174" i="6"/>
  <c r="D174" i="6"/>
  <c r="H189" i="6"/>
  <c r="G189" i="6"/>
  <c r="F189" i="6"/>
  <c r="E189" i="6"/>
  <c r="H188" i="6"/>
  <c r="G188" i="6"/>
  <c r="F188" i="6"/>
  <c r="E188" i="6"/>
  <c r="D188" i="6"/>
  <c r="H173" i="6"/>
  <c r="G173" i="6"/>
  <c r="F173" i="6"/>
  <c r="E173" i="6"/>
  <c r="H172" i="6"/>
  <c r="G172" i="6"/>
  <c r="F172" i="6"/>
  <c r="E172" i="6"/>
  <c r="D172" i="6"/>
  <c r="H185" i="6"/>
  <c r="G185" i="6"/>
  <c r="F185" i="6"/>
  <c r="E185" i="6"/>
  <c r="H184" i="6"/>
  <c r="G184" i="6"/>
  <c r="F184" i="6"/>
  <c r="E184" i="6"/>
  <c r="D184" i="6"/>
  <c r="H187" i="6"/>
  <c r="G187" i="6"/>
  <c r="F187" i="6"/>
  <c r="E187" i="6"/>
  <c r="H186" i="6"/>
  <c r="G186" i="6"/>
  <c r="F186" i="6"/>
  <c r="E186" i="6"/>
  <c r="D186" i="6"/>
  <c r="H169" i="6"/>
  <c r="G199" i="6" s="1"/>
  <c r="G169" i="6"/>
  <c r="F169" i="6"/>
  <c r="E169" i="6"/>
  <c r="H168" i="6"/>
  <c r="G168" i="6"/>
  <c r="F168" i="6"/>
  <c r="E168" i="6"/>
  <c r="D168" i="6"/>
  <c r="H191" i="6"/>
  <c r="G191" i="6"/>
  <c r="F191" i="6"/>
  <c r="E191" i="6"/>
  <c r="H190" i="6"/>
  <c r="G190" i="6"/>
  <c r="F190" i="6"/>
  <c r="E190" i="6"/>
  <c r="D190" i="6"/>
  <c r="H195" i="6"/>
  <c r="G195" i="6"/>
  <c r="F195" i="6"/>
  <c r="E195" i="6"/>
  <c r="H194" i="6"/>
  <c r="G194" i="6"/>
  <c r="F194" i="6"/>
  <c r="E194" i="6"/>
  <c r="D194" i="6"/>
  <c r="H197" i="6"/>
  <c r="G197" i="6"/>
  <c r="F197" i="6"/>
  <c r="E197" i="6"/>
  <c r="H196" i="6"/>
  <c r="G196" i="6"/>
  <c r="F196" i="6"/>
  <c r="E196" i="6"/>
  <c r="D196" i="6"/>
  <c r="H162" i="6"/>
  <c r="G162" i="6"/>
  <c r="F162" i="6"/>
  <c r="E162" i="6"/>
  <c r="D162" i="6"/>
  <c r="H160" i="6"/>
  <c r="G160" i="6"/>
  <c r="F160" i="6"/>
  <c r="E160" i="6"/>
  <c r="D160" i="6"/>
  <c r="H159" i="6"/>
  <c r="G164" i="6" s="1"/>
  <c r="G159" i="6"/>
  <c r="F159" i="6"/>
  <c r="E159" i="6"/>
  <c r="D159" i="6"/>
  <c r="H158" i="6"/>
  <c r="G158" i="6"/>
  <c r="F158" i="6"/>
  <c r="E164" i="6" s="1"/>
  <c r="E158" i="6"/>
  <c r="D158" i="6"/>
  <c r="H161" i="6"/>
  <c r="G161" i="6"/>
  <c r="F161" i="6"/>
  <c r="E161" i="6"/>
  <c r="D161" i="6"/>
  <c r="H163" i="6"/>
  <c r="G163" i="6"/>
  <c r="F163" i="6"/>
  <c r="E163" i="6"/>
  <c r="D163" i="6"/>
  <c r="A156" i="6"/>
  <c r="H154" i="6"/>
  <c r="G154" i="6"/>
  <c r="F154" i="6"/>
  <c r="E154" i="6"/>
  <c r="D154" i="6"/>
  <c r="H150" i="6"/>
  <c r="G155" i="6" s="1"/>
  <c r="G150" i="6"/>
  <c r="F150" i="6"/>
  <c r="E155" i="6" s="1"/>
  <c r="E150" i="6"/>
  <c r="D150" i="6"/>
  <c r="H152" i="6"/>
  <c r="G152" i="6"/>
  <c r="F152" i="6"/>
  <c r="E152" i="6"/>
  <c r="D152" i="6"/>
  <c r="H153" i="6"/>
  <c r="G153" i="6"/>
  <c r="F153" i="6"/>
  <c r="E153" i="6"/>
  <c r="D153" i="6"/>
  <c r="H151" i="6"/>
  <c r="G151" i="6"/>
  <c r="F151" i="6"/>
  <c r="E151" i="6"/>
  <c r="D151" i="6"/>
  <c r="H128" i="6"/>
  <c r="G148" i="6" s="1"/>
  <c r="G128" i="6"/>
  <c r="F128" i="6"/>
  <c r="E128" i="6"/>
  <c r="H127" i="6"/>
  <c r="G127" i="6"/>
  <c r="F127" i="6"/>
  <c r="E127" i="6"/>
  <c r="D127" i="6"/>
  <c r="H136" i="6"/>
  <c r="G136" i="6"/>
  <c r="F136" i="6"/>
  <c r="E136" i="6"/>
  <c r="H135" i="6"/>
  <c r="G135" i="6"/>
  <c r="F135" i="6"/>
  <c r="E135" i="6"/>
  <c r="D135" i="6"/>
  <c r="H142" i="6"/>
  <c r="G142" i="6"/>
  <c r="F142" i="6"/>
  <c r="E142" i="6"/>
  <c r="H141" i="6"/>
  <c r="G141" i="6"/>
  <c r="F141" i="6"/>
  <c r="E141" i="6"/>
  <c r="D141" i="6"/>
  <c r="H132" i="6"/>
  <c r="G132" i="6"/>
  <c r="F132" i="6"/>
  <c r="E132" i="6"/>
  <c r="H131" i="6"/>
  <c r="G131" i="6"/>
  <c r="F131" i="6"/>
  <c r="E131" i="6"/>
  <c r="D131" i="6"/>
  <c r="H130" i="6"/>
  <c r="G130" i="6"/>
  <c r="F130" i="6"/>
  <c r="E130" i="6"/>
  <c r="H129" i="6"/>
  <c r="G129" i="6"/>
  <c r="F129" i="6"/>
  <c r="E129" i="6"/>
  <c r="D129" i="6"/>
  <c r="H134" i="6"/>
  <c r="G134" i="6"/>
  <c r="F134" i="6"/>
  <c r="E134" i="6"/>
  <c r="H133" i="6"/>
  <c r="G133" i="6"/>
  <c r="F133" i="6"/>
  <c r="E147" i="6" s="1"/>
  <c r="E133" i="6"/>
  <c r="D133" i="6"/>
  <c r="H138" i="6"/>
  <c r="G138" i="6"/>
  <c r="F138" i="6"/>
  <c r="E138" i="6"/>
  <c r="H137" i="6"/>
  <c r="G137" i="6"/>
  <c r="F137" i="6"/>
  <c r="E137" i="6"/>
  <c r="D137" i="6"/>
  <c r="H126" i="6"/>
  <c r="G126" i="6"/>
  <c r="F126" i="6"/>
  <c r="E148" i="6" s="1"/>
  <c r="E126" i="6"/>
  <c r="H125" i="6"/>
  <c r="G147" i="6" s="1"/>
  <c r="G125" i="6"/>
  <c r="F125" i="6"/>
  <c r="E125" i="6"/>
  <c r="D125" i="6"/>
  <c r="H140" i="6"/>
  <c r="G140" i="6"/>
  <c r="F140" i="6"/>
  <c r="E140" i="6"/>
  <c r="H139" i="6"/>
  <c r="G139" i="6"/>
  <c r="F139" i="6"/>
  <c r="E139" i="6"/>
  <c r="D139" i="6"/>
  <c r="H144" i="6"/>
  <c r="G144" i="6"/>
  <c r="F144" i="6"/>
  <c r="E144" i="6"/>
  <c r="H143" i="6"/>
  <c r="G143" i="6"/>
  <c r="F143" i="6"/>
  <c r="E143" i="6"/>
  <c r="D143" i="6"/>
  <c r="H146" i="6"/>
  <c r="G146" i="6"/>
  <c r="F146" i="6"/>
  <c r="E146" i="6"/>
  <c r="H145" i="6"/>
  <c r="G145" i="6"/>
  <c r="F145" i="6"/>
  <c r="E145" i="6"/>
  <c r="D145" i="6"/>
  <c r="H121" i="6"/>
  <c r="G121" i="6"/>
  <c r="F121" i="6"/>
  <c r="E121" i="6"/>
  <c r="D121" i="6"/>
  <c r="H120" i="6"/>
  <c r="G120" i="6"/>
  <c r="F120" i="6"/>
  <c r="E123" i="6" s="1"/>
  <c r="E120" i="6"/>
  <c r="D120" i="6"/>
  <c r="H118" i="6"/>
  <c r="G118" i="6"/>
  <c r="F118" i="6"/>
  <c r="E118" i="6"/>
  <c r="D118" i="6"/>
  <c r="H117" i="6"/>
  <c r="G123" i="6" s="1"/>
  <c r="G117" i="6"/>
  <c r="F117" i="6"/>
  <c r="E117" i="6"/>
  <c r="D117" i="6"/>
  <c r="H119" i="6"/>
  <c r="G119" i="6"/>
  <c r="F119" i="6"/>
  <c r="E119" i="6"/>
  <c r="D119" i="6"/>
  <c r="H122" i="6"/>
  <c r="G122" i="6"/>
  <c r="F122" i="6"/>
  <c r="E122" i="6"/>
  <c r="D122" i="6"/>
  <c r="A115" i="6"/>
  <c r="A114" i="6"/>
  <c r="H102" i="6"/>
  <c r="G102" i="6"/>
  <c r="F102" i="6"/>
  <c r="E102" i="6"/>
  <c r="D102" i="6"/>
  <c r="H103" i="6"/>
  <c r="G103" i="6"/>
  <c r="F103" i="6"/>
  <c r="E103" i="6"/>
  <c r="D103" i="6"/>
  <c r="H97" i="6"/>
  <c r="G97" i="6"/>
  <c r="F97" i="6"/>
  <c r="E97" i="6"/>
  <c r="D97" i="6"/>
  <c r="H96" i="6"/>
  <c r="G96" i="6"/>
  <c r="F96" i="6"/>
  <c r="E96" i="6"/>
  <c r="D96" i="6"/>
  <c r="H95" i="6"/>
  <c r="G95" i="6"/>
  <c r="F95" i="6"/>
  <c r="E95" i="6"/>
  <c r="D95" i="6"/>
  <c r="H94" i="6"/>
  <c r="G94" i="6"/>
  <c r="F94" i="6"/>
  <c r="E94" i="6"/>
  <c r="D94" i="6"/>
  <c r="H79" i="6"/>
  <c r="G79" i="6"/>
  <c r="F79" i="6"/>
  <c r="E79" i="6"/>
  <c r="D79" i="6"/>
  <c r="H100" i="6"/>
  <c r="G100" i="6"/>
  <c r="F100" i="6"/>
  <c r="E100" i="6"/>
  <c r="D100" i="6"/>
  <c r="H111" i="6"/>
  <c r="G111" i="6"/>
  <c r="F111" i="6"/>
  <c r="E111" i="6"/>
  <c r="D111" i="6"/>
  <c r="H92" i="6"/>
  <c r="G92" i="6"/>
  <c r="F92" i="6"/>
  <c r="E92" i="6"/>
  <c r="D92" i="6"/>
  <c r="H82" i="6"/>
  <c r="G82" i="6"/>
  <c r="F82" i="6"/>
  <c r="E82" i="6"/>
  <c r="D82" i="6"/>
  <c r="H107" i="6"/>
  <c r="G107" i="6"/>
  <c r="F107" i="6"/>
  <c r="E107" i="6"/>
  <c r="D107" i="6"/>
  <c r="H110" i="6"/>
  <c r="G110" i="6"/>
  <c r="F110" i="6"/>
  <c r="E110" i="6"/>
  <c r="D110" i="6"/>
  <c r="H108" i="6"/>
  <c r="G108" i="6"/>
  <c r="F108" i="6"/>
  <c r="E108" i="6"/>
  <c r="D108" i="6"/>
  <c r="H93" i="6"/>
  <c r="G93" i="6"/>
  <c r="F93" i="6"/>
  <c r="E93" i="6"/>
  <c r="D93" i="6"/>
  <c r="H85" i="6"/>
  <c r="G85" i="6"/>
  <c r="F85" i="6"/>
  <c r="E85" i="6"/>
  <c r="D85" i="6"/>
  <c r="H81" i="6"/>
  <c r="G81" i="6"/>
  <c r="F81" i="6"/>
  <c r="E81" i="6"/>
  <c r="D81" i="6"/>
  <c r="H91" i="6"/>
  <c r="G91" i="6"/>
  <c r="F91" i="6"/>
  <c r="E91" i="6"/>
  <c r="D91" i="6"/>
  <c r="H77" i="6"/>
  <c r="G77" i="6"/>
  <c r="F77" i="6"/>
  <c r="E77" i="6"/>
  <c r="D77" i="6"/>
  <c r="H78" i="6"/>
  <c r="G78" i="6"/>
  <c r="F78" i="6"/>
  <c r="E78" i="6"/>
  <c r="D78" i="6"/>
  <c r="H88" i="6"/>
  <c r="G88" i="6"/>
  <c r="F88" i="6"/>
  <c r="E88" i="6"/>
  <c r="D88" i="6"/>
  <c r="H83" i="6"/>
  <c r="G83" i="6"/>
  <c r="F83" i="6"/>
  <c r="E83" i="6"/>
  <c r="D83" i="6"/>
  <c r="H86" i="6"/>
  <c r="G86" i="6"/>
  <c r="F86" i="6"/>
  <c r="E86" i="6"/>
  <c r="D86" i="6"/>
  <c r="H87" i="6"/>
  <c r="G87" i="6"/>
  <c r="F87" i="6"/>
  <c r="E87" i="6"/>
  <c r="D87" i="6"/>
  <c r="H90" i="6"/>
  <c r="G90" i="6"/>
  <c r="F90" i="6"/>
  <c r="E90" i="6"/>
  <c r="D90" i="6"/>
  <c r="H98" i="6"/>
  <c r="G98" i="6"/>
  <c r="F98" i="6"/>
  <c r="E98" i="6"/>
  <c r="D98" i="6"/>
  <c r="H99" i="6"/>
  <c r="G99" i="6"/>
  <c r="F99" i="6"/>
  <c r="E99" i="6"/>
  <c r="D99" i="6"/>
  <c r="H101" i="6"/>
  <c r="G101" i="6"/>
  <c r="F101" i="6"/>
  <c r="E101" i="6"/>
  <c r="D101" i="6"/>
  <c r="H106" i="6"/>
  <c r="G106" i="6"/>
  <c r="F106" i="6"/>
  <c r="E106" i="6"/>
  <c r="D106" i="6"/>
  <c r="H109" i="6"/>
  <c r="G109" i="6"/>
  <c r="F109" i="6"/>
  <c r="E109" i="6"/>
  <c r="D109" i="6"/>
  <c r="H75" i="6"/>
  <c r="G75" i="6"/>
  <c r="F75" i="6"/>
  <c r="E75" i="6"/>
  <c r="D75" i="6"/>
  <c r="H76" i="6"/>
  <c r="G76" i="6"/>
  <c r="F76" i="6"/>
  <c r="E76" i="6"/>
  <c r="D76" i="6"/>
  <c r="H84" i="6"/>
  <c r="G84" i="6"/>
  <c r="F84" i="6"/>
  <c r="E84" i="6"/>
  <c r="D84" i="6"/>
  <c r="H112" i="6"/>
  <c r="G112" i="6"/>
  <c r="F112" i="6"/>
  <c r="E112" i="6"/>
  <c r="D112" i="6"/>
  <c r="H104" i="6"/>
  <c r="G104" i="6"/>
  <c r="F104" i="6"/>
  <c r="E104" i="6"/>
  <c r="D104" i="6"/>
  <c r="H89" i="6"/>
  <c r="G89" i="6"/>
  <c r="F89" i="6"/>
  <c r="E89" i="6"/>
  <c r="D89" i="6"/>
  <c r="H105" i="6"/>
  <c r="G105" i="6"/>
  <c r="F105" i="6"/>
  <c r="E105" i="6"/>
  <c r="D105" i="6"/>
  <c r="H80" i="6"/>
  <c r="G80" i="6"/>
  <c r="F80" i="6"/>
  <c r="E80" i="6"/>
  <c r="D80" i="6"/>
  <c r="H74" i="6"/>
  <c r="G286" i="6" s="1"/>
  <c r="G74" i="6"/>
  <c r="F74" i="6"/>
  <c r="E113" i="6" s="1"/>
  <c r="E74" i="6"/>
  <c r="D74" i="6"/>
  <c r="H28" i="6"/>
  <c r="G28" i="6"/>
  <c r="F28" i="6"/>
  <c r="E28" i="6"/>
  <c r="H27" i="6"/>
  <c r="G27" i="6"/>
  <c r="F27" i="6"/>
  <c r="E27" i="6"/>
  <c r="D27" i="6"/>
  <c r="H44" i="6"/>
  <c r="G44" i="6"/>
  <c r="F44" i="6"/>
  <c r="E44" i="6"/>
  <c r="H43" i="6"/>
  <c r="G43" i="6"/>
  <c r="F43" i="6"/>
  <c r="E43" i="6"/>
  <c r="D43" i="6"/>
  <c r="H34" i="6"/>
  <c r="G34" i="6"/>
  <c r="F34" i="6"/>
  <c r="E34" i="6"/>
  <c r="H33" i="6"/>
  <c r="G33" i="6"/>
  <c r="F33" i="6"/>
  <c r="E33" i="6"/>
  <c r="D33" i="6"/>
  <c r="H38" i="6"/>
  <c r="G38" i="6"/>
  <c r="F38" i="6"/>
  <c r="E38" i="6"/>
  <c r="H37" i="6"/>
  <c r="G37" i="6"/>
  <c r="F37" i="6"/>
  <c r="E37" i="6"/>
  <c r="D37" i="6"/>
  <c r="H64" i="6"/>
  <c r="G64" i="6"/>
  <c r="F64" i="6"/>
  <c r="E64" i="6"/>
  <c r="H63" i="6"/>
  <c r="G63" i="6"/>
  <c r="F63" i="6"/>
  <c r="E63" i="6"/>
  <c r="D63" i="6"/>
  <c r="H30" i="6"/>
  <c r="G30" i="6"/>
  <c r="F30" i="6"/>
  <c r="E30" i="6"/>
  <c r="H29" i="6"/>
  <c r="G29" i="6"/>
  <c r="F29" i="6"/>
  <c r="E29" i="6"/>
  <c r="D29" i="6"/>
  <c r="H24" i="6"/>
  <c r="G285" i="6" s="1"/>
  <c r="G24" i="6"/>
  <c r="F24" i="6"/>
  <c r="E285" i="6" s="1"/>
  <c r="E24" i="6"/>
  <c r="H23" i="6"/>
  <c r="G284" i="6" s="1"/>
  <c r="G23" i="6"/>
  <c r="F23" i="6"/>
  <c r="E284" i="6" s="1"/>
  <c r="E23" i="6"/>
  <c r="D23" i="6"/>
  <c r="H42" i="6"/>
  <c r="G42" i="6"/>
  <c r="F42" i="6"/>
  <c r="E42" i="6"/>
  <c r="H41" i="6"/>
  <c r="G41" i="6"/>
  <c r="F41" i="6"/>
  <c r="E41" i="6"/>
  <c r="D41" i="6"/>
  <c r="H60" i="6"/>
  <c r="G60" i="6"/>
  <c r="F60" i="6"/>
  <c r="E60" i="6"/>
  <c r="H59" i="6"/>
  <c r="G59" i="6"/>
  <c r="F59" i="6"/>
  <c r="E59" i="6"/>
  <c r="D59" i="6"/>
  <c r="H40" i="6"/>
  <c r="G40" i="6"/>
  <c r="F40" i="6"/>
  <c r="E40" i="6"/>
  <c r="H39" i="6"/>
  <c r="G39" i="6"/>
  <c r="F39" i="6"/>
  <c r="E39" i="6"/>
  <c r="D39" i="6"/>
  <c r="H46" i="6"/>
  <c r="G46" i="6"/>
  <c r="F46" i="6"/>
  <c r="E46" i="6"/>
  <c r="H45" i="6"/>
  <c r="G45" i="6"/>
  <c r="F45" i="6"/>
  <c r="E45" i="6"/>
  <c r="D45" i="6"/>
  <c r="H62" i="6"/>
  <c r="G62" i="6"/>
  <c r="F62" i="6"/>
  <c r="E62" i="6"/>
  <c r="H61" i="6"/>
  <c r="G61" i="6"/>
  <c r="F61" i="6"/>
  <c r="E61" i="6"/>
  <c r="D61" i="6"/>
  <c r="H58" i="6"/>
  <c r="G58" i="6"/>
  <c r="F58" i="6"/>
  <c r="E58" i="6"/>
  <c r="H57" i="6"/>
  <c r="G57" i="6"/>
  <c r="F57" i="6"/>
  <c r="E57" i="6"/>
  <c r="D57" i="6"/>
  <c r="H32" i="6"/>
  <c r="G32" i="6"/>
  <c r="F32" i="6"/>
  <c r="E32" i="6"/>
  <c r="H31" i="6"/>
  <c r="G31" i="6"/>
  <c r="F31" i="6"/>
  <c r="E31" i="6"/>
  <c r="D31" i="6"/>
  <c r="H36" i="6"/>
  <c r="G36" i="6"/>
  <c r="F36" i="6"/>
  <c r="E36" i="6"/>
  <c r="H35" i="6"/>
  <c r="G35" i="6"/>
  <c r="F35" i="6"/>
  <c r="E35" i="6"/>
  <c r="D35" i="6"/>
  <c r="H52" i="6"/>
  <c r="G52" i="6"/>
  <c r="F52" i="6"/>
  <c r="E52" i="6"/>
  <c r="H51" i="6"/>
  <c r="G51" i="6"/>
  <c r="F51" i="6"/>
  <c r="E51" i="6"/>
  <c r="D51" i="6"/>
  <c r="H54" i="6"/>
  <c r="G54" i="6"/>
  <c r="F54" i="6"/>
  <c r="E54" i="6"/>
  <c r="H53" i="6"/>
  <c r="G53" i="6"/>
  <c r="F53" i="6"/>
  <c r="E53" i="6"/>
  <c r="D53" i="6"/>
  <c r="H56" i="6"/>
  <c r="G56" i="6"/>
  <c r="F56" i="6"/>
  <c r="E56" i="6"/>
  <c r="H55" i="6"/>
  <c r="G55" i="6"/>
  <c r="F55" i="6"/>
  <c r="E55" i="6"/>
  <c r="D55" i="6"/>
  <c r="H66" i="6"/>
  <c r="G66" i="6"/>
  <c r="F66" i="6"/>
  <c r="E66" i="6"/>
  <c r="H65" i="6"/>
  <c r="G65" i="6"/>
  <c r="F65" i="6"/>
  <c r="E65" i="6"/>
  <c r="D65" i="6"/>
  <c r="H68" i="6"/>
  <c r="G68" i="6"/>
  <c r="F68" i="6"/>
  <c r="E68" i="6"/>
  <c r="H67" i="6"/>
  <c r="G67" i="6"/>
  <c r="F67" i="6"/>
  <c r="E67" i="6"/>
  <c r="D67" i="6"/>
  <c r="H70" i="6"/>
  <c r="G70" i="6"/>
  <c r="F70" i="6"/>
  <c r="E70" i="6"/>
  <c r="H69" i="6"/>
  <c r="G69" i="6"/>
  <c r="F69" i="6"/>
  <c r="E69" i="6"/>
  <c r="D69" i="6"/>
  <c r="H26" i="6"/>
  <c r="G26" i="6"/>
  <c r="F26" i="6"/>
  <c r="E72" i="6" s="1"/>
  <c r="E26" i="6"/>
  <c r="H25" i="6"/>
  <c r="G25" i="6"/>
  <c r="F25" i="6"/>
  <c r="E71" i="6" s="1"/>
  <c r="E25" i="6"/>
  <c r="D25" i="6"/>
  <c r="H48" i="6"/>
  <c r="G48" i="6"/>
  <c r="F48" i="6"/>
  <c r="E48" i="6"/>
  <c r="H47" i="6"/>
  <c r="G47" i="6"/>
  <c r="F47" i="6"/>
  <c r="E47" i="6"/>
  <c r="D47" i="6"/>
  <c r="H50" i="6"/>
  <c r="G50" i="6"/>
  <c r="F50" i="6"/>
  <c r="E50" i="6"/>
  <c r="H49" i="6"/>
  <c r="G49" i="6"/>
  <c r="F49" i="6"/>
  <c r="E49" i="6"/>
  <c r="D49" i="6"/>
  <c r="H11" i="6"/>
  <c r="G283" i="6" s="1"/>
  <c r="G11" i="6"/>
  <c r="F11" i="6"/>
  <c r="E283" i="6" s="1"/>
  <c r="E11" i="6"/>
  <c r="D11" i="6"/>
  <c r="H16" i="6"/>
  <c r="G16" i="6"/>
  <c r="F16" i="6"/>
  <c r="E16" i="6"/>
  <c r="D16" i="6"/>
  <c r="H19" i="6"/>
  <c r="G19" i="6"/>
  <c r="F19" i="6"/>
  <c r="E19" i="6"/>
  <c r="D19" i="6"/>
  <c r="H18" i="6"/>
  <c r="G18" i="6"/>
  <c r="F18" i="6"/>
  <c r="E18" i="6"/>
  <c r="D18" i="6"/>
  <c r="H17" i="6"/>
  <c r="G17" i="6"/>
  <c r="F17" i="6"/>
  <c r="E17" i="6"/>
  <c r="D17" i="6"/>
  <c r="H14" i="6"/>
  <c r="G14" i="6"/>
  <c r="F14" i="6"/>
  <c r="E14" i="6"/>
  <c r="D14" i="6"/>
  <c r="H20" i="6"/>
  <c r="G20" i="6"/>
  <c r="F20" i="6"/>
  <c r="E20" i="6"/>
  <c r="D20" i="6"/>
  <c r="H12" i="6"/>
  <c r="G12" i="6"/>
  <c r="F12" i="6"/>
  <c r="E21" i="6" s="1"/>
  <c r="E12" i="6"/>
  <c r="D12" i="6"/>
  <c r="H15" i="6"/>
  <c r="G15" i="6"/>
  <c r="F15" i="6"/>
  <c r="E15" i="6"/>
  <c r="D15" i="6"/>
  <c r="H13" i="6"/>
  <c r="G13" i="6"/>
  <c r="F13" i="6"/>
  <c r="E13" i="6"/>
  <c r="D13" i="6"/>
  <c r="A9" i="6"/>
  <c r="A8" i="6"/>
  <c r="A3" i="6"/>
  <c r="U328" i="7"/>
  <c r="T328" i="7"/>
  <c r="R328" i="7"/>
  <c r="Q328" i="7"/>
  <c r="S328" i="7"/>
  <c r="P328" i="7"/>
  <c r="O328" i="7"/>
  <c r="M328" i="7"/>
  <c r="L328" i="7"/>
  <c r="N328" i="7"/>
  <c r="K328" i="7"/>
  <c r="J328" i="7"/>
  <c r="I328" i="7"/>
  <c r="H328" i="7"/>
  <c r="G328" i="7"/>
  <c r="F328" i="7"/>
  <c r="E328" i="7"/>
  <c r="A328" i="7"/>
  <c r="U327" i="7"/>
  <c r="T327" i="7"/>
  <c r="R327" i="7"/>
  <c r="Q327" i="7"/>
  <c r="S327" i="7"/>
  <c r="P327" i="7"/>
  <c r="O327" i="7"/>
  <c r="M327" i="7"/>
  <c r="L327" i="7"/>
  <c r="N327" i="7"/>
  <c r="K327" i="7"/>
  <c r="J327" i="7"/>
  <c r="I327" i="7"/>
  <c r="H327" i="7"/>
  <c r="G327" i="7"/>
  <c r="F327" i="7"/>
  <c r="E327" i="7"/>
  <c r="A327" i="7"/>
  <c r="U326" i="7"/>
  <c r="T326" i="7"/>
  <c r="R326" i="7"/>
  <c r="Q326" i="7"/>
  <c r="S326" i="7"/>
  <c r="P326" i="7"/>
  <c r="O326" i="7"/>
  <c r="M326" i="7"/>
  <c r="L326" i="7"/>
  <c r="N326" i="7"/>
  <c r="K326" i="7"/>
  <c r="J326" i="7"/>
  <c r="I326" i="7"/>
  <c r="H326" i="7"/>
  <c r="G326" i="7"/>
  <c r="F326" i="7"/>
  <c r="E326" i="7"/>
  <c r="A326" i="7"/>
  <c r="U325" i="7"/>
  <c r="T325" i="7"/>
  <c r="R325" i="7"/>
  <c r="Q325" i="7"/>
  <c r="S325" i="7"/>
  <c r="P325" i="7"/>
  <c r="O325" i="7"/>
  <c r="M325" i="7"/>
  <c r="L325" i="7"/>
  <c r="N325" i="7"/>
  <c r="K325" i="7"/>
  <c r="J325" i="7"/>
  <c r="I325" i="7"/>
  <c r="H325" i="7"/>
  <c r="G325" i="7"/>
  <c r="F325" i="7"/>
  <c r="E325" i="7"/>
  <c r="A325" i="7"/>
  <c r="U324" i="7"/>
  <c r="T324" i="7"/>
  <c r="S324" i="7"/>
  <c r="R324" i="7"/>
  <c r="P324" i="7"/>
  <c r="O324" i="7"/>
  <c r="N324" i="7"/>
  <c r="M324" i="7"/>
  <c r="K324" i="7"/>
  <c r="I324" i="7"/>
  <c r="H324" i="7"/>
  <c r="G324" i="7"/>
  <c r="F324" i="7"/>
  <c r="E324" i="7"/>
  <c r="D324" i="7"/>
  <c r="A324" i="7"/>
  <c r="U323" i="7"/>
  <c r="T323" i="7"/>
  <c r="R323" i="7"/>
  <c r="Q323" i="7"/>
  <c r="S323" i="7"/>
  <c r="P323" i="7"/>
  <c r="O323" i="7"/>
  <c r="M323" i="7"/>
  <c r="L323" i="7"/>
  <c r="N323" i="7"/>
  <c r="K323" i="7"/>
  <c r="J323" i="7"/>
  <c r="I323" i="7"/>
  <c r="H323" i="7"/>
  <c r="G323" i="7"/>
  <c r="F323" i="7"/>
  <c r="E323" i="7"/>
  <c r="A323" i="7"/>
  <c r="U322" i="7"/>
  <c r="T322" i="7"/>
  <c r="R322" i="7"/>
  <c r="Q322" i="7"/>
  <c r="S322" i="7"/>
  <c r="P322" i="7"/>
  <c r="O322" i="7"/>
  <c r="M322" i="7"/>
  <c r="L322" i="7"/>
  <c r="N322" i="7"/>
  <c r="K322" i="7"/>
  <c r="J322" i="7"/>
  <c r="I322" i="7"/>
  <c r="H322" i="7"/>
  <c r="G322" i="7"/>
  <c r="F322" i="7"/>
  <c r="E322" i="7"/>
  <c r="A322" i="7"/>
  <c r="U321" i="7"/>
  <c r="T321" i="7"/>
  <c r="R321" i="7"/>
  <c r="Q321" i="7"/>
  <c r="S321" i="7"/>
  <c r="P321" i="7"/>
  <c r="O321" i="7"/>
  <c r="M321" i="7"/>
  <c r="L321" i="7"/>
  <c r="N321" i="7"/>
  <c r="K321" i="7"/>
  <c r="J321" i="7"/>
  <c r="I321" i="7"/>
  <c r="H321" i="7"/>
  <c r="G321" i="7"/>
  <c r="F321" i="7"/>
  <c r="E321" i="7"/>
  <c r="A321" i="7"/>
  <c r="U320" i="7"/>
  <c r="T320" i="7"/>
  <c r="R320" i="7"/>
  <c r="Q320" i="7"/>
  <c r="S320" i="7"/>
  <c r="P320" i="7"/>
  <c r="O320" i="7"/>
  <c r="M320" i="7"/>
  <c r="L320" i="7"/>
  <c r="N320" i="7"/>
  <c r="K320" i="7"/>
  <c r="J320" i="7"/>
  <c r="I320" i="7"/>
  <c r="H320" i="7"/>
  <c r="G320" i="7"/>
  <c r="F320" i="7"/>
  <c r="E320" i="7"/>
  <c r="A320" i="7"/>
  <c r="G319" i="7"/>
  <c r="A319" i="7"/>
  <c r="U318" i="7"/>
  <c r="T318" i="7"/>
  <c r="S318" i="7"/>
  <c r="R318" i="7"/>
  <c r="P318" i="7"/>
  <c r="O318" i="7"/>
  <c r="N318" i="7"/>
  <c r="M318" i="7"/>
  <c r="K318" i="7"/>
  <c r="I318" i="7"/>
  <c r="H318" i="7"/>
  <c r="G318" i="7"/>
  <c r="F318" i="7"/>
  <c r="E318" i="7"/>
  <c r="D318" i="7"/>
  <c r="A318" i="7"/>
  <c r="U317" i="7"/>
  <c r="T317" i="7"/>
  <c r="R317" i="7"/>
  <c r="Q317" i="7"/>
  <c r="S317" i="7"/>
  <c r="P317" i="7"/>
  <c r="O317" i="7"/>
  <c r="M317" i="7"/>
  <c r="L317" i="7"/>
  <c r="N317" i="7"/>
  <c r="K317" i="7"/>
  <c r="J317" i="7"/>
  <c r="I317" i="7"/>
  <c r="H317" i="7"/>
  <c r="G317" i="7"/>
  <c r="F317" i="7"/>
  <c r="E317" i="7"/>
  <c r="A317" i="7"/>
  <c r="U316" i="7"/>
  <c r="T316" i="7"/>
  <c r="R316" i="7"/>
  <c r="Q316" i="7"/>
  <c r="S316" i="7"/>
  <c r="P316" i="7"/>
  <c r="O316" i="7"/>
  <c r="M316" i="7"/>
  <c r="L316" i="7"/>
  <c r="N316" i="7"/>
  <c r="K316" i="7"/>
  <c r="J316" i="7"/>
  <c r="I316" i="7"/>
  <c r="H316" i="7"/>
  <c r="G316" i="7"/>
  <c r="F316" i="7"/>
  <c r="E316" i="7"/>
  <c r="A316" i="7"/>
  <c r="U315" i="7"/>
  <c r="T315" i="7"/>
  <c r="S315" i="7"/>
  <c r="R315" i="7"/>
  <c r="P315" i="7"/>
  <c r="O315" i="7"/>
  <c r="N315" i="7"/>
  <c r="M315" i="7"/>
  <c r="K315" i="7"/>
  <c r="I315" i="7"/>
  <c r="H315" i="7"/>
  <c r="G315" i="7"/>
  <c r="F315" i="7"/>
  <c r="E315" i="7"/>
  <c r="D315" i="7"/>
  <c r="A315" i="7"/>
  <c r="U314" i="7"/>
  <c r="T314" i="7"/>
  <c r="S314" i="7"/>
  <c r="R314" i="7"/>
  <c r="P314" i="7"/>
  <c r="O314" i="7"/>
  <c r="N314" i="7"/>
  <c r="M314" i="7"/>
  <c r="K314" i="7"/>
  <c r="I314" i="7"/>
  <c r="H314" i="7"/>
  <c r="G314" i="7"/>
  <c r="F314" i="7"/>
  <c r="E314" i="7"/>
  <c r="D314" i="7"/>
  <c r="A314" i="7"/>
  <c r="U313" i="7"/>
  <c r="T313" i="7"/>
  <c r="R313" i="7"/>
  <c r="Q313" i="7"/>
  <c r="S313" i="7"/>
  <c r="P313" i="7"/>
  <c r="O313" i="7"/>
  <c r="M313" i="7"/>
  <c r="L313" i="7"/>
  <c r="N313" i="7"/>
  <c r="K313" i="7"/>
  <c r="J313" i="7"/>
  <c r="I313" i="7"/>
  <c r="H313" i="7"/>
  <c r="G313" i="7"/>
  <c r="F313" i="7"/>
  <c r="E313" i="7"/>
  <c r="A313" i="7"/>
  <c r="U312" i="7"/>
  <c r="T312" i="7"/>
  <c r="R312" i="7"/>
  <c r="Q312" i="7"/>
  <c r="S312" i="7"/>
  <c r="P312" i="7"/>
  <c r="O312" i="7"/>
  <c r="M312" i="7"/>
  <c r="L312" i="7"/>
  <c r="N312" i="7"/>
  <c r="K312" i="7"/>
  <c r="J312" i="7"/>
  <c r="I312" i="7"/>
  <c r="H312" i="7"/>
  <c r="G312" i="7"/>
  <c r="F312" i="7"/>
  <c r="E312" i="7"/>
  <c r="A312" i="7"/>
  <c r="U311" i="7"/>
  <c r="T311" i="7"/>
  <c r="R311" i="7"/>
  <c r="Q311" i="7"/>
  <c r="S311" i="7"/>
  <c r="P311" i="7"/>
  <c r="O311" i="7"/>
  <c r="M311" i="7"/>
  <c r="L311" i="7"/>
  <c r="N311" i="7"/>
  <c r="K311" i="7"/>
  <c r="J311" i="7"/>
  <c r="I311" i="7"/>
  <c r="H311" i="7"/>
  <c r="G311" i="7"/>
  <c r="F311" i="7"/>
  <c r="E311" i="7"/>
  <c r="A311" i="7"/>
  <c r="U310" i="7"/>
  <c r="T310" i="7"/>
  <c r="R310" i="7"/>
  <c r="Q310" i="7"/>
  <c r="S310" i="7"/>
  <c r="P310" i="7"/>
  <c r="O310" i="7"/>
  <c r="M310" i="7"/>
  <c r="L310" i="7"/>
  <c r="N310" i="7"/>
  <c r="K310" i="7"/>
  <c r="J310" i="7"/>
  <c r="I310" i="7"/>
  <c r="H310" i="7"/>
  <c r="G310" i="7"/>
  <c r="F310" i="7"/>
  <c r="E310" i="7"/>
  <c r="A310" i="7"/>
  <c r="U309" i="7"/>
  <c r="T309" i="7"/>
  <c r="R309" i="7"/>
  <c r="Q309" i="7"/>
  <c r="S309" i="7"/>
  <c r="P309" i="7"/>
  <c r="O309" i="7"/>
  <c r="M309" i="7"/>
  <c r="L309" i="7"/>
  <c r="N309" i="7"/>
  <c r="K309" i="7"/>
  <c r="J309" i="7"/>
  <c r="I309" i="7"/>
  <c r="H309" i="7"/>
  <c r="G309" i="7"/>
  <c r="F309" i="7"/>
  <c r="E309" i="7"/>
  <c r="A309" i="7"/>
  <c r="U308" i="7"/>
  <c r="T308" i="7"/>
  <c r="R308" i="7"/>
  <c r="Q308" i="7"/>
  <c r="S308" i="7"/>
  <c r="P308" i="7"/>
  <c r="O308" i="7"/>
  <c r="M308" i="7"/>
  <c r="L308" i="7"/>
  <c r="N308" i="7"/>
  <c r="K308" i="7"/>
  <c r="J308" i="7"/>
  <c r="I308" i="7"/>
  <c r="H308" i="7"/>
  <c r="G308" i="7"/>
  <c r="F308" i="7"/>
  <c r="E308" i="7"/>
  <c r="A308" i="7"/>
  <c r="U307" i="7"/>
  <c r="T307" i="7"/>
  <c r="R307" i="7"/>
  <c r="Q307" i="7"/>
  <c r="S307" i="7"/>
  <c r="P307" i="7"/>
  <c r="O307" i="7"/>
  <c r="M307" i="7"/>
  <c r="L307" i="7"/>
  <c r="N307" i="7"/>
  <c r="K307" i="7"/>
  <c r="J307" i="7"/>
  <c r="I307" i="7"/>
  <c r="H307" i="7"/>
  <c r="G307" i="7"/>
  <c r="F307" i="7"/>
  <c r="E307" i="7"/>
  <c r="A307" i="7"/>
  <c r="U306" i="7"/>
  <c r="T306" i="7"/>
  <c r="S306" i="7"/>
  <c r="R306" i="7"/>
  <c r="P306" i="7"/>
  <c r="O306" i="7"/>
  <c r="N306" i="7"/>
  <c r="M306" i="7"/>
  <c r="K306" i="7"/>
  <c r="I306" i="7"/>
  <c r="H306" i="7"/>
  <c r="G306" i="7"/>
  <c r="F306" i="7"/>
  <c r="E306" i="7"/>
  <c r="D306" i="7"/>
  <c r="A306" i="7"/>
  <c r="U305" i="7"/>
  <c r="T305" i="7"/>
  <c r="R305" i="7"/>
  <c r="Q305" i="7"/>
  <c r="S305" i="7"/>
  <c r="P305" i="7"/>
  <c r="O305" i="7"/>
  <c r="M305" i="7"/>
  <c r="L305" i="7"/>
  <c r="N305" i="7"/>
  <c r="K305" i="7"/>
  <c r="J305" i="7"/>
  <c r="I305" i="7"/>
  <c r="H305" i="7"/>
  <c r="G305" i="7"/>
  <c r="F305" i="7"/>
  <c r="E305" i="7"/>
  <c r="A305" i="7"/>
  <c r="U304" i="7"/>
  <c r="T304" i="7"/>
  <c r="R304" i="7"/>
  <c r="Q304" i="7"/>
  <c r="S304" i="7"/>
  <c r="P304" i="7"/>
  <c r="O304" i="7"/>
  <c r="M304" i="7"/>
  <c r="L304" i="7"/>
  <c r="N304" i="7"/>
  <c r="K304" i="7"/>
  <c r="J304" i="7"/>
  <c r="I304" i="7"/>
  <c r="H304" i="7"/>
  <c r="G304" i="7"/>
  <c r="F304" i="7"/>
  <c r="E304" i="7"/>
  <c r="A304" i="7"/>
  <c r="U303" i="7"/>
  <c r="T303" i="7"/>
  <c r="R303" i="7"/>
  <c r="Q303" i="7"/>
  <c r="S303" i="7"/>
  <c r="P303" i="7"/>
  <c r="O303" i="7"/>
  <c r="M303" i="7"/>
  <c r="L303" i="7"/>
  <c r="N303" i="7"/>
  <c r="K303" i="7"/>
  <c r="J303" i="7"/>
  <c r="I303" i="7"/>
  <c r="H303" i="7"/>
  <c r="G303" i="7"/>
  <c r="F303" i="7"/>
  <c r="E303" i="7"/>
  <c r="A303" i="7"/>
  <c r="U302" i="7"/>
  <c r="T302" i="7"/>
  <c r="S302" i="7"/>
  <c r="R302" i="7"/>
  <c r="P302" i="7"/>
  <c r="O302" i="7"/>
  <c r="N302" i="7"/>
  <c r="M302" i="7"/>
  <c r="K302" i="7"/>
  <c r="I302" i="7"/>
  <c r="H302" i="7"/>
  <c r="G302" i="7"/>
  <c r="F302" i="7"/>
  <c r="E302" i="7"/>
  <c r="D302" i="7"/>
  <c r="A302" i="7"/>
  <c r="U301" i="7"/>
  <c r="T301" i="7"/>
  <c r="R301" i="7"/>
  <c r="Q301" i="7"/>
  <c r="S301" i="7"/>
  <c r="P301" i="7"/>
  <c r="O301" i="7"/>
  <c r="M301" i="7"/>
  <c r="L301" i="7"/>
  <c r="N301" i="7"/>
  <c r="K301" i="7"/>
  <c r="J301" i="7"/>
  <c r="I301" i="7"/>
  <c r="H301" i="7"/>
  <c r="G301" i="7"/>
  <c r="F301" i="7"/>
  <c r="E301" i="7"/>
  <c r="A301" i="7"/>
  <c r="U300" i="7"/>
  <c r="T300" i="7"/>
  <c r="R300" i="7"/>
  <c r="Q300" i="7"/>
  <c r="S300" i="7"/>
  <c r="P300" i="7"/>
  <c r="O300" i="7"/>
  <c r="M300" i="7"/>
  <c r="L300" i="7"/>
  <c r="N300" i="7"/>
  <c r="K300" i="7"/>
  <c r="J300" i="7"/>
  <c r="I300" i="7"/>
  <c r="H300" i="7"/>
  <c r="G300" i="7"/>
  <c r="F300" i="7"/>
  <c r="E300" i="7"/>
  <c r="A300" i="7"/>
  <c r="U299" i="7"/>
  <c r="T299" i="7"/>
  <c r="R299" i="7"/>
  <c r="Q299" i="7"/>
  <c r="S299" i="7"/>
  <c r="P299" i="7"/>
  <c r="O299" i="7"/>
  <c r="M299" i="7"/>
  <c r="L299" i="7"/>
  <c r="N299" i="7"/>
  <c r="K299" i="7"/>
  <c r="J299" i="7"/>
  <c r="I299" i="7"/>
  <c r="H299" i="7"/>
  <c r="G299" i="7"/>
  <c r="F299" i="7"/>
  <c r="E299" i="7"/>
  <c r="A299" i="7"/>
  <c r="U298" i="7"/>
  <c r="T298" i="7"/>
  <c r="R298" i="7"/>
  <c r="Q298" i="7"/>
  <c r="S298" i="7"/>
  <c r="P298" i="7"/>
  <c r="O298" i="7"/>
  <c r="M298" i="7"/>
  <c r="L298" i="7"/>
  <c r="N298" i="7"/>
  <c r="K298" i="7"/>
  <c r="J298" i="7"/>
  <c r="I298" i="7"/>
  <c r="H298" i="7"/>
  <c r="G298" i="7"/>
  <c r="F298" i="7"/>
  <c r="E298" i="7"/>
  <c r="A298" i="7"/>
  <c r="U297" i="7"/>
  <c r="T297" i="7"/>
  <c r="R297" i="7"/>
  <c r="Q297" i="7"/>
  <c r="S297" i="7"/>
  <c r="P297" i="7"/>
  <c r="O297" i="7"/>
  <c r="M297" i="7"/>
  <c r="L297" i="7"/>
  <c r="N297" i="7"/>
  <c r="K297" i="7"/>
  <c r="J297" i="7"/>
  <c r="I297" i="7"/>
  <c r="H297" i="7"/>
  <c r="G297" i="7"/>
  <c r="F297" i="7"/>
  <c r="E297" i="7"/>
  <c r="A297" i="7"/>
  <c r="U296" i="7"/>
  <c r="T296" i="7"/>
  <c r="R296" i="7"/>
  <c r="Q296" i="7"/>
  <c r="S296" i="7"/>
  <c r="P296" i="7"/>
  <c r="O296" i="7"/>
  <c r="M296" i="7"/>
  <c r="L296" i="7"/>
  <c r="N296" i="7"/>
  <c r="K296" i="7"/>
  <c r="J296" i="7"/>
  <c r="I296" i="7"/>
  <c r="H296" i="7"/>
  <c r="G296" i="7"/>
  <c r="F296" i="7"/>
  <c r="E296" i="7"/>
  <c r="A296" i="7"/>
  <c r="U295" i="7"/>
  <c r="T295" i="7"/>
  <c r="S295" i="7"/>
  <c r="R295" i="7"/>
  <c r="P295" i="7"/>
  <c r="O295" i="7"/>
  <c r="N295" i="7"/>
  <c r="M295" i="7"/>
  <c r="K295" i="7"/>
  <c r="I295" i="7"/>
  <c r="H295" i="7"/>
  <c r="G295" i="7"/>
  <c r="F295" i="7"/>
  <c r="E295" i="7"/>
  <c r="D295" i="7"/>
  <c r="A295" i="7"/>
  <c r="U294" i="7"/>
  <c r="T294" i="7"/>
  <c r="R294" i="7"/>
  <c r="Q294" i="7"/>
  <c r="S294" i="7"/>
  <c r="P294" i="7"/>
  <c r="O294" i="7"/>
  <c r="M294" i="7"/>
  <c r="L294" i="7"/>
  <c r="N294" i="7"/>
  <c r="K294" i="7"/>
  <c r="J294" i="7"/>
  <c r="I294" i="7"/>
  <c r="H294" i="7"/>
  <c r="G294" i="7"/>
  <c r="F294" i="7"/>
  <c r="E294" i="7"/>
  <c r="A294" i="7"/>
  <c r="U293" i="7"/>
  <c r="T293" i="7"/>
  <c r="R293" i="7"/>
  <c r="Q293" i="7"/>
  <c r="S293" i="7"/>
  <c r="P293" i="7"/>
  <c r="O293" i="7"/>
  <c r="M293" i="7"/>
  <c r="L293" i="7"/>
  <c r="N293" i="7"/>
  <c r="K293" i="7"/>
  <c r="J293" i="7"/>
  <c r="I293" i="7"/>
  <c r="H293" i="7"/>
  <c r="G293" i="7"/>
  <c r="F293" i="7"/>
  <c r="E293" i="7"/>
  <c r="A293" i="7"/>
  <c r="U292" i="7"/>
  <c r="T292" i="7"/>
  <c r="R292" i="7"/>
  <c r="Q292" i="7"/>
  <c r="S292" i="7"/>
  <c r="P292" i="7"/>
  <c r="O292" i="7"/>
  <c r="M292" i="7"/>
  <c r="L292" i="7"/>
  <c r="N292" i="7"/>
  <c r="K292" i="7"/>
  <c r="J292" i="7"/>
  <c r="I292" i="7"/>
  <c r="H292" i="7"/>
  <c r="G292" i="7"/>
  <c r="F292" i="7"/>
  <c r="E292" i="7"/>
  <c r="A292" i="7"/>
  <c r="U291" i="7"/>
  <c r="T291" i="7"/>
  <c r="R291" i="7"/>
  <c r="Q291" i="7"/>
  <c r="S291" i="7"/>
  <c r="P291" i="7"/>
  <c r="O291" i="7"/>
  <c r="M291" i="7"/>
  <c r="L291" i="7"/>
  <c r="N291" i="7"/>
  <c r="K291" i="7"/>
  <c r="J291" i="7"/>
  <c r="I291" i="7"/>
  <c r="H291" i="7"/>
  <c r="G291" i="7"/>
  <c r="F291" i="7"/>
  <c r="E291" i="7"/>
  <c r="A291" i="7"/>
  <c r="U290" i="7"/>
  <c r="T290" i="7"/>
  <c r="R290" i="7"/>
  <c r="Q290" i="7"/>
  <c r="S290" i="7"/>
  <c r="P290" i="7"/>
  <c r="O290" i="7"/>
  <c r="M290" i="7"/>
  <c r="L290" i="7"/>
  <c r="N290" i="7"/>
  <c r="K290" i="7"/>
  <c r="J290" i="7"/>
  <c r="I290" i="7"/>
  <c r="H290" i="7"/>
  <c r="G290" i="7"/>
  <c r="F290" i="7"/>
  <c r="E290" i="7"/>
  <c r="A290" i="7"/>
  <c r="U289" i="7"/>
  <c r="T289" i="7"/>
  <c r="R289" i="7"/>
  <c r="Q289" i="7"/>
  <c r="S289" i="7"/>
  <c r="P289" i="7"/>
  <c r="O289" i="7"/>
  <c r="M289" i="7"/>
  <c r="L289" i="7"/>
  <c r="N289" i="7"/>
  <c r="K289" i="7"/>
  <c r="J289" i="7"/>
  <c r="I289" i="7"/>
  <c r="H289" i="7"/>
  <c r="G289" i="7"/>
  <c r="F289" i="7"/>
  <c r="E289" i="7"/>
  <c r="A289" i="7"/>
  <c r="U288" i="7"/>
  <c r="T288" i="7"/>
  <c r="R288" i="7"/>
  <c r="Q288" i="7"/>
  <c r="S288" i="7"/>
  <c r="P288" i="7"/>
  <c r="O288" i="7"/>
  <c r="M288" i="7"/>
  <c r="L288" i="7"/>
  <c r="N288" i="7"/>
  <c r="K288" i="7"/>
  <c r="J288" i="7"/>
  <c r="I288" i="7"/>
  <c r="H288" i="7"/>
  <c r="G288" i="7"/>
  <c r="F288" i="7"/>
  <c r="E288" i="7"/>
  <c r="A288" i="7"/>
  <c r="U287" i="7"/>
  <c r="T287" i="7"/>
  <c r="S287" i="7"/>
  <c r="R287" i="7"/>
  <c r="P287" i="7"/>
  <c r="O287" i="7"/>
  <c r="N287" i="7"/>
  <c r="M287" i="7"/>
  <c r="K287" i="7"/>
  <c r="I287" i="7"/>
  <c r="H287" i="7"/>
  <c r="G287" i="7"/>
  <c r="F287" i="7"/>
  <c r="E287" i="7"/>
  <c r="D287" i="7"/>
  <c r="A287" i="7"/>
  <c r="U286" i="7"/>
  <c r="T286" i="7"/>
  <c r="S286" i="7"/>
  <c r="R286" i="7"/>
  <c r="P286" i="7"/>
  <c r="O286" i="7"/>
  <c r="N286" i="7"/>
  <c r="M286" i="7"/>
  <c r="K286" i="7"/>
  <c r="I286" i="7"/>
  <c r="H286" i="7"/>
  <c r="G286" i="7"/>
  <c r="F286" i="7"/>
  <c r="E286" i="7"/>
  <c r="D286" i="7"/>
  <c r="A286" i="7"/>
  <c r="U285" i="7"/>
  <c r="T285" i="7"/>
  <c r="R285" i="7"/>
  <c r="Q285" i="7"/>
  <c r="S285" i="7"/>
  <c r="P285" i="7"/>
  <c r="O285" i="7"/>
  <c r="M285" i="7"/>
  <c r="L285" i="7"/>
  <c r="N285" i="7"/>
  <c r="K285" i="7"/>
  <c r="J285" i="7"/>
  <c r="I285" i="7"/>
  <c r="H285" i="7"/>
  <c r="G285" i="7"/>
  <c r="F285" i="7"/>
  <c r="E285" i="7"/>
  <c r="A285" i="7"/>
  <c r="U284" i="7"/>
  <c r="T284" i="7"/>
  <c r="R284" i="7"/>
  <c r="Q284" i="7"/>
  <c r="S284" i="7"/>
  <c r="P284" i="7"/>
  <c r="O284" i="7"/>
  <c r="M284" i="7"/>
  <c r="L284" i="7"/>
  <c r="N284" i="7"/>
  <c r="K284" i="7"/>
  <c r="J284" i="7"/>
  <c r="I284" i="7"/>
  <c r="H284" i="7"/>
  <c r="G284" i="7"/>
  <c r="F284" i="7"/>
  <c r="E284" i="7"/>
  <c r="A284" i="7"/>
  <c r="U283" i="7"/>
  <c r="T283" i="7"/>
  <c r="R283" i="7"/>
  <c r="Q283" i="7"/>
  <c r="S283" i="7"/>
  <c r="P283" i="7"/>
  <c r="O283" i="7"/>
  <c r="M283" i="7"/>
  <c r="L283" i="7"/>
  <c r="N283" i="7"/>
  <c r="K283" i="7"/>
  <c r="J283" i="7"/>
  <c r="I283" i="7"/>
  <c r="H283" i="7"/>
  <c r="G283" i="7"/>
  <c r="F283" i="7"/>
  <c r="E283" i="7"/>
  <c r="A283" i="7"/>
  <c r="U282" i="7"/>
  <c r="T282" i="7"/>
  <c r="R282" i="7"/>
  <c r="Q282" i="7"/>
  <c r="S282" i="7"/>
  <c r="P282" i="7"/>
  <c r="O282" i="7"/>
  <c r="M282" i="7"/>
  <c r="L282" i="7"/>
  <c r="N282" i="7"/>
  <c r="K282" i="7"/>
  <c r="J282" i="7"/>
  <c r="I282" i="7"/>
  <c r="H282" i="7"/>
  <c r="G282" i="7"/>
  <c r="F282" i="7"/>
  <c r="E282" i="7"/>
  <c r="A282" i="7"/>
  <c r="U281" i="7"/>
  <c r="T281" i="7"/>
  <c r="R281" i="7"/>
  <c r="Q281" i="7"/>
  <c r="S281" i="7"/>
  <c r="P281" i="7"/>
  <c r="O281" i="7"/>
  <c r="M281" i="7"/>
  <c r="L281" i="7"/>
  <c r="N281" i="7"/>
  <c r="K281" i="7"/>
  <c r="J281" i="7"/>
  <c r="I281" i="7"/>
  <c r="H281" i="7"/>
  <c r="G281" i="7"/>
  <c r="F281" i="7"/>
  <c r="E281" i="7"/>
  <c r="A281" i="7"/>
  <c r="U280" i="7"/>
  <c r="T280" i="7"/>
  <c r="R280" i="7"/>
  <c r="Q280" i="7"/>
  <c r="S280" i="7"/>
  <c r="P280" i="7"/>
  <c r="O280" i="7"/>
  <c r="M280" i="7"/>
  <c r="L280" i="7"/>
  <c r="N280" i="7"/>
  <c r="K280" i="7"/>
  <c r="J280" i="7"/>
  <c r="I280" i="7"/>
  <c r="H280" i="7"/>
  <c r="G280" i="7"/>
  <c r="F280" i="7"/>
  <c r="E280" i="7"/>
  <c r="A280" i="7"/>
  <c r="U279" i="7"/>
  <c r="T279" i="7"/>
  <c r="R279" i="7"/>
  <c r="Q279" i="7"/>
  <c r="S279" i="7"/>
  <c r="P279" i="7"/>
  <c r="O279" i="7"/>
  <c r="M279" i="7"/>
  <c r="L279" i="7"/>
  <c r="N279" i="7"/>
  <c r="K279" i="7"/>
  <c r="J279" i="7"/>
  <c r="I279" i="7"/>
  <c r="H279" i="7"/>
  <c r="G279" i="7"/>
  <c r="F279" i="7"/>
  <c r="E279" i="7"/>
  <c r="A279" i="7"/>
  <c r="U278" i="7"/>
  <c r="T278" i="7"/>
  <c r="R278" i="7"/>
  <c r="Q278" i="7"/>
  <c r="S278" i="7"/>
  <c r="P278" i="7"/>
  <c r="O278" i="7"/>
  <c r="M278" i="7"/>
  <c r="L278" i="7"/>
  <c r="N278" i="7"/>
  <c r="K278" i="7"/>
  <c r="J278" i="7"/>
  <c r="I278" i="7"/>
  <c r="H278" i="7"/>
  <c r="G278" i="7"/>
  <c r="F278" i="7"/>
  <c r="E278" i="7"/>
  <c r="A278" i="7"/>
  <c r="U277" i="7"/>
  <c r="T277" i="7"/>
  <c r="R277" i="7"/>
  <c r="Q277" i="7"/>
  <c r="S277" i="7"/>
  <c r="P277" i="7"/>
  <c r="O277" i="7"/>
  <c r="M277" i="7"/>
  <c r="L277" i="7"/>
  <c r="N277" i="7"/>
  <c r="K277" i="7"/>
  <c r="J277" i="7"/>
  <c r="I277" i="7"/>
  <c r="H277" i="7"/>
  <c r="G277" i="7"/>
  <c r="F277" i="7"/>
  <c r="E277" i="7"/>
  <c r="A277" i="7"/>
  <c r="U276" i="7"/>
  <c r="T276" i="7"/>
  <c r="R276" i="7"/>
  <c r="Q276" i="7"/>
  <c r="S276" i="7"/>
  <c r="P276" i="7"/>
  <c r="O276" i="7"/>
  <c r="M276" i="7"/>
  <c r="L276" i="7"/>
  <c r="N276" i="7"/>
  <c r="K276" i="7"/>
  <c r="J276" i="7"/>
  <c r="I276" i="7"/>
  <c r="H276" i="7"/>
  <c r="G276" i="7"/>
  <c r="F276" i="7"/>
  <c r="E276" i="7"/>
  <c r="A276" i="7"/>
  <c r="U275" i="7"/>
  <c r="T275" i="7"/>
  <c r="R275" i="7"/>
  <c r="Q275" i="7"/>
  <c r="S275" i="7"/>
  <c r="P275" i="7"/>
  <c r="O275" i="7"/>
  <c r="M275" i="7"/>
  <c r="L275" i="7"/>
  <c r="N275" i="7"/>
  <c r="K275" i="7"/>
  <c r="J275" i="7"/>
  <c r="I275" i="7"/>
  <c r="H275" i="7"/>
  <c r="G275" i="7"/>
  <c r="F275" i="7"/>
  <c r="E275" i="7"/>
  <c r="A275" i="7"/>
  <c r="U274" i="7"/>
  <c r="T274" i="7"/>
  <c r="R274" i="7"/>
  <c r="Q274" i="7"/>
  <c r="S274" i="7"/>
  <c r="P274" i="7"/>
  <c r="O274" i="7"/>
  <c r="M274" i="7"/>
  <c r="L274" i="7"/>
  <c r="N274" i="7"/>
  <c r="K274" i="7"/>
  <c r="J274" i="7"/>
  <c r="I274" i="7"/>
  <c r="H274" i="7"/>
  <c r="G274" i="7"/>
  <c r="F274" i="7"/>
  <c r="E274" i="7"/>
  <c r="A274" i="7"/>
  <c r="U273" i="7"/>
  <c r="T273" i="7"/>
  <c r="S273" i="7"/>
  <c r="R273" i="7"/>
  <c r="P273" i="7"/>
  <c r="O273" i="7"/>
  <c r="N273" i="7"/>
  <c r="M273" i="7"/>
  <c r="K273" i="7"/>
  <c r="I273" i="7"/>
  <c r="H273" i="7"/>
  <c r="G273" i="7"/>
  <c r="F273" i="7"/>
  <c r="E273" i="7"/>
  <c r="D273" i="7"/>
  <c r="A273" i="7"/>
  <c r="U272" i="7"/>
  <c r="T272" i="7"/>
  <c r="S272" i="7"/>
  <c r="R272" i="7"/>
  <c r="P272" i="7"/>
  <c r="O272" i="7"/>
  <c r="N272" i="7"/>
  <c r="M272" i="7"/>
  <c r="K272" i="7"/>
  <c r="I272" i="7"/>
  <c r="H272" i="7"/>
  <c r="G272" i="7"/>
  <c r="F272" i="7"/>
  <c r="E272" i="7"/>
  <c r="D272" i="7"/>
  <c r="A272" i="7"/>
  <c r="U271" i="7"/>
  <c r="T271" i="7"/>
  <c r="R271" i="7"/>
  <c r="Q271" i="7"/>
  <c r="S271" i="7"/>
  <c r="P271" i="7"/>
  <c r="O271" i="7"/>
  <c r="M271" i="7"/>
  <c r="L271" i="7"/>
  <c r="N271" i="7"/>
  <c r="K271" i="7"/>
  <c r="J271" i="7"/>
  <c r="I271" i="7"/>
  <c r="H271" i="7"/>
  <c r="G271" i="7"/>
  <c r="F271" i="7"/>
  <c r="E271" i="7"/>
  <c r="A271" i="7"/>
  <c r="U270" i="7"/>
  <c r="T270" i="7"/>
  <c r="R270" i="7"/>
  <c r="Q270" i="7"/>
  <c r="S270" i="7"/>
  <c r="P270" i="7"/>
  <c r="O270" i="7"/>
  <c r="M270" i="7"/>
  <c r="L270" i="7"/>
  <c r="N270" i="7"/>
  <c r="K270" i="7"/>
  <c r="J270" i="7"/>
  <c r="I270" i="7"/>
  <c r="H270" i="7"/>
  <c r="G270" i="7"/>
  <c r="F270" i="7"/>
  <c r="E270" i="7"/>
  <c r="A270" i="7"/>
  <c r="U269" i="7"/>
  <c r="T269" i="7"/>
  <c r="S269" i="7"/>
  <c r="R269" i="7"/>
  <c r="P269" i="7"/>
  <c r="O269" i="7"/>
  <c r="N269" i="7"/>
  <c r="M269" i="7"/>
  <c r="K269" i="7"/>
  <c r="I269" i="7"/>
  <c r="H269" i="7"/>
  <c r="G269" i="7"/>
  <c r="F269" i="7"/>
  <c r="E269" i="7"/>
  <c r="D269" i="7"/>
  <c r="A269" i="7"/>
  <c r="U268" i="7"/>
  <c r="T268" i="7"/>
  <c r="S268" i="7"/>
  <c r="R268" i="7"/>
  <c r="P268" i="7"/>
  <c r="O268" i="7"/>
  <c r="N268" i="7"/>
  <c r="M268" i="7"/>
  <c r="K268" i="7"/>
  <c r="I268" i="7"/>
  <c r="H268" i="7"/>
  <c r="G268" i="7"/>
  <c r="F268" i="7"/>
  <c r="E268" i="7"/>
  <c r="D268" i="7"/>
  <c r="A268" i="7"/>
  <c r="U267" i="7"/>
  <c r="T267" i="7"/>
  <c r="R267" i="7"/>
  <c r="Q267" i="7"/>
  <c r="S267" i="7"/>
  <c r="P267" i="7"/>
  <c r="O267" i="7"/>
  <c r="M267" i="7"/>
  <c r="L267" i="7"/>
  <c r="N267" i="7"/>
  <c r="K267" i="7"/>
  <c r="J267" i="7"/>
  <c r="I267" i="7"/>
  <c r="H267" i="7"/>
  <c r="G267" i="7"/>
  <c r="F267" i="7"/>
  <c r="E267" i="7"/>
  <c r="A267" i="7"/>
  <c r="U266" i="7"/>
  <c r="T266" i="7"/>
  <c r="R266" i="7"/>
  <c r="Q266" i="7"/>
  <c r="S266" i="7"/>
  <c r="P266" i="7"/>
  <c r="O266" i="7"/>
  <c r="M266" i="7"/>
  <c r="L266" i="7"/>
  <c r="N266" i="7"/>
  <c r="K266" i="7"/>
  <c r="J266" i="7"/>
  <c r="I266" i="7"/>
  <c r="H266" i="7"/>
  <c r="G266" i="7"/>
  <c r="F266" i="7"/>
  <c r="E266" i="7"/>
  <c r="A266" i="7"/>
  <c r="U265" i="7"/>
  <c r="T265" i="7"/>
  <c r="R265" i="7"/>
  <c r="Q265" i="7"/>
  <c r="S265" i="7"/>
  <c r="P265" i="7"/>
  <c r="O265" i="7"/>
  <c r="M265" i="7"/>
  <c r="L265" i="7"/>
  <c r="N265" i="7"/>
  <c r="K265" i="7"/>
  <c r="J265" i="7"/>
  <c r="I265" i="7"/>
  <c r="H265" i="7"/>
  <c r="G265" i="7"/>
  <c r="F265" i="7"/>
  <c r="E265" i="7"/>
  <c r="A265" i="7"/>
  <c r="U264" i="7"/>
  <c r="T264" i="7"/>
  <c r="R264" i="7"/>
  <c r="Q264" i="7"/>
  <c r="S264" i="7"/>
  <c r="P264" i="7"/>
  <c r="O264" i="7"/>
  <c r="M264" i="7"/>
  <c r="L264" i="7"/>
  <c r="N264" i="7"/>
  <c r="K264" i="7"/>
  <c r="J264" i="7"/>
  <c r="I264" i="7"/>
  <c r="H264" i="7"/>
  <c r="G264" i="7"/>
  <c r="F264" i="7"/>
  <c r="E264" i="7"/>
  <c r="A264" i="7"/>
  <c r="U263" i="7"/>
  <c r="T263" i="7"/>
  <c r="R263" i="7"/>
  <c r="Q263" i="7"/>
  <c r="S263" i="7"/>
  <c r="P263" i="7"/>
  <c r="O263" i="7"/>
  <c r="M263" i="7"/>
  <c r="L263" i="7"/>
  <c r="N263" i="7"/>
  <c r="K263" i="7"/>
  <c r="J263" i="7"/>
  <c r="I263" i="7"/>
  <c r="H263" i="7"/>
  <c r="G263" i="7"/>
  <c r="F263" i="7"/>
  <c r="E263" i="7"/>
  <c r="A263" i="7"/>
  <c r="U262" i="7"/>
  <c r="T262" i="7"/>
  <c r="R262" i="7"/>
  <c r="Q262" i="7"/>
  <c r="S262" i="7"/>
  <c r="P262" i="7"/>
  <c r="O262" i="7"/>
  <c r="M262" i="7"/>
  <c r="L262" i="7"/>
  <c r="N262" i="7"/>
  <c r="K262" i="7"/>
  <c r="J262" i="7"/>
  <c r="I262" i="7"/>
  <c r="H262" i="7"/>
  <c r="G262" i="7"/>
  <c r="F262" i="7"/>
  <c r="E262" i="7"/>
  <c r="A262" i="7"/>
  <c r="U261" i="7"/>
  <c r="T261" i="7"/>
  <c r="R261" i="7"/>
  <c r="Q261" i="7"/>
  <c r="S261" i="7"/>
  <c r="P261" i="7"/>
  <c r="O261" i="7"/>
  <c r="M261" i="7"/>
  <c r="L261" i="7"/>
  <c r="N261" i="7"/>
  <c r="K261" i="7"/>
  <c r="J261" i="7"/>
  <c r="I261" i="7"/>
  <c r="H261" i="7"/>
  <c r="G261" i="7"/>
  <c r="F261" i="7"/>
  <c r="E261" i="7"/>
  <c r="A261" i="7"/>
  <c r="U260" i="7"/>
  <c r="T260" i="7"/>
  <c r="R260" i="7"/>
  <c r="Q260" i="7"/>
  <c r="S260" i="7"/>
  <c r="P260" i="7"/>
  <c r="O260" i="7"/>
  <c r="M260" i="7"/>
  <c r="L260" i="7"/>
  <c r="N260" i="7"/>
  <c r="K260" i="7"/>
  <c r="J260" i="7"/>
  <c r="I260" i="7"/>
  <c r="H260" i="7"/>
  <c r="G260" i="7"/>
  <c r="F260" i="7"/>
  <c r="E260" i="7"/>
  <c r="A260" i="7"/>
  <c r="U259" i="7"/>
  <c r="T259" i="7"/>
  <c r="R259" i="7"/>
  <c r="Q259" i="7"/>
  <c r="S259" i="7"/>
  <c r="P259" i="7"/>
  <c r="O259" i="7"/>
  <c r="M259" i="7"/>
  <c r="L259" i="7"/>
  <c r="N259" i="7"/>
  <c r="K259" i="7"/>
  <c r="J259" i="7"/>
  <c r="I259" i="7"/>
  <c r="H259" i="7"/>
  <c r="G259" i="7"/>
  <c r="F259" i="7"/>
  <c r="E259" i="7"/>
  <c r="A259" i="7"/>
  <c r="U258" i="7"/>
  <c r="T258" i="7"/>
  <c r="R258" i="7"/>
  <c r="Q258" i="7"/>
  <c r="S258" i="7"/>
  <c r="P258" i="7"/>
  <c r="O258" i="7"/>
  <c r="M258" i="7"/>
  <c r="L258" i="7"/>
  <c r="N258" i="7"/>
  <c r="K258" i="7"/>
  <c r="J258" i="7"/>
  <c r="I258" i="7"/>
  <c r="H258" i="7"/>
  <c r="G258" i="7"/>
  <c r="F258" i="7"/>
  <c r="E258" i="7"/>
  <c r="A258" i="7"/>
  <c r="U257" i="7"/>
  <c r="T257" i="7"/>
  <c r="R257" i="7"/>
  <c r="Q257" i="7"/>
  <c r="S257" i="7"/>
  <c r="P257" i="7"/>
  <c r="O257" i="7"/>
  <c r="M257" i="7"/>
  <c r="L257" i="7"/>
  <c r="N257" i="7"/>
  <c r="K257" i="7"/>
  <c r="J257" i="7"/>
  <c r="I257" i="7"/>
  <c r="H257" i="7"/>
  <c r="G257" i="7"/>
  <c r="F257" i="7"/>
  <c r="E257" i="7"/>
  <c r="A257" i="7"/>
  <c r="U256" i="7"/>
  <c r="T256" i="7"/>
  <c r="R256" i="7"/>
  <c r="Q256" i="7"/>
  <c r="S256" i="7"/>
  <c r="P256" i="7"/>
  <c r="O256" i="7"/>
  <c r="M256" i="7"/>
  <c r="L256" i="7"/>
  <c r="N256" i="7"/>
  <c r="K256" i="7"/>
  <c r="J256" i="7"/>
  <c r="I256" i="7"/>
  <c r="H256" i="7"/>
  <c r="G256" i="7"/>
  <c r="F256" i="7"/>
  <c r="E256" i="7"/>
  <c r="A256" i="7"/>
  <c r="U255" i="7"/>
  <c r="T255" i="7"/>
  <c r="S255" i="7"/>
  <c r="R255" i="7"/>
  <c r="P255" i="7"/>
  <c r="O255" i="7"/>
  <c r="N255" i="7"/>
  <c r="M255" i="7"/>
  <c r="K255" i="7"/>
  <c r="I255" i="7"/>
  <c r="H255" i="7"/>
  <c r="G255" i="7"/>
  <c r="F255" i="7"/>
  <c r="E255" i="7"/>
  <c r="D255" i="7"/>
  <c r="A255" i="7"/>
  <c r="U254" i="7"/>
  <c r="T254" i="7"/>
  <c r="R254" i="7"/>
  <c r="Q254" i="7"/>
  <c r="S254" i="7"/>
  <c r="P254" i="7"/>
  <c r="O254" i="7"/>
  <c r="M254" i="7"/>
  <c r="L254" i="7"/>
  <c r="N254" i="7"/>
  <c r="K254" i="7"/>
  <c r="J254" i="7"/>
  <c r="I254" i="7"/>
  <c r="H254" i="7"/>
  <c r="G254" i="7"/>
  <c r="F254" i="7"/>
  <c r="E254" i="7"/>
  <c r="A254" i="7"/>
  <c r="U253" i="7"/>
  <c r="T253" i="7"/>
  <c r="R253" i="7"/>
  <c r="Q253" i="7"/>
  <c r="S253" i="7"/>
  <c r="P253" i="7"/>
  <c r="O253" i="7"/>
  <c r="M253" i="7"/>
  <c r="L253" i="7"/>
  <c r="N253" i="7"/>
  <c r="K253" i="7"/>
  <c r="J253" i="7"/>
  <c r="I253" i="7"/>
  <c r="H253" i="7"/>
  <c r="G253" i="7"/>
  <c r="F253" i="7"/>
  <c r="E253" i="7"/>
  <c r="A253" i="7"/>
  <c r="U252" i="7"/>
  <c r="T252" i="7"/>
  <c r="R252" i="7"/>
  <c r="Q252" i="7"/>
  <c r="S252" i="7"/>
  <c r="P252" i="7"/>
  <c r="O252" i="7"/>
  <c r="M252" i="7"/>
  <c r="L252" i="7"/>
  <c r="N252" i="7"/>
  <c r="K252" i="7"/>
  <c r="J252" i="7"/>
  <c r="I252" i="7"/>
  <c r="H252" i="7"/>
  <c r="G252" i="7"/>
  <c r="F252" i="7"/>
  <c r="E252" i="7"/>
  <c r="A252" i="7"/>
  <c r="U251" i="7"/>
  <c r="T251" i="7"/>
  <c r="R251" i="7"/>
  <c r="Q251" i="7"/>
  <c r="S251" i="7"/>
  <c r="P251" i="7"/>
  <c r="O251" i="7"/>
  <c r="M251" i="7"/>
  <c r="L251" i="7"/>
  <c r="N251" i="7"/>
  <c r="K251" i="7"/>
  <c r="J251" i="7"/>
  <c r="I251" i="7"/>
  <c r="H251" i="7"/>
  <c r="G251" i="7"/>
  <c r="F251" i="7"/>
  <c r="E251" i="7"/>
  <c r="A251" i="7"/>
  <c r="U250" i="7"/>
  <c r="T250" i="7"/>
  <c r="R250" i="7"/>
  <c r="Q250" i="7"/>
  <c r="S250" i="7"/>
  <c r="P250" i="7"/>
  <c r="O250" i="7"/>
  <c r="M250" i="7"/>
  <c r="L250" i="7"/>
  <c r="N250" i="7"/>
  <c r="K250" i="7"/>
  <c r="J250" i="7"/>
  <c r="I250" i="7"/>
  <c r="H250" i="7"/>
  <c r="G250" i="7"/>
  <c r="F250" i="7"/>
  <c r="E250" i="7"/>
  <c r="A250" i="7"/>
  <c r="U249" i="7"/>
  <c r="T249" i="7"/>
  <c r="R249" i="7"/>
  <c r="Q249" i="7"/>
  <c r="S249" i="7"/>
  <c r="P249" i="7"/>
  <c r="O249" i="7"/>
  <c r="M249" i="7"/>
  <c r="L249" i="7"/>
  <c r="N249" i="7"/>
  <c r="K249" i="7"/>
  <c r="J249" i="7"/>
  <c r="I249" i="7"/>
  <c r="H249" i="7"/>
  <c r="G249" i="7"/>
  <c r="F249" i="7"/>
  <c r="E249" i="7"/>
  <c r="A249" i="7"/>
  <c r="U248" i="7"/>
  <c r="T248" i="7"/>
  <c r="R248" i="7"/>
  <c r="Q248" i="7"/>
  <c r="S248" i="7"/>
  <c r="P248" i="7"/>
  <c r="O248" i="7"/>
  <c r="M248" i="7"/>
  <c r="L248" i="7"/>
  <c r="N248" i="7"/>
  <c r="K248" i="7"/>
  <c r="J248" i="7"/>
  <c r="I248" i="7"/>
  <c r="H248" i="7"/>
  <c r="G248" i="7"/>
  <c r="F248" i="7"/>
  <c r="E248" i="7"/>
  <c r="A248" i="7"/>
  <c r="U247" i="7"/>
  <c r="T247" i="7"/>
  <c r="R247" i="7"/>
  <c r="Q247" i="7"/>
  <c r="S247" i="7"/>
  <c r="P247" i="7"/>
  <c r="O247" i="7"/>
  <c r="M247" i="7"/>
  <c r="L247" i="7"/>
  <c r="N247" i="7"/>
  <c r="K247" i="7"/>
  <c r="J247" i="7"/>
  <c r="I247" i="7"/>
  <c r="H247" i="7"/>
  <c r="G247" i="7"/>
  <c r="F247" i="7"/>
  <c r="E247" i="7"/>
  <c r="A247" i="7"/>
  <c r="U246" i="7"/>
  <c r="T246" i="7"/>
  <c r="S246" i="7"/>
  <c r="R246" i="7"/>
  <c r="P246" i="7"/>
  <c r="O246" i="7"/>
  <c r="N246" i="7"/>
  <c r="M246" i="7"/>
  <c r="K246" i="7"/>
  <c r="I246" i="7"/>
  <c r="H246" i="7"/>
  <c r="G246" i="7"/>
  <c r="F246" i="7"/>
  <c r="E246" i="7"/>
  <c r="D246" i="7"/>
  <c r="A246" i="7"/>
  <c r="U245" i="7"/>
  <c r="T245" i="7"/>
  <c r="R245" i="7"/>
  <c r="Q245" i="7"/>
  <c r="S245" i="7"/>
  <c r="P245" i="7"/>
  <c r="O245" i="7"/>
  <c r="M245" i="7"/>
  <c r="L245" i="7"/>
  <c r="N245" i="7"/>
  <c r="K245" i="7"/>
  <c r="J245" i="7"/>
  <c r="I245" i="7"/>
  <c r="H245" i="7"/>
  <c r="G245" i="7"/>
  <c r="F245" i="7"/>
  <c r="E245" i="7"/>
  <c r="A245" i="7"/>
  <c r="U244" i="7"/>
  <c r="T244" i="7"/>
  <c r="R244" i="7"/>
  <c r="Q244" i="7"/>
  <c r="S244" i="7"/>
  <c r="P244" i="7"/>
  <c r="O244" i="7"/>
  <c r="M244" i="7"/>
  <c r="L244" i="7"/>
  <c r="N244" i="7"/>
  <c r="K244" i="7"/>
  <c r="J244" i="7"/>
  <c r="I244" i="7"/>
  <c r="H244" i="7"/>
  <c r="G244" i="7"/>
  <c r="F244" i="7"/>
  <c r="E244" i="7"/>
  <c r="A244" i="7"/>
  <c r="U243" i="7"/>
  <c r="T243" i="7"/>
  <c r="R243" i="7"/>
  <c r="Q243" i="7"/>
  <c r="S243" i="7"/>
  <c r="P243" i="7"/>
  <c r="O243" i="7"/>
  <c r="M243" i="7"/>
  <c r="L243" i="7"/>
  <c r="N243" i="7"/>
  <c r="K243" i="7"/>
  <c r="J243" i="7"/>
  <c r="I243" i="7"/>
  <c r="H243" i="7"/>
  <c r="G243" i="7"/>
  <c r="F243" i="7"/>
  <c r="E243" i="7"/>
  <c r="A243" i="7"/>
  <c r="U242" i="7"/>
  <c r="T242" i="7"/>
  <c r="R242" i="7"/>
  <c r="Q242" i="7"/>
  <c r="S242" i="7"/>
  <c r="P242" i="7"/>
  <c r="O242" i="7"/>
  <c r="M242" i="7"/>
  <c r="L242" i="7"/>
  <c r="N242" i="7"/>
  <c r="K242" i="7"/>
  <c r="J242" i="7"/>
  <c r="I242" i="7"/>
  <c r="H242" i="7"/>
  <c r="G242" i="7"/>
  <c r="F242" i="7"/>
  <c r="E242" i="7"/>
  <c r="A242" i="7"/>
  <c r="U241" i="7"/>
  <c r="T241" i="7"/>
  <c r="R241" i="7"/>
  <c r="Q241" i="7"/>
  <c r="S241" i="7"/>
  <c r="P241" i="7"/>
  <c r="O241" i="7"/>
  <c r="M241" i="7"/>
  <c r="L241" i="7"/>
  <c r="N241" i="7"/>
  <c r="K241" i="7"/>
  <c r="J241" i="7"/>
  <c r="I241" i="7"/>
  <c r="H241" i="7"/>
  <c r="G241" i="7"/>
  <c r="F241" i="7"/>
  <c r="E241" i="7"/>
  <c r="A241" i="7"/>
  <c r="U240" i="7"/>
  <c r="T240" i="7"/>
  <c r="R240" i="7"/>
  <c r="Q240" i="7"/>
  <c r="S240" i="7"/>
  <c r="P240" i="7"/>
  <c r="O240" i="7"/>
  <c r="M240" i="7"/>
  <c r="L240" i="7"/>
  <c r="N240" i="7"/>
  <c r="K240" i="7"/>
  <c r="J240" i="7"/>
  <c r="I240" i="7"/>
  <c r="H240" i="7"/>
  <c r="G240" i="7"/>
  <c r="F240" i="7"/>
  <c r="E240" i="7"/>
  <c r="A240" i="7"/>
  <c r="U239" i="7"/>
  <c r="T239" i="7"/>
  <c r="R239" i="7"/>
  <c r="Q239" i="7"/>
  <c r="S239" i="7"/>
  <c r="P239" i="7"/>
  <c r="O239" i="7"/>
  <c r="M239" i="7"/>
  <c r="L239" i="7"/>
  <c r="N239" i="7"/>
  <c r="K239" i="7"/>
  <c r="J239" i="7"/>
  <c r="I239" i="7"/>
  <c r="H239" i="7"/>
  <c r="G239" i="7"/>
  <c r="F239" i="7"/>
  <c r="E239" i="7"/>
  <c r="A239" i="7"/>
  <c r="U238" i="7"/>
  <c r="T238" i="7"/>
  <c r="R238" i="7"/>
  <c r="Q238" i="7"/>
  <c r="S238" i="7"/>
  <c r="P238" i="7"/>
  <c r="O238" i="7"/>
  <c r="M238" i="7"/>
  <c r="L238" i="7"/>
  <c r="N238" i="7"/>
  <c r="K238" i="7"/>
  <c r="J238" i="7"/>
  <c r="I238" i="7"/>
  <c r="H238" i="7"/>
  <c r="G238" i="7"/>
  <c r="F238" i="7"/>
  <c r="E238" i="7"/>
  <c r="A238" i="7"/>
  <c r="U237" i="7"/>
  <c r="T237" i="7"/>
  <c r="R237" i="7"/>
  <c r="Q237" i="7"/>
  <c r="S237" i="7"/>
  <c r="P237" i="7"/>
  <c r="O237" i="7"/>
  <c r="M237" i="7"/>
  <c r="L237" i="7"/>
  <c r="N237" i="7"/>
  <c r="K237" i="7"/>
  <c r="J237" i="7"/>
  <c r="I237" i="7"/>
  <c r="H237" i="7"/>
  <c r="G237" i="7"/>
  <c r="F237" i="7"/>
  <c r="E237" i="7"/>
  <c r="A237" i="7"/>
  <c r="U236" i="7"/>
  <c r="T236" i="7"/>
  <c r="R236" i="7"/>
  <c r="Q236" i="7"/>
  <c r="S236" i="7"/>
  <c r="P236" i="7"/>
  <c r="O236" i="7"/>
  <c r="M236" i="7"/>
  <c r="L236" i="7"/>
  <c r="N236" i="7"/>
  <c r="K236" i="7"/>
  <c r="J236" i="7"/>
  <c r="I236" i="7"/>
  <c r="H236" i="7"/>
  <c r="G236" i="7"/>
  <c r="F236" i="7"/>
  <c r="E236" i="7"/>
  <c r="A236" i="7"/>
  <c r="U235" i="7"/>
  <c r="T235" i="7"/>
  <c r="R235" i="7"/>
  <c r="Q235" i="7"/>
  <c r="S235" i="7"/>
  <c r="P235" i="7"/>
  <c r="O235" i="7"/>
  <c r="M235" i="7"/>
  <c r="L235" i="7"/>
  <c r="N235" i="7"/>
  <c r="K235" i="7"/>
  <c r="J235" i="7"/>
  <c r="I235" i="7"/>
  <c r="H235" i="7"/>
  <c r="G235" i="7"/>
  <c r="F235" i="7"/>
  <c r="E235" i="7"/>
  <c r="A235" i="7"/>
  <c r="U234" i="7"/>
  <c r="T234" i="7"/>
  <c r="R234" i="7"/>
  <c r="Q234" i="7"/>
  <c r="S234" i="7"/>
  <c r="P234" i="7"/>
  <c r="O234" i="7"/>
  <c r="M234" i="7"/>
  <c r="L234" i="7"/>
  <c r="N234" i="7"/>
  <c r="K234" i="7"/>
  <c r="J234" i="7"/>
  <c r="I234" i="7"/>
  <c r="H234" i="7"/>
  <c r="G234" i="7"/>
  <c r="F234" i="7"/>
  <c r="E234" i="7"/>
  <c r="A234" i="7"/>
  <c r="U233" i="7"/>
  <c r="T233" i="7"/>
  <c r="R233" i="7"/>
  <c r="Q233" i="7"/>
  <c r="S233" i="7"/>
  <c r="P233" i="7"/>
  <c r="O233" i="7"/>
  <c r="M233" i="7"/>
  <c r="L233" i="7"/>
  <c r="N233" i="7"/>
  <c r="K233" i="7"/>
  <c r="J233" i="7"/>
  <c r="I233" i="7"/>
  <c r="H233" i="7"/>
  <c r="G233" i="7"/>
  <c r="F233" i="7"/>
  <c r="E233" i="7"/>
  <c r="A233" i="7"/>
  <c r="U232" i="7"/>
  <c r="T232" i="7"/>
  <c r="R232" i="7"/>
  <c r="Q232" i="7"/>
  <c r="S232" i="7"/>
  <c r="P232" i="7"/>
  <c r="O232" i="7"/>
  <c r="M232" i="7"/>
  <c r="L232" i="7"/>
  <c r="N232" i="7"/>
  <c r="K232" i="7"/>
  <c r="J232" i="7"/>
  <c r="I232" i="7"/>
  <c r="H232" i="7"/>
  <c r="G232" i="7"/>
  <c r="F232" i="7"/>
  <c r="E232" i="7"/>
  <c r="A232" i="7"/>
  <c r="U231" i="7"/>
  <c r="T231" i="7"/>
  <c r="R231" i="7"/>
  <c r="Q231" i="7"/>
  <c r="S231" i="7"/>
  <c r="P231" i="7"/>
  <c r="O231" i="7"/>
  <c r="M231" i="7"/>
  <c r="L231" i="7"/>
  <c r="N231" i="7"/>
  <c r="K231" i="7"/>
  <c r="J231" i="7"/>
  <c r="I231" i="7"/>
  <c r="H231" i="7"/>
  <c r="G231" i="7"/>
  <c r="F231" i="7"/>
  <c r="E231" i="7"/>
  <c r="A231" i="7"/>
  <c r="U230" i="7"/>
  <c r="T230" i="7"/>
  <c r="R230" i="7"/>
  <c r="Q230" i="7"/>
  <c r="S230" i="7"/>
  <c r="P230" i="7"/>
  <c r="O230" i="7"/>
  <c r="M230" i="7"/>
  <c r="L230" i="7"/>
  <c r="N230" i="7"/>
  <c r="K230" i="7"/>
  <c r="J230" i="7"/>
  <c r="I230" i="7"/>
  <c r="H230" i="7"/>
  <c r="G230" i="7"/>
  <c r="F230" i="7"/>
  <c r="E230" i="7"/>
  <c r="A230" i="7"/>
  <c r="U229" i="7"/>
  <c r="T229" i="7"/>
  <c r="R229" i="7"/>
  <c r="Q229" i="7"/>
  <c r="S229" i="7"/>
  <c r="P229" i="7"/>
  <c r="O229" i="7"/>
  <c r="M229" i="7"/>
  <c r="L229" i="7"/>
  <c r="N229" i="7"/>
  <c r="K229" i="7"/>
  <c r="J229" i="7"/>
  <c r="I229" i="7"/>
  <c r="H229" i="7"/>
  <c r="G229" i="7"/>
  <c r="F229" i="7"/>
  <c r="E229" i="7"/>
  <c r="A229" i="7"/>
  <c r="U228" i="7"/>
  <c r="T228" i="7"/>
  <c r="R228" i="7"/>
  <c r="Q228" i="7"/>
  <c r="S228" i="7"/>
  <c r="P228" i="7"/>
  <c r="O228" i="7"/>
  <c r="M228" i="7"/>
  <c r="L228" i="7"/>
  <c r="N228" i="7"/>
  <c r="K228" i="7"/>
  <c r="J228" i="7"/>
  <c r="I228" i="7"/>
  <c r="H228" i="7"/>
  <c r="G228" i="7"/>
  <c r="F228" i="7"/>
  <c r="E228" i="7"/>
  <c r="A228" i="7"/>
  <c r="U227" i="7"/>
  <c r="T227" i="7"/>
  <c r="R227" i="7"/>
  <c r="Q227" i="7"/>
  <c r="S227" i="7"/>
  <c r="P227" i="7"/>
  <c r="O227" i="7"/>
  <c r="M227" i="7"/>
  <c r="L227" i="7"/>
  <c r="N227" i="7"/>
  <c r="K227" i="7"/>
  <c r="J227" i="7"/>
  <c r="I227" i="7"/>
  <c r="H227" i="7"/>
  <c r="G227" i="7"/>
  <c r="F227" i="7"/>
  <c r="E227" i="7"/>
  <c r="A227" i="7"/>
  <c r="G226" i="7"/>
  <c r="A226" i="7"/>
  <c r="U225" i="7"/>
  <c r="T225" i="7"/>
  <c r="S225" i="7"/>
  <c r="R225" i="7"/>
  <c r="P225" i="7"/>
  <c r="O225" i="7"/>
  <c r="N225" i="7"/>
  <c r="M225" i="7"/>
  <c r="K225" i="7"/>
  <c r="I225" i="7"/>
  <c r="H225" i="7"/>
  <c r="G225" i="7"/>
  <c r="F225" i="7"/>
  <c r="E225" i="7"/>
  <c r="D225" i="7"/>
  <c r="A225" i="7"/>
  <c r="U224" i="7"/>
  <c r="T224" i="7"/>
  <c r="S224" i="7"/>
  <c r="R224" i="7"/>
  <c r="P224" i="7"/>
  <c r="O224" i="7"/>
  <c r="N224" i="7"/>
  <c r="M224" i="7"/>
  <c r="K224" i="7"/>
  <c r="I224" i="7"/>
  <c r="H224" i="7"/>
  <c r="G224" i="7"/>
  <c r="F224" i="7"/>
  <c r="E224" i="7"/>
  <c r="D224" i="7"/>
  <c r="A224" i="7"/>
  <c r="U223" i="7"/>
  <c r="T223" i="7"/>
  <c r="R223" i="7"/>
  <c r="Q223" i="7"/>
  <c r="S223" i="7"/>
  <c r="P223" i="7"/>
  <c r="O223" i="7"/>
  <c r="M223" i="7"/>
  <c r="L223" i="7"/>
  <c r="N223" i="7"/>
  <c r="K223" i="7"/>
  <c r="J223" i="7"/>
  <c r="I223" i="7"/>
  <c r="H223" i="7"/>
  <c r="G223" i="7"/>
  <c r="F223" i="7"/>
  <c r="E223" i="7"/>
  <c r="A223" i="7"/>
  <c r="U222" i="7"/>
  <c r="T222" i="7"/>
  <c r="R222" i="7"/>
  <c r="Q222" i="7"/>
  <c r="S222" i="7"/>
  <c r="P222" i="7"/>
  <c r="O222" i="7"/>
  <c r="M222" i="7"/>
  <c r="L222" i="7"/>
  <c r="N222" i="7"/>
  <c r="K222" i="7"/>
  <c r="J222" i="7"/>
  <c r="I222" i="7"/>
  <c r="H222" i="7"/>
  <c r="G222" i="7"/>
  <c r="F222" i="7"/>
  <c r="E222" i="7"/>
  <c r="A222" i="7"/>
  <c r="U221" i="7"/>
  <c r="T221" i="7"/>
  <c r="R221" i="7"/>
  <c r="Q221" i="7"/>
  <c r="S221" i="7"/>
  <c r="P221" i="7"/>
  <c r="O221" i="7"/>
  <c r="M221" i="7"/>
  <c r="L221" i="7"/>
  <c r="N221" i="7"/>
  <c r="K221" i="7"/>
  <c r="J221" i="7"/>
  <c r="I221" i="7"/>
  <c r="H221" i="7"/>
  <c r="G221" i="7"/>
  <c r="F221" i="7"/>
  <c r="E221" i="7"/>
  <c r="A221" i="7"/>
  <c r="U220" i="7"/>
  <c r="T220" i="7"/>
  <c r="R220" i="7"/>
  <c r="Q220" i="7"/>
  <c r="S220" i="7"/>
  <c r="P220" i="7"/>
  <c r="O220" i="7"/>
  <c r="M220" i="7"/>
  <c r="L220" i="7"/>
  <c r="N220" i="7"/>
  <c r="K220" i="7"/>
  <c r="J220" i="7"/>
  <c r="I220" i="7"/>
  <c r="H220" i="7"/>
  <c r="G220" i="7"/>
  <c r="F220" i="7"/>
  <c r="E220" i="7"/>
  <c r="A220" i="7"/>
  <c r="U219" i="7"/>
  <c r="T219" i="7"/>
  <c r="R219" i="7"/>
  <c r="Q219" i="7"/>
  <c r="S219" i="7"/>
  <c r="P219" i="7"/>
  <c r="O219" i="7"/>
  <c r="M219" i="7"/>
  <c r="L219" i="7"/>
  <c r="N219" i="7"/>
  <c r="K219" i="7"/>
  <c r="J219" i="7"/>
  <c r="I219" i="7"/>
  <c r="H219" i="7"/>
  <c r="G219" i="7"/>
  <c r="F219" i="7"/>
  <c r="E219" i="7"/>
  <c r="A219" i="7"/>
  <c r="U218" i="7"/>
  <c r="T218" i="7"/>
  <c r="R218" i="7"/>
  <c r="Q218" i="7"/>
  <c r="S218" i="7"/>
  <c r="P218" i="7"/>
  <c r="O218" i="7"/>
  <c r="M218" i="7"/>
  <c r="L218" i="7"/>
  <c r="N218" i="7"/>
  <c r="K218" i="7"/>
  <c r="J218" i="7"/>
  <c r="I218" i="7"/>
  <c r="H218" i="7"/>
  <c r="G218" i="7"/>
  <c r="F218" i="7"/>
  <c r="E218" i="7"/>
  <c r="A218" i="7"/>
  <c r="U217" i="7"/>
  <c r="T217" i="7"/>
  <c r="R217" i="7"/>
  <c r="Q217" i="7"/>
  <c r="S217" i="7"/>
  <c r="P217" i="7"/>
  <c r="O217" i="7"/>
  <c r="M217" i="7"/>
  <c r="L217" i="7"/>
  <c r="N217" i="7"/>
  <c r="K217" i="7"/>
  <c r="J217" i="7"/>
  <c r="I217" i="7"/>
  <c r="H217" i="7"/>
  <c r="G217" i="7"/>
  <c r="F217" i="7"/>
  <c r="E217" i="7"/>
  <c r="A217" i="7"/>
  <c r="U216" i="7"/>
  <c r="T216" i="7"/>
  <c r="R216" i="7"/>
  <c r="Q216" i="7"/>
  <c r="S216" i="7"/>
  <c r="P216" i="7"/>
  <c r="O216" i="7"/>
  <c r="M216" i="7"/>
  <c r="L216" i="7"/>
  <c r="N216" i="7"/>
  <c r="K216" i="7"/>
  <c r="J216" i="7"/>
  <c r="I216" i="7"/>
  <c r="H216" i="7"/>
  <c r="G216" i="7"/>
  <c r="F216" i="7"/>
  <c r="E216" i="7"/>
  <c r="A216" i="7"/>
  <c r="U215" i="7"/>
  <c r="T215" i="7"/>
  <c r="R215" i="7"/>
  <c r="Q215" i="7"/>
  <c r="S215" i="7"/>
  <c r="P215" i="7"/>
  <c r="O215" i="7"/>
  <c r="M215" i="7"/>
  <c r="L215" i="7"/>
  <c r="N215" i="7"/>
  <c r="K215" i="7"/>
  <c r="J215" i="7"/>
  <c r="I215" i="7"/>
  <c r="H215" i="7"/>
  <c r="G215" i="7"/>
  <c r="F215" i="7"/>
  <c r="E215" i="7"/>
  <c r="A215" i="7"/>
  <c r="U214" i="7"/>
  <c r="T214" i="7"/>
  <c r="R214" i="7"/>
  <c r="Q214" i="7"/>
  <c r="S214" i="7"/>
  <c r="P214" i="7"/>
  <c r="O214" i="7"/>
  <c r="M214" i="7"/>
  <c r="L214" i="7"/>
  <c r="N214" i="7"/>
  <c r="K214" i="7"/>
  <c r="J214" i="7"/>
  <c r="I214" i="7"/>
  <c r="H214" i="7"/>
  <c r="G214" i="7"/>
  <c r="F214" i="7"/>
  <c r="E214" i="7"/>
  <c r="A214" i="7"/>
  <c r="U213" i="7"/>
  <c r="T213" i="7"/>
  <c r="R213" i="7"/>
  <c r="Q213" i="7"/>
  <c r="S213" i="7"/>
  <c r="P213" i="7"/>
  <c r="O213" i="7"/>
  <c r="M213" i="7"/>
  <c r="L213" i="7"/>
  <c r="N213" i="7"/>
  <c r="K213" i="7"/>
  <c r="J213" i="7"/>
  <c r="I213" i="7"/>
  <c r="H213" i="7"/>
  <c r="G213" i="7"/>
  <c r="F213" i="7"/>
  <c r="E213" i="7"/>
  <c r="A213" i="7"/>
  <c r="U212" i="7"/>
  <c r="T212" i="7"/>
  <c r="R212" i="7"/>
  <c r="Q212" i="7"/>
  <c r="S212" i="7"/>
  <c r="P212" i="7"/>
  <c r="O212" i="7"/>
  <c r="M212" i="7"/>
  <c r="L212" i="7"/>
  <c r="N212" i="7"/>
  <c r="K212" i="7"/>
  <c r="J212" i="7"/>
  <c r="I212" i="7"/>
  <c r="H212" i="7"/>
  <c r="G212" i="7"/>
  <c r="F212" i="7"/>
  <c r="E212" i="7"/>
  <c r="A212" i="7"/>
  <c r="U211" i="7"/>
  <c r="T211" i="7"/>
  <c r="S211" i="7"/>
  <c r="R211" i="7"/>
  <c r="P211" i="7"/>
  <c r="O211" i="7"/>
  <c r="N211" i="7"/>
  <c r="M211" i="7"/>
  <c r="K211" i="7"/>
  <c r="I211" i="7"/>
  <c r="H211" i="7"/>
  <c r="G211" i="7"/>
  <c r="F211" i="7"/>
  <c r="E211" i="7"/>
  <c r="D211" i="7"/>
  <c r="A211" i="7"/>
  <c r="U210" i="7"/>
  <c r="T210" i="7"/>
  <c r="S210" i="7"/>
  <c r="R210" i="7"/>
  <c r="P210" i="7"/>
  <c r="O210" i="7"/>
  <c r="N210" i="7"/>
  <c r="M210" i="7"/>
  <c r="K210" i="7"/>
  <c r="I210" i="7"/>
  <c r="H210" i="7"/>
  <c r="G210" i="7"/>
  <c r="F210" i="7"/>
  <c r="E210" i="7"/>
  <c r="D210" i="7"/>
  <c r="A210" i="7"/>
  <c r="U209" i="7"/>
  <c r="T209" i="7"/>
  <c r="R209" i="7"/>
  <c r="Q209" i="7"/>
  <c r="S209" i="7"/>
  <c r="P209" i="7"/>
  <c r="O209" i="7"/>
  <c r="M209" i="7"/>
  <c r="L209" i="7"/>
  <c r="N209" i="7"/>
  <c r="K209" i="7"/>
  <c r="J209" i="7"/>
  <c r="I209" i="7"/>
  <c r="H209" i="7"/>
  <c r="G209" i="7"/>
  <c r="F209" i="7"/>
  <c r="E209" i="7"/>
  <c r="A209" i="7"/>
  <c r="U208" i="7"/>
  <c r="T208" i="7"/>
  <c r="R208" i="7"/>
  <c r="Q208" i="7"/>
  <c r="S208" i="7"/>
  <c r="P208" i="7"/>
  <c r="O208" i="7"/>
  <c r="M208" i="7"/>
  <c r="L208" i="7"/>
  <c r="N208" i="7"/>
  <c r="K208" i="7"/>
  <c r="J208" i="7"/>
  <c r="I208" i="7"/>
  <c r="H208" i="7"/>
  <c r="G208" i="7"/>
  <c r="F208" i="7"/>
  <c r="E208" i="7"/>
  <c r="A208" i="7"/>
  <c r="U207" i="7"/>
  <c r="T207" i="7"/>
  <c r="S207" i="7"/>
  <c r="R207" i="7"/>
  <c r="P207" i="7"/>
  <c r="O207" i="7"/>
  <c r="N207" i="7"/>
  <c r="M207" i="7"/>
  <c r="K207" i="7"/>
  <c r="I207" i="7"/>
  <c r="H207" i="7"/>
  <c r="G207" i="7"/>
  <c r="F207" i="7"/>
  <c r="E207" i="7"/>
  <c r="D207" i="7"/>
  <c r="A207" i="7"/>
  <c r="U206" i="7"/>
  <c r="T206" i="7"/>
  <c r="S206" i="7"/>
  <c r="R206" i="7"/>
  <c r="P206" i="7"/>
  <c r="O206" i="7"/>
  <c r="N206" i="7"/>
  <c r="M206" i="7"/>
  <c r="K206" i="7"/>
  <c r="I206" i="7"/>
  <c r="H206" i="7"/>
  <c r="G206" i="7"/>
  <c r="F206" i="7"/>
  <c r="E206" i="7"/>
  <c r="D206" i="7"/>
  <c r="A206" i="7"/>
  <c r="U205" i="7"/>
  <c r="T205" i="7"/>
  <c r="R205" i="7"/>
  <c r="Q205" i="7"/>
  <c r="S205" i="7"/>
  <c r="P205" i="7"/>
  <c r="O205" i="7"/>
  <c r="M205" i="7"/>
  <c r="L205" i="7"/>
  <c r="N205" i="7"/>
  <c r="K205" i="7"/>
  <c r="J205" i="7"/>
  <c r="I205" i="7"/>
  <c r="H205" i="7"/>
  <c r="G205" i="7"/>
  <c r="F205" i="7"/>
  <c r="E205" i="7"/>
  <c r="A205" i="7"/>
  <c r="U204" i="7"/>
  <c r="T204" i="7"/>
  <c r="R204" i="7"/>
  <c r="Q204" i="7"/>
  <c r="S204" i="7"/>
  <c r="P204" i="7"/>
  <c r="O204" i="7"/>
  <c r="M204" i="7"/>
  <c r="L204" i="7"/>
  <c r="N204" i="7"/>
  <c r="K204" i="7"/>
  <c r="J204" i="7"/>
  <c r="I204" i="7"/>
  <c r="H204" i="7"/>
  <c r="G204" i="7"/>
  <c r="F204" i="7"/>
  <c r="E204" i="7"/>
  <c r="A204" i="7"/>
  <c r="U203" i="7"/>
  <c r="T203" i="7"/>
  <c r="R203" i="7"/>
  <c r="Q203" i="7"/>
  <c r="S203" i="7"/>
  <c r="P203" i="7"/>
  <c r="O203" i="7"/>
  <c r="M203" i="7"/>
  <c r="L203" i="7"/>
  <c r="N203" i="7"/>
  <c r="K203" i="7"/>
  <c r="J203" i="7"/>
  <c r="I203" i="7"/>
  <c r="H203" i="7"/>
  <c r="G203" i="7"/>
  <c r="F203" i="7"/>
  <c r="E203" i="7"/>
  <c r="A203" i="7"/>
  <c r="U202" i="7"/>
  <c r="T202" i="7"/>
  <c r="R202" i="7"/>
  <c r="Q202" i="7"/>
  <c r="S202" i="7"/>
  <c r="P202" i="7"/>
  <c r="O202" i="7"/>
  <c r="M202" i="7"/>
  <c r="L202" i="7"/>
  <c r="N202" i="7"/>
  <c r="K202" i="7"/>
  <c r="J202" i="7"/>
  <c r="I202" i="7"/>
  <c r="H202" i="7"/>
  <c r="G202" i="7"/>
  <c r="F202" i="7"/>
  <c r="E202" i="7"/>
  <c r="A202" i="7"/>
  <c r="U201" i="7"/>
  <c r="T201" i="7"/>
  <c r="R201" i="7"/>
  <c r="Q201" i="7"/>
  <c r="S201" i="7"/>
  <c r="P201" i="7"/>
  <c r="O201" i="7"/>
  <c r="M201" i="7"/>
  <c r="L201" i="7"/>
  <c r="N201" i="7"/>
  <c r="K201" i="7"/>
  <c r="J201" i="7"/>
  <c r="I201" i="7"/>
  <c r="H201" i="7"/>
  <c r="G201" i="7"/>
  <c r="F201" i="7"/>
  <c r="E201" i="7"/>
  <c r="A201" i="7"/>
  <c r="U200" i="7"/>
  <c r="T200" i="7"/>
  <c r="R200" i="7"/>
  <c r="Q200" i="7"/>
  <c r="S200" i="7"/>
  <c r="P200" i="7"/>
  <c r="O200" i="7"/>
  <c r="M200" i="7"/>
  <c r="L200" i="7"/>
  <c r="N200" i="7"/>
  <c r="K200" i="7"/>
  <c r="J200" i="7"/>
  <c r="I200" i="7"/>
  <c r="H200" i="7"/>
  <c r="G200" i="7"/>
  <c r="F200" i="7"/>
  <c r="E200" i="7"/>
  <c r="A200" i="7"/>
  <c r="U199" i="7"/>
  <c r="T199" i="7"/>
  <c r="R199" i="7"/>
  <c r="Q199" i="7"/>
  <c r="S199" i="7"/>
  <c r="P199" i="7"/>
  <c r="O199" i="7"/>
  <c r="M199" i="7"/>
  <c r="L199" i="7"/>
  <c r="N199" i="7"/>
  <c r="K199" i="7"/>
  <c r="J199" i="7"/>
  <c r="I199" i="7"/>
  <c r="H199" i="7"/>
  <c r="G199" i="7"/>
  <c r="F199" i="7"/>
  <c r="E199" i="7"/>
  <c r="A199" i="7"/>
  <c r="U198" i="7"/>
  <c r="T198" i="7"/>
  <c r="R198" i="7"/>
  <c r="Q198" i="7"/>
  <c r="S198" i="7"/>
  <c r="P198" i="7"/>
  <c r="O198" i="7"/>
  <c r="M198" i="7"/>
  <c r="L198" i="7"/>
  <c r="N198" i="7"/>
  <c r="K198" i="7"/>
  <c r="J198" i="7"/>
  <c r="I198" i="7"/>
  <c r="H198" i="7"/>
  <c r="G198" i="7"/>
  <c r="F198" i="7"/>
  <c r="E198" i="7"/>
  <c r="A198" i="7"/>
  <c r="U197" i="7"/>
  <c r="T197" i="7"/>
  <c r="R197" i="7"/>
  <c r="Q197" i="7"/>
  <c r="S197" i="7"/>
  <c r="P197" i="7"/>
  <c r="O197" i="7"/>
  <c r="M197" i="7"/>
  <c r="L197" i="7"/>
  <c r="N197" i="7"/>
  <c r="K197" i="7"/>
  <c r="J197" i="7"/>
  <c r="I197" i="7"/>
  <c r="H197" i="7"/>
  <c r="G197" i="7"/>
  <c r="F197" i="7"/>
  <c r="E197" i="7"/>
  <c r="A197" i="7"/>
  <c r="U196" i="7"/>
  <c r="T196" i="7"/>
  <c r="R196" i="7"/>
  <c r="Q196" i="7"/>
  <c r="S196" i="7"/>
  <c r="P196" i="7"/>
  <c r="O196" i="7"/>
  <c r="M196" i="7"/>
  <c r="L196" i="7"/>
  <c r="N196" i="7"/>
  <c r="K196" i="7"/>
  <c r="J196" i="7"/>
  <c r="I196" i="7"/>
  <c r="H196" i="7"/>
  <c r="G196" i="7"/>
  <c r="F196" i="7"/>
  <c r="E196" i="7"/>
  <c r="A196" i="7"/>
  <c r="U195" i="7"/>
  <c r="T195" i="7"/>
  <c r="R195" i="7"/>
  <c r="Q195" i="7"/>
  <c r="S195" i="7"/>
  <c r="P195" i="7"/>
  <c r="O195" i="7"/>
  <c r="M195" i="7"/>
  <c r="L195" i="7"/>
  <c r="N195" i="7"/>
  <c r="K195" i="7"/>
  <c r="J195" i="7"/>
  <c r="I195" i="7"/>
  <c r="H195" i="7"/>
  <c r="G195" i="7"/>
  <c r="F195" i="7"/>
  <c r="E195" i="7"/>
  <c r="A195" i="7"/>
  <c r="U194" i="7"/>
  <c r="T194" i="7"/>
  <c r="R194" i="7"/>
  <c r="Q194" i="7"/>
  <c r="S194" i="7"/>
  <c r="P194" i="7"/>
  <c r="O194" i="7"/>
  <c r="M194" i="7"/>
  <c r="L194" i="7"/>
  <c r="N194" i="7"/>
  <c r="K194" i="7"/>
  <c r="J194" i="7"/>
  <c r="I194" i="7"/>
  <c r="H194" i="7"/>
  <c r="G194" i="7"/>
  <c r="F194" i="7"/>
  <c r="E194" i="7"/>
  <c r="A194" i="7"/>
  <c r="U193" i="7"/>
  <c r="T193" i="7"/>
  <c r="S193" i="7"/>
  <c r="R193" i="7"/>
  <c r="P193" i="7"/>
  <c r="O193" i="7"/>
  <c r="N193" i="7"/>
  <c r="M193" i="7"/>
  <c r="K193" i="7"/>
  <c r="I193" i="7"/>
  <c r="H193" i="7"/>
  <c r="G193" i="7"/>
  <c r="F193" i="7"/>
  <c r="E193" i="7"/>
  <c r="D193" i="7"/>
  <c r="A193" i="7"/>
  <c r="U192" i="7"/>
  <c r="T192" i="7"/>
  <c r="R192" i="7"/>
  <c r="Q192" i="7"/>
  <c r="S192" i="7"/>
  <c r="P192" i="7"/>
  <c r="O192" i="7"/>
  <c r="M192" i="7"/>
  <c r="L192" i="7"/>
  <c r="N192" i="7"/>
  <c r="K192" i="7"/>
  <c r="J192" i="7"/>
  <c r="I192" i="7"/>
  <c r="H192" i="7"/>
  <c r="G192" i="7"/>
  <c r="F192" i="7"/>
  <c r="E192" i="7"/>
  <c r="A192" i="7"/>
  <c r="U191" i="7"/>
  <c r="T191" i="7"/>
  <c r="R191" i="7"/>
  <c r="Q191" i="7"/>
  <c r="S191" i="7"/>
  <c r="P191" i="7"/>
  <c r="O191" i="7"/>
  <c r="M191" i="7"/>
  <c r="L191" i="7"/>
  <c r="N191" i="7"/>
  <c r="K191" i="7"/>
  <c r="J191" i="7"/>
  <c r="I191" i="7"/>
  <c r="H191" i="7"/>
  <c r="G191" i="7"/>
  <c r="F191" i="7"/>
  <c r="E191" i="7"/>
  <c r="A191" i="7"/>
  <c r="U190" i="7"/>
  <c r="T190" i="7"/>
  <c r="R190" i="7"/>
  <c r="Q190" i="7"/>
  <c r="S190" i="7"/>
  <c r="P190" i="7"/>
  <c r="O190" i="7"/>
  <c r="M190" i="7"/>
  <c r="L190" i="7"/>
  <c r="N190" i="7"/>
  <c r="K190" i="7"/>
  <c r="J190" i="7"/>
  <c r="I190" i="7"/>
  <c r="H190" i="7"/>
  <c r="G190" i="7"/>
  <c r="F190" i="7"/>
  <c r="E190" i="7"/>
  <c r="A190" i="7"/>
  <c r="U189" i="7"/>
  <c r="T189" i="7"/>
  <c r="R189" i="7"/>
  <c r="Q189" i="7"/>
  <c r="S189" i="7"/>
  <c r="P189" i="7"/>
  <c r="O189" i="7"/>
  <c r="M189" i="7"/>
  <c r="L189" i="7"/>
  <c r="N189" i="7"/>
  <c r="K189" i="7"/>
  <c r="J189" i="7"/>
  <c r="I189" i="7"/>
  <c r="H189" i="7"/>
  <c r="G189" i="7"/>
  <c r="F189" i="7"/>
  <c r="E189" i="7"/>
  <c r="A189" i="7"/>
  <c r="U188" i="7"/>
  <c r="T188" i="7"/>
  <c r="R188" i="7"/>
  <c r="Q188" i="7"/>
  <c r="S188" i="7"/>
  <c r="P188" i="7"/>
  <c r="O188" i="7"/>
  <c r="M188" i="7"/>
  <c r="L188" i="7"/>
  <c r="N188" i="7"/>
  <c r="K188" i="7"/>
  <c r="J188" i="7"/>
  <c r="I188" i="7"/>
  <c r="H188" i="7"/>
  <c r="G188" i="7"/>
  <c r="F188" i="7"/>
  <c r="E188" i="7"/>
  <c r="A188" i="7"/>
  <c r="U187" i="7"/>
  <c r="T187" i="7"/>
  <c r="R187" i="7"/>
  <c r="Q187" i="7"/>
  <c r="S187" i="7"/>
  <c r="P187" i="7"/>
  <c r="O187" i="7"/>
  <c r="M187" i="7"/>
  <c r="L187" i="7"/>
  <c r="N187" i="7"/>
  <c r="K187" i="7"/>
  <c r="J187" i="7"/>
  <c r="I187" i="7"/>
  <c r="H187" i="7"/>
  <c r="G187" i="7"/>
  <c r="F187" i="7"/>
  <c r="E187" i="7"/>
  <c r="A187" i="7"/>
  <c r="U186" i="7"/>
  <c r="T186" i="7"/>
  <c r="R186" i="7"/>
  <c r="Q186" i="7"/>
  <c r="S186" i="7"/>
  <c r="P186" i="7"/>
  <c r="O186" i="7"/>
  <c r="M186" i="7"/>
  <c r="L186" i="7"/>
  <c r="N186" i="7"/>
  <c r="K186" i="7"/>
  <c r="J186" i="7"/>
  <c r="I186" i="7"/>
  <c r="H186" i="7"/>
  <c r="G186" i="7"/>
  <c r="F186" i="7"/>
  <c r="E186" i="7"/>
  <c r="A186" i="7"/>
  <c r="U185" i="7"/>
  <c r="T185" i="7"/>
  <c r="R185" i="7"/>
  <c r="Q185" i="7"/>
  <c r="S185" i="7"/>
  <c r="P185" i="7"/>
  <c r="O185" i="7"/>
  <c r="M185" i="7"/>
  <c r="L185" i="7"/>
  <c r="N185" i="7"/>
  <c r="K185" i="7"/>
  <c r="J185" i="7"/>
  <c r="I185" i="7"/>
  <c r="H185" i="7"/>
  <c r="G185" i="7"/>
  <c r="F185" i="7"/>
  <c r="E185" i="7"/>
  <c r="A185" i="7"/>
  <c r="U184" i="7"/>
  <c r="T184" i="7"/>
  <c r="S184" i="7"/>
  <c r="R184" i="7"/>
  <c r="P184" i="7"/>
  <c r="O184" i="7"/>
  <c r="N184" i="7"/>
  <c r="M184" i="7"/>
  <c r="K184" i="7"/>
  <c r="I184" i="7"/>
  <c r="H184" i="7"/>
  <c r="G184" i="7"/>
  <c r="F184" i="7"/>
  <c r="E184" i="7"/>
  <c r="D184" i="7"/>
  <c r="A184" i="7"/>
  <c r="U183" i="7"/>
  <c r="T183" i="7"/>
  <c r="R183" i="7"/>
  <c r="Q183" i="7"/>
  <c r="S183" i="7"/>
  <c r="P183" i="7"/>
  <c r="O183" i="7"/>
  <c r="M183" i="7"/>
  <c r="L183" i="7"/>
  <c r="N183" i="7"/>
  <c r="K183" i="7"/>
  <c r="J183" i="7"/>
  <c r="I183" i="7"/>
  <c r="H183" i="7"/>
  <c r="G183" i="7"/>
  <c r="F183" i="7"/>
  <c r="E183" i="7"/>
  <c r="A183" i="7"/>
  <c r="U182" i="7"/>
  <c r="T182" i="7"/>
  <c r="R182" i="7"/>
  <c r="Q182" i="7"/>
  <c r="S182" i="7"/>
  <c r="P182" i="7"/>
  <c r="O182" i="7"/>
  <c r="M182" i="7"/>
  <c r="L182" i="7"/>
  <c r="N182" i="7"/>
  <c r="K182" i="7"/>
  <c r="J182" i="7"/>
  <c r="I182" i="7"/>
  <c r="H182" i="7"/>
  <c r="G182" i="7"/>
  <c r="F182" i="7"/>
  <c r="E182" i="7"/>
  <c r="A182" i="7"/>
  <c r="U181" i="7"/>
  <c r="T181" i="7"/>
  <c r="R181" i="7"/>
  <c r="Q181" i="7"/>
  <c r="S181" i="7"/>
  <c r="P181" i="7"/>
  <c r="O181" i="7"/>
  <c r="M181" i="7"/>
  <c r="L181" i="7"/>
  <c r="N181" i="7"/>
  <c r="K181" i="7"/>
  <c r="J181" i="7"/>
  <c r="I181" i="7"/>
  <c r="H181" i="7"/>
  <c r="G181" i="7"/>
  <c r="F181" i="7"/>
  <c r="E181" i="7"/>
  <c r="A181" i="7"/>
  <c r="U180" i="7"/>
  <c r="T180" i="7"/>
  <c r="R180" i="7"/>
  <c r="Q180" i="7"/>
  <c r="S180" i="7"/>
  <c r="P180" i="7"/>
  <c r="O180" i="7"/>
  <c r="M180" i="7"/>
  <c r="L180" i="7"/>
  <c r="N180" i="7"/>
  <c r="K180" i="7"/>
  <c r="J180" i="7"/>
  <c r="I180" i="7"/>
  <c r="H180" i="7"/>
  <c r="G180" i="7"/>
  <c r="F180" i="7"/>
  <c r="E180" i="7"/>
  <c r="A180" i="7"/>
  <c r="U179" i="7"/>
  <c r="T179" i="7"/>
  <c r="R179" i="7"/>
  <c r="Q179" i="7"/>
  <c r="S179" i="7"/>
  <c r="P179" i="7"/>
  <c r="O179" i="7"/>
  <c r="M179" i="7"/>
  <c r="L179" i="7"/>
  <c r="N179" i="7"/>
  <c r="K179" i="7"/>
  <c r="J179" i="7"/>
  <c r="I179" i="7"/>
  <c r="H179" i="7"/>
  <c r="G179" i="7"/>
  <c r="F179" i="7"/>
  <c r="E179" i="7"/>
  <c r="A179" i="7"/>
  <c r="U178" i="7"/>
  <c r="T178" i="7"/>
  <c r="R178" i="7"/>
  <c r="Q178" i="7"/>
  <c r="S178" i="7"/>
  <c r="P178" i="7"/>
  <c r="O178" i="7"/>
  <c r="M178" i="7"/>
  <c r="L178" i="7"/>
  <c r="N178" i="7"/>
  <c r="K178" i="7"/>
  <c r="J178" i="7"/>
  <c r="I178" i="7"/>
  <c r="H178" i="7"/>
  <c r="G178" i="7"/>
  <c r="F178" i="7"/>
  <c r="E178" i="7"/>
  <c r="A178" i="7"/>
  <c r="U177" i="7"/>
  <c r="T177" i="7"/>
  <c r="R177" i="7"/>
  <c r="Q177" i="7"/>
  <c r="S177" i="7"/>
  <c r="P177" i="7"/>
  <c r="O177" i="7"/>
  <c r="M177" i="7"/>
  <c r="L177" i="7"/>
  <c r="N177" i="7"/>
  <c r="K177" i="7"/>
  <c r="J177" i="7"/>
  <c r="I177" i="7"/>
  <c r="H177" i="7"/>
  <c r="G177" i="7"/>
  <c r="F177" i="7"/>
  <c r="E177" i="7"/>
  <c r="A177" i="7"/>
  <c r="U176" i="7"/>
  <c r="T176" i="7"/>
  <c r="R176" i="7"/>
  <c r="Q176" i="7"/>
  <c r="S176" i="7"/>
  <c r="P176" i="7"/>
  <c r="O176" i="7"/>
  <c r="M176" i="7"/>
  <c r="L176" i="7"/>
  <c r="N176" i="7"/>
  <c r="K176" i="7"/>
  <c r="J176" i="7"/>
  <c r="I176" i="7"/>
  <c r="H176" i="7"/>
  <c r="G176" i="7"/>
  <c r="F176" i="7"/>
  <c r="E176" i="7"/>
  <c r="A176" i="7"/>
  <c r="U175" i="7"/>
  <c r="T175" i="7"/>
  <c r="R175" i="7"/>
  <c r="Q175" i="7"/>
  <c r="S175" i="7"/>
  <c r="P175" i="7"/>
  <c r="O175" i="7"/>
  <c r="M175" i="7"/>
  <c r="L175" i="7"/>
  <c r="N175" i="7"/>
  <c r="K175" i="7"/>
  <c r="J175" i="7"/>
  <c r="I175" i="7"/>
  <c r="H175" i="7"/>
  <c r="G175" i="7"/>
  <c r="F175" i="7"/>
  <c r="E175" i="7"/>
  <c r="A175" i="7"/>
  <c r="U174" i="7"/>
  <c r="T174" i="7"/>
  <c r="R174" i="7"/>
  <c r="Q174" i="7"/>
  <c r="S174" i="7"/>
  <c r="P174" i="7"/>
  <c r="O174" i="7"/>
  <c r="M174" i="7"/>
  <c r="L174" i="7"/>
  <c r="N174" i="7"/>
  <c r="K174" i="7"/>
  <c r="J174" i="7"/>
  <c r="I174" i="7"/>
  <c r="H174" i="7"/>
  <c r="G174" i="7"/>
  <c r="F174" i="7"/>
  <c r="E174" i="7"/>
  <c r="A174" i="7"/>
  <c r="U173" i="7"/>
  <c r="T173" i="7"/>
  <c r="R173" i="7"/>
  <c r="Q173" i="7"/>
  <c r="S173" i="7"/>
  <c r="P173" i="7"/>
  <c r="O173" i="7"/>
  <c r="M173" i="7"/>
  <c r="L173" i="7"/>
  <c r="N173" i="7"/>
  <c r="K173" i="7"/>
  <c r="J173" i="7"/>
  <c r="I173" i="7"/>
  <c r="H173" i="7"/>
  <c r="G173" i="7"/>
  <c r="F173" i="7"/>
  <c r="E173" i="7"/>
  <c r="A173" i="7"/>
  <c r="U172" i="7"/>
  <c r="T172" i="7"/>
  <c r="R172" i="7"/>
  <c r="Q172" i="7"/>
  <c r="S172" i="7"/>
  <c r="P172" i="7"/>
  <c r="O172" i="7"/>
  <c r="M172" i="7"/>
  <c r="L172" i="7"/>
  <c r="N172" i="7"/>
  <c r="K172" i="7"/>
  <c r="J172" i="7"/>
  <c r="I172" i="7"/>
  <c r="H172" i="7"/>
  <c r="G172" i="7"/>
  <c r="F172" i="7"/>
  <c r="E172" i="7"/>
  <c r="A172" i="7"/>
  <c r="U171" i="7"/>
  <c r="T171" i="7"/>
  <c r="R171" i="7"/>
  <c r="Q171" i="7"/>
  <c r="S171" i="7"/>
  <c r="P171" i="7"/>
  <c r="O171" i="7"/>
  <c r="M171" i="7"/>
  <c r="L171" i="7"/>
  <c r="N171" i="7"/>
  <c r="K171" i="7"/>
  <c r="J171" i="7"/>
  <c r="I171" i="7"/>
  <c r="H171" i="7"/>
  <c r="G171" i="7"/>
  <c r="F171" i="7"/>
  <c r="E171" i="7"/>
  <c r="A171" i="7"/>
  <c r="U170" i="7"/>
  <c r="T170" i="7"/>
  <c r="R170" i="7"/>
  <c r="Q170" i="7"/>
  <c r="S170" i="7"/>
  <c r="P170" i="7"/>
  <c r="O170" i="7"/>
  <c r="M170" i="7"/>
  <c r="L170" i="7"/>
  <c r="N170" i="7"/>
  <c r="K170" i="7"/>
  <c r="J170" i="7"/>
  <c r="I170" i="7"/>
  <c r="H170" i="7"/>
  <c r="G170" i="7"/>
  <c r="F170" i="7"/>
  <c r="E170" i="7"/>
  <c r="A170" i="7"/>
  <c r="U169" i="7"/>
  <c r="T169" i="7"/>
  <c r="R169" i="7"/>
  <c r="Q169" i="7"/>
  <c r="S169" i="7"/>
  <c r="P169" i="7"/>
  <c r="O169" i="7"/>
  <c r="M169" i="7"/>
  <c r="L169" i="7"/>
  <c r="N169" i="7"/>
  <c r="K169" i="7"/>
  <c r="J169" i="7"/>
  <c r="I169" i="7"/>
  <c r="H169" i="7"/>
  <c r="G169" i="7"/>
  <c r="F169" i="7"/>
  <c r="E169" i="7"/>
  <c r="A169" i="7"/>
  <c r="U168" i="7"/>
  <c r="T168" i="7"/>
  <c r="R168" i="7"/>
  <c r="Q168" i="7"/>
  <c r="S168" i="7"/>
  <c r="P168" i="7"/>
  <c r="O168" i="7"/>
  <c r="M168" i="7"/>
  <c r="L168" i="7"/>
  <c r="N168" i="7"/>
  <c r="K168" i="7"/>
  <c r="J168" i="7"/>
  <c r="I168" i="7"/>
  <c r="H168" i="7"/>
  <c r="G168" i="7"/>
  <c r="F168" i="7"/>
  <c r="E168" i="7"/>
  <c r="A168" i="7"/>
  <c r="U167" i="7"/>
  <c r="T167" i="7"/>
  <c r="R167" i="7"/>
  <c r="Q167" i="7"/>
  <c r="S167" i="7"/>
  <c r="P167" i="7"/>
  <c r="O167" i="7"/>
  <c r="M167" i="7"/>
  <c r="L167" i="7"/>
  <c r="N167" i="7"/>
  <c r="K167" i="7"/>
  <c r="J167" i="7"/>
  <c r="I167" i="7"/>
  <c r="H167" i="7"/>
  <c r="G167" i="7"/>
  <c r="F167" i="7"/>
  <c r="E167" i="7"/>
  <c r="A167" i="7"/>
  <c r="U166" i="7"/>
  <c r="T166" i="7"/>
  <c r="R166" i="7"/>
  <c r="Q166" i="7"/>
  <c r="S166" i="7"/>
  <c r="P166" i="7"/>
  <c r="O166" i="7"/>
  <c r="M166" i="7"/>
  <c r="L166" i="7"/>
  <c r="N166" i="7"/>
  <c r="K166" i="7"/>
  <c r="J166" i="7"/>
  <c r="I166" i="7"/>
  <c r="H166" i="7"/>
  <c r="G166" i="7"/>
  <c r="F166" i="7"/>
  <c r="E166" i="7"/>
  <c r="A166" i="7"/>
  <c r="U165" i="7"/>
  <c r="T165" i="7"/>
  <c r="R165" i="7"/>
  <c r="Q165" i="7"/>
  <c r="S165" i="7"/>
  <c r="P165" i="7"/>
  <c r="O165" i="7"/>
  <c r="M165" i="7"/>
  <c r="L165" i="7"/>
  <c r="N165" i="7"/>
  <c r="K165" i="7"/>
  <c r="J165" i="7"/>
  <c r="I165" i="7"/>
  <c r="H165" i="7"/>
  <c r="G165" i="7"/>
  <c r="F165" i="7"/>
  <c r="E165" i="7"/>
  <c r="A165" i="7"/>
  <c r="G164" i="7"/>
  <c r="A164" i="7"/>
  <c r="U163" i="7"/>
  <c r="T163" i="7"/>
  <c r="S163" i="7"/>
  <c r="R163" i="7"/>
  <c r="P163" i="7"/>
  <c r="O163" i="7"/>
  <c r="N163" i="7"/>
  <c r="M163" i="7"/>
  <c r="K163" i="7"/>
  <c r="I163" i="7"/>
  <c r="H163" i="7"/>
  <c r="G163" i="7"/>
  <c r="F163" i="7"/>
  <c r="E163" i="7"/>
  <c r="D163" i="7"/>
  <c r="A163" i="7"/>
  <c r="U162" i="7"/>
  <c r="T162" i="7"/>
  <c r="R162" i="7"/>
  <c r="Q162" i="7"/>
  <c r="S162" i="7"/>
  <c r="P162" i="7"/>
  <c r="O162" i="7"/>
  <c r="M162" i="7"/>
  <c r="L162" i="7"/>
  <c r="N162" i="7"/>
  <c r="K162" i="7"/>
  <c r="J162" i="7"/>
  <c r="I162" i="7"/>
  <c r="H162" i="7"/>
  <c r="G162" i="7"/>
  <c r="F162" i="7"/>
  <c r="E162" i="7"/>
  <c r="A162" i="7"/>
  <c r="U161" i="7"/>
  <c r="T161" i="7"/>
  <c r="R161" i="7"/>
  <c r="Q161" i="7"/>
  <c r="S161" i="7"/>
  <c r="P161" i="7"/>
  <c r="O161" i="7"/>
  <c r="M161" i="7"/>
  <c r="L161" i="7"/>
  <c r="N161" i="7"/>
  <c r="K161" i="7"/>
  <c r="J161" i="7"/>
  <c r="I161" i="7"/>
  <c r="H161" i="7"/>
  <c r="G161" i="7"/>
  <c r="F161" i="7"/>
  <c r="E161" i="7"/>
  <c r="A161" i="7"/>
  <c r="U160" i="7"/>
  <c r="T160" i="7"/>
  <c r="S160" i="7"/>
  <c r="R160" i="7"/>
  <c r="P160" i="7"/>
  <c r="O160" i="7"/>
  <c r="N160" i="7"/>
  <c r="M160" i="7"/>
  <c r="K160" i="7"/>
  <c r="I160" i="7"/>
  <c r="H160" i="7"/>
  <c r="G160" i="7"/>
  <c r="F160" i="7"/>
  <c r="E160" i="7"/>
  <c r="D160" i="7"/>
  <c r="A160" i="7"/>
  <c r="U159" i="7"/>
  <c r="T159" i="7"/>
  <c r="S159" i="7"/>
  <c r="R159" i="7"/>
  <c r="P159" i="7"/>
  <c r="O159" i="7"/>
  <c r="N159" i="7"/>
  <c r="M159" i="7"/>
  <c r="K159" i="7"/>
  <c r="I159" i="7"/>
  <c r="H159" i="7"/>
  <c r="G159" i="7"/>
  <c r="F159" i="7"/>
  <c r="E159" i="7"/>
  <c r="D159" i="7"/>
  <c r="A159" i="7"/>
  <c r="U158" i="7"/>
  <c r="T158" i="7"/>
  <c r="R158" i="7"/>
  <c r="Q158" i="7"/>
  <c r="S158" i="7"/>
  <c r="P158" i="7"/>
  <c r="O158" i="7"/>
  <c r="M158" i="7"/>
  <c r="L158" i="7"/>
  <c r="N158" i="7"/>
  <c r="K158" i="7"/>
  <c r="J158" i="7"/>
  <c r="I158" i="7"/>
  <c r="H158" i="7"/>
  <c r="G158" i="7"/>
  <c r="F158" i="7"/>
  <c r="E158" i="7"/>
  <c r="A158" i="7"/>
  <c r="U157" i="7"/>
  <c r="T157" i="7"/>
  <c r="R157" i="7"/>
  <c r="Q157" i="7"/>
  <c r="S157" i="7"/>
  <c r="P157" i="7"/>
  <c r="O157" i="7"/>
  <c r="M157" i="7"/>
  <c r="L157" i="7"/>
  <c r="N157" i="7"/>
  <c r="K157" i="7"/>
  <c r="J157" i="7"/>
  <c r="I157" i="7"/>
  <c r="H157" i="7"/>
  <c r="G157" i="7"/>
  <c r="F157" i="7"/>
  <c r="E157" i="7"/>
  <c r="A157" i="7"/>
  <c r="U156" i="7"/>
  <c r="T156" i="7"/>
  <c r="R156" i="7"/>
  <c r="Q156" i="7"/>
  <c r="S156" i="7"/>
  <c r="P156" i="7"/>
  <c r="O156" i="7"/>
  <c r="M156" i="7"/>
  <c r="L156" i="7"/>
  <c r="N156" i="7"/>
  <c r="K156" i="7"/>
  <c r="J156" i="7"/>
  <c r="I156" i="7"/>
  <c r="H156" i="7"/>
  <c r="G156" i="7"/>
  <c r="F156" i="7"/>
  <c r="E156" i="7"/>
  <c r="A156" i="7"/>
  <c r="U155" i="7"/>
  <c r="T155" i="7"/>
  <c r="R155" i="7"/>
  <c r="Q155" i="7"/>
  <c r="S155" i="7"/>
  <c r="P155" i="7"/>
  <c r="O155" i="7"/>
  <c r="M155" i="7"/>
  <c r="L155" i="7"/>
  <c r="N155" i="7"/>
  <c r="K155" i="7"/>
  <c r="J155" i="7"/>
  <c r="I155" i="7"/>
  <c r="H155" i="7"/>
  <c r="G155" i="7"/>
  <c r="F155" i="7"/>
  <c r="E155" i="7"/>
  <c r="A155" i="7"/>
  <c r="U154" i="7"/>
  <c r="T154" i="7"/>
  <c r="R154" i="7"/>
  <c r="Q154" i="7"/>
  <c r="S154" i="7"/>
  <c r="P154" i="7"/>
  <c r="O154" i="7"/>
  <c r="M154" i="7"/>
  <c r="L154" i="7"/>
  <c r="N154" i="7"/>
  <c r="K154" i="7"/>
  <c r="J154" i="7"/>
  <c r="I154" i="7"/>
  <c r="H154" i="7"/>
  <c r="G154" i="7"/>
  <c r="F154" i="7"/>
  <c r="E154" i="7"/>
  <c r="A154" i="7"/>
  <c r="U153" i="7"/>
  <c r="T153" i="7"/>
  <c r="R153" i="7"/>
  <c r="Q153" i="7"/>
  <c r="S153" i="7"/>
  <c r="P153" i="7"/>
  <c r="O153" i="7"/>
  <c r="M153" i="7"/>
  <c r="L153" i="7"/>
  <c r="N153" i="7"/>
  <c r="K153" i="7"/>
  <c r="J153" i="7"/>
  <c r="I153" i="7"/>
  <c r="H153" i="7"/>
  <c r="G153" i="7"/>
  <c r="F153" i="7"/>
  <c r="E153" i="7"/>
  <c r="A153" i="7"/>
  <c r="U152" i="7"/>
  <c r="T152" i="7"/>
  <c r="R152" i="7"/>
  <c r="Q152" i="7"/>
  <c r="S152" i="7"/>
  <c r="P152" i="7"/>
  <c r="O152" i="7"/>
  <c r="M152" i="7"/>
  <c r="L152" i="7"/>
  <c r="N152" i="7"/>
  <c r="K152" i="7"/>
  <c r="J152" i="7"/>
  <c r="I152" i="7"/>
  <c r="H152" i="7"/>
  <c r="G152" i="7"/>
  <c r="F152" i="7"/>
  <c r="E152" i="7"/>
  <c r="A152" i="7"/>
  <c r="U151" i="7"/>
  <c r="T151" i="7"/>
  <c r="S151" i="7"/>
  <c r="R151" i="7"/>
  <c r="P151" i="7"/>
  <c r="O151" i="7"/>
  <c r="N151" i="7"/>
  <c r="M151" i="7"/>
  <c r="K151" i="7"/>
  <c r="I151" i="7"/>
  <c r="H151" i="7"/>
  <c r="G151" i="7"/>
  <c r="F151" i="7"/>
  <c r="E151" i="7"/>
  <c r="D151" i="7"/>
  <c r="A151" i="7"/>
  <c r="U150" i="7"/>
  <c r="T150" i="7"/>
  <c r="R150" i="7"/>
  <c r="Q150" i="7"/>
  <c r="S150" i="7"/>
  <c r="P150" i="7"/>
  <c r="O150" i="7"/>
  <c r="M150" i="7"/>
  <c r="L150" i="7"/>
  <c r="N150" i="7"/>
  <c r="K150" i="7"/>
  <c r="J150" i="7"/>
  <c r="I150" i="7"/>
  <c r="H150" i="7"/>
  <c r="G150" i="7"/>
  <c r="F150" i="7"/>
  <c r="E150" i="7"/>
  <c r="A150" i="7"/>
  <c r="U149" i="7"/>
  <c r="T149" i="7"/>
  <c r="R149" i="7"/>
  <c r="Q149" i="7"/>
  <c r="S149" i="7"/>
  <c r="P149" i="7"/>
  <c r="O149" i="7"/>
  <c r="M149" i="7"/>
  <c r="L149" i="7"/>
  <c r="N149" i="7"/>
  <c r="K149" i="7"/>
  <c r="J149" i="7"/>
  <c r="I149" i="7"/>
  <c r="H149" i="7"/>
  <c r="G149" i="7"/>
  <c r="F149" i="7"/>
  <c r="E149" i="7"/>
  <c r="A149" i="7"/>
  <c r="U148" i="7"/>
  <c r="T148" i="7"/>
  <c r="R148" i="7"/>
  <c r="Q148" i="7"/>
  <c r="S148" i="7"/>
  <c r="P148" i="7"/>
  <c r="O148" i="7"/>
  <c r="M148" i="7"/>
  <c r="L148" i="7"/>
  <c r="N148" i="7"/>
  <c r="K148" i="7"/>
  <c r="J148" i="7"/>
  <c r="I148" i="7"/>
  <c r="H148" i="7"/>
  <c r="G148" i="7"/>
  <c r="F148" i="7"/>
  <c r="E148" i="7"/>
  <c r="A148" i="7"/>
  <c r="U147" i="7"/>
  <c r="T147" i="7"/>
  <c r="S147" i="7"/>
  <c r="R147" i="7"/>
  <c r="P147" i="7"/>
  <c r="O147" i="7"/>
  <c r="N147" i="7"/>
  <c r="M147" i="7"/>
  <c r="K147" i="7"/>
  <c r="I147" i="7"/>
  <c r="H147" i="7"/>
  <c r="G147" i="7"/>
  <c r="F147" i="7"/>
  <c r="E147" i="7"/>
  <c r="D147" i="7"/>
  <c r="A147" i="7"/>
  <c r="U146" i="7"/>
  <c r="T146" i="7"/>
  <c r="R146" i="7"/>
  <c r="Q146" i="7"/>
  <c r="S146" i="7"/>
  <c r="P146" i="7"/>
  <c r="O146" i="7"/>
  <c r="M146" i="7"/>
  <c r="L146" i="7"/>
  <c r="N146" i="7"/>
  <c r="K146" i="7"/>
  <c r="J146" i="7"/>
  <c r="I146" i="7"/>
  <c r="H146" i="7"/>
  <c r="G146" i="7"/>
  <c r="F146" i="7"/>
  <c r="E146" i="7"/>
  <c r="A146" i="7"/>
  <c r="U145" i="7"/>
  <c r="T145" i="7"/>
  <c r="R145" i="7"/>
  <c r="Q145" i="7"/>
  <c r="S145" i="7"/>
  <c r="P145" i="7"/>
  <c r="O145" i="7"/>
  <c r="M145" i="7"/>
  <c r="L145" i="7"/>
  <c r="N145" i="7"/>
  <c r="K145" i="7"/>
  <c r="J145" i="7"/>
  <c r="I145" i="7"/>
  <c r="H145" i="7"/>
  <c r="G145" i="7"/>
  <c r="F145" i="7"/>
  <c r="E145" i="7"/>
  <c r="A145" i="7"/>
  <c r="U144" i="7"/>
  <c r="T144" i="7"/>
  <c r="R144" i="7"/>
  <c r="Q144" i="7"/>
  <c r="S144" i="7"/>
  <c r="P144" i="7"/>
  <c r="O144" i="7"/>
  <c r="M144" i="7"/>
  <c r="L144" i="7"/>
  <c r="N144" i="7"/>
  <c r="K144" i="7"/>
  <c r="J144" i="7"/>
  <c r="I144" i="7"/>
  <c r="H144" i="7"/>
  <c r="G144" i="7"/>
  <c r="F144" i="7"/>
  <c r="E144" i="7"/>
  <c r="A144" i="7"/>
  <c r="U143" i="7"/>
  <c r="T143" i="7"/>
  <c r="R143" i="7"/>
  <c r="Q143" i="7"/>
  <c r="S143" i="7"/>
  <c r="P143" i="7"/>
  <c r="O143" i="7"/>
  <c r="M143" i="7"/>
  <c r="L143" i="7"/>
  <c r="N143" i="7"/>
  <c r="K143" i="7"/>
  <c r="J143" i="7"/>
  <c r="I143" i="7"/>
  <c r="H143" i="7"/>
  <c r="G143" i="7"/>
  <c r="F143" i="7"/>
  <c r="E143" i="7"/>
  <c r="A143" i="7"/>
  <c r="U142" i="7"/>
  <c r="T142" i="7"/>
  <c r="R142" i="7"/>
  <c r="Q142" i="7"/>
  <c r="S142" i="7"/>
  <c r="P142" i="7"/>
  <c r="O142" i="7"/>
  <c r="M142" i="7"/>
  <c r="L142" i="7"/>
  <c r="N142" i="7"/>
  <c r="K142" i="7"/>
  <c r="J142" i="7"/>
  <c r="I142" i="7"/>
  <c r="H142" i="7"/>
  <c r="G142" i="7"/>
  <c r="F142" i="7"/>
  <c r="E142" i="7"/>
  <c r="A142" i="7"/>
  <c r="U141" i="7"/>
  <c r="T141" i="7"/>
  <c r="R141" i="7"/>
  <c r="Q141" i="7"/>
  <c r="S141" i="7"/>
  <c r="P141" i="7"/>
  <c r="O141" i="7"/>
  <c r="M141" i="7"/>
  <c r="L141" i="7"/>
  <c r="N141" i="7"/>
  <c r="K141" i="7"/>
  <c r="J141" i="7"/>
  <c r="I141" i="7"/>
  <c r="H141" i="7"/>
  <c r="G141" i="7"/>
  <c r="F141" i="7"/>
  <c r="E141" i="7"/>
  <c r="A141" i="7"/>
  <c r="U140" i="7"/>
  <c r="T140" i="7"/>
  <c r="S140" i="7"/>
  <c r="R140" i="7"/>
  <c r="P140" i="7"/>
  <c r="O140" i="7"/>
  <c r="N140" i="7"/>
  <c r="M140" i="7"/>
  <c r="K140" i="7"/>
  <c r="I140" i="7"/>
  <c r="H140" i="7"/>
  <c r="G140" i="7"/>
  <c r="F140" i="7"/>
  <c r="E140" i="7"/>
  <c r="D140" i="7"/>
  <c r="A140" i="7"/>
  <c r="U139" i="7"/>
  <c r="T139" i="7"/>
  <c r="R139" i="7"/>
  <c r="Q139" i="7"/>
  <c r="S139" i="7"/>
  <c r="P139" i="7"/>
  <c r="O139" i="7"/>
  <c r="M139" i="7"/>
  <c r="L139" i="7"/>
  <c r="N139" i="7"/>
  <c r="K139" i="7"/>
  <c r="J139" i="7"/>
  <c r="I139" i="7"/>
  <c r="H139" i="7"/>
  <c r="G139" i="7"/>
  <c r="F139" i="7"/>
  <c r="E139" i="7"/>
  <c r="A139" i="7"/>
  <c r="U138" i="7"/>
  <c r="T138" i="7"/>
  <c r="R138" i="7"/>
  <c r="Q138" i="7"/>
  <c r="S138" i="7"/>
  <c r="P138" i="7"/>
  <c r="O138" i="7"/>
  <c r="M138" i="7"/>
  <c r="L138" i="7"/>
  <c r="N138" i="7"/>
  <c r="K138" i="7"/>
  <c r="J138" i="7"/>
  <c r="I138" i="7"/>
  <c r="H138" i="7"/>
  <c r="G138" i="7"/>
  <c r="F138" i="7"/>
  <c r="E138" i="7"/>
  <c r="A138" i="7"/>
  <c r="U137" i="7"/>
  <c r="T137" i="7"/>
  <c r="R137" i="7"/>
  <c r="Q137" i="7"/>
  <c r="S137" i="7"/>
  <c r="P137" i="7"/>
  <c r="O137" i="7"/>
  <c r="M137" i="7"/>
  <c r="L137" i="7"/>
  <c r="N137" i="7"/>
  <c r="K137" i="7"/>
  <c r="J137" i="7"/>
  <c r="I137" i="7"/>
  <c r="H137" i="7"/>
  <c r="G137" i="7"/>
  <c r="F137" i="7"/>
  <c r="E137" i="7"/>
  <c r="A137" i="7"/>
  <c r="U136" i="7"/>
  <c r="T136" i="7"/>
  <c r="R136" i="7"/>
  <c r="Q136" i="7"/>
  <c r="S136" i="7"/>
  <c r="P136" i="7"/>
  <c r="O136" i="7"/>
  <c r="M136" i="7"/>
  <c r="L136" i="7"/>
  <c r="N136" i="7"/>
  <c r="K136" i="7"/>
  <c r="J136" i="7"/>
  <c r="I136" i="7"/>
  <c r="H136" i="7"/>
  <c r="G136" i="7"/>
  <c r="F136" i="7"/>
  <c r="E136" i="7"/>
  <c r="A136" i="7"/>
  <c r="U135" i="7"/>
  <c r="T135" i="7"/>
  <c r="R135" i="7"/>
  <c r="Q135" i="7"/>
  <c r="S135" i="7"/>
  <c r="P135" i="7"/>
  <c r="O135" i="7"/>
  <c r="M135" i="7"/>
  <c r="L135" i="7"/>
  <c r="N135" i="7"/>
  <c r="K135" i="7"/>
  <c r="J135" i="7"/>
  <c r="I135" i="7"/>
  <c r="H135" i="7"/>
  <c r="G135" i="7"/>
  <c r="F135" i="7"/>
  <c r="E135" i="7"/>
  <c r="A135" i="7"/>
  <c r="U134" i="7"/>
  <c r="T134" i="7"/>
  <c r="R134" i="7"/>
  <c r="Q134" i="7"/>
  <c r="S134" i="7"/>
  <c r="P134" i="7"/>
  <c r="O134" i="7"/>
  <c r="M134" i="7"/>
  <c r="L134" i="7"/>
  <c r="N134" i="7"/>
  <c r="K134" i="7"/>
  <c r="J134" i="7"/>
  <c r="I134" i="7"/>
  <c r="H134" i="7"/>
  <c r="G134" i="7"/>
  <c r="F134" i="7"/>
  <c r="E134" i="7"/>
  <c r="A134" i="7"/>
  <c r="U133" i="7"/>
  <c r="T133" i="7"/>
  <c r="R133" i="7"/>
  <c r="Q133" i="7"/>
  <c r="S133" i="7"/>
  <c r="P133" i="7"/>
  <c r="O133" i="7"/>
  <c r="M133" i="7"/>
  <c r="L133" i="7"/>
  <c r="N133" i="7"/>
  <c r="K133" i="7"/>
  <c r="J133" i="7"/>
  <c r="I133" i="7"/>
  <c r="H133" i="7"/>
  <c r="G133" i="7"/>
  <c r="F133" i="7"/>
  <c r="E133" i="7"/>
  <c r="A133" i="7"/>
  <c r="U132" i="7"/>
  <c r="T132" i="7"/>
  <c r="R132" i="7"/>
  <c r="Q132" i="7"/>
  <c r="S132" i="7"/>
  <c r="P132" i="7"/>
  <c r="O132" i="7"/>
  <c r="M132" i="7"/>
  <c r="L132" i="7"/>
  <c r="N132" i="7"/>
  <c r="K132" i="7"/>
  <c r="J132" i="7"/>
  <c r="I132" i="7"/>
  <c r="H132" i="7"/>
  <c r="G132" i="7"/>
  <c r="F132" i="7"/>
  <c r="E132" i="7"/>
  <c r="A132" i="7"/>
  <c r="U131" i="7"/>
  <c r="T131" i="7"/>
  <c r="R131" i="7"/>
  <c r="Q131" i="7"/>
  <c r="S131" i="7"/>
  <c r="P131" i="7"/>
  <c r="O131" i="7"/>
  <c r="M131" i="7"/>
  <c r="L131" i="7"/>
  <c r="N131" i="7"/>
  <c r="K131" i="7"/>
  <c r="J131" i="7"/>
  <c r="I131" i="7"/>
  <c r="H131" i="7"/>
  <c r="G131" i="7"/>
  <c r="F131" i="7"/>
  <c r="E131" i="7"/>
  <c r="A131" i="7"/>
  <c r="U130" i="7"/>
  <c r="T130" i="7"/>
  <c r="R130" i="7"/>
  <c r="Q130" i="7"/>
  <c r="S130" i="7"/>
  <c r="P130" i="7"/>
  <c r="O130" i="7"/>
  <c r="M130" i="7"/>
  <c r="L130" i="7"/>
  <c r="N130" i="7"/>
  <c r="K130" i="7"/>
  <c r="J130" i="7"/>
  <c r="I130" i="7"/>
  <c r="H130" i="7"/>
  <c r="G130" i="7"/>
  <c r="F130" i="7"/>
  <c r="E130" i="7"/>
  <c r="A130" i="7"/>
  <c r="U129" i="7"/>
  <c r="T129" i="7"/>
  <c r="R129" i="7"/>
  <c r="Q129" i="7"/>
  <c r="S129" i="7"/>
  <c r="P129" i="7"/>
  <c r="O129" i="7"/>
  <c r="M129" i="7"/>
  <c r="L129" i="7"/>
  <c r="N129" i="7"/>
  <c r="K129" i="7"/>
  <c r="J129" i="7"/>
  <c r="I129" i="7"/>
  <c r="H129" i="7"/>
  <c r="G129" i="7"/>
  <c r="F129" i="7"/>
  <c r="E129" i="7"/>
  <c r="A129" i="7"/>
  <c r="U128" i="7"/>
  <c r="T128" i="7"/>
  <c r="R128" i="7"/>
  <c r="Q128" i="7"/>
  <c r="S128" i="7"/>
  <c r="P128" i="7"/>
  <c r="O128" i="7"/>
  <c r="M128" i="7"/>
  <c r="L128" i="7"/>
  <c r="N128" i="7"/>
  <c r="K128" i="7"/>
  <c r="J128" i="7"/>
  <c r="I128" i="7"/>
  <c r="H128" i="7"/>
  <c r="G128" i="7"/>
  <c r="F128" i="7"/>
  <c r="E128" i="7"/>
  <c r="A128" i="7"/>
  <c r="U127" i="7"/>
  <c r="T127" i="7"/>
  <c r="R127" i="7"/>
  <c r="Q127" i="7"/>
  <c r="S127" i="7"/>
  <c r="P127" i="7"/>
  <c r="O127" i="7"/>
  <c r="M127" i="7"/>
  <c r="L127" i="7"/>
  <c r="N127" i="7"/>
  <c r="K127" i="7"/>
  <c r="J127" i="7"/>
  <c r="I127" i="7"/>
  <c r="H127" i="7"/>
  <c r="G127" i="7"/>
  <c r="F127" i="7"/>
  <c r="E127" i="7"/>
  <c r="A127" i="7"/>
  <c r="U126" i="7"/>
  <c r="T126" i="7"/>
  <c r="R126" i="7"/>
  <c r="Q126" i="7"/>
  <c r="S126" i="7"/>
  <c r="P126" i="7"/>
  <c r="O126" i="7"/>
  <c r="M126" i="7"/>
  <c r="L126" i="7"/>
  <c r="N126" i="7"/>
  <c r="K126" i="7"/>
  <c r="J126" i="7"/>
  <c r="I126" i="7"/>
  <c r="H126" i="7"/>
  <c r="G126" i="7"/>
  <c r="F126" i="7"/>
  <c r="E126" i="7"/>
  <c r="A126" i="7"/>
  <c r="U125" i="7"/>
  <c r="T125" i="7"/>
  <c r="R125" i="7"/>
  <c r="Q125" i="7"/>
  <c r="S125" i="7"/>
  <c r="P125" i="7"/>
  <c r="O125" i="7"/>
  <c r="M125" i="7"/>
  <c r="L125" i="7"/>
  <c r="N125" i="7"/>
  <c r="K125" i="7"/>
  <c r="J125" i="7"/>
  <c r="I125" i="7"/>
  <c r="H125" i="7"/>
  <c r="G125" i="7"/>
  <c r="F125" i="7"/>
  <c r="E125" i="7"/>
  <c r="A125" i="7"/>
  <c r="G124" i="7"/>
  <c r="A124" i="7"/>
  <c r="G123" i="7"/>
  <c r="A123" i="7"/>
  <c r="U122" i="7"/>
  <c r="T122" i="7"/>
  <c r="S122" i="7"/>
  <c r="R122" i="7"/>
  <c r="P122" i="7"/>
  <c r="O122" i="7"/>
  <c r="N122" i="7"/>
  <c r="M122" i="7"/>
  <c r="K122" i="7"/>
  <c r="I122" i="7"/>
  <c r="H122" i="7"/>
  <c r="G122" i="7"/>
  <c r="F122" i="7"/>
  <c r="E122" i="7"/>
  <c r="D122" i="7"/>
  <c r="A122" i="7"/>
  <c r="U121" i="7"/>
  <c r="T121" i="7"/>
  <c r="S121" i="7"/>
  <c r="R121" i="7"/>
  <c r="P121" i="7"/>
  <c r="O121" i="7"/>
  <c r="N121" i="7"/>
  <c r="M121" i="7"/>
  <c r="K121" i="7"/>
  <c r="I121" i="7"/>
  <c r="H121" i="7"/>
  <c r="G121" i="7"/>
  <c r="F121" i="7"/>
  <c r="E121" i="7"/>
  <c r="D121" i="7"/>
  <c r="A121" i="7"/>
  <c r="U120" i="7"/>
  <c r="T120" i="7"/>
  <c r="S120" i="7"/>
  <c r="R120" i="7"/>
  <c r="P120" i="7"/>
  <c r="O120" i="7"/>
  <c r="N120" i="7"/>
  <c r="M120" i="7"/>
  <c r="K120" i="7"/>
  <c r="I120" i="7"/>
  <c r="H120" i="7"/>
  <c r="G120" i="7"/>
  <c r="F120" i="7"/>
  <c r="E120" i="7"/>
  <c r="D120" i="7"/>
  <c r="A120" i="7"/>
  <c r="U119" i="7"/>
  <c r="T119" i="7"/>
  <c r="S119" i="7"/>
  <c r="R119" i="7"/>
  <c r="P119" i="7"/>
  <c r="O119" i="7"/>
  <c r="N119" i="7"/>
  <c r="M119" i="7"/>
  <c r="K119" i="7"/>
  <c r="I119" i="7"/>
  <c r="H119" i="7"/>
  <c r="G119" i="7"/>
  <c r="F119" i="7"/>
  <c r="E119" i="7"/>
  <c r="D119" i="7"/>
  <c r="A119" i="7"/>
  <c r="U118" i="7"/>
  <c r="T118" i="7"/>
  <c r="S118" i="7"/>
  <c r="R118" i="7"/>
  <c r="P118" i="7"/>
  <c r="O118" i="7"/>
  <c r="N118" i="7"/>
  <c r="M118" i="7"/>
  <c r="K118" i="7"/>
  <c r="I118" i="7"/>
  <c r="H118" i="7"/>
  <c r="G118" i="7"/>
  <c r="F118" i="7"/>
  <c r="E118" i="7"/>
  <c r="D118" i="7"/>
  <c r="A118" i="7"/>
  <c r="U117" i="7"/>
  <c r="T117" i="7"/>
  <c r="S117" i="7"/>
  <c r="R117" i="7"/>
  <c r="P117" i="7"/>
  <c r="O117" i="7"/>
  <c r="N117" i="7"/>
  <c r="M117" i="7"/>
  <c r="K117" i="7"/>
  <c r="I117" i="7"/>
  <c r="H117" i="7"/>
  <c r="G117" i="7"/>
  <c r="F117" i="7"/>
  <c r="E117" i="7"/>
  <c r="D117" i="7"/>
  <c r="A117" i="7"/>
  <c r="U116" i="7"/>
  <c r="T116" i="7"/>
  <c r="S116" i="7"/>
  <c r="R116" i="7"/>
  <c r="P116" i="7"/>
  <c r="O116" i="7"/>
  <c r="N116" i="7"/>
  <c r="M116" i="7"/>
  <c r="K116" i="7"/>
  <c r="I116" i="7"/>
  <c r="H116" i="7"/>
  <c r="G116" i="7"/>
  <c r="F116" i="7"/>
  <c r="E116" i="7"/>
  <c r="D116" i="7"/>
  <c r="A116" i="7"/>
  <c r="U115" i="7"/>
  <c r="T115" i="7"/>
  <c r="S115" i="7"/>
  <c r="R115" i="7"/>
  <c r="P115" i="7"/>
  <c r="O115" i="7"/>
  <c r="N115" i="7"/>
  <c r="M115" i="7"/>
  <c r="K115" i="7"/>
  <c r="I115" i="7"/>
  <c r="H115" i="7"/>
  <c r="G115" i="7"/>
  <c r="F115" i="7"/>
  <c r="E115" i="7"/>
  <c r="D115" i="7"/>
  <c r="A115" i="7"/>
  <c r="U114" i="7"/>
  <c r="T114" i="7"/>
  <c r="S114" i="7"/>
  <c r="R114" i="7"/>
  <c r="P114" i="7"/>
  <c r="O114" i="7"/>
  <c r="N114" i="7"/>
  <c r="M114" i="7"/>
  <c r="K114" i="7"/>
  <c r="I114" i="7"/>
  <c r="H114" i="7"/>
  <c r="G114" i="7"/>
  <c r="F114" i="7"/>
  <c r="E114" i="7"/>
  <c r="D114" i="7"/>
  <c r="A114" i="7"/>
  <c r="U113" i="7"/>
  <c r="T113" i="7"/>
  <c r="S113" i="7"/>
  <c r="R113" i="7"/>
  <c r="P113" i="7"/>
  <c r="O113" i="7"/>
  <c r="N113" i="7"/>
  <c r="M113" i="7"/>
  <c r="K113" i="7"/>
  <c r="I113" i="7"/>
  <c r="H113" i="7"/>
  <c r="G113" i="7"/>
  <c r="F113" i="7"/>
  <c r="E113" i="7"/>
  <c r="D113" i="7"/>
  <c r="A113" i="7"/>
  <c r="U112" i="7"/>
  <c r="T112" i="7"/>
  <c r="R112" i="7"/>
  <c r="Q112" i="7"/>
  <c r="S112" i="7"/>
  <c r="P112" i="7"/>
  <c r="O112" i="7"/>
  <c r="M112" i="7"/>
  <c r="L112" i="7"/>
  <c r="N112" i="7"/>
  <c r="K112" i="7"/>
  <c r="J112" i="7"/>
  <c r="I112" i="7"/>
  <c r="H112" i="7"/>
  <c r="G112" i="7"/>
  <c r="F112" i="7"/>
  <c r="E112" i="7"/>
  <c r="A112" i="7"/>
  <c r="U111" i="7"/>
  <c r="T111" i="7"/>
  <c r="R111" i="7"/>
  <c r="Q111" i="7"/>
  <c r="S111" i="7"/>
  <c r="P111" i="7"/>
  <c r="O111" i="7"/>
  <c r="M111" i="7"/>
  <c r="L111" i="7"/>
  <c r="N111" i="7"/>
  <c r="K111" i="7"/>
  <c r="J111" i="7"/>
  <c r="I111" i="7"/>
  <c r="H111" i="7"/>
  <c r="G111" i="7"/>
  <c r="F111" i="7"/>
  <c r="E111" i="7"/>
  <c r="A111" i="7"/>
  <c r="U110" i="7"/>
  <c r="T110" i="7"/>
  <c r="R110" i="7"/>
  <c r="Q110" i="7"/>
  <c r="S110" i="7"/>
  <c r="P110" i="7"/>
  <c r="O110" i="7"/>
  <c r="M110" i="7"/>
  <c r="L110" i="7"/>
  <c r="N110" i="7"/>
  <c r="K110" i="7"/>
  <c r="J110" i="7"/>
  <c r="I110" i="7"/>
  <c r="H110" i="7"/>
  <c r="G110" i="7"/>
  <c r="F110" i="7"/>
  <c r="E110" i="7"/>
  <c r="A110" i="7"/>
  <c r="U109" i="7"/>
  <c r="T109" i="7"/>
  <c r="R109" i="7"/>
  <c r="Q109" i="7"/>
  <c r="S109" i="7"/>
  <c r="P109" i="7"/>
  <c r="O109" i="7"/>
  <c r="M109" i="7"/>
  <c r="L109" i="7"/>
  <c r="N109" i="7"/>
  <c r="K109" i="7"/>
  <c r="J109" i="7"/>
  <c r="I109" i="7"/>
  <c r="H109" i="7"/>
  <c r="G109" i="7"/>
  <c r="F109" i="7"/>
  <c r="E109" i="7"/>
  <c r="A109" i="7"/>
  <c r="U108" i="7"/>
  <c r="T108" i="7"/>
  <c r="R108" i="7"/>
  <c r="Q108" i="7"/>
  <c r="S108" i="7"/>
  <c r="P108" i="7"/>
  <c r="O108" i="7"/>
  <c r="M108" i="7"/>
  <c r="L108" i="7"/>
  <c r="N108" i="7"/>
  <c r="K108" i="7"/>
  <c r="J108" i="7"/>
  <c r="I108" i="7"/>
  <c r="H108" i="7"/>
  <c r="G108" i="7"/>
  <c r="F108" i="7"/>
  <c r="E108" i="7"/>
  <c r="A108" i="7"/>
  <c r="U107" i="7"/>
  <c r="T107" i="7"/>
  <c r="R107" i="7"/>
  <c r="Q107" i="7"/>
  <c r="S107" i="7"/>
  <c r="P107" i="7"/>
  <c r="O107" i="7"/>
  <c r="M107" i="7"/>
  <c r="L107" i="7"/>
  <c r="N107" i="7"/>
  <c r="K107" i="7"/>
  <c r="J107" i="7"/>
  <c r="I107" i="7"/>
  <c r="H107" i="7"/>
  <c r="G107" i="7"/>
  <c r="F107" i="7"/>
  <c r="E107" i="7"/>
  <c r="A107" i="7"/>
  <c r="U106" i="7"/>
  <c r="T106" i="7"/>
  <c r="R106" i="7"/>
  <c r="Q106" i="7"/>
  <c r="S106" i="7"/>
  <c r="P106" i="7"/>
  <c r="O106" i="7"/>
  <c r="M106" i="7"/>
  <c r="L106" i="7"/>
  <c r="N106" i="7"/>
  <c r="K106" i="7"/>
  <c r="J106" i="7"/>
  <c r="I106" i="7"/>
  <c r="H106" i="7"/>
  <c r="G106" i="7"/>
  <c r="F106" i="7"/>
  <c r="E106" i="7"/>
  <c r="A106" i="7"/>
  <c r="U105" i="7"/>
  <c r="T105" i="7"/>
  <c r="R105" i="7"/>
  <c r="Q105" i="7"/>
  <c r="S105" i="7"/>
  <c r="P105" i="7"/>
  <c r="O105" i="7"/>
  <c r="M105" i="7"/>
  <c r="L105" i="7"/>
  <c r="N105" i="7"/>
  <c r="K105" i="7"/>
  <c r="J105" i="7"/>
  <c r="I105" i="7"/>
  <c r="H105" i="7"/>
  <c r="G105" i="7"/>
  <c r="F105" i="7"/>
  <c r="E105" i="7"/>
  <c r="A105" i="7"/>
  <c r="U104" i="7"/>
  <c r="T104" i="7"/>
  <c r="R104" i="7"/>
  <c r="Q104" i="7"/>
  <c r="S104" i="7"/>
  <c r="P104" i="7"/>
  <c r="O104" i="7"/>
  <c r="M104" i="7"/>
  <c r="L104" i="7"/>
  <c r="N104" i="7"/>
  <c r="K104" i="7"/>
  <c r="J104" i="7"/>
  <c r="I104" i="7"/>
  <c r="H104" i="7"/>
  <c r="G104" i="7"/>
  <c r="F104" i="7"/>
  <c r="E104" i="7"/>
  <c r="A104" i="7"/>
  <c r="U103" i="7"/>
  <c r="T103" i="7"/>
  <c r="S103" i="7"/>
  <c r="R103" i="7"/>
  <c r="P103" i="7"/>
  <c r="O103" i="7"/>
  <c r="N103" i="7"/>
  <c r="M103" i="7"/>
  <c r="K103" i="7"/>
  <c r="I103" i="7"/>
  <c r="H103" i="7"/>
  <c r="G103" i="7"/>
  <c r="F103" i="7"/>
  <c r="E103" i="7"/>
  <c r="D103" i="7"/>
  <c r="A103" i="7"/>
  <c r="U102" i="7"/>
  <c r="T102" i="7"/>
  <c r="R102" i="7"/>
  <c r="Q102" i="7"/>
  <c r="S102" i="7"/>
  <c r="P102" i="7"/>
  <c r="O102" i="7"/>
  <c r="M102" i="7"/>
  <c r="L102" i="7"/>
  <c r="N102" i="7"/>
  <c r="K102" i="7"/>
  <c r="J102" i="7"/>
  <c r="I102" i="7"/>
  <c r="H102" i="7"/>
  <c r="G102" i="7"/>
  <c r="F102" i="7"/>
  <c r="E102" i="7"/>
  <c r="A102" i="7"/>
  <c r="U101" i="7"/>
  <c r="T101" i="7"/>
  <c r="R101" i="7"/>
  <c r="Q101" i="7"/>
  <c r="S101" i="7"/>
  <c r="P101" i="7"/>
  <c r="O101" i="7"/>
  <c r="M101" i="7"/>
  <c r="L101" i="7"/>
  <c r="N101" i="7"/>
  <c r="K101" i="7"/>
  <c r="J101" i="7"/>
  <c r="I101" i="7"/>
  <c r="H101" i="7"/>
  <c r="G101" i="7"/>
  <c r="F101" i="7"/>
  <c r="E101" i="7"/>
  <c r="A101" i="7"/>
  <c r="U100" i="7"/>
  <c r="T100" i="7"/>
  <c r="R100" i="7"/>
  <c r="Q100" i="7"/>
  <c r="S100" i="7"/>
  <c r="P100" i="7"/>
  <c r="O100" i="7"/>
  <c r="M100" i="7"/>
  <c r="L100" i="7"/>
  <c r="N100" i="7"/>
  <c r="K100" i="7"/>
  <c r="J100" i="7"/>
  <c r="I100" i="7"/>
  <c r="H100" i="7"/>
  <c r="G100" i="7"/>
  <c r="F100" i="7"/>
  <c r="E100" i="7"/>
  <c r="A100" i="7"/>
  <c r="U99" i="7"/>
  <c r="T99" i="7"/>
  <c r="R99" i="7"/>
  <c r="Q99" i="7"/>
  <c r="S99" i="7"/>
  <c r="P99" i="7"/>
  <c r="O99" i="7"/>
  <c r="M99" i="7"/>
  <c r="L99" i="7"/>
  <c r="N99" i="7"/>
  <c r="K99" i="7"/>
  <c r="J99" i="7"/>
  <c r="I99" i="7"/>
  <c r="H99" i="7"/>
  <c r="G99" i="7"/>
  <c r="F99" i="7"/>
  <c r="E99" i="7"/>
  <c r="A99" i="7"/>
  <c r="U98" i="7"/>
  <c r="T98" i="7"/>
  <c r="R98" i="7"/>
  <c r="Q98" i="7"/>
  <c r="S98" i="7"/>
  <c r="P98" i="7"/>
  <c r="O98" i="7"/>
  <c r="M98" i="7"/>
  <c r="L98" i="7"/>
  <c r="N98" i="7"/>
  <c r="K98" i="7"/>
  <c r="J98" i="7"/>
  <c r="I98" i="7"/>
  <c r="H98" i="7"/>
  <c r="G98" i="7"/>
  <c r="F98" i="7"/>
  <c r="E98" i="7"/>
  <c r="A98" i="7"/>
  <c r="U97" i="7"/>
  <c r="T97" i="7"/>
  <c r="R97" i="7"/>
  <c r="Q97" i="7"/>
  <c r="S97" i="7"/>
  <c r="P97" i="7"/>
  <c r="O97" i="7"/>
  <c r="M97" i="7"/>
  <c r="L97" i="7"/>
  <c r="N97" i="7"/>
  <c r="K97" i="7"/>
  <c r="J97" i="7"/>
  <c r="I97" i="7"/>
  <c r="H97" i="7"/>
  <c r="G97" i="7"/>
  <c r="F97" i="7"/>
  <c r="E97" i="7"/>
  <c r="A97" i="7"/>
  <c r="U96" i="7"/>
  <c r="T96" i="7"/>
  <c r="R96" i="7"/>
  <c r="Q96" i="7"/>
  <c r="S96" i="7"/>
  <c r="P96" i="7"/>
  <c r="O96" i="7"/>
  <c r="M96" i="7"/>
  <c r="L96" i="7"/>
  <c r="N96" i="7"/>
  <c r="K96" i="7"/>
  <c r="J96" i="7"/>
  <c r="I96" i="7"/>
  <c r="H96" i="7"/>
  <c r="G96" i="7"/>
  <c r="F96" i="7"/>
  <c r="E96" i="7"/>
  <c r="A96" i="7"/>
  <c r="U95" i="7"/>
  <c r="T95" i="7"/>
  <c r="R95" i="7"/>
  <c r="Q95" i="7"/>
  <c r="S95" i="7"/>
  <c r="P95" i="7"/>
  <c r="O95" i="7"/>
  <c r="M95" i="7"/>
  <c r="L95" i="7"/>
  <c r="N95" i="7"/>
  <c r="K95" i="7"/>
  <c r="J95" i="7"/>
  <c r="I95" i="7"/>
  <c r="H95" i="7"/>
  <c r="G95" i="7"/>
  <c r="F95" i="7"/>
  <c r="E95" i="7"/>
  <c r="A95" i="7"/>
  <c r="U94" i="7"/>
  <c r="T94" i="7"/>
  <c r="R94" i="7"/>
  <c r="Q94" i="7"/>
  <c r="S94" i="7"/>
  <c r="P94" i="7"/>
  <c r="O94" i="7"/>
  <c r="M94" i="7"/>
  <c r="L94" i="7"/>
  <c r="N94" i="7"/>
  <c r="K94" i="7"/>
  <c r="J94" i="7"/>
  <c r="I94" i="7"/>
  <c r="H94" i="7"/>
  <c r="G94" i="7"/>
  <c r="F94" i="7"/>
  <c r="E94" i="7"/>
  <c r="A94" i="7"/>
  <c r="U93" i="7"/>
  <c r="T93" i="7"/>
  <c r="R93" i="7"/>
  <c r="Q93" i="7"/>
  <c r="S93" i="7"/>
  <c r="P93" i="7"/>
  <c r="O93" i="7"/>
  <c r="M93" i="7"/>
  <c r="L93" i="7"/>
  <c r="N93" i="7"/>
  <c r="K93" i="7"/>
  <c r="J93" i="7"/>
  <c r="I93" i="7"/>
  <c r="H93" i="7"/>
  <c r="G93" i="7"/>
  <c r="F93" i="7"/>
  <c r="E93" i="7"/>
  <c r="A93" i="7"/>
  <c r="U92" i="7"/>
  <c r="T92" i="7"/>
  <c r="R92" i="7"/>
  <c r="Q92" i="7"/>
  <c r="S92" i="7"/>
  <c r="P92" i="7"/>
  <c r="O92" i="7"/>
  <c r="M92" i="7"/>
  <c r="L92" i="7"/>
  <c r="N92" i="7"/>
  <c r="K92" i="7"/>
  <c r="J92" i="7"/>
  <c r="I92" i="7"/>
  <c r="H92" i="7"/>
  <c r="G92" i="7"/>
  <c r="F92" i="7"/>
  <c r="E92" i="7"/>
  <c r="A92" i="7"/>
  <c r="U91" i="7"/>
  <c r="T91" i="7"/>
  <c r="R91" i="7"/>
  <c r="Q91" i="7"/>
  <c r="S91" i="7"/>
  <c r="P91" i="7"/>
  <c r="O91" i="7"/>
  <c r="M91" i="7"/>
  <c r="L91" i="7"/>
  <c r="N91" i="7"/>
  <c r="K91" i="7"/>
  <c r="J91" i="7"/>
  <c r="I91" i="7"/>
  <c r="H91" i="7"/>
  <c r="G91" i="7"/>
  <c r="F91" i="7"/>
  <c r="E91" i="7"/>
  <c r="A91" i="7"/>
  <c r="U90" i="7"/>
  <c r="T90" i="7"/>
  <c r="R90" i="7"/>
  <c r="Q90" i="7"/>
  <c r="S90" i="7"/>
  <c r="P90" i="7"/>
  <c r="O90" i="7"/>
  <c r="M90" i="7"/>
  <c r="L90" i="7"/>
  <c r="N90" i="7"/>
  <c r="K90" i="7"/>
  <c r="J90" i="7"/>
  <c r="I90" i="7"/>
  <c r="H90" i="7"/>
  <c r="G90" i="7"/>
  <c r="F90" i="7"/>
  <c r="E90" i="7"/>
  <c r="A90" i="7"/>
  <c r="U89" i="7"/>
  <c r="T89" i="7"/>
  <c r="R89" i="7"/>
  <c r="Q89" i="7"/>
  <c r="S89" i="7"/>
  <c r="P89" i="7"/>
  <c r="O89" i="7"/>
  <c r="M89" i="7"/>
  <c r="L89" i="7"/>
  <c r="N89" i="7"/>
  <c r="K89" i="7"/>
  <c r="J89" i="7"/>
  <c r="I89" i="7"/>
  <c r="H89" i="7"/>
  <c r="G89" i="7"/>
  <c r="F89" i="7"/>
  <c r="E89" i="7"/>
  <c r="A89" i="7"/>
  <c r="U88" i="7"/>
  <c r="T88" i="7"/>
  <c r="R88" i="7"/>
  <c r="Q88" i="7"/>
  <c r="S88" i="7"/>
  <c r="P88" i="7"/>
  <c r="O88" i="7"/>
  <c r="M88" i="7"/>
  <c r="L88" i="7"/>
  <c r="N88" i="7"/>
  <c r="K88" i="7"/>
  <c r="J88" i="7"/>
  <c r="I88" i="7"/>
  <c r="H88" i="7"/>
  <c r="G88" i="7"/>
  <c r="F88" i="7"/>
  <c r="E88" i="7"/>
  <c r="A88" i="7"/>
  <c r="U87" i="7"/>
  <c r="T87" i="7"/>
  <c r="R87" i="7"/>
  <c r="Q87" i="7"/>
  <c r="S87" i="7"/>
  <c r="P87" i="7"/>
  <c r="O87" i="7"/>
  <c r="M87" i="7"/>
  <c r="L87" i="7"/>
  <c r="N87" i="7"/>
  <c r="K87" i="7"/>
  <c r="J87" i="7"/>
  <c r="I87" i="7"/>
  <c r="H87" i="7"/>
  <c r="G87" i="7"/>
  <c r="F87" i="7"/>
  <c r="E87" i="7"/>
  <c r="A87" i="7"/>
  <c r="U86" i="7"/>
  <c r="T86" i="7"/>
  <c r="R86" i="7"/>
  <c r="Q86" i="7"/>
  <c r="S86" i="7"/>
  <c r="P86" i="7"/>
  <c r="O86" i="7"/>
  <c r="M86" i="7"/>
  <c r="L86" i="7"/>
  <c r="N86" i="7"/>
  <c r="K86" i="7"/>
  <c r="J86" i="7"/>
  <c r="I86" i="7"/>
  <c r="H86" i="7"/>
  <c r="G86" i="7"/>
  <c r="F86" i="7"/>
  <c r="E86" i="7"/>
  <c r="A86" i="7"/>
  <c r="U85" i="7"/>
  <c r="T85" i="7"/>
  <c r="R85" i="7"/>
  <c r="Q85" i="7"/>
  <c r="S85" i="7"/>
  <c r="P85" i="7"/>
  <c r="O85" i="7"/>
  <c r="M85" i="7"/>
  <c r="L85" i="7"/>
  <c r="N85" i="7"/>
  <c r="K85" i="7"/>
  <c r="J85" i="7"/>
  <c r="I85" i="7"/>
  <c r="H85" i="7"/>
  <c r="G85" i="7"/>
  <c r="F85" i="7"/>
  <c r="E85" i="7"/>
  <c r="A85" i="7"/>
  <c r="U84" i="7"/>
  <c r="T84" i="7"/>
  <c r="R84" i="7"/>
  <c r="Q84" i="7"/>
  <c r="S84" i="7"/>
  <c r="P84" i="7"/>
  <c r="O84" i="7"/>
  <c r="M84" i="7"/>
  <c r="L84" i="7"/>
  <c r="N84" i="7"/>
  <c r="K84" i="7"/>
  <c r="J84" i="7"/>
  <c r="I84" i="7"/>
  <c r="H84" i="7"/>
  <c r="G84" i="7"/>
  <c r="F84" i="7"/>
  <c r="E84" i="7"/>
  <c r="A84" i="7"/>
  <c r="U83" i="7"/>
  <c r="T83" i="7"/>
  <c r="R83" i="7"/>
  <c r="Q83" i="7"/>
  <c r="S83" i="7"/>
  <c r="P83" i="7"/>
  <c r="O83" i="7"/>
  <c r="M83" i="7"/>
  <c r="L83" i="7"/>
  <c r="N83" i="7"/>
  <c r="K83" i="7"/>
  <c r="J83" i="7"/>
  <c r="I83" i="7"/>
  <c r="H83" i="7"/>
  <c r="G83" i="7"/>
  <c r="F83" i="7"/>
  <c r="E83" i="7"/>
  <c r="A83" i="7"/>
  <c r="U82" i="7"/>
  <c r="T82" i="7"/>
  <c r="R82" i="7"/>
  <c r="Q82" i="7"/>
  <c r="S82" i="7"/>
  <c r="P82" i="7"/>
  <c r="O82" i="7"/>
  <c r="M82" i="7"/>
  <c r="L82" i="7"/>
  <c r="N82" i="7"/>
  <c r="K82" i="7"/>
  <c r="J82" i="7"/>
  <c r="I82" i="7"/>
  <c r="H82" i="7"/>
  <c r="G82" i="7"/>
  <c r="F82" i="7"/>
  <c r="E82" i="7"/>
  <c r="A82" i="7"/>
  <c r="U81" i="7"/>
  <c r="T81" i="7"/>
  <c r="R81" i="7"/>
  <c r="Q81" i="7"/>
  <c r="S81" i="7"/>
  <c r="P81" i="7"/>
  <c r="O81" i="7"/>
  <c r="M81" i="7"/>
  <c r="L81" i="7"/>
  <c r="N81" i="7"/>
  <c r="K81" i="7"/>
  <c r="J81" i="7"/>
  <c r="I81" i="7"/>
  <c r="H81" i="7"/>
  <c r="G81" i="7"/>
  <c r="F81" i="7"/>
  <c r="E81" i="7"/>
  <c r="A81" i="7"/>
  <c r="U80" i="7"/>
  <c r="T80" i="7"/>
  <c r="R80" i="7"/>
  <c r="Q80" i="7"/>
  <c r="S80" i="7"/>
  <c r="P80" i="7"/>
  <c r="O80" i="7"/>
  <c r="M80" i="7"/>
  <c r="L80" i="7"/>
  <c r="N80" i="7"/>
  <c r="K80" i="7"/>
  <c r="J80" i="7"/>
  <c r="I80" i="7"/>
  <c r="H80" i="7"/>
  <c r="G80" i="7"/>
  <c r="F80" i="7"/>
  <c r="E80" i="7"/>
  <c r="A80" i="7"/>
  <c r="U79" i="7"/>
  <c r="T79" i="7"/>
  <c r="R79" i="7"/>
  <c r="Q79" i="7"/>
  <c r="S79" i="7"/>
  <c r="P79" i="7"/>
  <c r="O79" i="7"/>
  <c r="M79" i="7"/>
  <c r="L79" i="7"/>
  <c r="N79" i="7"/>
  <c r="K79" i="7"/>
  <c r="J79" i="7"/>
  <c r="I79" i="7"/>
  <c r="H79" i="7"/>
  <c r="G79" i="7"/>
  <c r="F79" i="7"/>
  <c r="E79" i="7"/>
  <c r="A79" i="7"/>
  <c r="U78" i="7"/>
  <c r="T78" i="7"/>
  <c r="R78" i="7"/>
  <c r="Q78" i="7"/>
  <c r="S78" i="7"/>
  <c r="P78" i="7"/>
  <c r="O78" i="7"/>
  <c r="M78" i="7"/>
  <c r="L78" i="7"/>
  <c r="N78" i="7"/>
  <c r="K78" i="7"/>
  <c r="J78" i="7"/>
  <c r="I78" i="7"/>
  <c r="H78" i="7"/>
  <c r="G78" i="7"/>
  <c r="F78" i="7"/>
  <c r="E78" i="7"/>
  <c r="A78" i="7"/>
  <c r="U77" i="7"/>
  <c r="T77" i="7"/>
  <c r="R77" i="7"/>
  <c r="Q77" i="7"/>
  <c r="S77" i="7"/>
  <c r="P77" i="7"/>
  <c r="O77" i="7"/>
  <c r="M77" i="7"/>
  <c r="L77" i="7"/>
  <c r="N77" i="7"/>
  <c r="K77" i="7"/>
  <c r="J77" i="7"/>
  <c r="I77" i="7"/>
  <c r="H77" i="7"/>
  <c r="G77" i="7"/>
  <c r="F77" i="7"/>
  <c r="E77" i="7"/>
  <c r="A77" i="7"/>
  <c r="U76" i="7"/>
  <c r="T76" i="7"/>
  <c r="R76" i="7"/>
  <c r="Q76" i="7"/>
  <c r="S76" i="7"/>
  <c r="P76" i="7"/>
  <c r="O76" i="7"/>
  <c r="M76" i="7"/>
  <c r="L76" i="7"/>
  <c r="N76" i="7"/>
  <c r="K76" i="7"/>
  <c r="J76" i="7"/>
  <c r="I76" i="7"/>
  <c r="H76" i="7"/>
  <c r="G76" i="7"/>
  <c r="F76" i="7"/>
  <c r="E76" i="7"/>
  <c r="A76" i="7"/>
  <c r="U75" i="7"/>
  <c r="T75" i="7"/>
  <c r="R75" i="7"/>
  <c r="Q75" i="7"/>
  <c r="S75" i="7"/>
  <c r="P75" i="7"/>
  <c r="O75" i="7"/>
  <c r="M75" i="7"/>
  <c r="L75" i="7"/>
  <c r="N75" i="7"/>
  <c r="K75" i="7"/>
  <c r="J75" i="7"/>
  <c r="I75" i="7"/>
  <c r="H75" i="7"/>
  <c r="G75" i="7"/>
  <c r="F75" i="7"/>
  <c r="E75" i="7"/>
  <c r="A75" i="7"/>
  <c r="U74" i="7"/>
  <c r="T74" i="7"/>
  <c r="R74" i="7"/>
  <c r="Q74" i="7"/>
  <c r="S74" i="7"/>
  <c r="P74" i="7"/>
  <c r="O74" i="7"/>
  <c r="M74" i="7"/>
  <c r="L74" i="7"/>
  <c r="N74" i="7"/>
  <c r="K74" i="7"/>
  <c r="J74" i="7"/>
  <c r="I74" i="7"/>
  <c r="H74" i="7"/>
  <c r="G74" i="7"/>
  <c r="F74" i="7"/>
  <c r="E74" i="7"/>
  <c r="A74" i="7"/>
  <c r="U73" i="7"/>
  <c r="T73" i="7"/>
  <c r="R73" i="7"/>
  <c r="Q73" i="7"/>
  <c r="S73" i="7"/>
  <c r="P73" i="7"/>
  <c r="O73" i="7"/>
  <c r="M73" i="7"/>
  <c r="L73" i="7"/>
  <c r="N73" i="7"/>
  <c r="K73" i="7"/>
  <c r="J73" i="7"/>
  <c r="I73" i="7"/>
  <c r="H73" i="7"/>
  <c r="G73" i="7"/>
  <c r="F73" i="7"/>
  <c r="E73" i="7"/>
  <c r="A73" i="7"/>
  <c r="U72" i="7"/>
  <c r="T72" i="7"/>
  <c r="R72" i="7"/>
  <c r="Q72" i="7"/>
  <c r="S72" i="7"/>
  <c r="P72" i="7"/>
  <c r="O72" i="7"/>
  <c r="M72" i="7"/>
  <c r="L72" i="7"/>
  <c r="N72" i="7"/>
  <c r="K72" i="7"/>
  <c r="J72" i="7"/>
  <c r="I72" i="7"/>
  <c r="H72" i="7"/>
  <c r="G72" i="7"/>
  <c r="F72" i="7"/>
  <c r="E72" i="7"/>
  <c r="A72" i="7"/>
  <c r="U71" i="7"/>
  <c r="T71" i="7"/>
  <c r="R71" i="7"/>
  <c r="Q71" i="7"/>
  <c r="S71" i="7"/>
  <c r="P71" i="7"/>
  <c r="O71" i="7"/>
  <c r="M71" i="7"/>
  <c r="L71" i="7"/>
  <c r="N71" i="7"/>
  <c r="K71" i="7"/>
  <c r="J71" i="7"/>
  <c r="I71" i="7"/>
  <c r="H71" i="7"/>
  <c r="G71" i="7"/>
  <c r="F71" i="7"/>
  <c r="E71" i="7"/>
  <c r="A71" i="7"/>
  <c r="U70" i="7"/>
  <c r="T70" i="7"/>
  <c r="R70" i="7"/>
  <c r="Q70" i="7"/>
  <c r="S70" i="7"/>
  <c r="P70" i="7"/>
  <c r="O70" i="7"/>
  <c r="M70" i="7"/>
  <c r="L70" i="7"/>
  <c r="N70" i="7"/>
  <c r="K70" i="7"/>
  <c r="J70" i="7"/>
  <c r="I70" i="7"/>
  <c r="H70" i="7"/>
  <c r="G70" i="7"/>
  <c r="F70" i="7"/>
  <c r="E70" i="7"/>
  <c r="A70" i="7"/>
  <c r="U69" i="7"/>
  <c r="T69" i="7"/>
  <c r="R69" i="7"/>
  <c r="Q69" i="7"/>
  <c r="S69" i="7"/>
  <c r="P69" i="7"/>
  <c r="O69" i="7"/>
  <c r="M69" i="7"/>
  <c r="L69" i="7"/>
  <c r="N69" i="7"/>
  <c r="K69" i="7"/>
  <c r="J69" i="7"/>
  <c r="I69" i="7"/>
  <c r="H69" i="7"/>
  <c r="G69" i="7"/>
  <c r="F69" i="7"/>
  <c r="E69" i="7"/>
  <c r="A69" i="7"/>
  <c r="U68" i="7"/>
  <c r="T68" i="7"/>
  <c r="R68" i="7"/>
  <c r="Q68" i="7"/>
  <c r="S68" i="7"/>
  <c r="P68" i="7"/>
  <c r="O68" i="7"/>
  <c r="M68" i="7"/>
  <c r="L68" i="7"/>
  <c r="N68" i="7"/>
  <c r="K68" i="7"/>
  <c r="J68" i="7"/>
  <c r="I68" i="7"/>
  <c r="H68" i="7"/>
  <c r="G68" i="7"/>
  <c r="F68" i="7"/>
  <c r="E68" i="7"/>
  <c r="A68" i="7"/>
  <c r="U67" i="7"/>
  <c r="T67" i="7"/>
  <c r="R67" i="7"/>
  <c r="Q67" i="7"/>
  <c r="S67" i="7"/>
  <c r="P67" i="7"/>
  <c r="O67" i="7"/>
  <c r="M67" i="7"/>
  <c r="L67" i="7"/>
  <c r="N67" i="7"/>
  <c r="K67" i="7"/>
  <c r="J67" i="7"/>
  <c r="I67" i="7"/>
  <c r="H67" i="7"/>
  <c r="G67" i="7"/>
  <c r="F67" i="7"/>
  <c r="E67" i="7"/>
  <c r="A67" i="7"/>
  <c r="U66" i="7"/>
  <c r="T66" i="7"/>
  <c r="R66" i="7"/>
  <c r="Q66" i="7"/>
  <c r="S66" i="7"/>
  <c r="P66" i="7"/>
  <c r="O66" i="7"/>
  <c r="M66" i="7"/>
  <c r="L66" i="7"/>
  <c r="N66" i="7"/>
  <c r="K66" i="7"/>
  <c r="J66" i="7"/>
  <c r="I66" i="7"/>
  <c r="H66" i="7"/>
  <c r="G66" i="7"/>
  <c r="F66" i="7"/>
  <c r="E66" i="7"/>
  <c r="A66" i="7"/>
  <c r="U65" i="7"/>
  <c r="T65" i="7"/>
  <c r="R65" i="7"/>
  <c r="Q65" i="7"/>
  <c r="S65" i="7"/>
  <c r="P65" i="7"/>
  <c r="O65" i="7"/>
  <c r="M65" i="7"/>
  <c r="L65" i="7"/>
  <c r="N65" i="7"/>
  <c r="K65" i="7"/>
  <c r="J65" i="7"/>
  <c r="I65" i="7"/>
  <c r="H65" i="7"/>
  <c r="G65" i="7"/>
  <c r="F65" i="7"/>
  <c r="E65" i="7"/>
  <c r="A65" i="7"/>
  <c r="U64" i="7"/>
  <c r="T64" i="7"/>
  <c r="R64" i="7"/>
  <c r="Q64" i="7"/>
  <c r="S64" i="7"/>
  <c r="P64" i="7"/>
  <c r="O64" i="7"/>
  <c r="M64" i="7"/>
  <c r="L64" i="7"/>
  <c r="N64" i="7"/>
  <c r="K64" i="7"/>
  <c r="J64" i="7"/>
  <c r="I64" i="7"/>
  <c r="H64" i="7"/>
  <c r="G64" i="7"/>
  <c r="F64" i="7"/>
  <c r="E64" i="7"/>
  <c r="A64" i="7"/>
  <c r="U63" i="7"/>
  <c r="T63" i="7"/>
  <c r="R63" i="7"/>
  <c r="Q63" i="7"/>
  <c r="S63" i="7"/>
  <c r="P63" i="7"/>
  <c r="O63" i="7"/>
  <c r="M63" i="7"/>
  <c r="L63" i="7"/>
  <c r="N63" i="7"/>
  <c r="K63" i="7"/>
  <c r="J63" i="7"/>
  <c r="I63" i="7"/>
  <c r="H63" i="7"/>
  <c r="G63" i="7"/>
  <c r="F63" i="7"/>
  <c r="E63" i="7"/>
  <c r="A63" i="7"/>
  <c r="U62" i="7"/>
  <c r="T62" i="7"/>
  <c r="S62" i="7"/>
  <c r="R62" i="7"/>
  <c r="P62" i="7"/>
  <c r="O62" i="7"/>
  <c r="N62" i="7"/>
  <c r="M62" i="7"/>
  <c r="K62" i="7"/>
  <c r="I62" i="7"/>
  <c r="H62" i="7"/>
  <c r="G62" i="7"/>
  <c r="F62" i="7"/>
  <c r="E62" i="7"/>
  <c r="D62" i="7"/>
  <c r="A62" i="7"/>
  <c r="U61" i="7"/>
  <c r="T61" i="7"/>
  <c r="R61" i="7"/>
  <c r="Q61" i="7"/>
  <c r="S61" i="7"/>
  <c r="P61" i="7"/>
  <c r="O61" i="7"/>
  <c r="M61" i="7"/>
  <c r="L61" i="7"/>
  <c r="N61" i="7"/>
  <c r="K61" i="7"/>
  <c r="J61" i="7"/>
  <c r="I61" i="7"/>
  <c r="H61" i="7"/>
  <c r="G61" i="7"/>
  <c r="F61" i="7"/>
  <c r="E61" i="7"/>
  <c r="A61" i="7"/>
  <c r="U60" i="7"/>
  <c r="T60" i="7"/>
  <c r="R60" i="7"/>
  <c r="Q60" i="7"/>
  <c r="S60" i="7"/>
  <c r="P60" i="7"/>
  <c r="O60" i="7"/>
  <c r="M60" i="7"/>
  <c r="L60" i="7"/>
  <c r="N60" i="7"/>
  <c r="K60" i="7"/>
  <c r="J60" i="7"/>
  <c r="I60" i="7"/>
  <c r="H60" i="7"/>
  <c r="G60" i="7"/>
  <c r="F60" i="7"/>
  <c r="E60" i="7"/>
  <c r="A60" i="7"/>
  <c r="U59" i="7"/>
  <c r="T59" i="7"/>
  <c r="R59" i="7"/>
  <c r="Q59" i="7"/>
  <c r="S59" i="7"/>
  <c r="P59" i="7"/>
  <c r="O59" i="7"/>
  <c r="M59" i="7"/>
  <c r="L59" i="7"/>
  <c r="N59" i="7"/>
  <c r="K59" i="7"/>
  <c r="J59" i="7"/>
  <c r="I59" i="7"/>
  <c r="H59" i="7"/>
  <c r="G59" i="7"/>
  <c r="F59" i="7"/>
  <c r="E59" i="7"/>
  <c r="A59" i="7"/>
  <c r="U58" i="7"/>
  <c r="T58" i="7"/>
  <c r="R58" i="7"/>
  <c r="Q58" i="7"/>
  <c r="S58" i="7"/>
  <c r="P58" i="7"/>
  <c r="O58" i="7"/>
  <c r="M58" i="7"/>
  <c r="L58" i="7"/>
  <c r="N58" i="7"/>
  <c r="K58" i="7"/>
  <c r="J58" i="7"/>
  <c r="I58" i="7"/>
  <c r="H58" i="7"/>
  <c r="G58" i="7"/>
  <c r="F58" i="7"/>
  <c r="E58" i="7"/>
  <c r="A58" i="7"/>
  <c r="U57" i="7"/>
  <c r="T57" i="7"/>
  <c r="R57" i="7"/>
  <c r="Q57" i="7"/>
  <c r="S57" i="7"/>
  <c r="P57" i="7"/>
  <c r="O57" i="7"/>
  <c r="M57" i="7"/>
  <c r="L57" i="7"/>
  <c r="N57" i="7"/>
  <c r="K57" i="7"/>
  <c r="J57" i="7"/>
  <c r="I57" i="7"/>
  <c r="H57" i="7"/>
  <c r="G57" i="7"/>
  <c r="F57" i="7"/>
  <c r="E57" i="7"/>
  <c r="A57" i="7"/>
  <c r="U56" i="7"/>
  <c r="T56" i="7"/>
  <c r="R56" i="7"/>
  <c r="Q56" i="7"/>
  <c r="S56" i="7"/>
  <c r="P56" i="7"/>
  <c r="O56" i="7"/>
  <c r="M56" i="7"/>
  <c r="L56" i="7"/>
  <c r="N56" i="7"/>
  <c r="K56" i="7"/>
  <c r="J56" i="7"/>
  <c r="I56" i="7"/>
  <c r="H56" i="7"/>
  <c r="G56" i="7"/>
  <c r="F56" i="7"/>
  <c r="E56" i="7"/>
  <c r="A56" i="7"/>
  <c r="U55" i="7"/>
  <c r="T55" i="7"/>
  <c r="S55" i="7"/>
  <c r="R55" i="7"/>
  <c r="P55" i="7"/>
  <c r="O55" i="7"/>
  <c r="N55" i="7"/>
  <c r="M55" i="7"/>
  <c r="K55" i="7"/>
  <c r="I55" i="7"/>
  <c r="H55" i="7"/>
  <c r="G55" i="7"/>
  <c r="F55" i="7"/>
  <c r="E55" i="7"/>
  <c r="D55" i="7"/>
  <c r="A55" i="7"/>
  <c r="U54" i="7"/>
  <c r="T54" i="7"/>
  <c r="R54" i="7"/>
  <c r="Q54" i="7"/>
  <c r="S54" i="7"/>
  <c r="P54" i="7"/>
  <c r="O54" i="7"/>
  <c r="M54" i="7"/>
  <c r="L54" i="7"/>
  <c r="N54" i="7"/>
  <c r="K54" i="7"/>
  <c r="J54" i="7"/>
  <c r="I54" i="7"/>
  <c r="H54" i="7"/>
  <c r="G54" i="7"/>
  <c r="F54" i="7"/>
  <c r="E54" i="7"/>
  <c r="A54" i="7"/>
  <c r="U53" i="7"/>
  <c r="T53" i="7"/>
  <c r="R53" i="7"/>
  <c r="Q53" i="7"/>
  <c r="S53" i="7"/>
  <c r="P53" i="7"/>
  <c r="O53" i="7"/>
  <c r="M53" i="7"/>
  <c r="L53" i="7"/>
  <c r="N53" i="7"/>
  <c r="K53" i="7"/>
  <c r="J53" i="7"/>
  <c r="I53" i="7"/>
  <c r="H53" i="7"/>
  <c r="G53" i="7"/>
  <c r="F53" i="7"/>
  <c r="E53" i="7"/>
  <c r="A53" i="7"/>
  <c r="U52" i="7"/>
  <c r="T52" i="7"/>
  <c r="R52" i="7"/>
  <c r="Q52" i="7"/>
  <c r="S52" i="7"/>
  <c r="P52" i="7"/>
  <c r="O52" i="7"/>
  <c r="M52" i="7"/>
  <c r="L52" i="7"/>
  <c r="N52" i="7"/>
  <c r="K52" i="7"/>
  <c r="J52" i="7"/>
  <c r="I52" i="7"/>
  <c r="H52" i="7"/>
  <c r="G52" i="7"/>
  <c r="F52" i="7"/>
  <c r="E52" i="7"/>
  <c r="A52" i="7"/>
  <c r="U51" i="7"/>
  <c r="T51" i="7"/>
  <c r="R51" i="7"/>
  <c r="Q51" i="7"/>
  <c r="S51" i="7"/>
  <c r="P51" i="7"/>
  <c r="O51" i="7"/>
  <c r="M51" i="7"/>
  <c r="L51" i="7"/>
  <c r="N51" i="7"/>
  <c r="K51" i="7"/>
  <c r="J51" i="7"/>
  <c r="I51" i="7"/>
  <c r="H51" i="7"/>
  <c r="G51" i="7"/>
  <c r="F51" i="7"/>
  <c r="E51" i="7"/>
  <c r="A51" i="7"/>
  <c r="U50" i="7"/>
  <c r="T50" i="7"/>
  <c r="R50" i="7"/>
  <c r="Q50" i="7"/>
  <c r="S50" i="7"/>
  <c r="P50" i="7"/>
  <c r="O50" i="7"/>
  <c r="M50" i="7"/>
  <c r="L50" i="7"/>
  <c r="N50" i="7"/>
  <c r="K50" i="7"/>
  <c r="J50" i="7"/>
  <c r="I50" i="7"/>
  <c r="H50" i="7"/>
  <c r="G50" i="7"/>
  <c r="F50" i="7"/>
  <c r="E50" i="7"/>
  <c r="A50" i="7"/>
  <c r="U49" i="7"/>
  <c r="T49" i="7"/>
  <c r="R49" i="7"/>
  <c r="Q49" i="7"/>
  <c r="S49" i="7"/>
  <c r="P49" i="7"/>
  <c r="O49" i="7"/>
  <c r="M49" i="7"/>
  <c r="L49" i="7"/>
  <c r="N49" i="7"/>
  <c r="K49" i="7"/>
  <c r="J49" i="7"/>
  <c r="I49" i="7"/>
  <c r="H49" i="7"/>
  <c r="G49" i="7"/>
  <c r="F49" i="7"/>
  <c r="E49" i="7"/>
  <c r="A49" i="7"/>
  <c r="U48" i="7"/>
  <c r="T48" i="7"/>
  <c r="R48" i="7"/>
  <c r="Q48" i="7"/>
  <c r="S48" i="7"/>
  <c r="P48" i="7"/>
  <c r="O48" i="7"/>
  <c r="M48" i="7"/>
  <c r="L48" i="7"/>
  <c r="N48" i="7"/>
  <c r="K48" i="7"/>
  <c r="J48" i="7"/>
  <c r="I48" i="7"/>
  <c r="H48" i="7"/>
  <c r="G48" i="7"/>
  <c r="F48" i="7"/>
  <c r="E48" i="7"/>
  <c r="A48" i="7"/>
  <c r="U47" i="7"/>
  <c r="T47" i="7"/>
  <c r="R47" i="7"/>
  <c r="Q47" i="7"/>
  <c r="S47" i="7"/>
  <c r="P47" i="7"/>
  <c r="O47" i="7"/>
  <c r="M47" i="7"/>
  <c r="L47" i="7"/>
  <c r="N47" i="7"/>
  <c r="K47" i="7"/>
  <c r="J47" i="7"/>
  <c r="I47" i="7"/>
  <c r="H47" i="7"/>
  <c r="G47" i="7"/>
  <c r="F47" i="7"/>
  <c r="E47" i="7"/>
  <c r="A47" i="7"/>
  <c r="U46" i="7"/>
  <c r="T46" i="7"/>
  <c r="R46" i="7"/>
  <c r="Q46" i="7"/>
  <c r="S46" i="7"/>
  <c r="P46" i="7"/>
  <c r="O46" i="7"/>
  <c r="M46" i="7"/>
  <c r="L46" i="7"/>
  <c r="N46" i="7"/>
  <c r="K46" i="7"/>
  <c r="J46" i="7"/>
  <c r="I46" i="7"/>
  <c r="H46" i="7"/>
  <c r="G46" i="7"/>
  <c r="F46" i="7"/>
  <c r="E46" i="7"/>
  <c r="A46" i="7"/>
  <c r="U45" i="7"/>
  <c r="T45" i="7"/>
  <c r="R45" i="7"/>
  <c r="Q45" i="7"/>
  <c r="S45" i="7"/>
  <c r="P45" i="7"/>
  <c r="O45" i="7"/>
  <c r="M45" i="7"/>
  <c r="L45" i="7"/>
  <c r="N45" i="7"/>
  <c r="K45" i="7"/>
  <c r="J45" i="7"/>
  <c r="I45" i="7"/>
  <c r="H45" i="7"/>
  <c r="G45" i="7"/>
  <c r="F45" i="7"/>
  <c r="E45" i="7"/>
  <c r="A45" i="7"/>
  <c r="U44" i="7"/>
  <c r="T44" i="7"/>
  <c r="R44" i="7"/>
  <c r="Q44" i="7"/>
  <c r="S44" i="7"/>
  <c r="P44" i="7"/>
  <c r="O44" i="7"/>
  <c r="M44" i="7"/>
  <c r="L44" i="7"/>
  <c r="N44" i="7"/>
  <c r="K44" i="7"/>
  <c r="J44" i="7"/>
  <c r="I44" i="7"/>
  <c r="H44" i="7"/>
  <c r="G44" i="7"/>
  <c r="F44" i="7"/>
  <c r="E44" i="7"/>
  <c r="A44" i="7"/>
  <c r="U43" i="7"/>
  <c r="T43" i="7"/>
  <c r="R43" i="7"/>
  <c r="Q43" i="7"/>
  <c r="S43" i="7"/>
  <c r="P43" i="7"/>
  <c r="O43" i="7"/>
  <c r="M43" i="7"/>
  <c r="L43" i="7"/>
  <c r="N43" i="7"/>
  <c r="K43" i="7"/>
  <c r="J43" i="7"/>
  <c r="I43" i="7"/>
  <c r="H43" i="7"/>
  <c r="G43" i="7"/>
  <c r="F43" i="7"/>
  <c r="E43" i="7"/>
  <c r="A43" i="7"/>
  <c r="U42" i="7"/>
  <c r="T42" i="7"/>
  <c r="R42" i="7"/>
  <c r="Q42" i="7"/>
  <c r="S42" i="7"/>
  <c r="P42" i="7"/>
  <c r="O42" i="7"/>
  <c r="M42" i="7"/>
  <c r="L42" i="7"/>
  <c r="N42" i="7"/>
  <c r="K42" i="7"/>
  <c r="J42" i="7"/>
  <c r="I42" i="7"/>
  <c r="H42" i="7"/>
  <c r="G42" i="7"/>
  <c r="F42" i="7"/>
  <c r="E42" i="7"/>
  <c r="A42" i="7"/>
  <c r="U41" i="7"/>
  <c r="T41" i="7"/>
  <c r="R41" i="7"/>
  <c r="Q41" i="7"/>
  <c r="S41" i="7"/>
  <c r="P41" i="7"/>
  <c r="O41" i="7"/>
  <c r="M41" i="7"/>
  <c r="L41" i="7"/>
  <c r="N41" i="7"/>
  <c r="K41" i="7"/>
  <c r="J41" i="7"/>
  <c r="I41" i="7"/>
  <c r="H41" i="7"/>
  <c r="G41" i="7"/>
  <c r="F41" i="7"/>
  <c r="E41" i="7"/>
  <c r="A41" i="7"/>
  <c r="U40" i="7"/>
  <c r="T40" i="7"/>
  <c r="R40" i="7"/>
  <c r="Q40" i="7"/>
  <c r="S40" i="7"/>
  <c r="P40" i="7"/>
  <c r="O40" i="7"/>
  <c r="M40" i="7"/>
  <c r="L40" i="7"/>
  <c r="N40" i="7"/>
  <c r="K40" i="7"/>
  <c r="J40" i="7"/>
  <c r="I40" i="7"/>
  <c r="H40" i="7"/>
  <c r="G40" i="7"/>
  <c r="F40" i="7"/>
  <c r="E40" i="7"/>
  <c r="A40" i="7"/>
  <c r="U39" i="7"/>
  <c r="T39" i="7"/>
  <c r="R39" i="7"/>
  <c r="Q39" i="7"/>
  <c r="S39" i="7"/>
  <c r="P39" i="7"/>
  <c r="O39" i="7"/>
  <c r="M39" i="7"/>
  <c r="L39" i="7"/>
  <c r="N39" i="7"/>
  <c r="K39" i="7"/>
  <c r="J39" i="7"/>
  <c r="I39" i="7"/>
  <c r="H39" i="7"/>
  <c r="G39" i="7"/>
  <c r="F39" i="7"/>
  <c r="E39" i="7"/>
  <c r="A39" i="7"/>
  <c r="U38" i="7"/>
  <c r="T38" i="7"/>
  <c r="R38" i="7"/>
  <c r="Q38" i="7"/>
  <c r="S38" i="7"/>
  <c r="P38" i="7"/>
  <c r="O38" i="7"/>
  <c r="M38" i="7"/>
  <c r="L38" i="7"/>
  <c r="N38" i="7"/>
  <c r="K38" i="7"/>
  <c r="J38" i="7"/>
  <c r="I38" i="7"/>
  <c r="H38" i="7"/>
  <c r="G38" i="7"/>
  <c r="F38" i="7"/>
  <c r="E38" i="7"/>
  <c r="A38" i="7"/>
  <c r="U37" i="7"/>
  <c r="T37" i="7"/>
  <c r="R37" i="7"/>
  <c r="Q37" i="7"/>
  <c r="S37" i="7"/>
  <c r="P37" i="7"/>
  <c r="O37" i="7"/>
  <c r="M37" i="7"/>
  <c r="L37" i="7"/>
  <c r="N37" i="7"/>
  <c r="K37" i="7"/>
  <c r="J37" i="7"/>
  <c r="I37" i="7"/>
  <c r="H37" i="7"/>
  <c r="G37" i="7"/>
  <c r="F37" i="7"/>
  <c r="E37" i="7"/>
  <c r="A37" i="7"/>
  <c r="U36" i="7"/>
  <c r="T36" i="7"/>
  <c r="R36" i="7"/>
  <c r="Q36" i="7"/>
  <c r="S36" i="7"/>
  <c r="P36" i="7"/>
  <c r="O36" i="7"/>
  <c r="M36" i="7"/>
  <c r="L36" i="7"/>
  <c r="N36" i="7"/>
  <c r="K36" i="7"/>
  <c r="J36" i="7"/>
  <c r="I36" i="7"/>
  <c r="H36" i="7"/>
  <c r="G36" i="7"/>
  <c r="F36" i="7"/>
  <c r="E36" i="7"/>
  <c r="A36" i="7"/>
  <c r="U35" i="7"/>
  <c r="T35" i="7"/>
  <c r="R35" i="7"/>
  <c r="Q35" i="7"/>
  <c r="S35" i="7"/>
  <c r="P35" i="7"/>
  <c r="O35" i="7"/>
  <c r="M35" i="7"/>
  <c r="L35" i="7"/>
  <c r="N35" i="7"/>
  <c r="K35" i="7"/>
  <c r="J35" i="7"/>
  <c r="I35" i="7"/>
  <c r="H35" i="7"/>
  <c r="G35" i="7"/>
  <c r="F35" i="7"/>
  <c r="E35" i="7"/>
  <c r="A35" i="7"/>
  <c r="U34" i="7"/>
  <c r="T34" i="7"/>
  <c r="R34" i="7"/>
  <c r="Q34" i="7"/>
  <c r="S34" i="7"/>
  <c r="P34" i="7"/>
  <c r="O34" i="7"/>
  <c r="M34" i="7"/>
  <c r="L34" i="7"/>
  <c r="N34" i="7"/>
  <c r="K34" i="7"/>
  <c r="J34" i="7"/>
  <c r="I34" i="7"/>
  <c r="H34" i="7"/>
  <c r="G34" i="7"/>
  <c r="F34" i="7"/>
  <c r="E34" i="7"/>
  <c r="A34" i="7"/>
  <c r="U33" i="7"/>
  <c r="T33" i="7"/>
  <c r="R33" i="7"/>
  <c r="Q33" i="7"/>
  <c r="S33" i="7"/>
  <c r="P33" i="7"/>
  <c r="O33" i="7"/>
  <c r="M33" i="7"/>
  <c r="L33" i="7"/>
  <c r="N33" i="7"/>
  <c r="K33" i="7"/>
  <c r="J33" i="7"/>
  <c r="I33" i="7"/>
  <c r="H33" i="7"/>
  <c r="G33" i="7"/>
  <c r="F33" i="7"/>
  <c r="E33" i="7"/>
  <c r="A33" i="7"/>
  <c r="U32" i="7"/>
  <c r="T32" i="7"/>
  <c r="R32" i="7"/>
  <c r="Q32" i="7"/>
  <c r="S32" i="7"/>
  <c r="P32" i="7"/>
  <c r="O32" i="7"/>
  <c r="M32" i="7"/>
  <c r="L32" i="7"/>
  <c r="N32" i="7"/>
  <c r="K32" i="7"/>
  <c r="J32" i="7"/>
  <c r="I32" i="7"/>
  <c r="H32" i="7"/>
  <c r="G32" i="7"/>
  <c r="F32" i="7"/>
  <c r="E32" i="7"/>
  <c r="A32" i="7"/>
  <c r="U31" i="7"/>
  <c r="T31" i="7"/>
  <c r="R31" i="7"/>
  <c r="Q31" i="7"/>
  <c r="S31" i="7"/>
  <c r="P31" i="7"/>
  <c r="O31" i="7"/>
  <c r="M31" i="7"/>
  <c r="L31" i="7"/>
  <c r="N31" i="7"/>
  <c r="K31" i="7"/>
  <c r="J31" i="7"/>
  <c r="I31" i="7"/>
  <c r="H31" i="7"/>
  <c r="G31" i="7"/>
  <c r="F31" i="7"/>
  <c r="E31" i="7"/>
  <c r="A31" i="7"/>
  <c r="U30" i="7"/>
  <c r="T30" i="7"/>
  <c r="R30" i="7"/>
  <c r="Q30" i="7"/>
  <c r="S30" i="7"/>
  <c r="P30" i="7"/>
  <c r="O30" i="7"/>
  <c r="M30" i="7"/>
  <c r="L30" i="7"/>
  <c r="N30" i="7"/>
  <c r="K30" i="7"/>
  <c r="J30" i="7"/>
  <c r="I30" i="7"/>
  <c r="H30" i="7"/>
  <c r="G30" i="7"/>
  <c r="F30" i="7"/>
  <c r="E30" i="7"/>
  <c r="A30" i="7"/>
  <c r="U29" i="7"/>
  <c r="T29" i="7"/>
  <c r="R29" i="7"/>
  <c r="Q29" i="7"/>
  <c r="S29" i="7"/>
  <c r="P29" i="7"/>
  <c r="O29" i="7"/>
  <c r="M29" i="7"/>
  <c r="L29" i="7"/>
  <c r="N29" i="7"/>
  <c r="K29" i="7"/>
  <c r="J29" i="7"/>
  <c r="I29" i="7"/>
  <c r="H29" i="7"/>
  <c r="G29" i="7"/>
  <c r="F29" i="7"/>
  <c r="E29" i="7"/>
  <c r="A29" i="7"/>
  <c r="U28" i="7"/>
  <c r="T28" i="7"/>
  <c r="R28" i="7"/>
  <c r="Q28" i="7"/>
  <c r="S28" i="7"/>
  <c r="P28" i="7"/>
  <c r="O28" i="7"/>
  <c r="M28" i="7"/>
  <c r="L28" i="7"/>
  <c r="N28" i="7"/>
  <c r="K28" i="7"/>
  <c r="J28" i="7"/>
  <c r="I28" i="7"/>
  <c r="H28" i="7"/>
  <c r="G28" i="7"/>
  <c r="F28" i="7"/>
  <c r="E28" i="7"/>
  <c r="A28" i="7"/>
  <c r="U27" i="7"/>
  <c r="T27" i="7"/>
  <c r="R27" i="7"/>
  <c r="Q27" i="7"/>
  <c r="S27" i="7"/>
  <c r="P27" i="7"/>
  <c r="O27" i="7"/>
  <c r="M27" i="7"/>
  <c r="L27" i="7"/>
  <c r="N27" i="7"/>
  <c r="K27" i="7"/>
  <c r="J27" i="7"/>
  <c r="I27" i="7"/>
  <c r="H27" i="7"/>
  <c r="G27" i="7"/>
  <c r="F27" i="7"/>
  <c r="E27" i="7"/>
  <c r="A27" i="7"/>
  <c r="U26" i="7"/>
  <c r="T26" i="7"/>
  <c r="R26" i="7"/>
  <c r="Q26" i="7"/>
  <c r="S26" i="7"/>
  <c r="P26" i="7"/>
  <c r="O26" i="7"/>
  <c r="M26" i="7"/>
  <c r="L26" i="7"/>
  <c r="N26" i="7"/>
  <c r="K26" i="7"/>
  <c r="J26" i="7"/>
  <c r="I26" i="7"/>
  <c r="H26" i="7"/>
  <c r="G26" i="7"/>
  <c r="F26" i="7"/>
  <c r="E26" i="7"/>
  <c r="A26" i="7"/>
  <c r="U25" i="7"/>
  <c r="T25" i="7"/>
  <c r="R25" i="7"/>
  <c r="Q25" i="7"/>
  <c r="S25" i="7"/>
  <c r="P25" i="7"/>
  <c r="O25" i="7"/>
  <c r="M25" i="7"/>
  <c r="L25" i="7"/>
  <c r="N25" i="7"/>
  <c r="K25" i="7"/>
  <c r="J25" i="7"/>
  <c r="I25" i="7"/>
  <c r="H25" i="7"/>
  <c r="G25" i="7"/>
  <c r="F25" i="7"/>
  <c r="E25" i="7"/>
  <c r="A25" i="7"/>
  <c r="U24" i="7"/>
  <c r="T24" i="7"/>
  <c r="R24" i="7"/>
  <c r="Q24" i="7"/>
  <c r="S24" i="7"/>
  <c r="P24" i="7"/>
  <c r="O24" i="7"/>
  <c r="M24" i="7"/>
  <c r="L24" i="7"/>
  <c r="N24" i="7"/>
  <c r="K24" i="7"/>
  <c r="J24" i="7"/>
  <c r="I24" i="7"/>
  <c r="H24" i="7"/>
  <c r="G24" i="7"/>
  <c r="F24" i="7"/>
  <c r="E24" i="7"/>
  <c r="A24" i="7"/>
  <c r="U23" i="7"/>
  <c r="T23" i="7"/>
  <c r="R23" i="7"/>
  <c r="Q23" i="7"/>
  <c r="S23" i="7"/>
  <c r="P23" i="7"/>
  <c r="O23" i="7"/>
  <c r="M23" i="7"/>
  <c r="L23" i="7"/>
  <c r="N23" i="7"/>
  <c r="K23" i="7"/>
  <c r="J23" i="7"/>
  <c r="I23" i="7"/>
  <c r="H23" i="7"/>
  <c r="G23" i="7"/>
  <c r="F23" i="7"/>
  <c r="E23" i="7"/>
  <c r="A23" i="7"/>
  <c r="U22" i="7"/>
  <c r="T22" i="7"/>
  <c r="R22" i="7"/>
  <c r="Q22" i="7"/>
  <c r="S22" i="7"/>
  <c r="P22" i="7"/>
  <c r="O22" i="7"/>
  <c r="M22" i="7"/>
  <c r="L22" i="7"/>
  <c r="N22" i="7"/>
  <c r="K22" i="7"/>
  <c r="J22" i="7"/>
  <c r="I22" i="7"/>
  <c r="H22" i="7"/>
  <c r="G22" i="7"/>
  <c r="F22" i="7"/>
  <c r="E22" i="7"/>
  <c r="A22" i="7"/>
  <c r="U21" i="7"/>
  <c r="T21" i="7"/>
  <c r="R21" i="7"/>
  <c r="Q21" i="7"/>
  <c r="S21" i="7"/>
  <c r="P21" i="7"/>
  <c r="O21" i="7"/>
  <c r="M21" i="7"/>
  <c r="L21" i="7"/>
  <c r="N21" i="7"/>
  <c r="K21" i="7"/>
  <c r="J21" i="7"/>
  <c r="I21" i="7"/>
  <c r="H21" i="7"/>
  <c r="G21" i="7"/>
  <c r="F21" i="7"/>
  <c r="E21" i="7"/>
  <c r="A21" i="7"/>
  <c r="U20" i="7"/>
  <c r="T20" i="7"/>
  <c r="R20" i="7"/>
  <c r="Q20" i="7"/>
  <c r="S20" i="7"/>
  <c r="P20" i="7"/>
  <c r="O20" i="7"/>
  <c r="M20" i="7"/>
  <c r="L20" i="7"/>
  <c r="N20" i="7"/>
  <c r="K20" i="7"/>
  <c r="J20" i="7"/>
  <c r="I20" i="7"/>
  <c r="H20" i="7"/>
  <c r="G20" i="7"/>
  <c r="F20" i="7"/>
  <c r="E20" i="7"/>
  <c r="A20" i="7"/>
  <c r="U19" i="7"/>
  <c r="T19" i="7"/>
  <c r="R19" i="7"/>
  <c r="Q19" i="7"/>
  <c r="S19" i="7"/>
  <c r="P19" i="7"/>
  <c r="O19" i="7"/>
  <c r="M19" i="7"/>
  <c r="L19" i="7"/>
  <c r="N19" i="7"/>
  <c r="K19" i="7"/>
  <c r="J19" i="7"/>
  <c r="I19" i="7"/>
  <c r="H19" i="7"/>
  <c r="G19" i="7"/>
  <c r="F19" i="7"/>
  <c r="E19" i="7"/>
  <c r="A19" i="7"/>
  <c r="U18" i="7"/>
  <c r="T18" i="7"/>
  <c r="R18" i="7"/>
  <c r="Q18" i="7"/>
  <c r="S18" i="7"/>
  <c r="P18" i="7"/>
  <c r="O18" i="7"/>
  <c r="M18" i="7"/>
  <c r="L18" i="7"/>
  <c r="N18" i="7"/>
  <c r="K18" i="7"/>
  <c r="J18" i="7"/>
  <c r="I18" i="7"/>
  <c r="H18" i="7"/>
  <c r="G18" i="7"/>
  <c r="F18" i="7"/>
  <c r="E18" i="7"/>
  <c r="A18" i="7"/>
  <c r="U17" i="7"/>
  <c r="T17" i="7"/>
  <c r="R17" i="7"/>
  <c r="Q17" i="7"/>
  <c r="S17" i="7"/>
  <c r="P17" i="7"/>
  <c r="O17" i="7"/>
  <c r="M17" i="7"/>
  <c r="L17" i="7"/>
  <c r="N17" i="7"/>
  <c r="K17" i="7"/>
  <c r="J17" i="7"/>
  <c r="I17" i="7"/>
  <c r="H17" i="7"/>
  <c r="G17" i="7"/>
  <c r="F17" i="7"/>
  <c r="E17" i="7"/>
  <c r="A17" i="7"/>
  <c r="U16" i="7"/>
  <c r="T16" i="7"/>
  <c r="R16" i="7"/>
  <c r="Q16" i="7"/>
  <c r="S16" i="7"/>
  <c r="P16" i="7"/>
  <c r="O16" i="7"/>
  <c r="M16" i="7"/>
  <c r="L16" i="7"/>
  <c r="N16" i="7"/>
  <c r="K16" i="7"/>
  <c r="J16" i="7"/>
  <c r="I16" i="7"/>
  <c r="H16" i="7"/>
  <c r="G16" i="7"/>
  <c r="F16" i="7"/>
  <c r="E16" i="7"/>
  <c r="A16" i="7"/>
  <c r="U15" i="7"/>
  <c r="T15" i="7"/>
  <c r="R15" i="7"/>
  <c r="Q15" i="7"/>
  <c r="S15" i="7"/>
  <c r="P15" i="7"/>
  <c r="O15" i="7"/>
  <c r="M15" i="7"/>
  <c r="L15" i="7"/>
  <c r="N15" i="7"/>
  <c r="K15" i="7"/>
  <c r="J15" i="7"/>
  <c r="I15" i="7"/>
  <c r="H15" i="7"/>
  <c r="G15" i="7"/>
  <c r="F15" i="7"/>
  <c r="E15" i="7"/>
  <c r="A15" i="7"/>
  <c r="U14" i="7"/>
  <c r="T14" i="7"/>
  <c r="R14" i="7"/>
  <c r="Q14" i="7"/>
  <c r="S14" i="7"/>
  <c r="P14" i="7"/>
  <c r="O14" i="7"/>
  <c r="M14" i="7"/>
  <c r="L14" i="7"/>
  <c r="N14" i="7"/>
  <c r="K14" i="7"/>
  <c r="J14" i="7"/>
  <c r="I14" i="7"/>
  <c r="H14" i="7"/>
  <c r="G14" i="7"/>
  <c r="F14" i="7"/>
  <c r="E14" i="7"/>
  <c r="A14" i="7"/>
  <c r="U13" i="7"/>
  <c r="T13" i="7"/>
  <c r="R13" i="7"/>
  <c r="Q13" i="7"/>
  <c r="S13" i="7"/>
  <c r="P13" i="7"/>
  <c r="O13" i="7"/>
  <c r="M13" i="7"/>
  <c r="L13" i="7"/>
  <c r="N13" i="7"/>
  <c r="K13" i="7"/>
  <c r="J13" i="7"/>
  <c r="I13" i="7"/>
  <c r="H13" i="7"/>
  <c r="G13" i="7"/>
  <c r="F13" i="7"/>
  <c r="E13" i="7"/>
  <c r="A13" i="7"/>
  <c r="U12" i="7"/>
  <c r="T12" i="7"/>
  <c r="R12" i="7"/>
  <c r="Q12" i="7"/>
  <c r="S12" i="7"/>
  <c r="P12" i="7"/>
  <c r="O12" i="7"/>
  <c r="M12" i="7"/>
  <c r="L12" i="7"/>
  <c r="N12" i="7"/>
  <c r="K12" i="7"/>
  <c r="J12" i="7"/>
  <c r="I12" i="7"/>
  <c r="H12" i="7"/>
  <c r="G12" i="7"/>
  <c r="F12" i="7"/>
  <c r="E12" i="7"/>
  <c r="A12" i="7"/>
  <c r="U11" i="7"/>
  <c r="T11" i="7"/>
  <c r="R11" i="7"/>
  <c r="Q11" i="7"/>
  <c r="S11" i="7"/>
  <c r="P11" i="7"/>
  <c r="O11" i="7"/>
  <c r="M11" i="7"/>
  <c r="L11" i="7"/>
  <c r="N11" i="7"/>
  <c r="K11" i="7"/>
  <c r="J11" i="7"/>
  <c r="I11" i="7"/>
  <c r="H11" i="7"/>
  <c r="G11" i="7"/>
  <c r="F11" i="7"/>
  <c r="E11" i="7"/>
  <c r="A11" i="7"/>
  <c r="U10" i="7"/>
  <c r="T10" i="7"/>
  <c r="S10" i="7"/>
  <c r="R10" i="7"/>
  <c r="P10" i="7"/>
  <c r="O10" i="7"/>
  <c r="N10" i="7"/>
  <c r="M10" i="7"/>
  <c r="K10" i="7"/>
  <c r="I10" i="7"/>
  <c r="H10" i="7"/>
  <c r="G10" i="7"/>
  <c r="F10" i="7"/>
  <c r="E10" i="7"/>
  <c r="D10" i="7"/>
  <c r="A10" i="7"/>
  <c r="U9" i="7"/>
  <c r="T9" i="7"/>
  <c r="R9" i="7"/>
  <c r="Q9" i="7"/>
  <c r="S9" i="7"/>
  <c r="P9" i="7"/>
  <c r="O9" i="7"/>
  <c r="M9" i="7"/>
  <c r="L9" i="7"/>
  <c r="N9" i="7"/>
  <c r="K9" i="7"/>
  <c r="J9" i="7"/>
  <c r="I9" i="7"/>
  <c r="H9" i="7"/>
  <c r="G9" i="7"/>
  <c r="F9" i="7"/>
  <c r="E9" i="7"/>
  <c r="A9" i="7"/>
  <c r="U8" i="7"/>
  <c r="T8" i="7"/>
  <c r="S8" i="7"/>
  <c r="R8" i="7"/>
  <c r="P8" i="7"/>
  <c r="O8" i="7"/>
  <c r="N8" i="7"/>
  <c r="M8" i="7"/>
  <c r="K8" i="7"/>
  <c r="I8" i="7"/>
  <c r="H8" i="7"/>
  <c r="G8" i="7"/>
  <c r="F8" i="7"/>
  <c r="E8" i="7"/>
  <c r="D8" i="7"/>
  <c r="A8" i="7"/>
  <c r="G7" i="7"/>
  <c r="A7" i="7"/>
  <c r="G6" i="7"/>
  <c r="A6" i="7"/>
  <c r="AF584" i="5"/>
  <c r="AF545" i="5"/>
  <c r="AF394" i="5"/>
  <c r="AF301" i="5"/>
  <c r="AD11" i="5"/>
  <c r="AD7" i="5"/>
  <c r="I593" i="5"/>
  <c r="I590" i="5"/>
  <c r="D593" i="5"/>
  <c r="D590" i="5"/>
  <c r="C586" i="5"/>
  <c r="G23" i="5"/>
  <c r="A584" i="5"/>
  <c r="A580" i="5"/>
  <c r="A576" i="5"/>
  <c r="A572" i="5"/>
  <c r="L570" i="5"/>
  <c r="Q570" i="5" s="1"/>
  <c r="Z570" i="5"/>
  <c r="Y570" i="5"/>
  <c r="X570" i="5"/>
  <c r="L569" i="5"/>
  <c r="G569" i="5"/>
  <c r="E569" i="5"/>
  <c r="J568" i="5"/>
  <c r="F568" i="5"/>
  <c r="E568" i="5"/>
  <c r="J567" i="5"/>
  <c r="F567" i="5"/>
  <c r="E567" i="5"/>
  <c r="K566" i="5"/>
  <c r="J566" i="5"/>
  <c r="H566" i="5"/>
  <c r="G566" i="5"/>
  <c r="F566" i="5"/>
  <c r="K565" i="5"/>
  <c r="J565" i="5"/>
  <c r="R565" i="5"/>
  <c r="H565" i="5"/>
  <c r="G565" i="5"/>
  <c r="F565" i="5"/>
  <c r="K564" i="5"/>
  <c r="J564" i="5"/>
  <c r="H564" i="5"/>
  <c r="G564" i="5"/>
  <c r="F564" i="5"/>
  <c r="K563" i="5"/>
  <c r="J563" i="5"/>
  <c r="H563" i="5"/>
  <c r="G563" i="5"/>
  <c r="F563" i="5"/>
  <c r="C562" i="5"/>
  <c r="V561" i="5"/>
  <c r="K568" i="5" s="1"/>
  <c r="T561" i="5"/>
  <c r="K567" i="5" s="1"/>
  <c r="U561" i="5"/>
  <c r="H568" i="5" s="1"/>
  <c r="S561" i="5"/>
  <c r="H567" i="5" s="1"/>
  <c r="F561" i="5"/>
  <c r="E561" i="5"/>
  <c r="D561" i="5"/>
  <c r="I561" i="5"/>
  <c r="C561" i="5"/>
  <c r="B561" i="5"/>
  <c r="A561" i="5"/>
  <c r="Q560" i="5"/>
  <c r="L560" i="5"/>
  <c r="Z560" i="5"/>
  <c r="Y560" i="5"/>
  <c r="X560" i="5"/>
  <c r="K559" i="5"/>
  <c r="J559" i="5"/>
  <c r="Z559" i="5"/>
  <c r="Y559" i="5"/>
  <c r="X559" i="5"/>
  <c r="H559" i="5"/>
  <c r="W559" i="5" s="1"/>
  <c r="F559" i="5"/>
  <c r="V559" i="5"/>
  <c r="T559" i="5"/>
  <c r="U559" i="5"/>
  <c r="S559" i="5"/>
  <c r="E559" i="5"/>
  <c r="D559" i="5"/>
  <c r="C559" i="5"/>
  <c r="B559" i="5"/>
  <c r="A559" i="5"/>
  <c r="L558" i="5"/>
  <c r="G558" i="5"/>
  <c r="E558" i="5"/>
  <c r="J557" i="5"/>
  <c r="F557" i="5"/>
  <c r="E557" i="5"/>
  <c r="J556" i="5"/>
  <c r="F556" i="5"/>
  <c r="E556" i="5"/>
  <c r="K555" i="5"/>
  <c r="J555" i="5"/>
  <c r="H555" i="5"/>
  <c r="G555" i="5"/>
  <c r="F555" i="5"/>
  <c r="K554" i="5"/>
  <c r="J554" i="5"/>
  <c r="H554" i="5"/>
  <c r="R554" i="5" s="1"/>
  <c r="G554" i="5"/>
  <c r="F554" i="5"/>
  <c r="K553" i="5"/>
  <c r="J553" i="5"/>
  <c r="H553" i="5"/>
  <c r="G553" i="5"/>
  <c r="F553" i="5"/>
  <c r="K552" i="5"/>
  <c r="J552" i="5"/>
  <c r="H552" i="5"/>
  <c r="R552" i="5" s="1"/>
  <c r="G552" i="5"/>
  <c r="F552" i="5"/>
  <c r="C551" i="5"/>
  <c r="V550" i="5"/>
  <c r="T550" i="5"/>
  <c r="K556" i="5" s="1"/>
  <c r="U550" i="5"/>
  <c r="H557" i="5" s="1"/>
  <c r="S550" i="5"/>
  <c r="F550" i="5"/>
  <c r="E550" i="5"/>
  <c r="D550" i="5"/>
  <c r="I550" i="5"/>
  <c r="C550" i="5"/>
  <c r="B550" i="5"/>
  <c r="A550" i="5"/>
  <c r="A549" i="5"/>
  <c r="A545" i="5"/>
  <c r="L543" i="5"/>
  <c r="Q543" i="5" s="1"/>
  <c r="Z543" i="5"/>
  <c r="Y543" i="5"/>
  <c r="X543" i="5"/>
  <c r="K540" i="5"/>
  <c r="K542" i="5"/>
  <c r="J542" i="5"/>
  <c r="Z542" i="5"/>
  <c r="Y542" i="5"/>
  <c r="X542" i="5"/>
  <c r="W542" i="5"/>
  <c r="H542" i="5"/>
  <c r="F542" i="5"/>
  <c r="V542" i="5"/>
  <c r="T542" i="5"/>
  <c r="U542" i="5"/>
  <c r="S542" i="5"/>
  <c r="E542" i="5"/>
  <c r="D542" i="5"/>
  <c r="C542" i="5"/>
  <c r="B542" i="5"/>
  <c r="A542" i="5"/>
  <c r="L541" i="5"/>
  <c r="G541" i="5"/>
  <c r="E541" i="5"/>
  <c r="J540" i="5"/>
  <c r="F540" i="5"/>
  <c r="E540" i="5"/>
  <c r="J539" i="5"/>
  <c r="F539" i="5"/>
  <c r="E539" i="5"/>
  <c r="K538" i="5"/>
  <c r="J538" i="5"/>
  <c r="H538" i="5"/>
  <c r="G538" i="5"/>
  <c r="F538" i="5"/>
  <c r="K537" i="5"/>
  <c r="J537" i="5"/>
  <c r="H537" i="5"/>
  <c r="G537" i="5"/>
  <c r="F537" i="5"/>
  <c r="C536" i="5"/>
  <c r="V535" i="5"/>
  <c r="T535" i="5"/>
  <c r="K539" i="5" s="1"/>
  <c r="U535" i="5"/>
  <c r="H540" i="5" s="1"/>
  <c r="S535" i="5"/>
  <c r="F535" i="5"/>
  <c r="E535" i="5"/>
  <c r="D535" i="5"/>
  <c r="I535" i="5"/>
  <c r="C535" i="5"/>
  <c r="A535" i="5"/>
  <c r="L534" i="5"/>
  <c r="Q534" i="5" s="1"/>
  <c r="Z534" i="5"/>
  <c r="Y534" i="5"/>
  <c r="X534" i="5"/>
  <c r="K533" i="5"/>
  <c r="J533" i="5"/>
  <c r="Z533" i="5"/>
  <c r="Y533" i="5"/>
  <c r="X533" i="5"/>
  <c r="H533" i="5"/>
  <c r="W533" i="5" s="1"/>
  <c r="F533" i="5"/>
  <c r="V533" i="5"/>
  <c r="T533" i="5"/>
  <c r="U533" i="5"/>
  <c r="S533" i="5"/>
  <c r="E533" i="5"/>
  <c r="D533" i="5"/>
  <c r="C533" i="5"/>
  <c r="B533" i="5"/>
  <c r="A533" i="5"/>
  <c r="K532" i="5"/>
  <c r="J532" i="5"/>
  <c r="Z532" i="5"/>
  <c r="Y532" i="5"/>
  <c r="X532" i="5"/>
  <c r="H532" i="5"/>
  <c r="W532" i="5" s="1"/>
  <c r="F532" i="5"/>
  <c r="V532" i="5"/>
  <c r="T532" i="5"/>
  <c r="U532" i="5"/>
  <c r="S532" i="5"/>
  <c r="E532" i="5"/>
  <c r="D532" i="5"/>
  <c r="C532" i="5"/>
  <c r="B532" i="5"/>
  <c r="A532" i="5"/>
  <c r="L531" i="5"/>
  <c r="G531" i="5"/>
  <c r="E531" i="5"/>
  <c r="J530" i="5"/>
  <c r="F530" i="5"/>
  <c r="E530" i="5"/>
  <c r="J529" i="5"/>
  <c r="F529" i="5"/>
  <c r="E529" i="5"/>
  <c r="K528" i="5"/>
  <c r="J528" i="5"/>
  <c r="H528" i="5"/>
  <c r="G528" i="5"/>
  <c r="F528" i="5"/>
  <c r="K527" i="5"/>
  <c r="J527" i="5"/>
  <c r="H527" i="5"/>
  <c r="R527" i="5" s="1"/>
  <c r="G527" i="5"/>
  <c r="F527" i="5"/>
  <c r="K526" i="5"/>
  <c r="J526" i="5"/>
  <c r="H526" i="5"/>
  <c r="G526" i="5"/>
  <c r="F526" i="5"/>
  <c r="K525" i="5"/>
  <c r="J525" i="5"/>
  <c r="H525" i="5"/>
  <c r="G525" i="5"/>
  <c r="F525" i="5"/>
  <c r="C524" i="5"/>
  <c r="V523" i="5"/>
  <c r="K530" i="5" s="1"/>
  <c r="T523" i="5"/>
  <c r="U523" i="5"/>
  <c r="S523" i="5"/>
  <c r="F523" i="5"/>
  <c r="E523" i="5"/>
  <c r="D523" i="5"/>
  <c r="I523" i="5"/>
  <c r="C523" i="5"/>
  <c r="A523" i="5"/>
  <c r="L522" i="5"/>
  <c r="Q522" i="5" s="1"/>
  <c r="Z522" i="5"/>
  <c r="Y522" i="5"/>
  <c r="X522" i="5"/>
  <c r="K521" i="5"/>
  <c r="J521" i="5"/>
  <c r="Z521" i="5"/>
  <c r="Y521" i="5"/>
  <c r="X521" i="5"/>
  <c r="H521" i="5"/>
  <c r="W521" i="5" s="1"/>
  <c r="F521" i="5"/>
  <c r="V521" i="5"/>
  <c r="T521" i="5"/>
  <c r="U521" i="5"/>
  <c r="S521" i="5"/>
  <c r="E521" i="5"/>
  <c r="D521" i="5"/>
  <c r="C521" i="5"/>
  <c r="B521" i="5"/>
  <c r="A521" i="5"/>
  <c r="L520" i="5"/>
  <c r="G520" i="5"/>
  <c r="E520" i="5"/>
  <c r="J519" i="5"/>
  <c r="F519" i="5"/>
  <c r="E519" i="5"/>
  <c r="J518" i="5"/>
  <c r="F518" i="5"/>
  <c r="E518" i="5"/>
  <c r="K517" i="5"/>
  <c r="J517" i="5"/>
  <c r="R517" i="5"/>
  <c r="H517" i="5"/>
  <c r="G517" i="5"/>
  <c r="F517" i="5"/>
  <c r="K516" i="5"/>
  <c r="J516" i="5"/>
  <c r="H516" i="5"/>
  <c r="G516" i="5"/>
  <c r="F516" i="5"/>
  <c r="K515" i="5"/>
  <c r="J515" i="5"/>
  <c r="H515" i="5"/>
  <c r="G515" i="5"/>
  <c r="F515" i="5"/>
  <c r="C514" i="5"/>
  <c r="V513" i="5"/>
  <c r="T513" i="5"/>
  <c r="K518" i="5" s="1"/>
  <c r="U513" i="5"/>
  <c r="H519" i="5" s="1"/>
  <c r="S513" i="5"/>
  <c r="H518" i="5" s="1"/>
  <c r="F513" i="5"/>
  <c r="E513" i="5"/>
  <c r="D513" i="5"/>
  <c r="I513" i="5"/>
  <c r="C513" i="5"/>
  <c r="A513" i="5"/>
  <c r="L512" i="5"/>
  <c r="Q512" i="5" s="1"/>
  <c r="Z512" i="5"/>
  <c r="Y512" i="5"/>
  <c r="X512" i="5"/>
  <c r="K511" i="5"/>
  <c r="J511" i="5"/>
  <c r="Z511" i="5"/>
  <c r="Y511" i="5"/>
  <c r="X511" i="5"/>
  <c r="H511" i="5"/>
  <c r="W511" i="5" s="1"/>
  <c r="F511" i="5"/>
  <c r="V511" i="5"/>
  <c r="T511" i="5"/>
  <c r="U511" i="5"/>
  <c r="S511" i="5"/>
  <c r="E511" i="5"/>
  <c r="D511" i="5"/>
  <c r="C511" i="5"/>
  <c r="B511" i="5"/>
  <c r="A511" i="5"/>
  <c r="L510" i="5"/>
  <c r="G510" i="5"/>
  <c r="E510" i="5"/>
  <c r="J509" i="5"/>
  <c r="F509" i="5"/>
  <c r="E509" i="5"/>
  <c r="J508" i="5"/>
  <c r="F508" i="5"/>
  <c r="E508" i="5"/>
  <c r="K507" i="5"/>
  <c r="J507" i="5"/>
  <c r="H507" i="5"/>
  <c r="G507" i="5"/>
  <c r="F507" i="5"/>
  <c r="K506" i="5"/>
  <c r="J506" i="5"/>
  <c r="H506" i="5"/>
  <c r="R506" i="5" s="1"/>
  <c r="G506" i="5"/>
  <c r="F506" i="5"/>
  <c r="K505" i="5"/>
  <c r="J505" i="5"/>
  <c r="H505" i="5"/>
  <c r="G505" i="5"/>
  <c r="F505" i="5"/>
  <c r="K504" i="5"/>
  <c r="J504" i="5"/>
  <c r="H504" i="5"/>
  <c r="R504" i="5" s="1"/>
  <c r="G504" i="5"/>
  <c r="F504" i="5"/>
  <c r="C503" i="5"/>
  <c r="V502" i="5"/>
  <c r="T502" i="5"/>
  <c r="K508" i="5" s="1"/>
  <c r="U502" i="5"/>
  <c r="H509" i="5" s="1"/>
  <c r="S502" i="5"/>
  <c r="H508" i="5" s="1"/>
  <c r="F502" i="5"/>
  <c r="E502" i="5"/>
  <c r="D502" i="5"/>
  <c r="I502" i="5"/>
  <c r="C502" i="5"/>
  <c r="A502" i="5"/>
  <c r="L501" i="5"/>
  <c r="Q501" i="5" s="1"/>
  <c r="Z501" i="5"/>
  <c r="Y501" i="5"/>
  <c r="X501" i="5"/>
  <c r="K500" i="5"/>
  <c r="J500" i="5"/>
  <c r="Z500" i="5"/>
  <c r="Y500" i="5"/>
  <c r="X500" i="5"/>
  <c r="H500" i="5"/>
  <c r="W500" i="5" s="1"/>
  <c r="F500" i="5"/>
  <c r="V500" i="5"/>
  <c r="T500" i="5"/>
  <c r="U500" i="5"/>
  <c r="S500" i="5"/>
  <c r="E500" i="5"/>
  <c r="D500" i="5"/>
  <c r="C500" i="5"/>
  <c r="B500" i="5"/>
  <c r="A500" i="5"/>
  <c r="L499" i="5"/>
  <c r="G499" i="5"/>
  <c r="E499" i="5"/>
  <c r="J498" i="5"/>
  <c r="F498" i="5"/>
  <c r="E498" i="5"/>
  <c r="J497" i="5"/>
  <c r="F497" i="5"/>
  <c r="E497" i="5"/>
  <c r="K496" i="5"/>
  <c r="J496" i="5"/>
  <c r="H496" i="5"/>
  <c r="G496" i="5"/>
  <c r="F496" i="5"/>
  <c r="K495" i="5"/>
  <c r="J495" i="5"/>
  <c r="H495" i="5"/>
  <c r="R495" i="5" s="1"/>
  <c r="G495" i="5"/>
  <c r="F495" i="5"/>
  <c r="K494" i="5"/>
  <c r="J494" i="5"/>
  <c r="H494" i="5"/>
  <c r="G494" i="5"/>
  <c r="F494" i="5"/>
  <c r="K493" i="5"/>
  <c r="J493" i="5"/>
  <c r="H493" i="5"/>
  <c r="R493" i="5" s="1"/>
  <c r="G493" i="5"/>
  <c r="F493" i="5"/>
  <c r="C492" i="5"/>
  <c r="V491" i="5"/>
  <c r="K498" i="5" s="1"/>
  <c r="T491" i="5"/>
  <c r="U491" i="5"/>
  <c r="H498" i="5" s="1"/>
  <c r="S491" i="5"/>
  <c r="H497" i="5" s="1"/>
  <c r="F491" i="5"/>
  <c r="E491" i="5"/>
  <c r="D491" i="5"/>
  <c r="I491" i="5"/>
  <c r="C491" i="5"/>
  <c r="A491" i="5"/>
  <c r="B490" i="5"/>
  <c r="L488" i="5"/>
  <c r="Q488" i="5" s="1"/>
  <c r="Z488" i="5"/>
  <c r="Y488" i="5"/>
  <c r="X488" i="5"/>
  <c r="K487" i="5"/>
  <c r="J487" i="5"/>
  <c r="Z487" i="5"/>
  <c r="Y487" i="5"/>
  <c r="X487" i="5"/>
  <c r="H487" i="5"/>
  <c r="W487" i="5" s="1"/>
  <c r="F487" i="5"/>
  <c r="V487" i="5"/>
  <c r="T487" i="5"/>
  <c r="U487" i="5"/>
  <c r="S487" i="5"/>
  <c r="E487" i="5"/>
  <c r="D487" i="5"/>
  <c r="C487" i="5"/>
  <c r="B487" i="5"/>
  <c r="A487" i="5"/>
  <c r="K486" i="5"/>
  <c r="J486" i="5"/>
  <c r="Z486" i="5"/>
  <c r="Y486" i="5"/>
  <c r="X486" i="5"/>
  <c r="W486" i="5"/>
  <c r="H486" i="5"/>
  <c r="F486" i="5"/>
  <c r="V486" i="5"/>
  <c r="T486" i="5"/>
  <c r="U486" i="5"/>
  <c r="S486" i="5"/>
  <c r="E486" i="5"/>
  <c r="D486" i="5"/>
  <c r="C486" i="5"/>
  <c r="B486" i="5"/>
  <c r="A486" i="5"/>
  <c r="L485" i="5"/>
  <c r="G485" i="5"/>
  <c r="E485" i="5"/>
  <c r="J484" i="5"/>
  <c r="F484" i="5"/>
  <c r="E484" i="5"/>
  <c r="J483" i="5"/>
  <c r="F483" i="5"/>
  <c r="E483" i="5"/>
  <c r="K482" i="5"/>
  <c r="J482" i="5"/>
  <c r="H482" i="5"/>
  <c r="G482" i="5"/>
  <c r="F482" i="5"/>
  <c r="K481" i="5"/>
  <c r="J481" i="5"/>
  <c r="R481" i="5"/>
  <c r="H481" i="5"/>
  <c r="G481" i="5"/>
  <c r="F481" i="5"/>
  <c r="K480" i="5"/>
  <c r="J480" i="5"/>
  <c r="H480" i="5"/>
  <c r="G480" i="5"/>
  <c r="F480" i="5"/>
  <c r="K479" i="5"/>
  <c r="J479" i="5"/>
  <c r="H479" i="5"/>
  <c r="R479" i="5" s="1"/>
  <c r="G479" i="5"/>
  <c r="F479" i="5"/>
  <c r="C478" i="5"/>
  <c r="V477" i="5"/>
  <c r="T477" i="5"/>
  <c r="U477" i="5"/>
  <c r="H484" i="5" s="1"/>
  <c r="S477" i="5"/>
  <c r="H483" i="5" s="1"/>
  <c r="F477" i="5"/>
  <c r="E477" i="5"/>
  <c r="D477" i="5"/>
  <c r="I477" i="5"/>
  <c r="C477" i="5"/>
  <c r="A477" i="5"/>
  <c r="L476" i="5"/>
  <c r="Q476" i="5" s="1"/>
  <c r="Z476" i="5"/>
  <c r="Y476" i="5"/>
  <c r="X476" i="5"/>
  <c r="K475" i="5"/>
  <c r="J475" i="5"/>
  <c r="Z475" i="5"/>
  <c r="Y475" i="5"/>
  <c r="X475" i="5"/>
  <c r="H475" i="5"/>
  <c r="W475" i="5" s="1"/>
  <c r="F475" i="5"/>
  <c r="V475" i="5"/>
  <c r="T475" i="5"/>
  <c r="U475" i="5"/>
  <c r="S475" i="5"/>
  <c r="E475" i="5"/>
  <c r="D475" i="5"/>
  <c r="C475" i="5"/>
  <c r="B475" i="5"/>
  <c r="A475" i="5"/>
  <c r="K474" i="5"/>
  <c r="J474" i="5"/>
  <c r="Z474" i="5"/>
  <c r="Y474" i="5"/>
  <c r="X474" i="5"/>
  <c r="H474" i="5"/>
  <c r="W474" i="5" s="1"/>
  <c r="F474" i="5"/>
  <c r="V474" i="5"/>
  <c r="T474" i="5"/>
  <c r="U474" i="5"/>
  <c r="S474" i="5"/>
  <c r="E474" i="5"/>
  <c r="D474" i="5"/>
  <c r="C474" i="5"/>
  <c r="B474" i="5"/>
  <c r="A474" i="5"/>
  <c r="L473" i="5"/>
  <c r="G473" i="5"/>
  <c r="E473" i="5"/>
  <c r="J472" i="5"/>
  <c r="F472" i="5"/>
  <c r="E472" i="5"/>
  <c r="J471" i="5"/>
  <c r="F471" i="5"/>
  <c r="E471" i="5"/>
  <c r="K470" i="5"/>
  <c r="J470" i="5"/>
  <c r="H470" i="5"/>
  <c r="G470" i="5"/>
  <c r="F470" i="5"/>
  <c r="K469" i="5"/>
  <c r="J469" i="5"/>
  <c r="H469" i="5"/>
  <c r="R469" i="5" s="1"/>
  <c r="G469" i="5"/>
  <c r="F469" i="5"/>
  <c r="C468" i="5"/>
  <c r="V467" i="5"/>
  <c r="K472" i="5" s="1"/>
  <c r="T467" i="5"/>
  <c r="K471" i="5" s="1"/>
  <c r="U467" i="5"/>
  <c r="S467" i="5"/>
  <c r="F467" i="5"/>
  <c r="E467" i="5"/>
  <c r="D467" i="5"/>
  <c r="I467" i="5"/>
  <c r="C467" i="5"/>
  <c r="B467" i="5"/>
  <c r="A467" i="5"/>
  <c r="Q466" i="5"/>
  <c r="L466" i="5"/>
  <c r="Z466" i="5"/>
  <c r="Y466" i="5"/>
  <c r="X466" i="5"/>
  <c r="K465" i="5"/>
  <c r="J465" i="5"/>
  <c r="Z465" i="5"/>
  <c r="Y465" i="5"/>
  <c r="X465" i="5"/>
  <c r="H465" i="5"/>
  <c r="W465" i="5" s="1"/>
  <c r="F465" i="5"/>
  <c r="V465" i="5"/>
  <c r="T465" i="5"/>
  <c r="U465" i="5"/>
  <c r="S465" i="5"/>
  <c r="E465" i="5"/>
  <c r="D465" i="5"/>
  <c r="C465" i="5"/>
  <c r="B465" i="5"/>
  <c r="A465" i="5"/>
  <c r="K464" i="5"/>
  <c r="J464" i="5"/>
  <c r="Z464" i="5"/>
  <c r="Y464" i="5"/>
  <c r="X464" i="5"/>
  <c r="H464" i="5"/>
  <c r="W464" i="5" s="1"/>
  <c r="F464" i="5"/>
  <c r="V464" i="5"/>
  <c r="T464" i="5"/>
  <c r="U464" i="5"/>
  <c r="S464" i="5"/>
  <c r="E464" i="5"/>
  <c r="D464" i="5"/>
  <c r="C464" i="5"/>
  <c r="B464" i="5"/>
  <c r="A464" i="5"/>
  <c r="L463" i="5"/>
  <c r="G463" i="5"/>
  <c r="E463" i="5"/>
  <c r="J462" i="5"/>
  <c r="F462" i="5"/>
  <c r="E462" i="5"/>
  <c r="J461" i="5"/>
  <c r="F461" i="5"/>
  <c r="E461" i="5"/>
  <c r="K460" i="5"/>
  <c r="J460" i="5"/>
  <c r="H460" i="5"/>
  <c r="G460" i="5"/>
  <c r="F460" i="5"/>
  <c r="K459" i="5"/>
  <c r="J459" i="5"/>
  <c r="H459" i="5"/>
  <c r="R459" i="5" s="1"/>
  <c r="G459" i="5"/>
  <c r="F459" i="5"/>
  <c r="K458" i="5"/>
  <c r="J458" i="5"/>
  <c r="H458" i="5"/>
  <c r="G458" i="5"/>
  <c r="F458" i="5"/>
  <c r="K457" i="5"/>
  <c r="J457" i="5"/>
  <c r="H457" i="5"/>
  <c r="R457" i="5" s="1"/>
  <c r="G457" i="5"/>
  <c r="F457" i="5"/>
  <c r="C456" i="5"/>
  <c r="V455" i="5"/>
  <c r="K462" i="5" s="1"/>
  <c r="T455" i="5"/>
  <c r="K461" i="5" s="1"/>
  <c r="U455" i="5"/>
  <c r="S455" i="5"/>
  <c r="F455" i="5"/>
  <c r="E455" i="5"/>
  <c r="D455" i="5"/>
  <c r="I455" i="5"/>
  <c r="C455" i="5"/>
  <c r="A455" i="5"/>
  <c r="L454" i="5"/>
  <c r="Q454" i="5" s="1"/>
  <c r="Z454" i="5"/>
  <c r="Y454" i="5"/>
  <c r="X454" i="5"/>
  <c r="K453" i="5"/>
  <c r="J453" i="5"/>
  <c r="Z453" i="5"/>
  <c r="Y453" i="5"/>
  <c r="X453" i="5"/>
  <c r="W453" i="5"/>
  <c r="H453" i="5"/>
  <c r="F453" i="5"/>
  <c r="V453" i="5"/>
  <c r="T453" i="5"/>
  <c r="U453" i="5"/>
  <c r="S453" i="5"/>
  <c r="E453" i="5"/>
  <c r="D453" i="5"/>
  <c r="C453" i="5"/>
  <c r="B453" i="5"/>
  <c r="A453" i="5"/>
  <c r="L452" i="5"/>
  <c r="G452" i="5"/>
  <c r="E452" i="5"/>
  <c r="J451" i="5"/>
  <c r="F451" i="5"/>
  <c r="E451" i="5"/>
  <c r="J450" i="5"/>
  <c r="F450" i="5"/>
  <c r="E450" i="5"/>
  <c r="K449" i="5"/>
  <c r="J449" i="5"/>
  <c r="H449" i="5"/>
  <c r="G449" i="5"/>
  <c r="F449" i="5"/>
  <c r="K448" i="5"/>
  <c r="J448" i="5"/>
  <c r="R448" i="5"/>
  <c r="H448" i="5"/>
  <c r="G448" i="5"/>
  <c r="F448" i="5"/>
  <c r="K447" i="5"/>
  <c r="J447" i="5"/>
  <c r="H447" i="5"/>
  <c r="G447" i="5"/>
  <c r="F447" i="5"/>
  <c r="K446" i="5"/>
  <c r="J446" i="5"/>
  <c r="H446" i="5"/>
  <c r="G446" i="5"/>
  <c r="F446" i="5"/>
  <c r="C445" i="5"/>
  <c r="V444" i="5"/>
  <c r="K451" i="5" s="1"/>
  <c r="T444" i="5"/>
  <c r="K450" i="5" s="1"/>
  <c r="U444" i="5"/>
  <c r="H451" i="5" s="1"/>
  <c r="S444" i="5"/>
  <c r="H450" i="5" s="1"/>
  <c r="F444" i="5"/>
  <c r="E444" i="5"/>
  <c r="D444" i="5"/>
  <c r="I444" i="5"/>
  <c r="C444" i="5"/>
  <c r="A444" i="5"/>
  <c r="L443" i="5"/>
  <c r="Q443" i="5" s="1"/>
  <c r="Z443" i="5"/>
  <c r="Y443" i="5"/>
  <c r="X443" i="5"/>
  <c r="K442" i="5"/>
  <c r="J442" i="5"/>
  <c r="Z442" i="5"/>
  <c r="Y442" i="5"/>
  <c r="X442" i="5"/>
  <c r="H442" i="5"/>
  <c r="W442" i="5" s="1"/>
  <c r="F442" i="5"/>
  <c r="V442" i="5"/>
  <c r="T442" i="5"/>
  <c r="U442" i="5"/>
  <c r="S442" i="5"/>
  <c r="E442" i="5"/>
  <c r="D442" i="5"/>
  <c r="C442" i="5"/>
  <c r="B442" i="5"/>
  <c r="A442" i="5"/>
  <c r="L441" i="5"/>
  <c r="G441" i="5"/>
  <c r="E441" i="5"/>
  <c r="J440" i="5"/>
  <c r="F440" i="5"/>
  <c r="E440" i="5"/>
  <c r="J439" i="5"/>
  <c r="F439" i="5"/>
  <c r="E439" i="5"/>
  <c r="K438" i="5"/>
  <c r="J438" i="5"/>
  <c r="H438" i="5"/>
  <c r="G438" i="5"/>
  <c r="F438" i="5"/>
  <c r="K437" i="5"/>
  <c r="J437" i="5"/>
  <c r="H437" i="5"/>
  <c r="R437" i="5" s="1"/>
  <c r="G437" i="5"/>
  <c r="F437" i="5"/>
  <c r="K436" i="5"/>
  <c r="J436" i="5"/>
  <c r="H436" i="5"/>
  <c r="G436" i="5"/>
  <c r="F436" i="5"/>
  <c r="K435" i="5"/>
  <c r="J435" i="5"/>
  <c r="R435" i="5"/>
  <c r="H435" i="5"/>
  <c r="G435" i="5"/>
  <c r="F435" i="5"/>
  <c r="C434" i="5"/>
  <c r="V433" i="5"/>
  <c r="T433" i="5"/>
  <c r="K439" i="5" s="1"/>
  <c r="U433" i="5"/>
  <c r="H440" i="5" s="1"/>
  <c r="S433" i="5"/>
  <c r="H439" i="5" s="1"/>
  <c r="F433" i="5"/>
  <c r="E433" i="5"/>
  <c r="D433" i="5"/>
  <c r="I433" i="5"/>
  <c r="C433" i="5"/>
  <c r="A433" i="5"/>
  <c r="B432" i="5"/>
  <c r="Q430" i="5"/>
  <c r="L430" i="5"/>
  <c r="Z430" i="5"/>
  <c r="Y430" i="5"/>
  <c r="X430" i="5"/>
  <c r="K429" i="5"/>
  <c r="J430" i="5" s="1"/>
  <c r="P430" i="5" s="1"/>
  <c r="H429" i="5"/>
  <c r="G430" i="5" s="1"/>
  <c r="O430" i="5" s="1"/>
  <c r="J429" i="5"/>
  <c r="G429" i="5"/>
  <c r="F429" i="5"/>
  <c r="V429" i="5"/>
  <c r="T429" i="5"/>
  <c r="U429" i="5"/>
  <c r="S429" i="5"/>
  <c r="E429" i="5"/>
  <c r="D429" i="5"/>
  <c r="I429" i="5"/>
  <c r="C429" i="5"/>
  <c r="B429" i="5"/>
  <c r="A429" i="5"/>
  <c r="L428" i="5"/>
  <c r="Q428" i="5" s="1"/>
  <c r="G428" i="5"/>
  <c r="O428" i="5" s="1"/>
  <c r="Z428" i="5"/>
  <c r="Y428" i="5"/>
  <c r="X428" i="5"/>
  <c r="W428" i="5"/>
  <c r="C427" i="5"/>
  <c r="K426" i="5"/>
  <c r="J428" i="5" s="1"/>
  <c r="P428" i="5" s="1"/>
  <c r="H426" i="5"/>
  <c r="J426" i="5"/>
  <c r="G426" i="5"/>
  <c r="F426" i="5"/>
  <c r="V426" i="5"/>
  <c r="T426" i="5"/>
  <c r="U426" i="5"/>
  <c r="S426" i="5"/>
  <c r="E426" i="5"/>
  <c r="D426" i="5"/>
  <c r="I426" i="5"/>
  <c r="C426" i="5"/>
  <c r="B426" i="5"/>
  <c r="A426" i="5"/>
  <c r="Q425" i="5"/>
  <c r="L425" i="5"/>
  <c r="Z425" i="5"/>
  <c r="Y425" i="5"/>
  <c r="X425" i="5"/>
  <c r="L424" i="5"/>
  <c r="G424" i="5"/>
  <c r="E424" i="5"/>
  <c r="J423" i="5"/>
  <c r="E423" i="5"/>
  <c r="J422" i="5"/>
  <c r="E422" i="5"/>
  <c r="K421" i="5"/>
  <c r="J421" i="5"/>
  <c r="H421" i="5"/>
  <c r="R421" i="5" s="1"/>
  <c r="G421" i="5"/>
  <c r="F421" i="5"/>
  <c r="K420" i="5"/>
  <c r="J420" i="5"/>
  <c r="H420" i="5"/>
  <c r="G420" i="5"/>
  <c r="F420" i="5"/>
  <c r="K419" i="5"/>
  <c r="J419" i="5"/>
  <c r="H419" i="5"/>
  <c r="R419" i="5" s="1"/>
  <c r="G419" i="5"/>
  <c r="F419" i="5"/>
  <c r="C418" i="5"/>
  <c r="V417" i="5"/>
  <c r="K423" i="5" s="1"/>
  <c r="T417" i="5"/>
  <c r="K422" i="5" s="1"/>
  <c r="U417" i="5"/>
  <c r="H423" i="5" s="1"/>
  <c r="S417" i="5"/>
  <c r="H422" i="5" s="1"/>
  <c r="F417" i="5"/>
  <c r="E417" i="5"/>
  <c r="D417" i="5"/>
  <c r="I417" i="5"/>
  <c r="C417" i="5"/>
  <c r="A417" i="5"/>
  <c r="L416" i="5"/>
  <c r="Q416" i="5" s="1"/>
  <c r="Z416" i="5"/>
  <c r="Y416" i="5"/>
  <c r="X416" i="5"/>
  <c r="L415" i="5"/>
  <c r="G415" i="5"/>
  <c r="E415" i="5"/>
  <c r="J414" i="5"/>
  <c r="E414" i="5"/>
  <c r="J413" i="5"/>
  <c r="E413" i="5"/>
  <c r="K412" i="5"/>
  <c r="J412" i="5"/>
  <c r="H412" i="5"/>
  <c r="R412" i="5" s="1"/>
  <c r="G412" i="5"/>
  <c r="F412" i="5"/>
  <c r="K411" i="5"/>
  <c r="J411" i="5"/>
  <c r="H411" i="5"/>
  <c r="G411" i="5"/>
  <c r="F411" i="5"/>
  <c r="K410" i="5"/>
  <c r="J410" i="5"/>
  <c r="H410" i="5"/>
  <c r="R410" i="5" s="1"/>
  <c r="G410" i="5"/>
  <c r="F410" i="5"/>
  <c r="C409" i="5"/>
  <c r="V408" i="5"/>
  <c r="K414" i="5" s="1"/>
  <c r="T408" i="5"/>
  <c r="K413" i="5" s="1"/>
  <c r="U408" i="5"/>
  <c r="H414" i="5" s="1"/>
  <c r="S408" i="5"/>
  <c r="H413" i="5" s="1"/>
  <c r="F408" i="5"/>
  <c r="E408" i="5"/>
  <c r="D408" i="5"/>
  <c r="I408" i="5"/>
  <c r="C408" i="5"/>
  <c r="A408" i="5"/>
  <c r="L407" i="5"/>
  <c r="Q407" i="5" s="1"/>
  <c r="Z407" i="5"/>
  <c r="Y407" i="5"/>
  <c r="X407" i="5"/>
  <c r="L406" i="5"/>
  <c r="G406" i="5"/>
  <c r="E406" i="5"/>
  <c r="J405" i="5"/>
  <c r="E405" i="5"/>
  <c r="J404" i="5"/>
  <c r="E404" i="5"/>
  <c r="K403" i="5"/>
  <c r="J403" i="5"/>
  <c r="H403" i="5"/>
  <c r="R403" i="5" s="1"/>
  <c r="G403" i="5"/>
  <c r="F403" i="5"/>
  <c r="K402" i="5"/>
  <c r="J402" i="5"/>
  <c r="H402" i="5"/>
  <c r="G402" i="5"/>
  <c r="F402" i="5"/>
  <c r="K401" i="5"/>
  <c r="J407" i="5" s="1"/>
  <c r="P407" i="5" s="1"/>
  <c r="J401" i="5"/>
  <c r="H401" i="5"/>
  <c r="G401" i="5"/>
  <c r="F401" i="5"/>
  <c r="C400" i="5"/>
  <c r="V399" i="5"/>
  <c r="K405" i="5" s="1"/>
  <c r="T399" i="5"/>
  <c r="K404" i="5" s="1"/>
  <c r="U399" i="5"/>
  <c r="H405" i="5" s="1"/>
  <c r="S399" i="5"/>
  <c r="H404" i="5" s="1"/>
  <c r="F399" i="5"/>
  <c r="E399" i="5"/>
  <c r="D399" i="5"/>
  <c r="I399" i="5"/>
  <c r="C399" i="5"/>
  <c r="A399" i="5"/>
  <c r="A398" i="5"/>
  <c r="A394" i="5"/>
  <c r="Q392" i="5"/>
  <c r="L392" i="5"/>
  <c r="Z392" i="5"/>
  <c r="Y392" i="5"/>
  <c r="X392" i="5"/>
  <c r="K391" i="5"/>
  <c r="J391" i="5"/>
  <c r="Z391" i="5"/>
  <c r="Y391" i="5"/>
  <c r="X391" i="5"/>
  <c r="H391" i="5"/>
  <c r="W391" i="5" s="1"/>
  <c r="F391" i="5"/>
  <c r="V391" i="5"/>
  <c r="T391" i="5"/>
  <c r="U391" i="5"/>
  <c r="S391" i="5"/>
  <c r="E391" i="5"/>
  <c r="D391" i="5"/>
  <c r="C391" i="5"/>
  <c r="B391" i="5"/>
  <c r="A391" i="5"/>
  <c r="K390" i="5"/>
  <c r="J390" i="5"/>
  <c r="Z390" i="5"/>
  <c r="Y390" i="5"/>
  <c r="X390" i="5"/>
  <c r="W390" i="5"/>
  <c r="H390" i="5"/>
  <c r="F390" i="5"/>
  <c r="V390" i="5"/>
  <c r="T390" i="5"/>
  <c r="U390" i="5"/>
  <c r="S390" i="5"/>
  <c r="E390" i="5"/>
  <c r="D390" i="5"/>
  <c r="C390" i="5"/>
  <c r="B390" i="5"/>
  <c r="A390" i="5"/>
  <c r="L389" i="5"/>
  <c r="G389" i="5"/>
  <c r="E389" i="5"/>
  <c r="J388" i="5"/>
  <c r="F388" i="5"/>
  <c r="E388" i="5"/>
  <c r="J387" i="5"/>
  <c r="F387" i="5"/>
  <c r="E387" i="5"/>
  <c r="K386" i="5"/>
  <c r="J386" i="5"/>
  <c r="H386" i="5"/>
  <c r="G386" i="5"/>
  <c r="F386" i="5"/>
  <c r="K385" i="5"/>
  <c r="J385" i="5"/>
  <c r="R385" i="5"/>
  <c r="H385" i="5"/>
  <c r="G385" i="5"/>
  <c r="F385" i="5"/>
  <c r="K384" i="5"/>
  <c r="J384" i="5"/>
  <c r="H384" i="5"/>
  <c r="G384" i="5"/>
  <c r="F384" i="5"/>
  <c r="K383" i="5"/>
  <c r="J383" i="5"/>
  <c r="H383" i="5"/>
  <c r="G383" i="5"/>
  <c r="F383" i="5"/>
  <c r="C382" i="5"/>
  <c r="V381" i="5"/>
  <c r="T381" i="5"/>
  <c r="K387" i="5" s="1"/>
  <c r="U381" i="5"/>
  <c r="S381" i="5"/>
  <c r="H387" i="5" s="1"/>
  <c r="F381" i="5"/>
  <c r="E381" i="5"/>
  <c r="D381" i="5"/>
  <c r="I381" i="5"/>
  <c r="C381" i="5"/>
  <c r="A381" i="5"/>
  <c r="Q380" i="5"/>
  <c r="L380" i="5"/>
  <c r="Z380" i="5"/>
  <c r="Y380" i="5"/>
  <c r="X380" i="5"/>
  <c r="K379" i="5"/>
  <c r="J379" i="5"/>
  <c r="Z379" i="5"/>
  <c r="Y379" i="5"/>
  <c r="X379" i="5"/>
  <c r="H379" i="5"/>
  <c r="W379" i="5" s="1"/>
  <c r="F379" i="5"/>
  <c r="V379" i="5"/>
  <c r="T379" i="5"/>
  <c r="U379" i="5"/>
  <c r="S379" i="5"/>
  <c r="E379" i="5"/>
  <c r="D379" i="5"/>
  <c r="C379" i="5"/>
  <c r="B379" i="5"/>
  <c r="A379" i="5"/>
  <c r="K378" i="5"/>
  <c r="J378" i="5"/>
  <c r="Z378" i="5"/>
  <c r="Y378" i="5"/>
  <c r="X378" i="5"/>
  <c r="H378" i="5"/>
  <c r="W378" i="5" s="1"/>
  <c r="F378" i="5"/>
  <c r="V378" i="5"/>
  <c r="T378" i="5"/>
  <c r="U378" i="5"/>
  <c r="S378" i="5"/>
  <c r="E378" i="5"/>
  <c r="D378" i="5"/>
  <c r="C378" i="5"/>
  <c r="B378" i="5"/>
  <c r="A378" i="5"/>
  <c r="L377" i="5"/>
  <c r="G377" i="5"/>
  <c r="E377" i="5"/>
  <c r="J376" i="5"/>
  <c r="F376" i="5"/>
  <c r="E376" i="5"/>
  <c r="J375" i="5"/>
  <c r="F375" i="5"/>
  <c r="E375" i="5"/>
  <c r="K374" i="5"/>
  <c r="J374" i="5"/>
  <c r="H374" i="5"/>
  <c r="G374" i="5"/>
  <c r="F374" i="5"/>
  <c r="K373" i="5"/>
  <c r="J373" i="5"/>
  <c r="H373" i="5"/>
  <c r="R373" i="5" s="1"/>
  <c r="G373" i="5"/>
  <c r="F373" i="5"/>
  <c r="C372" i="5"/>
  <c r="V371" i="5"/>
  <c r="K376" i="5" s="1"/>
  <c r="T371" i="5"/>
  <c r="U371" i="5"/>
  <c r="S371" i="5"/>
  <c r="F371" i="5"/>
  <c r="E371" i="5"/>
  <c r="D371" i="5"/>
  <c r="I371" i="5"/>
  <c r="C371" i="5"/>
  <c r="B371" i="5"/>
  <c r="A371" i="5"/>
  <c r="L370" i="5"/>
  <c r="Q370" i="5" s="1"/>
  <c r="Z370" i="5"/>
  <c r="Y370" i="5"/>
  <c r="X370" i="5"/>
  <c r="K369" i="5"/>
  <c r="J369" i="5"/>
  <c r="Z369" i="5"/>
  <c r="Y369" i="5"/>
  <c r="X369" i="5"/>
  <c r="H369" i="5"/>
  <c r="W369" i="5" s="1"/>
  <c r="F369" i="5"/>
  <c r="V369" i="5"/>
  <c r="T369" i="5"/>
  <c r="U369" i="5"/>
  <c r="S369" i="5"/>
  <c r="E369" i="5"/>
  <c r="D369" i="5"/>
  <c r="C369" i="5"/>
  <c r="B369" i="5"/>
  <c r="A369" i="5"/>
  <c r="K368" i="5"/>
  <c r="J368" i="5"/>
  <c r="Z368" i="5"/>
  <c r="Y368" i="5"/>
  <c r="X368" i="5"/>
  <c r="W368" i="5"/>
  <c r="H368" i="5"/>
  <c r="F368" i="5"/>
  <c r="V368" i="5"/>
  <c r="T368" i="5"/>
  <c r="U368" i="5"/>
  <c r="S368" i="5"/>
  <c r="E368" i="5"/>
  <c r="D368" i="5"/>
  <c r="C368" i="5"/>
  <c r="B368" i="5"/>
  <c r="A368" i="5"/>
  <c r="L367" i="5"/>
  <c r="G367" i="5"/>
  <c r="E367" i="5"/>
  <c r="J366" i="5"/>
  <c r="F366" i="5"/>
  <c r="E366" i="5"/>
  <c r="J365" i="5"/>
  <c r="F365" i="5"/>
  <c r="E365" i="5"/>
  <c r="K364" i="5"/>
  <c r="J364" i="5"/>
  <c r="H364" i="5"/>
  <c r="G364" i="5"/>
  <c r="F364" i="5"/>
  <c r="K363" i="5"/>
  <c r="J363" i="5"/>
  <c r="R363" i="5"/>
  <c r="H363" i="5"/>
  <c r="G363" i="5"/>
  <c r="F363" i="5"/>
  <c r="K362" i="5"/>
  <c r="J362" i="5"/>
  <c r="H362" i="5"/>
  <c r="G362" i="5"/>
  <c r="F362" i="5"/>
  <c r="K361" i="5"/>
  <c r="J361" i="5"/>
  <c r="H361" i="5"/>
  <c r="G361" i="5"/>
  <c r="F361" i="5"/>
  <c r="C360" i="5"/>
  <c r="V359" i="5"/>
  <c r="K366" i="5" s="1"/>
  <c r="T359" i="5"/>
  <c r="U359" i="5"/>
  <c r="S359" i="5"/>
  <c r="H365" i="5" s="1"/>
  <c r="F359" i="5"/>
  <c r="E359" i="5"/>
  <c r="D359" i="5"/>
  <c r="I359" i="5"/>
  <c r="C359" i="5"/>
  <c r="A359" i="5"/>
  <c r="L358" i="5"/>
  <c r="Q358" i="5" s="1"/>
  <c r="Z358" i="5"/>
  <c r="Y358" i="5"/>
  <c r="X358" i="5"/>
  <c r="K357" i="5"/>
  <c r="J357" i="5"/>
  <c r="Z357" i="5"/>
  <c r="Y357" i="5"/>
  <c r="X357" i="5"/>
  <c r="H357" i="5"/>
  <c r="W357" i="5" s="1"/>
  <c r="F357" i="5"/>
  <c r="V357" i="5"/>
  <c r="T357" i="5"/>
  <c r="U357" i="5"/>
  <c r="S357" i="5"/>
  <c r="E357" i="5"/>
  <c r="D357" i="5"/>
  <c r="C357" i="5"/>
  <c r="B357" i="5"/>
  <c r="A357" i="5"/>
  <c r="L356" i="5"/>
  <c r="G356" i="5"/>
  <c r="E356" i="5"/>
  <c r="J355" i="5"/>
  <c r="F355" i="5"/>
  <c r="E355" i="5"/>
  <c r="J354" i="5"/>
  <c r="F354" i="5"/>
  <c r="E354" i="5"/>
  <c r="K353" i="5"/>
  <c r="J353" i="5"/>
  <c r="H353" i="5"/>
  <c r="G353" i="5"/>
  <c r="F353" i="5"/>
  <c r="K352" i="5"/>
  <c r="J352" i="5"/>
  <c r="H352" i="5"/>
  <c r="R352" i="5" s="1"/>
  <c r="G352" i="5"/>
  <c r="F352" i="5"/>
  <c r="K351" i="5"/>
  <c r="J351" i="5"/>
  <c r="H351" i="5"/>
  <c r="G351" i="5"/>
  <c r="F351" i="5"/>
  <c r="K350" i="5"/>
  <c r="J350" i="5"/>
  <c r="R350" i="5"/>
  <c r="H350" i="5"/>
  <c r="G350" i="5"/>
  <c r="F350" i="5"/>
  <c r="C349" i="5"/>
  <c r="V348" i="5"/>
  <c r="T348" i="5"/>
  <c r="K354" i="5" s="1"/>
  <c r="U348" i="5"/>
  <c r="H355" i="5" s="1"/>
  <c r="S348" i="5"/>
  <c r="H354" i="5" s="1"/>
  <c r="F348" i="5"/>
  <c r="E348" i="5"/>
  <c r="D348" i="5"/>
  <c r="I348" i="5"/>
  <c r="C348" i="5"/>
  <c r="A348" i="5"/>
  <c r="L347" i="5"/>
  <c r="Q347" i="5" s="1"/>
  <c r="Z347" i="5"/>
  <c r="Y347" i="5"/>
  <c r="X347" i="5"/>
  <c r="H343" i="5"/>
  <c r="K346" i="5"/>
  <c r="J346" i="5"/>
  <c r="Z346" i="5"/>
  <c r="Y346" i="5"/>
  <c r="X346" i="5"/>
  <c r="H346" i="5"/>
  <c r="W346" i="5" s="1"/>
  <c r="F346" i="5"/>
  <c r="V346" i="5"/>
  <c r="T346" i="5"/>
  <c r="U346" i="5"/>
  <c r="S346" i="5"/>
  <c r="E346" i="5"/>
  <c r="D346" i="5"/>
  <c r="C346" i="5"/>
  <c r="B346" i="5"/>
  <c r="A346" i="5"/>
  <c r="L345" i="5"/>
  <c r="G345" i="5"/>
  <c r="E345" i="5"/>
  <c r="J344" i="5"/>
  <c r="F344" i="5"/>
  <c r="E344" i="5"/>
  <c r="J343" i="5"/>
  <c r="F343" i="5"/>
  <c r="E343" i="5"/>
  <c r="K342" i="5"/>
  <c r="J342" i="5"/>
  <c r="H342" i="5"/>
  <c r="G342" i="5"/>
  <c r="F342" i="5"/>
  <c r="K341" i="5"/>
  <c r="J341" i="5"/>
  <c r="H341" i="5"/>
  <c r="R341" i="5" s="1"/>
  <c r="G341" i="5"/>
  <c r="F341" i="5"/>
  <c r="K340" i="5"/>
  <c r="J340" i="5"/>
  <c r="H340" i="5"/>
  <c r="G340" i="5"/>
  <c r="F340" i="5"/>
  <c r="K339" i="5"/>
  <c r="J339" i="5"/>
  <c r="H339" i="5"/>
  <c r="R339" i="5" s="1"/>
  <c r="G339" i="5"/>
  <c r="F339" i="5"/>
  <c r="C338" i="5"/>
  <c r="V337" i="5"/>
  <c r="T337" i="5"/>
  <c r="K343" i="5" s="1"/>
  <c r="U337" i="5"/>
  <c r="H344" i="5" s="1"/>
  <c r="S337" i="5"/>
  <c r="F337" i="5"/>
  <c r="E337" i="5"/>
  <c r="D337" i="5"/>
  <c r="I337" i="5"/>
  <c r="C337" i="5"/>
  <c r="A337" i="5"/>
  <c r="L336" i="5"/>
  <c r="Q336" i="5" s="1"/>
  <c r="G336" i="5"/>
  <c r="O336" i="5" s="1"/>
  <c r="Z336" i="5"/>
  <c r="Y336" i="5"/>
  <c r="X336" i="5"/>
  <c r="W336" i="5"/>
  <c r="K335" i="5"/>
  <c r="J336" i="5" s="1"/>
  <c r="P336" i="5" s="1"/>
  <c r="H335" i="5"/>
  <c r="J335" i="5"/>
  <c r="G335" i="5"/>
  <c r="F335" i="5"/>
  <c r="V335" i="5"/>
  <c r="T335" i="5"/>
  <c r="U335" i="5"/>
  <c r="S335" i="5"/>
  <c r="E335" i="5"/>
  <c r="D335" i="5"/>
  <c r="I335" i="5"/>
  <c r="C335" i="5"/>
  <c r="B335" i="5"/>
  <c r="A335" i="5"/>
  <c r="L334" i="5"/>
  <c r="Q334" i="5" s="1"/>
  <c r="Z334" i="5"/>
  <c r="Y334" i="5"/>
  <c r="X334" i="5"/>
  <c r="C333" i="5"/>
  <c r="K332" i="5"/>
  <c r="J334" i="5" s="1"/>
  <c r="P334" i="5" s="1"/>
  <c r="H332" i="5"/>
  <c r="G334" i="5" s="1"/>
  <c r="O334" i="5" s="1"/>
  <c r="J332" i="5"/>
  <c r="G332" i="5"/>
  <c r="F332" i="5"/>
  <c r="V332" i="5"/>
  <c r="T332" i="5"/>
  <c r="U332" i="5"/>
  <c r="S332" i="5"/>
  <c r="E332" i="5"/>
  <c r="D332" i="5"/>
  <c r="I332" i="5"/>
  <c r="C332" i="5"/>
  <c r="B332" i="5"/>
  <c r="A332" i="5"/>
  <c r="Q331" i="5"/>
  <c r="L331" i="5"/>
  <c r="Z331" i="5"/>
  <c r="Y331" i="5"/>
  <c r="X331" i="5"/>
  <c r="L330" i="5"/>
  <c r="G330" i="5"/>
  <c r="E330" i="5"/>
  <c r="J329" i="5"/>
  <c r="E329" i="5"/>
  <c r="J328" i="5"/>
  <c r="E328" i="5"/>
  <c r="K327" i="5"/>
  <c r="J327" i="5"/>
  <c r="H327" i="5"/>
  <c r="R327" i="5" s="1"/>
  <c r="G327" i="5"/>
  <c r="F327" i="5"/>
  <c r="K326" i="5"/>
  <c r="J326" i="5"/>
  <c r="H326" i="5"/>
  <c r="G326" i="5"/>
  <c r="F326" i="5"/>
  <c r="K325" i="5"/>
  <c r="J325" i="5"/>
  <c r="H325" i="5"/>
  <c r="R325" i="5" s="1"/>
  <c r="G325" i="5"/>
  <c r="F325" i="5"/>
  <c r="C324" i="5"/>
  <c r="V323" i="5"/>
  <c r="K329" i="5" s="1"/>
  <c r="T323" i="5"/>
  <c r="K328" i="5" s="1"/>
  <c r="U323" i="5"/>
  <c r="H329" i="5" s="1"/>
  <c r="S323" i="5"/>
  <c r="H328" i="5" s="1"/>
  <c r="F323" i="5"/>
  <c r="E323" i="5"/>
  <c r="D323" i="5"/>
  <c r="I323" i="5"/>
  <c r="C323" i="5"/>
  <c r="A323" i="5"/>
  <c r="L322" i="5"/>
  <c r="Q322" i="5" s="1"/>
  <c r="Z322" i="5"/>
  <c r="Y322" i="5"/>
  <c r="X322" i="5"/>
  <c r="L321" i="5"/>
  <c r="G321" i="5"/>
  <c r="E321" i="5"/>
  <c r="J320" i="5"/>
  <c r="E320" i="5"/>
  <c r="J319" i="5"/>
  <c r="E319" i="5"/>
  <c r="K318" i="5"/>
  <c r="J318" i="5"/>
  <c r="H318" i="5"/>
  <c r="R318" i="5" s="1"/>
  <c r="G318" i="5"/>
  <c r="F318" i="5"/>
  <c r="K317" i="5"/>
  <c r="J317" i="5"/>
  <c r="H317" i="5"/>
  <c r="G317" i="5"/>
  <c r="F317" i="5"/>
  <c r="K316" i="5"/>
  <c r="J316" i="5"/>
  <c r="H316" i="5"/>
  <c r="R316" i="5" s="1"/>
  <c r="G316" i="5"/>
  <c r="F316" i="5"/>
  <c r="V315" i="5"/>
  <c r="K320" i="5" s="1"/>
  <c r="T315" i="5"/>
  <c r="K319" i="5" s="1"/>
  <c r="J322" i="5" s="1"/>
  <c r="P322" i="5" s="1"/>
  <c r="U315" i="5"/>
  <c r="H320" i="5" s="1"/>
  <c r="S315" i="5"/>
  <c r="H319" i="5" s="1"/>
  <c r="F315" i="5"/>
  <c r="E315" i="5"/>
  <c r="D315" i="5"/>
  <c r="I315" i="5"/>
  <c r="C315" i="5"/>
  <c r="A315" i="5"/>
  <c r="L314" i="5"/>
  <c r="Q314" i="5" s="1"/>
  <c r="Z314" i="5"/>
  <c r="Y314" i="5"/>
  <c r="X314" i="5"/>
  <c r="L313" i="5"/>
  <c r="G313" i="5"/>
  <c r="E313" i="5"/>
  <c r="J312" i="5"/>
  <c r="E312" i="5"/>
  <c r="J311" i="5"/>
  <c r="E311" i="5"/>
  <c r="K310" i="5"/>
  <c r="J310" i="5"/>
  <c r="H310" i="5"/>
  <c r="R310" i="5" s="1"/>
  <c r="G310" i="5"/>
  <c r="F310" i="5"/>
  <c r="K309" i="5"/>
  <c r="J309" i="5"/>
  <c r="H309" i="5"/>
  <c r="G309" i="5"/>
  <c r="F309" i="5"/>
  <c r="K308" i="5"/>
  <c r="J308" i="5"/>
  <c r="H308" i="5"/>
  <c r="R308" i="5" s="1"/>
  <c r="G308" i="5"/>
  <c r="F308" i="5"/>
  <c r="C307" i="5"/>
  <c r="V306" i="5"/>
  <c r="K312" i="5" s="1"/>
  <c r="T306" i="5"/>
  <c r="K311" i="5" s="1"/>
  <c r="U306" i="5"/>
  <c r="H312" i="5" s="1"/>
  <c r="S306" i="5"/>
  <c r="H311" i="5" s="1"/>
  <c r="F306" i="5"/>
  <c r="E306" i="5"/>
  <c r="D306" i="5"/>
  <c r="I306" i="5"/>
  <c r="C306" i="5"/>
  <c r="A306" i="5"/>
  <c r="A305" i="5"/>
  <c r="A301" i="5"/>
  <c r="L299" i="5"/>
  <c r="Q299" i="5" s="1"/>
  <c r="Z299" i="5"/>
  <c r="Y299" i="5"/>
  <c r="X299" i="5"/>
  <c r="K298" i="5"/>
  <c r="J298" i="5"/>
  <c r="Z298" i="5"/>
  <c r="Y298" i="5"/>
  <c r="X298" i="5"/>
  <c r="H298" i="5"/>
  <c r="W298" i="5" s="1"/>
  <c r="F298" i="5"/>
  <c r="V298" i="5"/>
  <c r="T298" i="5"/>
  <c r="U298" i="5"/>
  <c r="S298" i="5"/>
  <c r="E298" i="5"/>
  <c r="D298" i="5"/>
  <c r="C298" i="5"/>
  <c r="B298" i="5"/>
  <c r="A298" i="5"/>
  <c r="L297" i="5"/>
  <c r="G297" i="5"/>
  <c r="E297" i="5"/>
  <c r="J296" i="5"/>
  <c r="F296" i="5"/>
  <c r="E296" i="5"/>
  <c r="J295" i="5"/>
  <c r="F295" i="5"/>
  <c r="E295" i="5"/>
  <c r="K294" i="5"/>
  <c r="J294" i="5"/>
  <c r="H294" i="5"/>
  <c r="G294" i="5"/>
  <c r="F294" i="5"/>
  <c r="K293" i="5"/>
  <c r="J293" i="5"/>
  <c r="H293" i="5"/>
  <c r="R293" i="5" s="1"/>
  <c r="G293" i="5"/>
  <c r="F293" i="5"/>
  <c r="C292" i="5"/>
  <c r="V291" i="5"/>
  <c r="K296" i="5" s="1"/>
  <c r="T291" i="5"/>
  <c r="U291" i="5"/>
  <c r="H296" i="5" s="1"/>
  <c r="S291" i="5"/>
  <c r="H295" i="5" s="1"/>
  <c r="F291" i="5"/>
  <c r="E291" i="5"/>
  <c r="D291" i="5"/>
  <c r="I291" i="5"/>
  <c r="C291" i="5"/>
  <c r="A291" i="5"/>
  <c r="L290" i="5"/>
  <c r="Q290" i="5" s="1"/>
  <c r="Z290" i="5"/>
  <c r="Y290" i="5"/>
  <c r="X290" i="5"/>
  <c r="K289" i="5"/>
  <c r="J289" i="5"/>
  <c r="Z289" i="5"/>
  <c r="Y289" i="5"/>
  <c r="X289" i="5"/>
  <c r="H289" i="5"/>
  <c r="W289" i="5" s="1"/>
  <c r="F289" i="5"/>
  <c r="V289" i="5"/>
  <c r="T289" i="5"/>
  <c r="U289" i="5"/>
  <c r="S289" i="5"/>
  <c r="E289" i="5"/>
  <c r="D289" i="5"/>
  <c r="C289" i="5"/>
  <c r="B289" i="5"/>
  <c r="A289" i="5"/>
  <c r="K288" i="5"/>
  <c r="J288" i="5"/>
  <c r="Z288" i="5"/>
  <c r="Y288" i="5"/>
  <c r="X288" i="5"/>
  <c r="H288" i="5"/>
  <c r="W288" i="5" s="1"/>
  <c r="F288" i="5"/>
  <c r="V288" i="5"/>
  <c r="T288" i="5"/>
  <c r="U288" i="5"/>
  <c r="S288" i="5"/>
  <c r="E288" i="5"/>
  <c r="D288" i="5"/>
  <c r="C288" i="5"/>
  <c r="B288" i="5"/>
  <c r="A288" i="5"/>
  <c r="L287" i="5"/>
  <c r="G287" i="5"/>
  <c r="E287" i="5"/>
  <c r="J286" i="5"/>
  <c r="F286" i="5"/>
  <c r="E286" i="5"/>
  <c r="J285" i="5"/>
  <c r="F285" i="5"/>
  <c r="E285" i="5"/>
  <c r="K284" i="5"/>
  <c r="J284" i="5"/>
  <c r="H284" i="5"/>
  <c r="G284" i="5"/>
  <c r="F284" i="5"/>
  <c r="K283" i="5"/>
  <c r="J283" i="5"/>
  <c r="H283" i="5"/>
  <c r="R283" i="5" s="1"/>
  <c r="G283" i="5"/>
  <c r="F283" i="5"/>
  <c r="K282" i="5"/>
  <c r="J282" i="5"/>
  <c r="H282" i="5"/>
  <c r="G282" i="5"/>
  <c r="F282" i="5"/>
  <c r="K281" i="5"/>
  <c r="J281" i="5"/>
  <c r="H281" i="5"/>
  <c r="R281" i="5" s="1"/>
  <c r="G281" i="5"/>
  <c r="F281" i="5"/>
  <c r="C280" i="5"/>
  <c r="V279" i="5"/>
  <c r="K286" i="5" s="1"/>
  <c r="T279" i="5"/>
  <c r="U279" i="5"/>
  <c r="S279" i="5"/>
  <c r="H285" i="5" s="1"/>
  <c r="F279" i="5"/>
  <c r="E279" i="5"/>
  <c r="D279" i="5"/>
  <c r="I279" i="5"/>
  <c r="C279" i="5"/>
  <c r="A279" i="5"/>
  <c r="L278" i="5"/>
  <c r="Q278" i="5" s="1"/>
  <c r="Z278" i="5"/>
  <c r="Y278" i="5"/>
  <c r="X278" i="5"/>
  <c r="K277" i="5"/>
  <c r="J277" i="5"/>
  <c r="Z277" i="5"/>
  <c r="Y277" i="5"/>
  <c r="X277" i="5"/>
  <c r="H277" i="5"/>
  <c r="W277" i="5" s="1"/>
  <c r="F277" i="5"/>
  <c r="V277" i="5"/>
  <c r="T277" i="5"/>
  <c r="U277" i="5"/>
  <c r="S277" i="5"/>
  <c r="E277" i="5"/>
  <c r="D277" i="5"/>
  <c r="C277" i="5"/>
  <c r="B277" i="5"/>
  <c r="A277" i="5"/>
  <c r="L276" i="5"/>
  <c r="G276" i="5"/>
  <c r="E276" i="5"/>
  <c r="J275" i="5"/>
  <c r="F275" i="5"/>
  <c r="E275" i="5"/>
  <c r="J274" i="5"/>
  <c r="F274" i="5"/>
  <c r="E274" i="5"/>
  <c r="K273" i="5"/>
  <c r="J273" i="5"/>
  <c r="H273" i="5"/>
  <c r="R273" i="5" s="1"/>
  <c r="G273" i="5"/>
  <c r="F273" i="5"/>
  <c r="K272" i="5"/>
  <c r="J272" i="5"/>
  <c r="H272" i="5"/>
  <c r="G272" i="5"/>
  <c r="F272" i="5"/>
  <c r="K271" i="5"/>
  <c r="J271" i="5"/>
  <c r="H271" i="5"/>
  <c r="R271" i="5" s="1"/>
  <c r="G271" i="5"/>
  <c r="F271" i="5"/>
  <c r="C270" i="5"/>
  <c r="V269" i="5"/>
  <c r="K275" i="5" s="1"/>
  <c r="T269" i="5"/>
  <c r="K274" i="5" s="1"/>
  <c r="U269" i="5"/>
  <c r="H275" i="5" s="1"/>
  <c r="S269" i="5"/>
  <c r="H274" i="5" s="1"/>
  <c r="G278" i="5" s="1"/>
  <c r="O278" i="5" s="1"/>
  <c r="F269" i="5"/>
  <c r="E269" i="5"/>
  <c r="D269" i="5"/>
  <c r="I269" i="5"/>
  <c r="C269" i="5"/>
  <c r="A269" i="5"/>
  <c r="L268" i="5"/>
  <c r="Q268" i="5" s="1"/>
  <c r="Z268" i="5"/>
  <c r="Y268" i="5"/>
  <c r="X268" i="5"/>
  <c r="K267" i="5"/>
  <c r="J267" i="5"/>
  <c r="Z267" i="5"/>
  <c r="Y267" i="5"/>
  <c r="X267" i="5"/>
  <c r="H267" i="5"/>
  <c r="W267" i="5" s="1"/>
  <c r="F267" i="5"/>
  <c r="V267" i="5"/>
  <c r="T267" i="5"/>
  <c r="U267" i="5"/>
  <c r="S267" i="5"/>
  <c r="E267" i="5"/>
  <c r="D267" i="5"/>
  <c r="C267" i="5"/>
  <c r="B267" i="5"/>
  <c r="A267" i="5"/>
  <c r="L266" i="5"/>
  <c r="G266" i="5"/>
  <c r="E266" i="5"/>
  <c r="J265" i="5"/>
  <c r="F265" i="5"/>
  <c r="E265" i="5"/>
  <c r="J264" i="5"/>
  <c r="F264" i="5"/>
  <c r="E264" i="5"/>
  <c r="K263" i="5"/>
  <c r="J263" i="5"/>
  <c r="H263" i="5"/>
  <c r="G263" i="5"/>
  <c r="F263" i="5"/>
  <c r="K262" i="5"/>
  <c r="J262" i="5"/>
  <c r="H262" i="5"/>
  <c r="R262" i="5" s="1"/>
  <c r="G262" i="5"/>
  <c r="F262" i="5"/>
  <c r="K261" i="5"/>
  <c r="J261" i="5"/>
  <c r="H261" i="5"/>
  <c r="G261" i="5"/>
  <c r="F261" i="5"/>
  <c r="K260" i="5"/>
  <c r="J260" i="5"/>
  <c r="R260" i="5"/>
  <c r="H260" i="5"/>
  <c r="G260" i="5"/>
  <c r="F260" i="5"/>
  <c r="C259" i="5"/>
  <c r="V258" i="5"/>
  <c r="T258" i="5"/>
  <c r="K264" i="5" s="1"/>
  <c r="U258" i="5"/>
  <c r="H265" i="5" s="1"/>
  <c r="S258" i="5"/>
  <c r="F258" i="5"/>
  <c r="E258" i="5"/>
  <c r="D258" i="5"/>
  <c r="I258" i="5"/>
  <c r="C258" i="5"/>
  <c r="A258" i="5"/>
  <c r="L257" i="5"/>
  <c r="Q257" i="5" s="1"/>
  <c r="Z257" i="5"/>
  <c r="Y257" i="5"/>
  <c r="X257" i="5"/>
  <c r="K256" i="5"/>
  <c r="J256" i="5"/>
  <c r="Z256" i="5"/>
  <c r="Y256" i="5"/>
  <c r="X256" i="5"/>
  <c r="H256" i="5"/>
  <c r="W256" i="5" s="1"/>
  <c r="F256" i="5"/>
  <c r="V256" i="5"/>
  <c r="T256" i="5"/>
  <c r="U256" i="5"/>
  <c r="S256" i="5"/>
  <c r="E256" i="5"/>
  <c r="D256" i="5"/>
  <c r="C256" i="5"/>
  <c r="B256" i="5"/>
  <c r="A256" i="5"/>
  <c r="L255" i="5"/>
  <c r="G255" i="5"/>
  <c r="E255" i="5"/>
  <c r="J254" i="5"/>
  <c r="F254" i="5"/>
  <c r="E254" i="5"/>
  <c r="J253" i="5"/>
  <c r="F253" i="5"/>
  <c r="E253" i="5"/>
  <c r="K252" i="5"/>
  <c r="J252" i="5"/>
  <c r="H252" i="5"/>
  <c r="G252" i="5"/>
  <c r="F252" i="5"/>
  <c r="K251" i="5"/>
  <c r="J251" i="5"/>
  <c r="H251" i="5"/>
  <c r="R251" i="5" s="1"/>
  <c r="G251" i="5"/>
  <c r="F251" i="5"/>
  <c r="K250" i="5"/>
  <c r="J250" i="5"/>
  <c r="H250" i="5"/>
  <c r="G250" i="5"/>
  <c r="F250" i="5"/>
  <c r="K249" i="5"/>
  <c r="J249" i="5"/>
  <c r="H249" i="5"/>
  <c r="R249" i="5" s="1"/>
  <c r="G249" i="5"/>
  <c r="F249" i="5"/>
  <c r="C248" i="5"/>
  <c r="V247" i="5"/>
  <c r="K254" i="5" s="1"/>
  <c r="T247" i="5"/>
  <c r="U247" i="5"/>
  <c r="S247" i="5"/>
  <c r="F247" i="5"/>
  <c r="E247" i="5"/>
  <c r="D247" i="5"/>
  <c r="I247" i="5"/>
  <c r="C247" i="5"/>
  <c r="A247" i="5"/>
  <c r="L246" i="5"/>
  <c r="Q246" i="5" s="1"/>
  <c r="Z246" i="5"/>
  <c r="Y246" i="5"/>
  <c r="X246" i="5"/>
  <c r="K245" i="5"/>
  <c r="J246" i="5" s="1"/>
  <c r="P246" i="5" s="1"/>
  <c r="H245" i="5"/>
  <c r="J245" i="5"/>
  <c r="G245" i="5"/>
  <c r="F245" i="5"/>
  <c r="V245" i="5"/>
  <c r="T245" i="5"/>
  <c r="U245" i="5"/>
  <c r="S245" i="5"/>
  <c r="E245" i="5"/>
  <c r="D245" i="5"/>
  <c r="I245" i="5"/>
  <c r="C245" i="5"/>
  <c r="B245" i="5"/>
  <c r="A245" i="5"/>
  <c r="L244" i="5"/>
  <c r="Q244" i="5" s="1"/>
  <c r="Z244" i="5"/>
  <c r="Y244" i="5"/>
  <c r="X244" i="5"/>
  <c r="C243" i="5"/>
  <c r="K242" i="5"/>
  <c r="J244" i="5" s="1"/>
  <c r="P244" i="5" s="1"/>
  <c r="H242" i="5"/>
  <c r="G244" i="5" s="1"/>
  <c r="O244" i="5" s="1"/>
  <c r="J242" i="5"/>
  <c r="G242" i="5"/>
  <c r="F242" i="5"/>
  <c r="V242" i="5"/>
  <c r="T242" i="5"/>
  <c r="U242" i="5"/>
  <c r="S242" i="5"/>
  <c r="E242" i="5"/>
  <c r="D242" i="5"/>
  <c r="I242" i="5"/>
  <c r="C242" i="5"/>
  <c r="B242" i="5"/>
  <c r="A242" i="5"/>
  <c r="L241" i="5"/>
  <c r="Q241" i="5" s="1"/>
  <c r="Z241" i="5"/>
  <c r="Y241" i="5"/>
  <c r="X241" i="5"/>
  <c r="L240" i="5"/>
  <c r="G240" i="5"/>
  <c r="E240" i="5"/>
  <c r="J239" i="5"/>
  <c r="E239" i="5"/>
  <c r="J238" i="5"/>
  <c r="E238" i="5"/>
  <c r="K237" i="5"/>
  <c r="J237" i="5"/>
  <c r="H237" i="5"/>
  <c r="R237" i="5" s="1"/>
  <c r="G237" i="5"/>
  <c r="F237" i="5"/>
  <c r="K236" i="5"/>
  <c r="J236" i="5"/>
  <c r="H236" i="5"/>
  <c r="G236" i="5"/>
  <c r="F236" i="5"/>
  <c r="K235" i="5"/>
  <c r="J241" i="5" s="1"/>
  <c r="P241" i="5" s="1"/>
  <c r="J235" i="5"/>
  <c r="H235" i="5"/>
  <c r="R235" i="5" s="1"/>
  <c r="G235" i="5"/>
  <c r="F235" i="5"/>
  <c r="C234" i="5"/>
  <c r="V233" i="5"/>
  <c r="K239" i="5" s="1"/>
  <c r="T233" i="5"/>
  <c r="K238" i="5" s="1"/>
  <c r="U233" i="5"/>
  <c r="H239" i="5" s="1"/>
  <c r="S233" i="5"/>
  <c r="H238" i="5" s="1"/>
  <c r="F233" i="5"/>
  <c r="E233" i="5"/>
  <c r="D233" i="5"/>
  <c r="I233" i="5"/>
  <c r="C233" i="5"/>
  <c r="A233" i="5"/>
  <c r="L232" i="5"/>
  <c r="Q232" i="5" s="1"/>
  <c r="Z232" i="5"/>
  <c r="Y232" i="5"/>
  <c r="X232" i="5"/>
  <c r="H230" i="5"/>
  <c r="L231" i="5"/>
  <c r="G231" i="5"/>
  <c r="E231" i="5"/>
  <c r="J230" i="5"/>
  <c r="E230" i="5"/>
  <c r="J229" i="5"/>
  <c r="E229" i="5"/>
  <c r="K228" i="5"/>
  <c r="J228" i="5"/>
  <c r="H228" i="5"/>
  <c r="R228" i="5" s="1"/>
  <c r="G228" i="5"/>
  <c r="F228" i="5"/>
  <c r="K227" i="5"/>
  <c r="J227" i="5"/>
  <c r="H227" i="5"/>
  <c r="G227" i="5"/>
  <c r="F227" i="5"/>
  <c r="K226" i="5"/>
  <c r="J226" i="5"/>
  <c r="H226" i="5"/>
  <c r="G226" i="5"/>
  <c r="F226" i="5"/>
  <c r="C225" i="5"/>
  <c r="V224" i="5"/>
  <c r="K230" i="5" s="1"/>
  <c r="T224" i="5"/>
  <c r="K229" i="5" s="1"/>
  <c r="U224" i="5"/>
  <c r="S224" i="5"/>
  <c r="H229" i="5" s="1"/>
  <c r="F224" i="5"/>
  <c r="E224" i="5"/>
  <c r="D224" i="5"/>
  <c r="I224" i="5"/>
  <c r="C224" i="5"/>
  <c r="A224" i="5"/>
  <c r="A223" i="5"/>
  <c r="A221" i="5"/>
  <c r="A217" i="5"/>
  <c r="P215" i="5"/>
  <c r="L215" i="5"/>
  <c r="Q215" i="5" s="1"/>
  <c r="Z215" i="5"/>
  <c r="Y215" i="5"/>
  <c r="X215" i="5"/>
  <c r="K214" i="5"/>
  <c r="J215" i="5" s="1"/>
  <c r="J214" i="5"/>
  <c r="H214" i="5"/>
  <c r="G215" i="5" s="1"/>
  <c r="O215" i="5" s="1"/>
  <c r="G214" i="5"/>
  <c r="F214" i="5"/>
  <c r="V214" i="5"/>
  <c r="T214" i="5"/>
  <c r="U214" i="5"/>
  <c r="S214" i="5"/>
  <c r="E214" i="5"/>
  <c r="D214" i="5"/>
  <c r="I214" i="5"/>
  <c r="C214" i="5"/>
  <c r="B214" i="5"/>
  <c r="A214" i="5"/>
  <c r="Q213" i="5"/>
  <c r="L213" i="5"/>
  <c r="Z213" i="5"/>
  <c r="Y213" i="5"/>
  <c r="X213" i="5"/>
  <c r="K212" i="5"/>
  <c r="J213" i="5" s="1"/>
  <c r="P213" i="5" s="1"/>
  <c r="J212" i="5"/>
  <c r="H212" i="5"/>
  <c r="G212" i="5"/>
  <c r="F212" i="5"/>
  <c r="V212" i="5"/>
  <c r="T212" i="5"/>
  <c r="U212" i="5"/>
  <c r="S212" i="5"/>
  <c r="E212" i="5"/>
  <c r="D212" i="5"/>
  <c r="I212" i="5"/>
  <c r="C212" i="5"/>
  <c r="B212" i="5"/>
  <c r="A212" i="5"/>
  <c r="L211" i="5"/>
  <c r="Q211" i="5" s="1"/>
  <c r="Z211" i="5"/>
  <c r="Y211" i="5"/>
  <c r="X211" i="5"/>
  <c r="K210" i="5"/>
  <c r="J211" i="5" s="1"/>
  <c r="P211" i="5" s="1"/>
  <c r="J210" i="5"/>
  <c r="H210" i="5"/>
  <c r="G211" i="5" s="1"/>
  <c r="O211" i="5" s="1"/>
  <c r="G210" i="5"/>
  <c r="F210" i="5"/>
  <c r="V210" i="5"/>
  <c r="T210" i="5"/>
  <c r="U210" i="5"/>
  <c r="S210" i="5"/>
  <c r="E210" i="5"/>
  <c r="D210" i="5"/>
  <c r="I210" i="5"/>
  <c r="C210" i="5"/>
  <c r="B210" i="5"/>
  <c r="A210" i="5"/>
  <c r="L209" i="5"/>
  <c r="Q209" i="5" s="1"/>
  <c r="Z209" i="5"/>
  <c r="Y209" i="5"/>
  <c r="X209" i="5"/>
  <c r="K208" i="5"/>
  <c r="J209" i="5" s="1"/>
  <c r="P209" i="5" s="1"/>
  <c r="J208" i="5"/>
  <c r="H208" i="5"/>
  <c r="G209" i="5" s="1"/>
  <c r="O209" i="5" s="1"/>
  <c r="G208" i="5"/>
  <c r="F208" i="5"/>
  <c r="V208" i="5"/>
  <c r="T208" i="5"/>
  <c r="U208" i="5"/>
  <c r="S208" i="5"/>
  <c r="E208" i="5"/>
  <c r="D208" i="5"/>
  <c r="I208" i="5"/>
  <c r="C208" i="5"/>
  <c r="B208" i="5"/>
  <c r="A208" i="5"/>
  <c r="L207" i="5"/>
  <c r="Q207" i="5" s="1"/>
  <c r="Z207" i="5"/>
  <c r="Y207" i="5"/>
  <c r="X207" i="5"/>
  <c r="K206" i="5"/>
  <c r="J207" i="5" s="1"/>
  <c r="P207" i="5" s="1"/>
  <c r="J206" i="5"/>
  <c r="H206" i="5"/>
  <c r="G207" i="5" s="1"/>
  <c r="O207" i="5" s="1"/>
  <c r="G206" i="5"/>
  <c r="F206" i="5"/>
  <c r="V206" i="5"/>
  <c r="T206" i="5"/>
  <c r="U206" i="5"/>
  <c r="S206" i="5"/>
  <c r="E206" i="5"/>
  <c r="D206" i="5"/>
  <c r="I206" i="5"/>
  <c r="C206" i="5"/>
  <c r="B206" i="5"/>
  <c r="A206" i="5"/>
  <c r="L205" i="5"/>
  <c r="Q205" i="5" s="1"/>
  <c r="J205" i="5"/>
  <c r="P205" i="5" s="1"/>
  <c r="Z205" i="5"/>
  <c r="Y205" i="5"/>
  <c r="X205" i="5"/>
  <c r="C204" i="5"/>
  <c r="K203" i="5"/>
  <c r="J203" i="5"/>
  <c r="H203" i="5"/>
  <c r="G205" i="5" s="1"/>
  <c r="O205" i="5" s="1"/>
  <c r="G203" i="5"/>
  <c r="F203" i="5"/>
  <c r="V203" i="5"/>
  <c r="T203" i="5"/>
  <c r="U203" i="5"/>
  <c r="S203" i="5"/>
  <c r="E203" i="5"/>
  <c r="D203" i="5"/>
  <c r="I203" i="5"/>
  <c r="C203" i="5"/>
  <c r="B203" i="5"/>
  <c r="A203" i="5"/>
  <c r="L202" i="5"/>
  <c r="Q202" i="5" s="1"/>
  <c r="Z202" i="5"/>
  <c r="Y202" i="5"/>
  <c r="X202" i="5"/>
  <c r="K201" i="5"/>
  <c r="J202" i="5" s="1"/>
  <c r="P202" i="5" s="1"/>
  <c r="J201" i="5"/>
  <c r="H201" i="5"/>
  <c r="G202" i="5" s="1"/>
  <c r="O202" i="5" s="1"/>
  <c r="G201" i="5"/>
  <c r="F201" i="5"/>
  <c r="V201" i="5"/>
  <c r="T201" i="5"/>
  <c r="U201" i="5"/>
  <c r="S201" i="5"/>
  <c r="E201" i="5"/>
  <c r="D201" i="5"/>
  <c r="I201" i="5"/>
  <c r="C201" i="5"/>
  <c r="B201" i="5"/>
  <c r="A201" i="5"/>
  <c r="L200" i="5"/>
  <c r="Q200" i="5" s="1"/>
  <c r="G200" i="5"/>
  <c r="O200" i="5" s="1"/>
  <c r="Z200" i="5"/>
  <c r="Y200" i="5"/>
  <c r="X200" i="5"/>
  <c r="W200" i="5"/>
  <c r="K199" i="5"/>
  <c r="J200" i="5" s="1"/>
  <c r="P200" i="5" s="1"/>
  <c r="J199" i="5"/>
  <c r="H199" i="5"/>
  <c r="G199" i="5"/>
  <c r="F199" i="5"/>
  <c r="V199" i="5"/>
  <c r="T199" i="5"/>
  <c r="U199" i="5"/>
  <c r="S199" i="5"/>
  <c r="E199" i="5"/>
  <c r="D199" i="5"/>
  <c r="I199" i="5"/>
  <c r="C199" i="5"/>
  <c r="B199" i="5"/>
  <c r="A199" i="5"/>
  <c r="Q198" i="5"/>
  <c r="L198" i="5"/>
  <c r="Z198" i="5"/>
  <c r="Y198" i="5"/>
  <c r="X198" i="5"/>
  <c r="K197" i="5"/>
  <c r="J198" i="5" s="1"/>
  <c r="P198" i="5" s="1"/>
  <c r="J197" i="5"/>
  <c r="H197" i="5"/>
  <c r="G197" i="5"/>
  <c r="F197" i="5"/>
  <c r="V197" i="5"/>
  <c r="T197" i="5"/>
  <c r="U197" i="5"/>
  <c r="S197" i="5"/>
  <c r="E197" i="5"/>
  <c r="D197" i="5"/>
  <c r="I197" i="5"/>
  <c r="C197" i="5"/>
  <c r="B197" i="5"/>
  <c r="A197" i="5"/>
  <c r="L196" i="5"/>
  <c r="Q196" i="5" s="1"/>
  <c r="Z196" i="5"/>
  <c r="Y196" i="5"/>
  <c r="X196" i="5"/>
  <c r="C195" i="5"/>
  <c r="K194" i="5"/>
  <c r="J196" i="5" s="1"/>
  <c r="P196" i="5" s="1"/>
  <c r="J194" i="5"/>
  <c r="H194" i="5"/>
  <c r="G196" i="5" s="1"/>
  <c r="O196" i="5" s="1"/>
  <c r="G194" i="5"/>
  <c r="F194" i="5"/>
  <c r="V194" i="5"/>
  <c r="T194" i="5"/>
  <c r="U194" i="5"/>
  <c r="S194" i="5"/>
  <c r="E194" i="5"/>
  <c r="D194" i="5"/>
  <c r="I194" i="5"/>
  <c r="C194" i="5"/>
  <c r="B194" i="5"/>
  <c r="A194" i="5"/>
  <c r="Q193" i="5"/>
  <c r="L193" i="5"/>
  <c r="J193" i="5"/>
  <c r="P193" i="5" s="1"/>
  <c r="Z193" i="5"/>
  <c r="Y193" i="5"/>
  <c r="X193" i="5"/>
  <c r="C192" i="5"/>
  <c r="K191" i="5"/>
  <c r="H191" i="5"/>
  <c r="G193" i="5" s="1"/>
  <c r="O193" i="5" s="1"/>
  <c r="J191" i="5"/>
  <c r="G191" i="5"/>
  <c r="F191" i="5"/>
  <c r="V191" i="5"/>
  <c r="T191" i="5"/>
  <c r="U191" i="5"/>
  <c r="S191" i="5"/>
  <c r="E191" i="5"/>
  <c r="D191" i="5"/>
  <c r="I191" i="5"/>
  <c r="C191" i="5"/>
  <c r="B191" i="5"/>
  <c r="A191" i="5"/>
  <c r="L190" i="5"/>
  <c r="Q190" i="5" s="1"/>
  <c r="Z190" i="5"/>
  <c r="Y190" i="5"/>
  <c r="X190" i="5"/>
  <c r="L189" i="5"/>
  <c r="G189" i="5"/>
  <c r="E189" i="5"/>
  <c r="J188" i="5"/>
  <c r="F188" i="5"/>
  <c r="E188" i="5"/>
  <c r="J187" i="5"/>
  <c r="F187" i="5"/>
  <c r="E187" i="5"/>
  <c r="K186" i="5"/>
  <c r="J190" i="5" s="1"/>
  <c r="P190" i="5" s="1"/>
  <c r="J186" i="5"/>
  <c r="H186" i="5"/>
  <c r="G186" i="5"/>
  <c r="F186" i="5"/>
  <c r="C185" i="5"/>
  <c r="V184" i="5"/>
  <c r="K188" i="5" s="1"/>
  <c r="T184" i="5"/>
  <c r="K187" i="5" s="1"/>
  <c r="U184" i="5"/>
  <c r="H188" i="5" s="1"/>
  <c r="S184" i="5"/>
  <c r="H187" i="5" s="1"/>
  <c r="F184" i="5"/>
  <c r="E184" i="5"/>
  <c r="D184" i="5"/>
  <c r="I184" i="5"/>
  <c r="C184" i="5"/>
  <c r="B184" i="5"/>
  <c r="A184" i="5"/>
  <c r="L183" i="5"/>
  <c r="Q183" i="5" s="1"/>
  <c r="Z183" i="5"/>
  <c r="Y183" i="5"/>
  <c r="X183" i="5"/>
  <c r="L182" i="5"/>
  <c r="G182" i="5"/>
  <c r="E182" i="5"/>
  <c r="J181" i="5"/>
  <c r="F181" i="5"/>
  <c r="E181" i="5"/>
  <c r="J180" i="5"/>
  <c r="F180" i="5"/>
  <c r="E180" i="5"/>
  <c r="K179" i="5"/>
  <c r="J179" i="5"/>
  <c r="H179" i="5"/>
  <c r="G179" i="5"/>
  <c r="F179" i="5"/>
  <c r="K178" i="5"/>
  <c r="J178" i="5"/>
  <c r="H178" i="5"/>
  <c r="R178" i="5" s="1"/>
  <c r="G178" i="5"/>
  <c r="F178" i="5"/>
  <c r="K177" i="5"/>
  <c r="J177" i="5"/>
  <c r="H177" i="5"/>
  <c r="G177" i="5"/>
  <c r="F177" i="5"/>
  <c r="K176" i="5"/>
  <c r="J176" i="5"/>
  <c r="H176" i="5"/>
  <c r="G176" i="5"/>
  <c r="F176" i="5"/>
  <c r="C175" i="5"/>
  <c r="V174" i="5"/>
  <c r="K181" i="5" s="1"/>
  <c r="T174" i="5"/>
  <c r="K180" i="5" s="1"/>
  <c r="U174" i="5"/>
  <c r="H181" i="5" s="1"/>
  <c r="S174" i="5"/>
  <c r="H180" i="5" s="1"/>
  <c r="F174" i="5"/>
  <c r="E174" i="5"/>
  <c r="D174" i="5"/>
  <c r="I174" i="5"/>
  <c r="C174" i="5"/>
  <c r="B174" i="5"/>
  <c r="A174" i="5"/>
  <c r="L173" i="5"/>
  <c r="Q173" i="5" s="1"/>
  <c r="Z173" i="5"/>
  <c r="Y173" i="5"/>
  <c r="X173" i="5"/>
  <c r="L172" i="5"/>
  <c r="G172" i="5"/>
  <c r="E172" i="5"/>
  <c r="J171" i="5"/>
  <c r="F171" i="5"/>
  <c r="E171" i="5"/>
  <c r="J170" i="5"/>
  <c r="F170" i="5"/>
  <c r="E170" i="5"/>
  <c r="K169" i="5"/>
  <c r="J169" i="5"/>
  <c r="H169" i="5"/>
  <c r="R169" i="5" s="1"/>
  <c r="G169" i="5"/>
  <c r="F169" i="5"/>
  <c r="C168" i="5"/>
  <c r="V167" i="5"/>
  <c r="K171" i="5" s="1"/>
  <c r="T167" i="5"/>
  <c r="K170" i="5" s="1"/>
  <c r="U167" i="5"/>
  <c r="H171" i="5" s="1"/>
  <c r="S167" i="5"/>
  <c r="H170" i="5" s="1"/>
  <c r="F167" i="5"/>
  <c r="E167" i="5"/>
  <c r="D167" i="5"/>
  <c r="I167" i="5"/>
  <c r="C167" i="5"/>
  <c r="B167" i="5"/>
  <c r="A167" i="5"/>
  <c r="L166" i="5"/>
  <c r="Q166" i="5" s="1"/>
  <c r="Z166" i="5"/>
  <c r="Y166" i="5"/>
  <c r="X166" i="5"/>
  <c r="K165" i="5"/>
  <c r="J165" i="5"/>
  <c r="Z165" i="5"/>
  <c r="Y165" i="5"/>
  <c r="X165" i="5"/>
  <c r="H165" i="5"/>
  <c r="W165" i="5" s="1"/>
  <c r="F165" i="5"/>
  <c r="V165" i="5"/>
  <c r="T165" i="5"/>
  <c r="U165" i="5"/>
  <c r="S165" i="5"/>
  <c r="E165" i="5"/>
  <c r="D165" i="5"/>
  <c r="C165" i="5"/>
  <c r="A165" i="5"/>
  <c r="K164" i="5"/>
  <c r="J164" i="5"/>
  <c r="Z164" i="5"/>
  <c r="Y164" i="5"/>
  <c r="X164" i="5"/>
  <c r="H164" i="5"/>
  <c r="W164" i="5" s="1"/>
  <c r="F164" i="5"/>
  <c r="V164" i="5"/>
  <c r="T164" i="5"/>
  <c r="K161" i="5" s="1"/>
  <c r="U164" i="5"/>
  <c r="S164" i="5"/>
  <c r="E164" i="5"/>
  <c r="D164" i="5"/>
  <c r="C164" i="5"/>
  <c r="A164" i="5"/>
  <c r="L163" i="5"/>
  <c r="G163" i="5"/>
  <c r="E163" i="5"/>
  <c r="J162" i="5"/>
  <c r="F162" i="5"/>
  <c r="E162" i="5"/>
  <c r="J161" i="5"/>
  <c r="F161" i="5"/>
  <c r="E161" i="5"/>
  <c r="K160" i="5"/>
  <c r="J160" i="5"/>
  <c r="H160" i="5"/>
  <c r="G160" i="5"/>
  <c r="F160" i="5"/>
  <c r="K159" i="5"/>
  <c r="J159" i="5"/>
  <c r="H159" i="5"/>
  <c r="R159" i="5" s="1"/>
  <c r="G159" i="5"/>
  <c r="F159" i="5"/>
  <c r="K158" i="5"/>
  <c r="J158" i="5"/>
  <c r="H158" i="5"/>
  <c r="G158" i="5"/>
  <c r="F158" i="5"/>
  <c r="K157" i="5"/>
  <c r="J157" i="5"/>
  <c r="H157" i="5"/>
  <c r="R157" i="5" s="1"/>
  <c r="G157" i="5"/>
  <c r="F157" i="5"/>
  <c r="V156" i="5"/>
  <c r="T156" i="5"/>
  <c r="U156" i="5"/>
  <c r="S156" i="5"/>
  <c r="H161" i="5" s="1"/>
  <c r="F156" i="5"/>
  <c r="E156" i="5"/>
  <c r="D156" i="5"/>
  <c r="I156" i="5"/>
  <c r="C156" i="5"/>
  <c r="A156" i="5"/>
  <c r="L155" i="5"/>
  <c r="Q155" i="5" s="1"/>
  <c r="Z155" i="5"/>
  <c r="Y155" i="5"/>
  <c r="X155" i="5"/>
  <c r="L154" i="5"/>
  <c r="G154" i="5"/>
  <c r="E154" i="5"/>
  <c r="J153" i="5"/>
  <c r="F153" i="5"/>
  <c r="E153" i="5"/>
  <c r="J152" i="5"/>
  <c r="F152" i="5"/>
  <c r="E152" i="5"/>
  <c r="K151" i="5"/>
  <c r="J151" i="5"/>
  <c r="H151" i="5"/>
  <c r="G151" i="5"/>
  <c r="F151" i="5"/>
  <c r="K150" i="5"/>
  <c r="J150" i="5"/>
  <c r="R150" i="5"/>
  <c r="H150" i="5"/>
  <c r="G150" i="5"/>
  <c r="F150" i="5"/>
  <c r="K149" i="5"/>
  <c r="J149" i="5"/>
  <c r="H149" i="5"/>
  <c r="G149" i="5"/>
  <c r="F149" i="5"/>
  <c r="K148" i="5"/>
  <c r="J148" i="5"/>
  <c r="H148" i="5"/>
  <c r="R148" i="5" s="1"/>
  <c r="G148" i="5"/>
  <c r="F148" i="5"/>
  <c r="C147" i="5"/>
  <c r="V146" i="5"/>
  <c r="K153" i="5" s="1"/>
  <c r="T146" i="5"/>
  <c r="K152" i="5" s="1"/>
  <c r="U146" i="5"/>
  <c r="H153" i="5" s="1"/>
  <c r="S146" i="5"/>
  <c r="H152" i="5" s="1"/>
  <c r="F146" i="5"/>
  <c r="E146" i="5"/>
  <c r="D146" i="5"/>
  <c r="I146" i="5"/>
  <c r="C146" i="5"/>
  <c r="A146" i="5"/>
  <c r="L145" i="5"/>
  <c r="Q145" i="5" s="1"/>
  <c r="Z145" i="5"/>
  <c r="Y145" i="5"/>
  <c r="X145" i="5"/>
  <c r="L144" i="5"/>
  <c r="G144" i="5"/>
  <c r="E144" i="5"/>
  <c r="J143" i="5"/>
  <c r="F143" i="5"/>
  <c r="E143" i="5"/>
  <c r="J142" i="5"/>
  <c r="F142" i="5"/>
  <c r="E142" i="5"/>
  <c r="K141" i="5"/>
  <c r="J141" i="5"/>
  <c r="H141" i="5"/>
  <c r="G141" i="5"/>
  <c r="F141" i="5"/>
  <c r="K140" i="5"/>
  <c r="J140" i="5"/>
  <c r="H140" i="5"/>
  <c r="R140" i="5" s="1"/>
  <c r="G140" i="5"/>
  <c r="F140" i="5"/>
  <c r="K139" i="5"/>
  <c r="J139" i="5"/>
  <c r="H139" i="5"/>
  <c r="G139" i="5"/>
  <c r="F139" i="5"/>
  <c r="K138" i="5"/>
  <c r="J138" i="5"/>
  <c r="H138" i="5"/>
  <c r="R138" i="5" s="1"/>
  <c r="G138" i="5"/>
  <c r="F138" i="5"/>
  <c r="C137" i="5"/>
  <c r="V136" i="5"/>
  <c r="K143" i="5" s="1"/>
  <c r="T136" i="5"/>
  <c r="K142" i="5" s="1"/>
  <c r="U136" i="5"/>
  <c r="H143" i="5" s="1"/>
  <c r="S136" i="5"/>
  <c r="H142" i="5" s="1"/>
  <c r="F136" i="5"/>
  <c r="E136" i="5"/>
  <c r="D136" i="5"/>
  <c r="I136" i="5"/>
  <c r="C136" i="5"/>
  <c r="B136" i="5"/>
  <c r="A136" i="5"/>
  <c r="Q135" i="5"/>
  <c r="L135" i="5"/>
  <c r="Z135" i="5"/>
  <c r="Y135" i="5"/>
  <c r="X135" i="5"/>
  <c r="L134" i="5"/>
  <c r="G134" i="5"/>
  <c r="E134" i="5"/>
  <c r="J133" i="5"/>
  <c r="F133" i="5"/>
  <c r="E133" i="5"/>
  <c r="J132" i="5"/>
  <c r="F132" i="5"/>
  <c r="E132" i="5"/>
  <c r="K131" i="5"/>
  <c r="J131" i="5"/>
  <c r="H131" i="5"/>
  <c r="G131" i="5"/>
  <c r="F131" i="5"/>
  <c r="K130" i="5"/>
  <c r="J130" i="5"/>
  <c r="H130" i="5"/>
  <c r="R130" i="5" s="1"/>
  <c r="G130" i="5"/>
  <c r="F130" i="5"/>
  <c r="K129" i="5"/>
  <c r="J129" i="5"/>
  <c r="H129" i="5"/>
  <c r="G129" i="5"/>
  <c r="F129" i="5"/>
  <c r="K128" i="5"/>
  <c r="J128" i="5"/>
  <c r="H128" i="5"/>
  <c r="G128" i="5"/>
  <c r="F128" i="5"/>
  <c r="C127" i="5"/>
  <c r="V126" i="5"/>
  <c r="K133" i="5" s="1"/>
  <c r="T126" i="5"/>
  <c r="K132" i="5" s="1"/>
  <c r="J135" i="5" s="1"/>
  <c r="P135" i="5" s="1"/>
  <c r="U126" i="5"/>
  <c r="H133" i="5" s="1"/>
  <c r="S126" i="5"/>
  <c r="H132" i="5" s="1"/>
  <c r="F126" i="5"/>
  <c r="E126" i="5"/>
  <c r="D126" i="5"/>
  <c r="I126" i="5"/>
  <c r="C126" i="5"/>
  <c r="B126" i="5"/>
  <c r="A126" i="5"/>
  <c r="L125" i="5"/>
  <c r="Q125" i="5" s="1"/>
  <c r="Z125" i="5"/>
  <c r="Y125" i="5"/>
  <c r="X125" i="5"/>
  <c r="L124" i="5"/>
  <c r="G124" i="5"/>
  <c r="E124" i="5"/>
  <c r="J123" i="5"/>
  <c r="F123" i="5"/>
  <c r="E123" i="5"/>
  <c r="J122" i="5"/>
  <c r="F122" i="5"/>
  <c r="E122" i="5"/>
  <c r="K121" i="5"/>
  <c r="J121" i="5"/>
  <c r="H121" i="5"/>
  <c r="G121" i="5"/>
  <c r="F121" i="5"/>
  <c r="K120" i="5"/>
  <c r="J120" i="5"/>
  <c r="H120" i="5"/>
  <c r="R120" i="5" s="1"/>
  <c r="G120" i="5"/>
  <c r="F120" i="5"/>
  <c r="K119" i="5"/>
  <c r="J119" i="5"/>
  <c r="H119" i="5"/>
  <c r="G119" i="5"/>
  <c r="F119" i="5"/>
  <c r="K118" i="5"/>
  <c r="J118" i="5"/>
  <c r="H118" i="5"/>
  <c r="G118" i="5"/>
  <c r="F118" i="5"/>
  <c r="C117" i="5"/>
  <c r="V116" i="5"/>
  <c r="K123" i="5" s="1"/>
  <c r="T116" i="5"/>
  <c r="K122" i="5" s="1"/>
  <c r="U116" i="5"/>
  <c r="H123" i="5" s="1"/>
  <c r="S116" i="5"/>
  <c r="H122" i="5" s="1"/>
  <c r="F116" i="5"/>
  <c r="E116" i="5"/>
  <c r="D116" i="5"/>
  <c r="I116" i="5"/>
  <c r="C116" i="5"/>
  <c r="B116" i="5"/>
  <c r="A116" i="5"/>
  <c r="L115" i="5"/>
  <c r="Q115" i="5" s="1"/>
  <c r="Z115" i="5"/>
  <c r="Y115" i="5"/>
  <c r="X115" i="5"/>
  <c r="K113" i="5"/>
  <c r="L114" i="5"/>
  <c r="G114" i="5"/>
  <c r="E114" i="5"/>
  <c r="J113" i="5"/>
  <c r="F113" i="5"/>
  <c r="E113" i="5"/>
  <c r="J112" i="5"/>
  <c r="F112" i="5"/>
  <c r="E112" i="5"/>
  <c r="K111" i="5"/>
  <c r="J111" i="5"/>
  <c r="H111" i="5"/>
  <c r="G111" i="5"/>
  <c r="F111" i="5"/>
  <c r="K110" i="5"/>
  <c r="J110" i="5"/>
  <c r="H110" i="5"/>
  <c r="G110" i="5"/>
  <c r="F110" i="5"/>
  <c r="K109" i="5"/>
  <c r="J109" i="5"/>
  <c r="H109" i="5"/>
  <c r="G109" i="5"/>
  <c r="F109" i="5"/>
  <c r="C108" i="5"/>
  <c r="V107" i="5"/>
  <c r="T107" i="5"/>
  <c r="K112" i="5" s="1"/>
  <c r="U107" i="5"/>
  <c r="H113" i="5" s="1"/>
  <c r="S107" i="5"/>
  <c r="H112" i="5" s="1"/>
  <c r="F107" i="5"/>
  <c r="E107" i="5"/>
  <c r="D107" i="5"/>
  <c r="I107" i="5"/>
  <c r="C107" i="5"/>
  <c r="B107" i="5"/>
  <c r="A107" i="5"/>
  <c r="Q106" i="5"/>
  <c r="L106" i="5"/>
  <c r="Z106" i="5"/>
  <c r="Y106" i="5"/>
  <c r="X106" i="5"/>
  <c r="K105" i="5"/>
  <c r="J105" i="5"/>
  <c r="Z105" i="5"/>
  <c r="Y105" i="5"/>
  <c r="X105" i="5"/>
  <c r="H105" i="5"/>
  <c r="W105" i="5" s="1"/>
  <c r="F105" i="5"/>
  <c r="V105" i="5"/>
  <c r="T105" i="5"/>
  <c r="U105" i="5"/>
  <c r="S105" i="5"/>
  <c r="E105" i="5"/>
  <c r="D105" i="5"/>
  <c r="C105" i="5"/>
  <c r="B105" i="5"/>
  <c r="A105" i="5"/>
  <c r="L104" i="5"/>
  <c r="G104" i="5"/>
  <c r="E104" i="5"/>
  <c r="J103" i="5"/>
  <c r="F103" i="5"/>
  <c r="E103" i="5"/>
  <c r="J102" i="5"/>
  <c r="F102" i="5"/>
  <c r="E102" i="5"/>
  <c r="K101" i="5"/>
  <c r="J101" i="5"/>
  <c r="H101" i="5"/>
  <c r="G101" i="5"/>
  <c r="F101" i="5"/>
  <c r="K100" i="5"/>
  <c r="J100" i="5"/>
  <c r="H100" i="5"/>
  <c r="R100" i="5" s="1"/>
  <c r="G100" i="5"/>
  <c r="F100" i="5"/>
  <c r="K99" i="5"/>
  <c r="J99" i="5"/>
  <c r="H99" i="5"/>
  <c r="G99" i="5"/>
  <c r="F99" i="5"/>
  <c r="K98" i="5"/>
  <c r="J98" i="5"/>
  <c r="R98" i="5"/>
  <c r="H98" i="5"/>
  <c r="G98" i="5"/>
  <c r="F98" i="5"/>
  <c r="V97" i="5"/>
  <c r="K103" i="5" s="1"/>
  <c r="T97" i="5"/>
  <c r="K102" i="5" s="1"/>
  <c r="U97" i="5"/>
  <c r="H103" i="5" s="1"/>
  <c r="S97" i="5"/>
  <c r="H102" i="5" s="1"/>
  <c r="F97" i="5"/>
  <c r="E97" i="5"/>
  <c r="D97" i="5"/>
  <c r="I97" i="5"/>
  <c r="C97" i="5"/>
  <c r="B97" i="5"/>
  <c r="A97" i="5"/>
  <c r="L96" i="5"/>
  <c r="Q96" i="5" s="1"/>
  <c r="Z96" i="5"/>
  <c r="Y96" i="5"/>
  <c r="X96" i="5"/>
  <c r="K92" i="5"/>
  <c r="K95" i="5"/>
  <c r="J95" i="5"/>
  <c r="Z95" i="5"/>
  <c r="Y95" i="5"/>
  <c r="X95" i="5"/>
  <c r="H95" i="5"/>
  <c r="W95" i="5" s="1"/>
  <c r="F95" i="5"/>
  <c r="V95" i="5"/>
  <c r="T95" i="5"/>
  <c r="U95" i="5"/>
  <c r="S95" i="5"/>
  <c r="E95" i="5"/>
  <c r="D95" i="5"/>
  <c r="C95" i="5"/>
  <c r="B95" i="5"/>
  <c r="A95" i="5"/>
  <c r="L94" i="5"/>
  <c r="G94" i="5"/>
  <c r="E94" i="5"/>
  <c r="J93" i="5"/>
  <c r="E93" i="5"/>
  <c r="J92" i="5"/>
  <c r="E92" i="5"/>
  <c r="K91" i="5"/>
  <c r="J91" i="5"/>
  <c r="H91" i="5"/>
  <c r="G91" i="5"/>
  <c r="F91" i="5"/>
  <c r="K90" i="5"/>
  <c r="J90" i="5"/>
  <c r="H90" i="5"/>
  <c r="R90" i="5" s="1"/>
  <c r="G90" i="5"/>
  <c r="F90" i="5"/>
  <c r="C89" i="5"/>
  <c r="V88" i="5"/>
  <c r="K93" i="5" s="1"/>
  <c r="T88" i="5"/>
  <c r="U88" i="5"/>
  <c r="H93" i="5" s="1"/>
  <c r="S88" i="5"/>
  <c r="H92" i="5" s="1"/>
  <c r="F88" i="5"/>
  <c r="E88" i="5"/>
  <c r="D88" i="5"/>
  <c r="I88" i="5"/>
  <c r="C88" i="5"/>
  <c r="B88" i="5"/>
  <c r="A88" i="5"/>
  <c r="L87" i="5"/>
  <c r="Q87" i="5" s="1"/>
  <c r="Z87" i="5"/>
  <c r="Y87" i="5"/>
  <c r="X87" i="5"/>
  <c r="K84" i="5"/>
  <c r="L86" i="5"/>
  <c r="G86" i="5"/>
  <c r="E86" i="5"/>
  <c r="J85" i="5"/>
  <c r="F85" i="5"/>
  <c r="E85" i="5"/>
  <c r="J84" i="5"/>
  <c r="F84" i="5"/>
  <c r="E84" i="5"/>
  <c r="K83" i="5"/>
  <c r="J83" i="5"/>
  <c r="H83" i="5"/>
  <c r="G83" i="5"/>
  <c r="F83" i="5"/>
  <c r="K82" i="5"/>
  <c r="J82" i="5"/>
  <c r="H82" i="5"/>
  <c r="R82" i="5" s="1"/>
  <c r="G82" i="5"/>
  <c r="F82" i="5"/>
  <c r="K81" i="5"/>
  <c r="J81" i="5"/>
  <c r="H81" i="5"/>
  <c r="G81" i="5"/>
  <c r="F81" i="5"/>
  <c r="K80" i="5"/>
  <c r="J80" i="5"/>
  <c r="H80" i="5"/>
  <c r="R80" i="5" s="1"/>
  <c r="G80" i="5"/>
  <c r="F80" i="5"/>
  <c r="C79" i="5"/>
  <c r="V78" i="5"/>
  <c r="K85" i="5" s="1"/>
  <c r="T78" i="5"/>
  <c r="U78" i="5"/>
  <c r="H85" i="5" s="1"/>
  <c r="S78" i="5"/>
  <c r="H84" i="5" s="1"/>
  <c r="F78" i="5"/>
  <c r="E78" i="5"/>
  <c r="D78" i="5"/>
  <c r="I78" i="5"/>
  <c r="C78" i="5"/>
  <c r="B78" i="5"/>
  <c r="A78" i="5"/>
  <c r="L77" i="5"/>
  <c r="Q77" i="5" s="1"/>
  <c r="Z77" i="5"/>
  <c r="Y77" i="5"/>
  <c r="W77" i="5"/>
  <c r="L76" i="5"/>
  <c r="G76" i="5"/>
  <c r="E76" i="5"/>
  <c r="J75" i="5"/>
  <c r="E75" i="5"/>
  <c r="J74" i="5"/>
  <c r="E74" i="5"/>
  <c r="K73" i="5"/>
  <c r="J73" i="5"/>
  <c r="H73" i="5"/>
  <c r="G73" i="5"/>
  <c r="F73" i="5"/>
  <c r="K72" i="5"/>
  <c r="J72" i="5"/>
  <c r="R72" i="5"/>
  <c r="H72" i="5"/>
  <c r="G72" i="5"/>
  <c r="F72" i="5"/>
  <c r="K71" i="5"/>
  <c r="J71" i="5"/>
  <c r="H71" i="5"/>
  <c r="G71" i="5"/>
  <c r="F71" i="5"/>
  <c r="K70" i="5"/>
  <c r="J70" i="5"/>
  <c r="H70" i="5"/>
  <c r="R70" i="5" s="1"/>
  <c r="G70" i="5"/>
  <c r="F70" i="5"/>
  <c r="V69" i="5"/>
  <c r="K75" i="5" s="1"/>
  <c r="T69" i="5"/>
  <c r="K74" i="5" s="1"/>
  <c r="U69" i="5"/>
  <c r="H75" i="5" s="1"/>
  <c r="S69" i="5"/>
  <c r="H74" i="5" s="1"/>
  <c r="F69" i="5"/>
  <c r="E69" i="5"/>
  <c r="D69" i="5"/>
  <c r="I69" i="5"/>
  <c r="C69" i="5"/>
  <c r="B69" i="5"/>
  <c r="A69" i="5"/>
  <c r="Q68" i="5"/>
  <c r="L68" i="5"/>
  <c r="Z68" i="5"/>
  <c r="Y68" i="5"/>
  <c r="X68" i="5"/>
  <c r="L67" i="5"/>
  <c r="G67" i="5"/>
  <c r="E67" i="5"/>
  <c r="J66" i="5"/>
  <c r="F66" i="5"/>
  <c r="E66" i="5"/>
  <c r="J65" i="5"/>
  <c r="F65" i="5"/>
  <c r="E65" i="5"/>
  <c r="K64" i="5"/>
  <c r="J64" i="5"/>
  <c r="H64" i="5"/>
  <c r="G64" i="5"/>
  <c r="F64" i="5"/>
  <c r="K63" i="5"/>
  <c r="J63" i="5"/>
  <c r="R63" i="5"/>
  <c r="H63" i="5"/>
  <c r="G63" i="5"/>
  <c r="F63" i="5"/>
  <c r="K62" i="5"/>
  <c r="J62" i="5"/>
  <c r="H62" i="5"/>
  <c r="G62" i="5"/>
  <c r="F62" i="5"/>
  <c r="K61" i="5"/>
  <c r="J61" i="5"/>
  <c r="H61" i="5"/>
  <c r="R61" i="5" s="1"/>
  <c r="G61" i="5"/>
  <c r="F61" i="5"/>
  <c r="C60" i="5"/>
  <c r="V59" i="5"/>
  <c r="K66" i="5" s="1"/>
  <c r="T59" i="5"/>
  <c r="K65" i="5" s="1"/>
  <c r="J68" i="5" s="1"/>
  <c r="P68" i="5" s="1"/>
  <c r="U59" i="5"/>
  <c r="H66" i="5" s="1"/>
  <c r="S59" i="5"/>
  <c r="H65" i="5" s="1"/>
  <c r="F59" i="5"/>
  <c r="E59" i="5"/>
  <c r="D59" i="5"/>
  <c r="I59" i="5"/>
  <c r="C59" i="5"/>
  <c r="B59" i="5"/>
  <c r="A59" i="5"/>
  <c r="Q58" i="5"/>
  <c r="L58" i="5"/>
  <c r="Z58" i="5"/>
  <c r="Y58" i="5"/>
  <c r="X58" i="5"/>
  <c r="L57" i="5"/>
  <c r="G57" i="5"/>
  <c r="E57" i="5"/>
  <c r="J56" i="5"/>
  <c r="F56" i="5"/>
  <c r="E56" i="5"/>
  <c r="J55" i="5"/>
  <c r="F55" i="5"/>
  <c r="E55" i="5"/>
  <c r="K54" i="5"/>
  <c r="J54" i="5"/>
  <c r="H54" i="5"/>
  <c r="R54" i="5" s="1"/>
  <c r="G54" i="5"/>
  <c r="F54" i="5"/>
  <c r="V53" i="5"/>
  <c r="K56" i="5" s="1"/>
  <c r="T53" i="5"/>
  <c r="K55" i="5" s="1"/>
  <c r="U53" i="5"/>
  <c r="H56" i="5" s="1"/>
  <c r="S53" i="5"/>
  <c r="H55" i="5" s="1"/>
  <c r="F53" i="5"/>
  <c r="E53" i="5"/>
  <c r="D53" i="5"/>
  <c r="I53" i="5"/>
  <c r="C53" i="5"/>
  <c r="B53" i="5"/>
  <c r="A53" i="5"/>
  <c r="L52" i="5"/>
  <c r="Q52" i="5" s="1"/>
  <c r="Z52" i="5"/>
  <c r="Y52" i="5"/>
  <c r="X52" i="5"/>
  <c r="L51" i="5"/>
  <c r="G51" i="5"/>
  <c r="E51" i="5"/>
  <c r="J50" i="5"/>
  <c r="F50" i="5"/>
  <c r="E50" i="5"/>
  <c r="J49" i="5"/>
  <c r="F49" i="5"/>
  <c r="E49" i="5"/>
  <c r="K48" i="5"/>
  <c r="J48" i="5"/>
  <c r="H48" i="5"/>
  <c r="G48" i="5"/>
  <c r="F48" i="5"/>
  <c r="K47" i="5"/>
  <c r="J47" i="5"/>
  <c r="H47" i="5"/>
  <c r="R47" i="5" s="1"/>
  <c r="G47" i="5"/>
  <c r="F47" i="5"/>
  <c r="C46" i="5"/>
  <c r="V45" i="5"/>
  <c r="K50" i="5" s="1"/>
  <c r="T45" i="5"/>
  <c r="K49" i="5" s="1"/>
  <c r="U45" i="5"/>
  <c r="H50" i="5" s="1"/>
  <c r="S45" i="5"/>
  <c r="H49" i="5" s="1"/>
  <c r="F45" i="5"/>
  <c r="E45" i="5"/>
  <c r="D45" i="5"/>
  <c r="I45" i="5"/>
  <c r="C45" i="5"/>
  <c r="A45" i="5"/>
  <c r="L44" i="5"/>
  <c r="Q44" i="5" s="1"/>
  <c r="Z44" i="5"/>
  <c r="Y44" i="5"/>
  <c r="X44" i="5"/>
  <c r="K43" i="5"/>
  <c r="J44" i="5" s="1"/>
  <c r="P44" i="5" s="1"/>
  <c r="H43" i="5"/>
  <c r="G44" i="5" s="1"/>
  <c r="O44" i="5" s="1"/>
  <c r="J43" i="5"/>
  <c r="G43" i="5"/>
  <c r="F43" i="5"/>
  <c r="V43" i="5"/>
  <c r="T43" i="5"/>
  <c r="U43" i="5"/>
  <c r="S43" i="5"/>
  <c r="E43" i="5"/>
  <c r="D43" i="5"/>
  <c r="I43" i="5"/>
  <c r="C43" i="5"/>
  <c r="B43" i="5"/>
  <c r="A43" i="5"/>
  <c r="L42" i="5"/>
  <c r="Q42" i="5" s="1"/>
  <c r="Z42" i="5"/>
  <c r="Y42" i="5"/>
  <c r="X42" i="5"/>
  <c r="K41" i="5"/>
  <c r="J42" i="5" s="1"/>
  <c r="P42" i="5" s="1"/>
  <c r="H41" i="5"/>
  <c r="G42" i="5" s="1"/>
  <c r="O42" i="5" s="1"/>
  <c r="J41" i="5"/>
  <c r="G41" i="5"/>
  <c r="F41" i="5"/>
  <c r="V41" i="5"/>
  <c r="T41" i="5"/>
  <c r="U41" i="5"/>
  <c r="S41" i="5"/>
  <c r="E41" i="5"/>
  <c r="D41" i="5"/>
  <c r="I41" i="5"/>
  <c r="C41" i="5"/>
  <c r="B41" i="5"/>
  <c r="A41" i="5"/>
  <c r="Q40" i="5"/>
  <c r="L40" i="5"/>
  <c r="Z40" i="5"/>
  <c r="Y40" i="5"/>
  <c r="X40" i="5"/>
  <c r="K39" i="5"/>
  <c r="J39" i="5"/>
  <c r="Z39" i="5"/>
  <c r="Y39" i="5"/>
  <c r="X39" i="5"/>
  <c r="H39" i="5"/>
  <c r="W39" i="5" s="1"/>
  <c r="F39" i="5"/>
  <c r="V39" i="5"/>
  <c r="T39" i="5"/>
  <c r="U39" i="5"/>
  <c r="S39" i="5"/>
  <c r="E39" i="5"/>
  <c r="D39" i="5"/>
  <c r="C39" i="5"/>
  <c r="B39" i="5"/>
  <c r="A39" i="5"/>
  <c r="L38" i="5"/>
  <c r="G38" i="5"/>
  <c r="E38" i="5"/>
  <c r="J37" i="5"/>
  <c r="E37" i="5"/>
  <c r="J36" i="5"/>
  <c r="E36" i="5"/>
  <c r="K35" i="5"/>
  <c r="J35" i="5"/>
  <c r="H35" i="5"/>
  <c r="G35" i="5"/>
  <c r="F35" i="5"/>
  <c r="C34" i="5"/>
  <c r="V33" i="5"/>
  <c r="K37" i="5" s="1"/>
  <c r="T33" i="5"/>
  <c r="K36" i="5" s="1"/>
  <c r="U33" i="5"/>
  <c r="H37" i="5" s="1"/>
  <c r="S33" i="5"/>
  <c r="F33" i="5"/>
  <c r="E33" i="5"/>
  <c r="D33" i="5"/>
  <c r="I33" i="5"/>
  <c r="C33" i="5"/>
  <c r="A33" i="5"/>
  <c r="A32" i="5"/>
  <c r="A30" i="5"/>
  <c r="B11" i="5"/>
  <c r="B7" i="5"/>
  <c r="A1" i="5"/>
  <c r="G113" i="6" l="1"/>
  <c r="E286" i="6"/>
  <c r="E290" i="6" s="1"/>
  <c r="G71" i="6"/>
  <c r="G21" i="6"/>
  <c r="G72" i="6"/>
  <c r="G331" i="5"/>
  <c r="O331" i="5" s="1"/>
  <c r="H471" i="5"/>
  <c r="K509" i="5"/>
  <c r="L217" i="5"/>
  <c r="J155" i="5"/>
  <c r="P155" i="5" s="1"/>
  <c r="K162" i="5"/>
  <c r="J166" i="5" s="1"/>
  <c r="P166" i="5" s="1"/>
  <c r="W193" i="5"/>
  <c r="W215" i="5"/>
  <c r="G241" i="5"/>
  <c r="O241" i="5" s="1"/>
  <c r="K265" i="5"/>
  <c r="H286" i="5"/>
  <c r="K355" i="5"/>
  <c r="J358" i="5" s="1"/>
  <c r="P358" i="5" s="1"/>
  <c r="J370" i="5"/>
  <c r="P370" i="5" s="1"/>
  <c r="K365" i="5"/>
  <c r="H388" i="5"/>
  <c r="J416" i="5"/>
  <c r="P416" i="5" s="1"/>
  <c r="G443" i="5"/>
  <c r="O443" i="5" s="1"/>
  <c r="K440" i="5"/>
  <c r="H529" i="5"/>
  <c r="G425" i="5"/>
  <c r="O425" i="5" s="1"/>
  <c r="G21" i="5"/>
  <c r="G115" i="5"/>
  <c r="O115" i="5" s="1"/>
  <c r="G135" i="5"/>
  <c r="O135" i="5" s="1"/>
  <c r="K253" i="5"/>
  <c r="J257" i="5" s="1"/>
  <c r="P257" i="5" s="1"/>
  <c r="J314" i="5"/>
  <c r="P314" i="5" s="1"/>
  <c r="K344" i="5"/>
  <c r="H375" i="5"/>
  <c r="K375" i="5"/>
  <c r="J380" i="5" s="1"/>
  <c r="P380" i="5" s="1"/>
  <c r="K497" i="5"/>
  <c r="J501" i="5" s="1"/>
  <c r="P501" i="5" s="1"/>
  <c r="K519" i="5"/>
  <c r="J522" i="5" s="1"/>
  <c r="P522" i="5" s="1"/>
  <c r="K529" i="5"/>
  <c r="J534" i="5" s="1"/>
  <c r="P534" i="5" s="1"/>
  <c r="K557" i="5"/>
  <c r="J560" i="5" s="1"/>
  <c r="P560" i="5" s="1"/>
  <c r="H556" i="5"/>
  <c r="H264" i="5"/>
  <c r="H461" i="5"/>
  <c r="H36" i="5"/>
  <c r="G40" i="5" s="1"/>
  <c r="O40" i="5" s="1"/>
  <c r="W42" i="5"/>
  <c r="R109" i="5"/>
  <c r="R128" i="5"/>
  <c r="W207" i="5"/>
  <c r="W244" i="5"/>
  <c r="H253" i="5"/>
  <c r="K388" i="5"/>
  <c r="J392" i="5" s="1"/>
  <c r="P392" i="5" s="1"/>
  <c r="H539" i="5"/>
  <c r="G543" i="5" s="1"/>
  <c r="O543" i="5" s="1"/>
  <c r="R537" i="5"/>
  <c r="J96" i="5"/>
  <c r="P96" i="5" s="1"/>
  <c r="J52" i="5"/>
  <c r="P52" i="5" s="1"/>
  <c r="G58" i="5"/>
  <c r="O58" i="5" s="1"/>
  <c r="W58" i="5"/>
  <c r="W68" i="5"/>
  <c r="G106" i="5"/>
  <c r="O106" i="5" s="1"/>
  <c r="W96" i="5"/>
  <c r="G96" i="5"/>
  <c r="O96" i="5" s="1"/>
  <c r="W106" i="5"/>
  <c r="G155" i="5"/>
  <c r="O155" i="5" s="1"/>
  <c r="W155" i="5"/>
  <c r="W173" i="5"/>
  <c r="G173" i="5"/>
  <c r="O173" i="5" s="1"/>
  <c r="G268" i="5"/>
  <c r="O268" i="5" s="1"/>
  <c r="J87" i="5"/>
  <c r="P87" i="5" s="1"/>
  <c r="J40" i="5"/>
  <c r="P40" i="5" s="1"/>
  <c r="J58" i="5"/>
  <c r="P58" i="5" s="1"/>
  <c r="G77" i="5"/>
  <c r="O77" i="5" s="1"/>
  <c r="J77" i="5"/>
  <c r="P77" i="5" s="1"/>
  <c r="G87" i="5"/>
  <c r="O87" i="5" s="1"/>
  <c r="J106" i="5"/>
  <c r="P106" i="5" s="1"/>
  <c r="W145" i="5"/>
  <c r="G145" i="5"/>
  <c r="O145" i="5" s="1"/>
  <c r="G68" i="5"/>
  <c r="O68" i="5" s="1"/>
  <c r="J278" i="5"/>
  <c r="P278" i="5" s="1"/>
  <c r="G347" i="5"/>
  <c r="O347" i="5" s="1"/>
  <c r="W347" i="5"/>
  <c r="R35" i="5"/>
  <c r="G22" i="5"/>
  <c r="W52" i="5"/>
  <c r="G52" i="5"/>
  <c r="O52" i="5" s="1"/>
  <c r="X77" i="5"/>
  <c r="G20" i="5" s="1"/>
  <c r="W87" i="5"/>
  <c r="J115" i="5"/>
  <c r="P115" i="5" s="1"/>
  <c r="G125" i="5"/>
  <c r="O125" i="5" s="1"/>
  <c r="G213" i="5"/>
  <c r="O213" i="5" s="1"/>
  <c r="W213" i="5"/>
  <c r="G246" i="5"/>
  <c r="O246" i="5" s="1"/>
  <c r="W246" i="5"/>
  <c r="W268" i="5"/>
  <c r="G290" i="5"/>
  <c r="O290" i="5" s="1"/>
  <c r="W466" i="5"/>
  <c r="J543" i="5"/>
  <c r="P543" i="5" s="1"/>
  <c r="G198" i="5"/>
  <c r="O198" i="5" s="1"/>
  <c r="W198" i="5"/>
  <c r="G454" i="5"/>
  <c r="O454" i="5" s="1"/>
  <c r="W454" i="5"/>
  <c r="R446" i="5"/>
  <c r="J125" i="5"/>
  <c r="P125" i="5" s="1"/>
  <c r="J145" i="5"/>
  <c r="P145" i="5" s="1"/>
  <c r="J173" i="5"/>
  <c r="P173" i="5" s="1"/>
  <c r="L301" i="5"/>
  <c r="L576" i="5"/>
  <c r="H254" i="5"/>
  <c r="W257" i="5" s="1"/>
  <c r="J268" i="5"/>
  <c r="P268" i="5" s="1"/>
  <c r="R525" i="5"/>
  <c r="G560" i="5"/>
  <c r="O560" i="5" s="1"/>
  <c r="W560" i="5"/>
  <c r="J183" i="5"/>
  <c r="P183" i="5" s="1"/>
  <c r="G232" i="5"/>
  <c r="O232" i="5" s="1"/>
  <c r="W232" i="5"/>
  <c r="R226" i="5"/>
  <c r="G501" i="5"/>
  <c r="O501" i="5" s="1"/>
  <c r="W501" i="5"/>
  <c r="L584" i="5"/>
  <c r="L580" i="5"/>
  <c r="W44" i="5"/>
  <c r="H162" i="5"/>
  <c r="G166" i="5" s="1"/>
  <c r="O166" i="5" s="1"/>
  <c r="G183" i="5"/>
  <c r="O183" i="5" s="1"/>
  <c r="W183" i="5"/>
  <c r="R176" i="5"/>
  <c r="G190" i="5"/>
  <c r="O190" i="5" s="1"/>
  <c r="J232" i="5"/>
  <c r="P232" i="5" s="1"/>
  <c r="W278" i="5"/>
  <c r="W135" i="5"/>
  <c r="W166" i="5"/>
  <c r="W205" i="5"/>
  <c r="W241" i="5"/>
  <c r="L394" i="5"/>
  <c r="J347" i="5"/>
  <c r="P347" i="5" s="1"/>
  <c r="H366" i="5"/>
  <c r="G370" i="5" s="1"/>
  <c r="O370" i="5" s="1"/>
  <c r="L545" i="5"/>
  <c r="J425" i="5"/>
  <c r="P425" i="5" s="1"/>
  <c r="J443" i="5"/>
  <c r="P443" i="5" s="1"/>
  <c r="H472" i="5"/>
  <c r="J476" i="5"/>
  <c r="P476" i="5" s="1"/>
  <c r="K484" i="5"/>
  <c r="G488" i="5"/>
  <c r="O488" i="5" s="1"/>
  <c r="J570" i="5"/>
  <c r="P570" i="5" s="1"/>
  <c r="W115" i="5"/>
  <c r="W202" i="5"/>
  <c r="W209" i="5"/>
  <c r="W290" i="5"/>
  <c r="K295" i="5"/>
  <c r="J299" i="5" s="1"/>
  <c r="P299" i="5" s="1"/>
  <c r="W331" i="5"/>
  <c r="R361" i="5"/>
  <c r="W370" i="5"/>
  <c r="H376" i="5"/>
  <c r="G380" i="5" s="1"/>
  <c r="O380" i="5" s="1"/>
  <c r="H462" i="5"/>
  <c r="J466" i="5"/>
  <c r="P466" i="5" s="1"/>
  <c r="J512" i="5"/>
  <c r="P512" i="5" s="1"/>
  <c r="G522" i="5"/>
  <c r="O522" i="5" s="1"/>
  <c r="W522" i="5"/>
  <c r="R515" i="5"/>
  <c r="G570" i="5"/>
  <c r="O570" i="5" s="1"/>
  <c r="W570" i="5"/>
  <c r="R563" i="5"/>
  <c r="R118" i="5"/>
  <c r="W125" i="5"/>
  <c r="R186" i="5"/>
  <c r="W190" i="5"/>
  <c r="W196" i="5"/>
  <c r="W211" i="5"/>
  <c r="K285" i="5"/>
  <c r="J290" i="5" s="1"/>
  <c r="P290" i="5" s="1"/>
  <c r="G299" i="5"/>
  <c r="O299" i="5" s="1"/>
  <c r="J331" i="5"/>
  <c r="P331" i="5" s="1"/>
  <c r="G358" i="5"/>
  <c r="O358" i="5" s="1"/>
  <c r="G392" i="5"/>
  <c r="O392" i="5" s="1"/>
  <c r="G407" i="5"/>
  <c r="O407" i="5" s="1"/>
  <c r="W407" i="5"/>
  <c r="R401" i="5"/>
  <c r="W425" i="5"/>
  <c r="J454" i="5"/>
  <c r="P454" i="5" s="1"/>
  <c r="K483" i="5"/>
  <c r="J488" i="5" s="1"/>
  <c r="P488" i="5" s="1"/>
  <c r="G512" i="5"/>
  <c r="O512" i="5" s="1"/>
  <c r="H530" i="5"/>
  <c r="L572" i="5"/>
  <c r="W314" i="5"/>
  <c r="G314" i="5"/>
  <c r="O314" i="5" s="1"/>
  <c r="W322" i="5"/>
  <c r="G322" i="5"/>
  <c r="O322" i="5" s="1"/>
  <c r="W380" i="5"/>
  <c r="R383" i="5"/>
  <c r="W416" i="5"/>
  <c r="G416" i="5"/>
  <c r="O416" i="5" s="1"/>
  <c r="W430" i="5"/>
  <c r="W358" i="5"/>
  <c r="W392" i="5"/>
  <c r="W443" i="5"/>
  <c r="W512" i="5"/>
  <c r="W543" i="5"/>
  <c r="W299" i="5"/>
  <c r="W334" i="5"/>
  <c r="W488" i="5"/>
  <c r="G290" i="6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1" i="3"/>
  <c r="CY1" i="3"/>
  <c r="CZ1" i="3"/>
  <c r="DB1" i="3" s="1"/>
  <c r="DA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B4" i="3" s="1"/>
  <c r="DA4" i="3"/>
  <c r="DC4" i="3"/>
  <c r="A5" i="3"/>
  <c r="CY5" i="3"/>
  <c r="CZ5" i="3"/>
  <c r="DB5" i="3" s="1"/>
  <c r="DA5" i="3"/>
  <c r="DC5" i="3"/>
  <c r="A6" i="3"/>
  <c r="CY6" i="3"/>
  <c r="CZ6" i="3"/>
  <c r="DA6" i="3"/>
  <c r="DB6" i="3"/>
  <c r="DC6" i="3"/>
  <c r="A7" i="3"/>
  <c r="CY7" i="3"/>
  <c r="CZ7" i="3"/>
  <c r="DA7" i="3"/>
  <c r="DB7" i="3"/>
  <c r="DC7" i="3"/>
  <c r="A8" i="3"/>
  <c r="CY8" i="3"/>
  <c r="CZ8" i="3"/>
  <c r="DB8" i="3" s="1"/>
  <c r="DA8" i="3"/>
  <c r="DC8" i="3"/>
  <c r="A9" i="3"/>
  <c r="CY9" i="3"/>
  <c r="CZ9" i="3"/>
  <c r="DB9" i="3" s="1"/>
  <c r="DA9" i="3"/>
  <c r="DC9" i="3"/>
  <c r="A10" i="3"/>
  <c r="CY10" i="3"/>
  <c r="CZ10" i="3"/>
  <c r="DA10" i="3"/>
  <c r="DB10" i="3"/>
  <c r="DC10" i="3"/>
  <c r="A11" i="3"/>
  <c r="CY11" i="3"/>
  <c r="CZ11" i="3"/>
  <c r="DA11" i="3"/>
  <c r="DB11" i="3"/>
  <c r="DC11" i="3"/>
  <c r="A12" i="3"/>
  <c r="CY12" i="3"/>
  <c r="CZ12" i="3"/>
  <c r="DB12" i="3" s="1"/>
  <c r="DA12" i="3"/>
  <c r="DC12" i="3"/>
  <c r="A13" i="3"/>
  <c r="CX13" i="3"/>
  <c r="CY13" i="3"/>
  <c r="CZ13" i="3"/>
  <c r="DA13" i="3"/>
  <c r="DB13" i="3"/>
  <c r="DC13" i="3"/>
  <c r="A14" i="3"/>
  <c r="CX14" i="3"/>
  <c r="CY14" i="3"/>
  <c r="CZ14" i="3"/>
  <c r="DA14" i="3"/>
  <c r="DB14" i="3"/>
  <c r="DC14" i="3"/>
  <c r="A15" i="3"/>
  <c r="CX15" i="3"/>
  <c r="CY15" i="3"/>
  <c r="CZ15" i="3"/>
  <c r="DB15" i="3" s="1"/>
  <c r="DA15" i="3"/>
  <c r="DC15" i="3"/>
  <c r="A16" i="3"/>
  <c r="CX16" i="3"/>
  <c r="CY16" i="3"/>
  <c r="CZ16" i="3"/>
  <c r="DB16" i="3" s="1"/>
  <c r="DA16" i="3"/>
  <c r="DC16" i="3"/>
  <c r="A17" i="3"/>
  <c r="CX17" i="3"/>
  <c r="CY17" i="3"/>
  <c r="CZ17" i="3"/>
  <c r="DA17" i="3"/>
  <c r="DB17" i="3"/>
  <c r="DC17" i="3"/>
  <c r="A18" i="3"/>
  <c r="CX18" i="3"/>
  <c r="CY18" i="3"/>
  <c r="CZ18" i="3"/>
  <c r="DA18" i="3"/>
  <c r="DB18" i="3"/>
  <c r="DC18" i="3"/>
  <c r="A19" i="3"/>
  <c r="CX19" i="3"/>
  <c r="CY19" i="3"/>
  <c r="CZ19" i="3"/>
  <c r="DB19" i="3" s="1"/>
  <c r="DA19" i="3"/>
  <c r="DC19" i="3"/>
  <c r="A20" i="3"/>
  <c r="CX20" i="3"/>
  <c r="CY20" i="3"/>
  <c r="CZ20" i="3"/>
  <c r="DB20" i="3" s="1"/>
  <c r="DA20" i="3"/>
  <c r="DC20" i="3"/>
  <c r="A21" i="3"/>
  <c r="CX21" i="3"/>
  <c r="CY21" i="3"/>
  <c r="CZ21" i="3"/>
  <c r="DA21" i="3"/>
  <c r="DB21" i="3"/>
  <c r="DC21" i="3"/>
  <c r="A22" i="3"/>
  <c r="CX22" i="3"/>
  <c r="CY22" i="3"/>
  <c r="CZ22" i="3"/>
  <c r="DA22" i="3"/>
  <c r="DB22" i="3"/>
  <c r="DC22" i="3"/>
  <c r="A23" i="3"/>
  <c r="CX23" i="3"/>
  <c r="CY23" i="3"/>
  <c r="CZ23" i="3"/>
  <c r="DB23" i="3" s="1"/>
  <c r="DA23" i="3"/>
  <c r="DC23" i="3"/>
  <c r="A24" i="3"/>
  <c r="CX24" i="3"/>
  <c r="CY24" i="3"/>
  <c r="CZ24" i="3"/>
  <c r="DB24" i="3" s="1"/>
  <c r="DA24" i="3"/>
  <c r="DC24" i="3"/>
  <c r="A25" i="3"/>
  <c r="CX25" i="3"/>
  <c r="CY25" i="3"/>
  <c r="CZ25" i="3"/>
  <c r="DA25" i="3"/>
  <c r="DB25" i="3"/>
  <c r="DC25" i="3"/>
  <c r="A26" i="3"/>
  <c r="CX26" i="3"/>
  <c r="CY26" i="3"/>
  <c r="CZ26" i="3"/>
  <c r="DA26" i="3"/>
  <c r="DB26" i="3"/>
  <c r="DC26" i="3"/>
  <c r="A27" i="3"/>
  <c r="CY27" i="3"/>
  <c r="CZ27" i="3"/>
  <c r="DB27" i="3" s="1"/>
  <c r="DA27" i="3"/>
  <c r="DC27" i="3"/>
  <c r="A28" i="3"/>
  <c r="CY28" i="3"/>
  <c r="CZ28" i="3"/>
  <c r="DB28" i="3" s="1"/>
  <c r="DA28" i="3"/>
  <c r="DC28" i="3"/>
  <c r="A29" i="3"/>
  <c r="CY29" i="3"/>
  <c r="CZ29" i="3"/>
  <c r="DA29" i="3"/>
  <c r="DB29" i="3"/>
  <c r="DC29" i="3"/>
  <c r="A30" i="3"/>
  <c r="CY30" i="3"/>
  <c r="CZ30" i="3"/>
  <c r="DA30" i="3"/>
  <c r="DB30" i="3"/>
  <c r="DC30" i="3"/>
  <c r="A31" i="3"/>
  <c r="CY31" i="3"/>
  <c r="CZ31" i="3"/>
  <c r="DB31" i="3" s="1"/>
  <c r="DA31" i="3"/>
  <c r="DC31" i="3"/>
  <c r="A32" i="3"/>
  <c r="CY32" i="3"/>
  <c r="CZ32" i="3"/>
  <c r="DB32" i="3" s="1"/>
  <c r="DA32" i="3"/>
  <c r="DC32" i="3"/>
  <c r="A33" i="3"/>
  <c r="CY33" i="3"/>
  <c r="CZ33" i="3"/>
  <c r="DA33" i="3"/>
  <c r="DB33" i="3"/>
  <c r="DC33" i="3"/>
  <c r="A34" i="3"/>
  <c r="CY34" i="3"/>
  <c r="CZ34" i="3"/>
  <c r="DA34" i="3"/>
  <c r="DB34" i="3"/>
  <c r="DC34" i="3"/>
  <c r="A35" i="3"/>
  <c r="CY35" i="3"/>
  <c r="CZ35" i="3"/>
  <c r="DB35" i="3" s="1"/>
  <c r="DA35" i="3"/>
  <c r="DC35" i="3"/>
  <c r="A36" i="3"/>
  <c r="CY36" i="3"/>
  <c r="CZ36" i="3"/>
  <c r="DB36" i="3" s="1"/>
  <c r="DA36" i="3"/>
  <c r="DC36" i="3"/>
  <c r="A37" i="3"/>
  <c r="CY37" i="3"/>
  <c r="CZ37" i="3"/>
  <c r="DA37" i="3"/>
  <c r="DB37" i="3"/>
  <c r="DC37" i="3"/>
  <c r="A38" i="3"/>
  <c r="CY38" i="3"/>
  <c r="CZ38" i="3"/>
  <c r="DA38" i="3"/>
  <c r="DB38" i="3"/>
  <c r="DC38" i="3"/>
  <c r="A39" i="3"/>
  <c r="CY39" i="3"/>
  <c r="CZ39" i="3"/>
  <c r="DB39" i="3" s="1"/>
  <c r="DA39" i="3"/>
  <c r="DC39" i="3"/>
  <c r="A40" i="3"/>
  <c r="CY40" i="3"/>
  <c r="CZ40" i="3"/>
  <c r="DB40" i="3" s="1"/>
  <c r="DA40" i="3"/>
  <c r="DC40" i="3"/>
  <c r="A41" i="3"/>
  <c r="CY41" i="3"/>
  <c r="CZ41" i="3"/>
  <c r="DA41" i="3"/>
  <c r="DB41" i="3"/>
  <c r="DC41" i="3"/>
  <c r="A42" i="3"/>
  <c r="CY42" i="3"/>
  <c r="CZ42" i="3"/>
  <c r="DA42" i="3"/>
  <c r="DB42" i="3"/>
  <c r="DC42" i="3"/>
  <c r="A43" i="3"/>
  <c r="CY43" i="3"/>
  <c r="CZ43" i="3"/>
  <c r="DB43" i="3" s="1"/>
  <c r="DA43" i="3"/>
  <c r="DC43" i="3"/>
  <c r="A44" i="3"/>
  <c r="CY44" i="3"/>
  <c r="CZ44" i="3"/>
  <c r="DB44" i="3" s="1"/>
  <c r="DA44" i="3"/>
  <c r="DC44" i="3"/>
  <c r="A45" i="3"/>
  <c r="CY45" i="3"/>
  <c r="CZ45" i="3"/>
  <c r="DA45" i="3"/>
  <c r="DB45" i="3"/>
  <c r="DC45" i="3"/>
  <c r="A46" i="3"/>
  <c r="CY46" i="3"/>
  <c r="CZ46" i="3"/>
  <c r="DA46" i="3"/>
  <c r="DB46" i="3"/>
  <c r="DC46" i="3"/>
  <c r="A47" i="3"/>
  <c r="CY47" i="3"/>
  <c r="CZ47" i="3"/>
  <c r="DB47" i="3" s="1"/>
  <c r="DA47" i="3"/>
  <c r="DC47" i="3"/>
  <c r="A48" i="3"/>
  <c r="CX48" i="3"/>
  <c r="CY48" i="3"/>
  <c r="CZ48" i="3"/>
  <c r="DB48" i="3" s="1"/>
  <c r="DA48" i="3"/>
  <c r="DC48" i="3"/>
  <c r="A49" i="3"/>
  <c r="CX49" i="3"/>
  <c r="CY49" i="3"/>
  <c r="CZ49" i="3"/>
  <c r="DA49" i="3"/>
  <c r="DB49" i="3"/>
  <c r="DC49" i="3"/>
  <c r="A50" i="3"/>
  <c r="CX50" i="3"/>
  <c r="CY50" i="3"/>
  <c r="CZ50" i="3"/>
  <c r="DA50" i="3"/>
  <c r="DB50" i="3"/>
  <c r="DC50" i="3"/>
  <c r="A51" i="3"/>
  <c r="CX51" i="3"/>
  <c r="CY51" i="3"/>
  <c r="CZ51" i="3"/>
  <c r="DB51" i="3" s="1"/>
  <c r="DA51" i="3"/>
  <c r="DC51" i="3"/>
  <c r="A52" i="3"/>
  <c r="CX52" i="3"/>
  <c r="CY52" i="3"/>
  <c r="CZ52" i="3"/>
  <c r="DB52" i="3" s="1"/>
  <c r="DA52" i="3"/>
  <c r="DC52" i="3"/>
  <c r="A53" i="3"/>
  <c r="CX53" i="3"/>
  <c r="CY53" i="3"/>
  <c r="CZ53" i="3"/>
  <c r="DA53" i="3"/>
  <c r="DB53" i="3"/>
  <c r="DC53" i="3"/>
  <c r="A54" i="3"/>
  <c r="CX54" i="3"/>
  <c r="CY54" i="3"/>
  <c r="CZ54" i="3"/>
  <c r="DA54" i="3"/>
  <c r="DB54" i="3"/>
  <c r="DC54" i="3"/>
  <c r="A55" i="3"/>
  <c r="CY55" i="3"/>
  <c r="CZ55" i="3"/>
  <c r="DB55" i="3" s="1"/>
  <c r="DA55" i="3"/>
  <c r="DC55" i="3"/>
  <c r="A56" i="3"/>
  <c r="CY56" i="3"/>
  <c r="CZ56" i="3"/>
  <c r="DB56" i="3" s="1"/>
  <c r="DA56" i="3"/>
  <c r="DC56" i="3"/>
  <c r="A57" i="3"/>
  <c r="CY57" i="3"/>
  <c r="CZ57" i="3"/>
  <c r="DA57" i="3"/>
  <c r="DB57" i="3"/>
  <c r="DC57" i="3"/>
  <c r="A58" i="3"/>
  <c r="CY58" i="3"/>
  <c r="CZ58" i="3"/>
  <c r="DA58" i="3"/>
  <c r="DB58" i="3"/>
  <c r="DC58" i="3"/>
  <c r="A59" i="3"/>
  <c r="CY59" i="3"/>
  <c r="CZ59" i="3"/>
  <c r="DB59" i="3" s="1"/>
  <c r="DA59" i="3"/>
  <c r="DC59" i="3"/>
  <c r="A60" i="3"/>
  <c r="CY60" i="3"/>
  <c r="CZ60" i="3"/>
  <c r="DB60" i="3" s="1"/>
  <c r="DA60" i="3"/>
  <c r="DC60" i="3"/>
  <c r="A61" i="3"/>
  <c r="CY61" i="3"/>
  <c r="CZ61" i="3"/>
  <c r="DA61" i="3"/>
  <c r="DB61" i="3"/>
  <c r="DC61" i="3"/>
  <c r="A62" i="3"/>
  <c r="CY62" i="3"/>
  <c r="CZ62" i="3"/>
  <c r="DA62" i="3"/>
  <c r="DB62" i="3"/>
  <c r="DC62" i="3"/>
  <c r="A63" i="3"/>
  <c r="CY63" i="3"/>
  <c r="CZ63" i="3"/>
  <c r="DB63" i="3" s="1"/>
  <c r="DA63" i="3"/>
  <c r="DC63" i="3"/>
  <c r="A64" i="3"/>
  <c r="CY64" i="3"/>
  <c r="CZ64" i="3"/>
  <c r="DB64" i="3" s="1"/>
  <c r="DA64" i="3"/>
  <c r="DC64" i="3"/>
  <c r="A65" i="3"/>
  <c r="CY65" i="3"/>
  <c r="CZ65" i="3"/>
  <c r="DA65" i="3"/>
  <c r="DB65" i="3"/>
  <c r="DC65" i="3"/>
  <c r="A66" i="3"/>
  <c r="CY66" i="3"/>
  <c r="CZ66" i="3"/>
  <c r="DA66" i="3"/>
  <c r="DB66" i="3"/>
  <c r="DC66" i="3"/>
  <c r="A67" i="3"/>
  <c r="CY67" i="3"/>
  <c r="CZ67" i="3"/>
  <c r="DB67" i="3" s="1"/>
  <c r="DA67" i="3"/>
  <c r="DC67" i="3"/>
  <c r="A68" i="3"/>
  <c r="CY68" i="3"/>
  <c r="CZ68" i="3"/>
  <c r="DB68" i="3" s="1"/>
  <c r="DA68" i="3"/>
  <c r="DC68" i="3"/>
  <c r="A69" i="3"/>
  <c r="CY69" i="3"/>
  <c r="CZ69" i="3"/>
  <c r="DA69" i="3"/>
  <c r="DB69" i="3"/>
  <c r="DC69" i="3"/>
  <c r="A70" i="3"/>
  <c r="CY70" i="3"/>
  <c r="CZ70" i="3"/>
  <c r="DA70" i="3"/>
  <c r="DB70" i="3"/>
  <c r="DC70" i="3"/>
  <c r="A71" i="3"/>
  <c r="CY71" i="3"/>
  <c r="CZ71" i="3"/>
  <c r="DB71" i="3" s="1"/>
  <c r="DA71" i="3"/>
  <c r="DC71" i="3"/>
  <c r="A72" i="3"/>
  <c r="CY72" i="3"/>
  <c r="CZ72" i="3"/>
  <c r="DB72" i="3" s="1"/>
  <c r="DA72" i="3"/>
  <c r="DC72" i="3"/>
  <c r="A73" i="3"/>
  <c r="CY73" i="3"/>
  <c r="CZ73" i="3"/>
  <c r="DA73" i="3"/>
  <c r="DB73" i="3"/>
  <c r="DC73" i="3"/>
  <c r="A74" i="3"/>
  <c r="CY74" i="3"/>
  <c r="CZ74" i="3"/>
  <c r="DA74" i="3"/>
  <c r="DB74" i="3"/>
  <c r="DC74" i="3"/>
  <c r="A75" i="3"/>
  <c r="CY75" i="3"/>
  <c r="CZ75" i="3"/>
  <c r="DB75" i="3" s="1"/>
  <c r="DA75" i="3"/>
  <c r="DC75" i="3"/>
  <c r="A76" i="3"/>
  <c r="CY76" i="3"/>
  <c r="CZ76" i="3"/>
  <c r="DB76" i="3" s="1"/>
  <c r="DA76" i="3"/>
  <c r="DC76" i="3"/>
  <c r="A77" i="3"/>
  <c r="CY77" i="3"/>
  <c r="CZ77" i="3"/>
  <c r="DA77" i="3"/>
  <c r="DB77" i="3"/>
  <c r="DC77" i="3"/>
  <c r="A78" i="3"/>
  <c r="CY78" i="3"/>
  <c r="CZ78" i="3"/>
  <c r="DA78" i="3"/>
  <c r="DB78" i="3"/>
  <c r="DC78" i="3"/>
  <c r="A79" i="3"/>
  <c r="CY79" i="3"/>
  <c r="CZ79" i="3"/>
  <c r="DB79" i="3" s="1"/>
  <c r="DA79" i="3"/>
  <c r="DC79" i="3"/>
  <c r="A80" i="3"/>
  <c r="CY80" i="3"/>
  <c r="CZ80" i="3"/>
  <c r="DB80" i="3" s="1"/>
  <c r="DA80" i="3"/>
  <c r="DC80" i="3"/>
  <c r="A81" i="3"/>
  <c r="CY81" i="3"/>
  <c r="CZ81" i="3"/>
  <c r="DA81" i="3"/>
  <c r="DB81" i="3"/>
  <c r="DC81" i="3"/>
  <c r="A82" i="3"/>
  <c r="CY82" i="3"/>
  <c r="CZ82" i="3"/>
  <c r="DA82" i="3"/>
  <c r="DB82" i="3"/>
  <c r="DC82" i="3"/>
  <c r="A83" i="3"/>
  <c r="CY83" i="3"/>
  <c r="CZ83" i="3"/>
  <c r="DB83" i="3" s="1"/>
  <c r="DA83" i="3"/>
  <c r="DC83" i="3"/>
  <c r="A84" i="3"/>
  <c r="CY84" i="3"/>
  <c r="CZ84" i="3"/>
  <c r="DB84" i="3" s="1"/>
  <c r="DA84" i="3"/>
  <c r="DC84" i="3"/>
  <c r="A85" i="3"/>
  <c r="CY85" i="3"/>
  <c r="CZ85" i="3"/>
  <c r="DA85" i="3"/>
  <c r="DB85" i="3"/>
  <c r="DC85" i="3"/>
  <c r="A86" i="3"/>
  <c r="CY86" i="3"/>
  <c r="CZ86" i="3"/>
  <c r="DA86" i="3"/>
  <c r="DB86" i="3"/>
  <c r="DC86" i="3"/>
  <c r="A87" i="3"/>
  <c r="CY87" i="3"/>
  <c r="CZ87" i="3"/>
  <c r="DB87" i="3" s="1"/>
  <c r="DA87" i="3"/>
  <c r="DC87" i="3"/>
  <c r="A88" i="3"/>
  <c r="CY88" i="3"/>
  <c r="CZ88" i="3"/>
  <c r="DB88" i="3" s="1"/>
  <c r="DA88" i="3"/>
  <c r="DC88" i="3"/>
  <c r="A89" i="3"/>
  <c r="CY89" i="3"/>
  <c r="CZ89" i="3"/>
  <c r="DA89" i="3"/>
  <c r="DB89" i="3"/>
  <c r="DC89" i="3"/>
  <c r="A90" i="3"/>
  <c r="CY90" i="3"/>
  <c r="CZ90" i="3"/>
  <c r="DA90" i="3"/>
  <c r="DB90" i="3"/>
  <c r="DC90" i="3"/>
  <c r="A91" i="3"/>
  <c r="CY91" i="3"/>
  <c r="CZ91" i="3"/>
  <c r="DB91" i="3" s="1"/>
  <c r="DA91" i="3"/>
  <c r="DC91" i="3"/>
  <c r="A92" i="3"/>
  <c r="CY92" i="3"/>
  <c r="CZ92" i="3"/>
  <c r="DB92" i="3" s="1"/>
  <c r="DA92" i="3"/>
  <c r="DC92" i="3"/>
  <c r="A93" i="3"/>
  <c r="CY93" i="3"/>
  <c r="CZ93" i="3"/>
  <c r="DA93" i="3"/>
  <c r="DB93" i="3"/>
  <c r="DC93" i="3"/>
  <c r="A94" i="3"/>
  <c r="CY94" i="3"/>
  <c r="CZ94" i="3"/>
  <c r="DA94" i="3"/>
  <c r="DB94" i="3"/>
  <c r="DC94" i="3"/>
  <c r="A95" i="3"/>
  <c r="CY95" i="3"/>
  <c r="CZ95" i="3"/>
  <c r="DB95" i="3" s="1"/>
  <c r="DA95" i="3"/>
  <c r="DC95" i="3"/>
  <c r="A96" i="3"/>
  <c r="CY96" i="3"/>
  <c r="CZ96" i="3"/>
  <c r="DB96" i="3" s="1"/>
  <c r="DA96" i="3"/>
  <c r="DC96" i="3"/>
  <c r="A97" i="3"/>
  <c r="CY97" i="3"/>
  <c r="CZ97" i="3"/>
  <c r="DA97" i="3"/>
  <c r="DB97" i="3"/>
  <c r="DC97" i="3"/>
  <c r="A98" i="3"/>
  <c r="CY98" i="3"/>
  <c r="CZ98" i="3"/>
  <c r="DA98" i="3"/>
  <c r="DB98" i="3"/>
  <c r="DC98" i="3"/>
  <c r="A99" i="3"/>
  <c r="CY99" i="3"/>
  <c r="CZ99" i="3"/>
  <c r="DB99" i="3" s="1"/>
  <c r="DA99" i="3"/>
  <c r="DC99" i="3"/>
  <c r="A100" i="3"/>
  <c r="CY100" i="3"/>
  <c r="CZ100" i="3"/>
  <c r="DB100" i="3" s="1"/>
  <c r="DA100" i="3"/>
  <c r="DC100" i="3"/>
  <c r="A101" i="3"/>
  <c r="CY101" i="3"/>
  <c r="CZ101" i="3"/>
  <c r="DA101" i="3"/>
  <c r="DB101" i="3"/>
  <c r="DC101" i="3"/>
  <c r="A102" i="3"/>
  <c r="CY102" i="3"/>
  <c r="CZ102" i="3"/>
  <c r="DA102" i="3"/>
  <c r="DB102" i="3"/>
  <c r="DC102" i="3"/>
  <c r="A103" i="3"/>
  <c r="CY103" i="3"/>
  <c r="CZ103" i="3"/>
  <c r="DB103" i="3" s="1"/>
  <c r="DA103" i="3"/>
  <c r="DC103" i="3"/>
  <c r="A104" i="3"/>
  <c r="CY104" i="3"/>
  <c r="CZ104" i="3"/>
  <c r="DB104" i="3" s="1"/>
  <c r="DA104" i="3"/>
  <c r="DC104" i="3"/>
  <c r="A105" i="3"/>
  <c r="CY105" i="3"/>
  <c r="CZ105" i="3"/>
  <c r="DA105" i="3"/>
  <c r="DB105" i="3"/>
  <c r="DC105" i="3"/>
  <c r="A106" i="3"/>
  <c r="CY106" i="3"/>
  <c r="CZ106" i="3"/>
  <c r="DA106" i="3"/>
  <c r="DB106" i="3"/>
  <c r="DC106" i="3"/>
  <c r="A107" i="3"/>
  <c r="CY107" i="3"/>
  <c r="CZ107" i="3"/>
  <c r="DB107" i="3" s="1"/>
  <c r="DA107" i="3"/>
  <c r="DC107" i="3"/>
  <c r="A108" i="3"/>
  <c r="CY108" i="3"/>
  <c r="CZ108" i="3"/>
  <c r="DB108" i="3" s="1"/>
  <c r="DA108" i="3"/>
  <c r="DC108" i="3"/>
  <c r="A109" i="3"/>
  <c r="CY109" i="3"/>
  <c r="CZ109" i="3"/>
  <c r="DA109" i="3"/>
  <c r="DB109" i="3"/>
  <c r="DC109" i="3"/>
  <c r="A110" i="3"/>
  <c r="CY110" i="3"/>
  <c r="CZ110" i="3"/>
  <c r="DA110" i="3"/>
  <c r="DB110" i="3"/>
  <c r="DC110" i="3"/>
  <c r="A111" i="3"/>
  <c r="CY111" i="3"/>
  <c r="CZ111" i="3"/>
  <c r="DB111" i="3" s="1"/>
  <c r="DA111" i="3"/>
  <c r="DC111" i="3"/>
  <c r="A112" i="3"/>
  <c r="CY112" i="3"/>
  <c r="CZ112" i="3"/>
  <c r="DB112" i="3" s="1"/>
  <c r="DA112" i="3"/>
  <c r="DC112" i="3"/>
  <c r="A113" i="3"/>
  <c r="CY113" i="3"/>
  <c r="CZ113" i="3"/>
  <c r="DA113" i="3"/>
  <c r="DB113" i="3"/>
  <c r="DC113" i="3"/>
  <c r="A114" i="3"/>
  <c r="CY114" i="3"/>
  <c r="CZ114" i="3"/>
  <c r="DA114" i="3"/>
  <c r="DB114" i="3"/>
  <c r="DC114" i="3"/>
  <c r="A115" i="3"/>
  <c r="CY115" i="3"/>
  <c r="CZ115" i="3"/>
  <c r="DB115" i="3" s="1"/>
  <c r="DA115" i="3"/>
  <c r="DC115" i="3"/>
  <c r="A116" i="3"/>
  <c r="CY116" i="3"/>
  <c r="CZ116" i="3"/>
  <c r="DB116" i="3" s="1"/>
  <c r="DA116" i="3"/>
  <c r="DC116" i="3"/>
  <c r="A117" i="3"/>
  <c r="CY117" i="3"/>
  <c r="CZ117" i="3"/>
  <c r="DA117" i="3"/>
  <c r="DB117" i="3"/>
  <c r="DC117" i="3"/>
  <c r="A118" i="3"/>
  <c r="CY118" i="3"/>
  <c r="CZ118" i="3"/>
  <c r="DA118" i="3"/>
  <c r="DB118" i="3"/>
  <c r="DC118" i="3"/>
  <c r="A119" i="3"/>
  <c r="CY119" i="3"/>
  <c r="CZ119" i="3"/>
  <c r="DB119" i="3" s="1"/>
  <c r="DA119" i="3"/>
  <c r="DC119" i="3"/>
  <c r="A120" i="3"/>
  <c r="CY120" i="3"/>
  <c r="CZ120" i="3"/>
  <c r="DB120" i="3" s="1"/>
  <c r="DA120" i="3"/>
  <c r="DC120" i="3"/>
  <c r="A121" i="3"/>
  <c r="CY121" i="3"/>
  <c r="CZ121" i="3"/>
  <c r="DA121" i="3"/>
  <c r="DB121" i="3"/>
  <c r="DC121" i="3"/>
  <c r="A122" i="3"/>
  <c r="CY122" i="3"/>
  <c r="CZ122" i="3"/>
  <c r="DA122" i="3"/>
  <c r="DB122" i="3"/>
  <c r="DC122" i="3"/>
  <c r="A123" i="3"/>
  <c r="CY123" i="3"/>
  <c r="CZ123" i="3"/>
  <c r="DB123" i="3" s="1"/>
  <c r="DA123" i="3"/>
  <c r="DC123" i="3"/>
  <c r="A124" i="3"/>
  <c r="CY124" i="3"/>
  <c r="CZ124" i="3"/>
  <c r="DB124" i="3" s="1"/>
  <c r="DA124" i="3"/>
  <c r="DC124" i="3"/>
  <c r="A125" i="3"/>
  <c r="CY125" i="3"/>
  <c r="CZ125" i="3"/>
  <c r="DA125" i="3"/>
  <c r="DB125" i="3"/>
  <c r="DC125" i="3"/>
  <c r="A126" i="3"/>
  <c r="CY126" i="3"/>
  <c r="CZ126" i="3"/>
  <c r="DA126" i="3"/>
  <c r="DB126" i="3"/>
  <c r="DC126" i="3"/>
  <c r="A127" i="3"/>
  <c r="CY127" i="3"/>
  <c r="CZ127" i="3"/>
  <c r="DB127" i="3" s="1"/>
  <c r="DA127" i="3"/>
  <c r="DC127" i="3"/>
  <c r="A128" i="3"/>
  <c r="CY128" i="3"/>
  <c r="CZ128" i="3"/>
  <c r="DB128" i="3" s="1"/>
  <c r="DA128" i="3"/>
  <c r="DC128" i="3"/>
  <c r="A129" i="3"/>
  <c r="CY129" i="3"/>
  <c r="CZ129" i="3"/>
  <c r="DA129" i="3"/>
  <c r="DB129" i="3"/>
  <c r="DC129" i="3"/>
  <c r="A130" i="3"/>
  <c r="CY130" i="3"/>
  <c r="CZ130" i="3"/>
  <c r="DA130" i="3"/>
  <c r="DB130" i="3"/>
  <c r="DC130" i="3"/>
  <c r="A131" i="3"/>
  <c r="CY131" i="3"/>
  <c r="CZ131" i="3"/>
  <c r="DB131" i="3" s="1"/>
  <c r="DA131" i="3"/>
  <c r="DC131" i="3"/>
  <c r="A132" i="3"/>
  <c r="CY132" i="3"/>
  <c r="CZ132" i="3"/>
  <c r="DB132" i="3" s="1"/>
  <c r="DA132" i="3"/>
  <c r="DC132" i="3"/>
  <c r="A133" i="3"/>
  <c r="CY133" i="3"/>
  <c r="CZ133" i="3"/>
  <c r="DA133" i="3"/>
  <c r="DB133" i="3"/>
  <c r="DC133" i="3"/>
  <c r="A134" i="3"/>
  <c r="CY134" i="3"/>
  <c r="CZ134" i="3"/>
  <c r="DA134" i="3"/>
  <c r="DB134" i="3"/>
  <c r="DC134" i="3"/>
  <c r="A135" i="3"/>
  <c r="CY135" i="3"/>
  <c r="CZ135" i="3"/>
  <c r="DB135" i="3" s="1"/>
  <c r="DA135" i="3"/>
  <c r="DC135" i="3"/>
  <c r="A136" i="3"/>
  <c r="CY136" i="3"/>
  <c r="CZ136" i="3"/>
  <c r="DB136" i="3" s="1"/>
  <c r="DA136" i="3"/>
  <c r="DC136" i="3"/>
  <c r="A137" i="3"/>
  <c r="CY137" i="3"/>
  <c r="CZ137" i="3"/>
  <c r="DA137" i="3"/>
  <c r="DB137" i="3"/>
  <c r="DC137" i="3"/>
  <c r="A138" i="3"/>
  <c r="CY138" i="3"/>
  <c r="CZ138" i="3"/>
  <c r="DA138" i="3"/>
  <c r="DB138" i="3"/>
  <c r="DC138" i="3"/>
  <c r="A139" i="3"/>
  <c r="CY139" i="3"/>
  <c r="CZ139" i="3"/>
  <c r="DB139" i="3" s="1"/>
  <c r="DA139" i="3"/>
  <c r="DC139" i="3"/>
  <c r="A140" i="3"/>
  <c r="CY140" i="3"/>
  <c r="CZ140" i="3"/>
  <c r="DB140" i="3" s="1"/>
  <c r="DA140" i="3"/>
  <c r="DC140" i="3"/>
  <c r="A141" i="3"/>
  <c r="CY141" i="3"/>
  <c r="CZ141" i="3"/>
  <c r="DA141" i="3"/>
  <c r="DB141" i="3"/>
  <c r="DC141" i="3"/>
  <c r="A142" i="3"/>
  <c r="CY142" i="3"/>
  <c r="CZ142" i="3"/>
  <c r="DA142" i="3"/>
  <c r="DB142" i="3"/>
  <c r="DC142" i="3"/>
  <c r="A143" i="3"/>
  <c r="CY143" i="3"/>
  <c r="CZ143" i="3"/>
  <c r="DB143" i="3" s="1"/>
  <c r="DA143" i="3"/>
  <c r="DC143" i="3"/>
  <c r="A144" i="3"/>
  <c r="CY144" i="3"/>
  <c r="CZ144" i="3"/>
  <c r="DB144" i="3" s="1"/>
  <c r="DA144" i="3"/>
  <c r="DC144" i="3"/>
  <c r="A145" i="3"/>
  <c r="CY145" i="3"/>
  <c r="CZ145" i="3"/>
  <c r="DA145" i="3"/>
  <c r="DB145" i="3"/>
  <c r="DC145" i="3"/>
  <c r="A146" i="3"/>
  <c r="CY146" i="3"/>
  <c r="CZ146" i="3"/>
  <c r="DA146" i="3"/>
  <c r="DB146" i="3"/>
  <c r="DC146" i="3"/>
  <c r="A147" i="3"/>
  <c r="CY147" i="3"/>
  <c r="CZ147" i="3"/>
  <c r="DB147" i="3" s="1"/>
  <c r="DA147" i="3"/>
  <c r="DC147" i="3"/>
  <c r="A148" i="3"/>
  <c r="CY148" i="3"/>
  <c r="CZ148" i="3"/>
  <c r="DB148" i="3" s="1"/>
  <c r="DA148" i="3"/>
  <c r="DC148" i="3"/>
  <c r="A149" i="3"/>
  <c r="CY149" i="3"/>
  <c r="CZ149" i="3"/>
  <c r="DA149" i="3"/>
  <c r="DB149" i="3"/>
  <c r="DC149" i="3"/>
  <c r="A150" i="3"/>
  <c r="CY150" i="3"/>
  <c r="CZ150" i="3"/>
  <c r="DA150" i="3"/>
  <c r="DB150" i="3"/>
  <c r="DC150" i="3"/>
  <c r="A151" i="3"/>
  <c r="CY151" i="3"/>
  <c r="CZ151" i="3"/>
  <c r="DB151" i="3" s="1"/>
  <c r="DA151" i="3"/>
  <c r="DC151" i="3"/>
  <c r="A152" i="3"/>
  <c r="CY152" i="3"/>
  <c r="CZ152" i="3"/>
  <c r="DB152" i="3" s="1"/>
  <c r="DA152" i="3"/>
  <c r="DC152" i="3"/>
  <c r="A153" i="3"/>
  <c r="CY153" i="3"/>
  <c r="CZ153" i="3"/>
  <c r="DA153" i="3"/>
  <c r="DB153" i="3"/>
  <c r="DC153" i="3"/>
  <c r="A154" i="3"/>
  <c r="CY154" i="3"/>
  <c r="CZ154" i="3"/>
  <c r="DA154" i="3"/>
  <c r="DB154" i="3"/>
  <c r="DC154" i="3"/>
  <c r="A155" i="3"/>
  <c r="CY155" i="3"/>
  <c r="CZ155" i="3"/>
  <c r="DB155" i="3" s="1"/>
  <c r="DA155" i="3"/>
  <c r="DC155" i="3"/>
  <c r="A156" i="3"/>
  <c r="CY156" i="3"/>
  <c r="CZ156" i="3"/>
  <c r="DB156" i="3" s="1"/>
  <c r="DA156" i="3"/>
  <c r="DC156" i="3"/>
  <c r="A157" i="3"/>
  <c r="CY157" i="3"/>
  <c r="CZ157" i="3"/>
  <c r="DA157" i="3"/>
  <c r="DB157" i="3"/>
  <c r="DC157" i="3"/>
  <c r="A158" i="3"/>
  <c r="CY158" i="3"/>
  <c r="CZ158" i="3"/>
  <c r="DA158" i="3"/>
  <c r="DB158" i="3"/>
  <c r="DC158" i="3"/>
  <c r="A159" i="3"/>
  <c r="CY159" i="3"/>
  <c r="CZ159" i="3"/>
  <c r="DB159" i="3" s="1"/>
  <c r="DA159" i="3"/>
  <c r="DC159" i="3"/>
  <c r="A160" i="3"/>
  <c r="CY160" i="3"/>
  <c r="CZ160" i="3"/>
  <c r="DB160" i="3" s="1"/>
  <c r="DA160" i="3"/>
  <c r="DC160" i="3"/>
  <c r="A161" i="3"/>
  <c r="CY161" i="3"/>
  <c r="CZ161" i="3"/>
  <c r="DA161" i="3"/>
  <c r="DB161" i="3"/>
  <c r="DC161" i="3"/>
  <c r="A162" i="3"/>
  <c r="CY162" i="3"/>
  <c r="CZ162" i="3"/>
  <c r="DA162" i="3"/>
  <c r="DB162" i="3"/>
  <c r="DC162" i="3"/>
  <c r="A163" i="3"/>
  <c r="CY163" i="3"/>
  <c r="CZ163" i="3"/>
  <c r="DB163" i="3" s="1"/>
  <c r="DA163" i="3"/>
  <c r="DC163" i="3"/>
  <c r="A164" i="3"/>
  <c r="CY164" i="3"/>
  <c r="CZ164" i="3"/>
  <c r="DB164" i="3" s="1"/>
  <c r="DA164" i="3"/>
  <c r="DC164" i="3"/>
  <c r="A165" i="3"/>
  <c r="CY165" i="3"/>
  <c r="CZ165" i="3"/>
  <c r="DA165" i="3"/>
  <c r="DB165" i="3"/>
  <c r="DC165" i="3"/>
  <c r="A166" i="3"/>
  <c r="CY166" i="3"/>
  <c r="CZ166" i="3"/>
  <c r="DA166" i="3"/>
  <c r="DB166" i="3"/>
  <c r="DC166" i="3"/>
  <c r="A167" i="3"/>
  <c r="CY167" i="3"/>
  <c r="CZ167" i="3"/>
  <c r="DB167" i="3" s="1"/>
  <c r="DA167" i="3"/>
  <c r="DC167" i="3"/>
  <c r="A168" i="3"/>
  <c r="CY168" i="3"/>
  <c r="CZ168" i="3"/>
  <c r="DB168" i="3" s="1"/>
  <c r="DA168" i="3"/>
  <c r="DC168" i="3"/>
  <c r="A169" i="3"/>
  <c r="CY169" i="3"/>
  <c r="CZ169" i="3"/>
  <c r="DA169" i="3"/>
  <c r="DB169" i="3"/>
  <c r="DC169" i="3"/>
  <c r="A170" i="3"/>
  <c r="CY170" i="3"/>
  <c r="CZ170" i="3"/>
  <c r="DA170" i="3"/>
  <c r="DB170" i="3"/>
  <c r="DC170" i="3"/>
  <c r="A171" i="3"/>
  <c r="CY171" i="3"/>
  <c r="CZ171" i="3"/>
  <c r="DB171" i="3" s="1"/>
  <c r="DA171" i="3"/>
  <c r="DC171" i="3"/>
  <c r="A172" i="3"/>
  <c r="CY172" i="3"/>
  <c r="CZ172" i="3"/>
  <c r="DB172" i="3" s="1"/>
  <c r="DA172" i="3"/>
  <c r="DC172" i="3"/>
  <c r="A173" i="3"/>
  <c r="CY173" i="3"/>
  <c r="CZ173" i="3"/>
  <c r="DA173" i="3"/>
  <c r="DB173" i="3"/>
  <c r="DC173" i="3"/>
  <c r="A174" i="3"/>
  <c r="CY174" i="3"/>
  <c r="CZ174" i="3"/>
  <c r="DA174" i="3"/>
  <c r="DB174" i="3"/>
  <c r="DC174" i="3"/>
  <c r="A175" i="3"/>
  <c r="CY175" i="3"/>
  <c r="CZ175" i="3"/>
  <c r="DB175" i="3" s="1"/>
  <c r="DA175" i="3"/>
  <c r="DC175" i="3"/>
  <c r="A176" i="3"/>
  <c r="CY176" i="3"/>
  <c r="CZ176" i="3"/>
  <c r="DB176" i="3" s="1"/>
  <c r="DA176" i="3"/>
  <c r="DC176" i="3"/>
  <c r="A177" i="3"/>
  <c r="CY177" i="3"/>
  <c r="CZ177" i="3"/>
  <c r="DA177" i="3"/>
  <c r="DB177" i="3"/>
  <c r="DC177" i="3"/>
  <c r="A178" i="3"/>
  <c r="CY178" i="3"/>
  <c r="CZ178" i="3"/>
  <c r="DA178" i="3"/>
  <c r="DB178" i="3"/>
  <c r="DC178" i="3"/>
  <c r="A179" i="3"/>
  <c r="CY179" i="3"/>
  <c r="CZ179" i="3"/>
  <c r="DB179" i="3" s="1"/>
  <c r="DA179" i="3"/>
  <c r="DC179" i="3"/>
  <c r="A180" i="3"/>
  <c r="CY180" i="3"/>
  <c r="CZ180" i="3"/>
  <c r="DB180" i="3" s="1"/>
  <c r="DA180" i="3"/>
  <c r="DC180" i="3"/>
  <c r="A181" i="3"/>
  <c r="CY181" i="3"/>
  <c r="CZ181" i="3"/>
  <c r="DA181" i="3"/>
  <c r="DB181" i="3"/>
  <c r="DC181" i="3"/>
  <c r="A182" i="3"/>
  <c r="CY182" i="3"/>
  <c r="CZ182" i="3"/>
  <c r="DB182" i="3" s="1"/>
  <c r="DA182" i="3"/>
  <c r="DC182" i="3"/>
  <c r="A183" i="3"/>
  <c r="CY183" i="3"/>
  <c r="CZ183" i="3"/>
  <c r="DB183" i="3" s="1"/>
  <c r="DA183" i="3"/>
  <c r="DC183" i="3"/>
  <c r="A184" i="3"/>
  <c r="CY184" i="3"/>
  <c r="CZ184" i="3"/>
  <c r="DA184" i="3"/>
  <c r="DB184" i="3"/>
  <c r="DC184" i="3"/>
  <c r="A185" i="3"/>
  <c r="CY185" i="3"/>
  <c r="CZ185" i="3"/>
  <c r="DA185" i="3"/>
  <c r="DB185" i="3"/>
  <c r="DC185" i="3"/>
  <c r="A186" i="3"/>
  <c r="CY186" i="3"/>
  <c r="CZ186" i="3"/>
  <c r="DB186" i="3" s="1"/>
  <c r="DA186" i="3"/>
  <c r="DC186" i="3"/>
  <c r="A187" i="3"/>
  <c r="CY187" i="3"/>
  <c r="CZ187" i="3"/>
  <c r="DB187" i="3" s="1"/>
  <c r="DA187" i="3"/>
  <c r="DC187" i="3"/>
  <c r="A188" i="3"/>
  <c r="CY188" i="3"/>
  <c r="CZ188" i="3"/>
  <c r="DA188" i="3"/>
  <c r="DB188" i="3"/>
  <c r="DC188" i="3"/>
  <c r="A189" i="3"/>
  <c r="CY189" i="3"/>
  <c r="CZ189" i="3"/>
  <c r="DA189" i="3"/>
  <c r="DB189" i="3"/>
  <c r="DC189" i="3"/>
  <c r="A190" i="3"/>
  <c r="CY190" i="3"/>
  <c r="CZ190" i="3"/>
  <c r="DB190" i="3" s="1"/>
  <c r="DA190" i="3"/>
  <c r="DC190" i="3"/>
  <c r="A191" i="3"/>
  <c r="CY191" i="3"/>
  <c r="CZ191" i="3"/>
  <c r="DB191" i="3" s="1"/>
  <c r="DA191" i="3"/>
  <c r="DC191" i="3"/>
  <c r="A192" i="3"/>
  <c r="CY192" i="3"/>
  <c r="CZ192" i="3"/>
  <c r="DA192" i="3"/>
  <c r="DB192" i="3"/>
  <c r="DC192" i="3"/>
  <c r="A193" i="3"/>
  <c r="CY193" i="3"/>
  <c r="CZ193" i="3"/>
  <c r="DA193" i="3"/>
  <c r="DB193" i="3"/>
  <c r="DC193" i="3"/>
  <c r="A194" i="3"/>
  <c r="CY194" i="3"/>
  <c r="CZ194" i="3"/>
  <c r="DB194" i="3" s="1"/>
  <c r="DA194" i="3"/>
  <c r="DC194" i="3"/>
  <c r="A195" i="3"/>
  <c r="CY195" i="3"/>
  <c r="CZ195" i="3"/>
  <c r="DB195" i="3" s="1"/>
  <c r="DA195" i="3"/>
  <c r="DC195" i="3"/>
  <c r="A196" i="3"/>
  <c r="CY196" i="3"/>
  <c r="CZ196" i="3"/>
  <c r="DA196" i="3"/>
  <c r="DB196" i="3"/>
  <c r="DC196" i="3"/>
  <c r="A197" i="3"/>
  <c r="CY197" i="3"/>
  <c r="CZ197" i="3"/>
  <c r="DA197" i="3"/>
  <c r="DB197" i="3"/>
  <c r="DC197" i="3"/>
  <c r="A198" i="3"/>
  <c r="CY198" i="3"/>
  <c r="CZ198" i="3"/>
  <c r="DB198" i="3" s="1"/>
  <c r="DA198" i="3"/>
  <c r="DC198" i="3"/>
  <c r="A199" i="3"/>
  <c r="CY199" i="3"/>
  <c r="CZ199" i="3"/>
  <c r="DB199" i="3" s="1"/>
  <c r="DA199" i="3"/>
  <c r="DC199" i="3"/>
  <c r="A200" i="3"/>
  <c r="CY200" i="3"/>
  <c r="CZ200" i="3"/>
  <c r="DA200" i="3"/>
  <c r="DB200" i="3"/>
  <c r="DC200" i="3"/>
  <c r="A201" i="3"/>
  <c r="CY201" i="3"/>
  <c r="CZ201" i="3"/>
  <c r="DA201" i="3"/>
  <c r="DB201" i="3"/>
  <c r="DC201" i="3"/>
  <c r="A202" i="3"/>
  <c r="CY202" i="3"/>
  <c r="CZ202" i="3"/>
  <c r="DB202" i="3" s="1"/>
  <c r="DA202" i="3"/>
  <c r="DC202" i="3"/>
  <c r="A203" i="3"/>
  <c r="CY203" i="3"/>
  <c r="CZ203" i="3"/>
  <c r="DB203" i="3" s="1"/>
  <c r="DA203" i="3"/>
  <c r="DC203" i="3"/>
  <c r="A204" i="3"/>
  <c r="CY204" i="3"/>
  <c r="CZ204" i="3"/>
  <c r="DA204" i="3"/>
  <c r="DB204" i="3"/>
  <c r="DC204" i="3"/>
  <c r="A205" i="3"/>
  <c r="CY205" i="3"/>
  <c r="CZ205" i="3"/>
  <c r="DA205" i="3"/>
  <c r="DB205" i="3"/>
  <c r="DC205" i="3"/>
  <c r="A206" i="3"/>
  <c r="CY206" i="3"/>
  <c r="CZ206" i="3"/>
  <c r="DB206" i="3" s="1"/>
  <c r="DA206" i="3"/>
  <c r="DC206" i="3"/>
  <c r="A207" i="3"/>
  <c r="CY207" i="3"/>
  <c r="CZ207" i="3"/>
  <c r="DB207" i="3" s="1"/>
  <c r="DA207" i="3"/>
  <c r="DC207" i="3"/>
  <c r="A208" i="3"/>
  <c r="CY208" i="3"/>
  <c r="CZ208" i="3"/>
  <c r="DA208" i="3"/>
  <c r="DB208" i="3"/>
  <c r="DC208" i="3"/>
  <c r="A209" i="3"/>
  <c r="CY209" i="3"/>
  <c r="CZ209" i="3"/>
  <c r="DA209" i="3"/>
  <c r="DB209" i="3"/>
  <c r="DC209" i="3"/>
  <c r="A210" i="3"/>
  <c r="CY210" i="3"/>
  <c r="CZ210" i="3"/>
  <c r="DB210" i="3" s="1"/>
  <c r="DA210" i="3"/>
  <c r="DC210" i="3"/>
  <c r="A211" i="3"/>
  <c r="CY211" i="3"/>
  <c r="CZ211" i="3"/>
  <c r="DB211" i="3" s="1"/>
  <c r="DA211" i="3"/>
  <c r="DC211" i="3"/>
  <c r="A212" i="3"/>
  <c r="CY212" i="3"/>
  <c r="CZ212" i="3"/>
  <c r="DA212" i="3"/>
  <c r="DB212" i="3"/>
  <c r="DC212" i="3"/>
  <c r="A213" i="3"/>
  <c r="CY213" i="3"/>
  <c r="CZ213" i="3"/>
  <c r="DA213" i="3"/>
  <c r="DB213" i="3"/>
  <c r="DC213" i="3"/>
  <c r="A214" i="3"/>
  <c r="CY214" i="3"/>
  <c r="CZ214" i="3"/>
  <c r="DB214" i="3" s="1"/>
  <c r="DA214" i="3"/>
  <c r="DC214" i="3"/>
  <c r="A215" i="3"/>
  <c r="CY215" i="3"/>
  <c r="CZ215" i="3"/>
  <c r="DB215" i="3" s="1"/>
  <c r="DA215" i="3"/>
  <c r="DC215" i="3"/>
  <c r="A216" i="3"/>
  <c r="CY216" i="3"/>
  <c r="CZ216" i="3"/>
  <c r="DA216" i="3"/>
  <c r="DB216" i="3"/>
  <c r="DC216" i="3"/>
  <c r="A217" i="3"/>
  <c r="CY217" i="3"/>
  <c r="CZ217" i="3"/>
  <c r="DA217" i="3"/>
  <c r="DB217" i="3"/>
  <c r="DC217" i="3"/>
  <c r="A218" i="3"/>
  <c r="CY218" i="3"/>
  <c r="CZ218" i="3"/>
  <c r="DB218" i="3" s="1"/>
  <c r="DA218" i="3"/>
  <c r="DC218" i="3"/>
  <c r="A219" i="3"/>
  <c r="CY219" i="3"/>
  <c r="CZ219" i="3"/>
  <c r="DB219" i="3" s="1"/>
  <c r="DA219" i="3"/>
  <c r="DC219" i="3"/>
  <c r="A220" i="3"/>
  <c r="CY220" i="3"/>
  <c r="CZ220" i="3"/>
  <c r="DA220" i="3"/>
  <c r="DB220" i="3"/>
  <c r="DC220" i="3"/>
  <c r="A221" i="3"/>
  <c r="CY221" i="3"/>
  <c r="CZ221" i="3"/>
  <c r="DA221" i="3"/>
  <c r="DB221" i="3"/>
  <c r="DC221" i="3"/>
  <c r="A222" i="3"/>
  <c r="CY222" i="3"/>
  <c r="CZ222" i="3"/>
  <c r="DB222" i="3" s="1"/>
  <c r="DA222" i="3"/>
  <c r="DC222" i="3"/>
  <c r="A223" i="3"/>
  <c r="CY223" i="3"/>
  <c r="CZ223" i="3"/>
  <c r="DB223" i="3" s="1"/>
  <c r="DA223" i="3"/>
  <c r="DC223" i="3"/>
  <c r="A224" i="3"/>
  <c r="CY224" i="3"/>
  <c r="CZ224" i="3"/>
  <c r="DA224" i="3"/>
  <c r="DB224" i="3"/>
  <c r="DC224" i="3"/>
  <c r="A225" i="3"/>
  <c r="CY225" i="3"/>
  <c r="CZ225" i="3"/>
  <c r="DA225" i="3"/>
  <c r="DB225" i="3"/>
  <c r="DC225" i="3"/>
  <c r="A226" i="3"/>
  <c r="CY226" i="3"/>
  <c r="CZ226" i="3"/>
  <c r="DB226" i="3" s="1"/>
  <c r="DA226" i="3"/>
  <c r="DC226" i="3"/>
  <c r="A227" i="3"/>
  <c r="CY227" i="3"/>
  <c r="CZ227" i="3"/>
  <c r="DB227" i="3" s="1"/>
  <c r="DA227" i="3"/>
  <c r="DC227" i="3"/>
  <c r="A228" i="3"/>
  <c r="CY228" i="3"/>
  <c r="CZ228" i="3"/>
  <c r="DA228" i="3"/>
  <c r="DB228" i="3"/>
  <c r="DC228" i="3"/>
  <c r="A229" i="3"/>
  <c r="CY229" i="3"/>
  <c r="CZ229" i="3"/>
  <c r="DA229" i="3"/>
  <c r="DB229" i="3"/>
  <c r="DC229" i="3"/>
  <c r="A230" i="3"/>
  <c r="CY230" i="3"/>
  <c r="CZ230" i="3"/>
  <c r="DB230" i="3" s="1"/>
  <c r="DA230" i="3"/>
  <c r="DC230" i="3"/>
  <c r="A231" i="3"/>
  <c r="CY231" i="3"/>
  <c r="CZ231" i="3"/>
  <c r="DB231" i="3" s="1"/>
  <c r="DA231" i="3"/>
  <c r="DC231" i="3"/>
  <c r="A232" i="3"/>
  <c r="CY232" i="3"/>
  <c r="CZ232" i="3"/>
  <c r="DA232" i="3"/>
  <c r="DB232" i="3"/>
  <c r="DC232" i="3"/>
  <c r="A233" i="3"/>
  <c r="CY233" i="3"/>
  <c r="CZ233" i="3"/>
  <c r="DA233" i="3"/>
  <c r="DB233" i="3"/>
  <c r="DC233" i="3"/>
  <c r="A234" i="3"/>
  <c r="CY234" i="3"/>
  <c r="CZ234" i="3"/>
  <c r="DB234" i="3" s="1"/>
  <c r="DA234" i="3"/>
  <c r="DC234" i="3"/>
  <c r="A235" i="3"/>
  <c r="CY235" i="3"/>
  <c r="CZ235" i="3"/>
  <c r="DB235" i="3" s="1"/>
  <c r="DA235" i="3"/>
  <c r="DC235" i="3"/>
  <c r="A236" i="3"/>
  <c r="CY236" i="3"/>
  <c r="CZ236" i="3"/>
  <c r="DA236" i="3"/>
  <c r="DB236" i="3"/>
  <c r="DC236" i="3"/>
  <c r="A237" i="3"/>
  <c r="CY237" i="3"/>
  <c r="CZ237" i="3"/>
  <c r="DA237" i="3"/>
  <c r="DB237" i="3"/>
  <c r="DC237" i="3"/>
  <c r="A238" i="3"/>
  <c r="CY238" i="3"/>
  <c r="CZ238" i="3"/>
  <c r="DB238" i="3" s="1"/>
  <c r="DA238" i="3"/>
  <c r="DC238" i="3"/>
  <c r="A239" i="3"/>
  <c r="CY239" i="3"/>
  <c r="CZ239" i="3"/>
  <c r="DB239" i="3" s="1"/>
  <c r="DA239" i="3"/>
  <c r="DC239" i="3"/>
  <c r="A240" i="3"/>
  <c r="CY240" i="3"/>
  <c r="CZ240" i="3"/>
  <c r="DA240" i="3"/>
  <c r="DB240" i="3"/>
  <c r="DC240" i="3"/>
  <c r="A241" i="3"/>
  <c r="CY241" i="3"/>
  <c r="CZ241" i="3"/>
  <c r="DA241" i="3"/>
  <c r="DB241" i="3"/>
  <c r="DC241" i="3"/>
  <c r="A242" i="3"/>
  <c r="CY242" i="3"/>
  <c r="CZ242" i="3"/>
  <c r="DB242" i="3" s="1"/>
  <c r="DA242" i="3"/>
  <c r="DC242" i="3"/>
  <c r="A243" i="3"/>
  <c r="CY243" i="3"/>
  <c r="CZ243" i="3"/>
  <c r="DB243" i="3" s="1"/>
  <c r="DA243" i="3"/>
  <c r="DC243" i="3"/>
  <c r="A244" i="3"/>
  <c r="CY244" i="3"/>
  <c r="CZ244" i="3"/>
  <c r="DA244" i="3"/>
  <c r="DB244" i="3"/>
  <c r="DC244" i="3"/>
  <c r="A245" i="3"/>
  <c r="CY245" i="3"/>
  <c r="CZ245" i="3"/>
  <c r="DA245" i="3"/>
  <c r="DB245" i="3"/>
  <c r="DC245" i="3"/>
  <c r="A246" i="3"/>
  <c r="CY246" i="3"/>
  <c r="CZ246" i="3"/>
  <c r="DB246" i="3" s="1"/>
  <c r="DA246" i="3"/>
  <c r="DC246" i="3"/>
  <c r="A247" i="3"/>
  <c r="CY247" i="3"/>
  <c r="CZ247" i="3"/>
  <c r="DB247" i="3" s="1"/>
  <c r="DA247" i="3"/>
  <c r="DC247" i="3"/>
  <c r="A248" i="3"/>
  <c r="CY248" i="3"/>
  <c r="CZ248" i="3"/>
  <c r="DA248" i="3"/>
  <c r="DB248" i="3"/>
  <c r="DC248" i="3"/>
  <c r="A249" i="3"/>
  <c r="CY249" i="3"/>
  <c r="CZ249" i="3"/>
  <c r="DA249" i="3"/>
  <c r="DB249" i="3"/>
  <c r="DC249" i="3"/>
  <c r="A250" i="3"/>
  <c r="CY250" i="3"/>
  <c r="CZ250" i="3"/>
  <c r="DB250" i="3" s="1"/>
  <c r="DA250" i="3"/>
  <c r="DC250" i="3"/>
  <c r="A251" i="3"/>
  <c r="CY251" i="3"/>
  <c r="CZ251" i="3"/>
  <c r="DB251" i="3" s="1"/>
  <c r="DA251" i="3"/>
  <c r="DC251" i="3"/>
  <c r="A252" i="3"/>
  <c r="CY252" i="3"/>
  <c r="CZ252" i="3"/>
  <c r="DA252" i="3"/>
  <c r="DB252" i="3"/>
  <c r="DC252" i="3"/>
  <c r="A253" i="3"/>
  <c r="CY253" i="3"/>
  <c r="CZ253" i="3"/>
  <c r="DA253" i="3"/>
  <c r="DB253" i="3"/>
  <c r="DC253" i="3"/>
  <c r="A254" i="3"/>
  <c r="CY254" i="3"/>
  <c r="CZ254" i="3"/>
  <c r="DB254" i="3" s="1"/>
  <c r="DA254" i="3"/>
  <c r="DC254" i="3"/>
  <c r="A255" i="3"/>
  <c r="CY255" i="3"/>
  <c r="CZ255" i="3"/>
  <c r="DB255" i="3" s="1"/>
  <c r="DA255" i="3"/>
  <c r="DC255" i="3"/>
  <c r="A256" i="3"/>
  <c r="CY256" i="3"/>
  <c r="CZ256" i="3"/>
  <c r="DA256" i="3"/>
  <c r="DB256" i="3"/>
  <c r="DC256" i="3"/>
  <c r="A257" i="3"/>
  <c r="CY257" i="3"/>
  <c r="CZ257" i="3"/>
  <c r="DA257" i="3"/>
  <c r="DB257" i="3"/>
  <c r="DC257" i="3"/>
  <c r="A258" i="3"/>
  <c r="CY258" i="3"/>
  <c r="CZ258" i="3"/>
  <c r="DB258" i="3" s="1"/>
  <c r="DA258" i="3"/>
  <c r="DC258" i="3"/>
  <c r="A259" i="3"/>
  <c r="CY259" i="3"/>
  <c r="CZ259" i="3"/>
  <c r="DB259" i="3" s="1"/>
  <c r="DA259" i="3"/>
  <c r="DC259" i="3"/>
  <c r="A260" i="3"/>
  <c r="CY260" i="3"/>
  <c r="CZ260" i="3"/>
  <c r="DA260" i="3"/>
  <c r="DB260" i="3"/>
  <c r="DC260" i="3"/>
  <c r="A261" i="3"/>
  <c r="CY261" i="3"/>
  <c r="CZ261" i="3"/>
  <c r="DA261" i="3"/>
  <c r="DB261" i="3"/>
  <c r="DC261" i="3"/>
  <c r="A262" i="3"/>
  <c r="CY262" i="3"/>
  <c r="CZ262" i="3"/>
  <c r="DB262" i="3" s="1"/>
  <c r="DA262" i="3"/>
  <c r="DC262" i="3"/>
  <c r="A263" i="3"/>
  <c r="CY263" i="3"/>
  <c r="CZ263" i="3"/>
  <c r="DB263" i="3" s="1"/>
  <c r="DA263" i="3"/>
  <c r="DC263" i="3"/>
  <c r="A264" i="3"/>
  <c r="CY264" i="3"/>
  <c r="CZ264" i="3"/>
  <c r="DA264" i="3"/>
  <c r="DB264" i="3"/>
  <c r="DC264" i="3"/>
  <c r="A265" i="3"/>
  <c r="CY265" i="3"/>
  <c r="CZ265" i="3"/>
  <c r="DA265" i="3"/>
  <c r="DB265" i="3"/>
  <c r="DC265" i="3"/>
  <c r="A266" i="3"/>
  <c r="CY266" i="3"/>
  <c r="CZ266" i="3"/>
  <c r="DB266" i="3" s="1"/>
  <c r="DA266" i="3"/>
  <c r="DC266" i="3"/>
  <c r="A267" i="3"/>
  <c r="CY267" i="3"/>
  <c r="CZ267" i="3"/>
  <c r="DB267" i="3" s="1"/>
  <c r="DA267" i="3"/>
  <c r="DC267" i="3"/>
  <c r="A268" i="3"/>
  <c r="CY268" i="3"/>
  <c r="CZ268" i="3"/>
  <c r="DA268" i="3"/>
  <c r="DB268" i="3"/>
  <c r="DC268" i="3"/>
  <c r="A269" i="3"/>
  <c r="CY269" i="3"/>
  <c r="CZ269" i="3"/>
  <c r="DA269" i="3"/>
  <c r="DB269" i="3"/>
  <c r="DC269" i="3"/>
  <c r="A270" i="3"/>
  <c r="CY270" i="3"/>
  <c r="CZ270" i="3"/>
  <c r="DB270" i="3" s="1"/>
  <c r="DA270" i="3"/>
  <c r="DC270" i="3"/>
  <c r="A271" i="3"/>
  <c r="CY271" i="3"/>
  <c r="CZ271" i="3"/>
  <c r="DB271" i="3" s="1"/>
  <c r="DA271" i="3"/>
  <c r="DC271" i="3"/>
  <c r="A272" i="3"/>
  <c r="CY272" i="3"/>
  <c r="CZ272" i="3"/>
  <c r="DA272" i="3"/>
  <c r="DB272" i="3"/>
  <c r="DC272" i="3"/>
  <c r="A273" i="3"/>
  <c r="CY273" i="3"/>
  <c r="CZ273" i="3"/>
  <c r="DA273" i="3"/>
  <c r="DB273" i="3"/>
  <c r="DC273" i="3"/>
  <c r="A274" i="3"/>
  <c r="CY274" i="3"/>
  <c r="CZ274" i="3"/>
  <c r="DB274" i="3" s="1"/>
  <c r="DA274" i="3"/>
  <c r="DC274" i="3"/>
  <c r="A275" i="3"/>
  <c r="CY275" i="3"/>
  <c r="CZ275" i="3"/>
  <c r="DB275" i="3" s="1"/>
  <c r="DA275" i="3"/>
  <c r="DC275" i="3"/>
  <c r="A276" i="3"/>
  <c r="CY276" i="3"/>
  <c r="CZ276" i="3"/>
  <c r="DA276" i="3"/>
  <c r="DB276" i="3"/>
  <c r="DC276" i="3"/>
  <c r="A277" i="3"/>
  <c r="CY277" i="3"/>
  <c r="CZ277" i="3"/>
  <c r="DA277" i="3"/>
  <c r="DB277" i="3"/>
  <c r="DC277" i="3"/>
  <c r="A278" i="3"/>
  <c r="CY278" i="3"/>
  <c r="CZ278" i="3"/>
  <c r="DB278" i="3" s="1"/>
  <c r="DA278" i="3"/>
  <c r="DC278" i="3"/>
  <c r="A279" i="3"/>
  <c r="CY279" i="3"/>
  <c r="CZ279" i="3"/>
  <c r="DB279" i="3" s="1"/>
  <c r="DA279" i="3"/>
  <c r="DC279" i="3"/>
  <c r="A280" i="3"/>
  <c r="CY280" i="3"/>
  <c r="CZ280" i="3"/>
  <c r="DA280" i="3"/>
  <c r="DB280" i="3"/>
  <c r="DC280" i="3"/>
  <c r="A281" i="3"/>
  <c r="CY281" i="3"/>
  <c r="CZ281" i="3"/>
  <c r="DA281" i="3"/>
  <c r="DB281" i="3"/>
  <c r="DC281" i="3"/>
  <c r="A282" i="3"/>
  <c r="CY282" i="3"/>
  <c r="CZ282" i="3"/>
  <c r="DB282" i="3" s="1"/>
  <c r="DA282" i="3"/>
  <c r="DC282" i="3"/>
  <c r="A283" i="3"/>
  <c r="CY283" i="3"/>
  <c r="CZ283" i="3"/>
  <c r="DB283" i="3" s="1"/>
  <c r="DA283" i="3"/>
  <c r="DC283" i="3"/>
  <c r="A284" i="3"/>
  <c r="CY284" i="3"/>
  <c r="CZ284" i="3"/>
  <c r="DA284" i="3"/>
  <c r="DB284" i="3"/>
  <c r="DC284" i="3"/>
  <c r="A285" i="3"/>
  <c r="CY285" i="3"/>
  <c r="CZ285" i="3"/>
  <c r="DA285" i="3"/>
  <c r="DB285" i="3"/>
  <c r="DC285" i="3"/>
  <c r="A286" i="3"/>
  <c r="CY286" i="3"/>
  <c r="CZ286" i="3"/>
  <c r="DB286" i="3" s="1"/>
  <c r="DA286" i="3"/>
  <c r="DC286" i="3"/>
  <c r="A287" i="3"/>
  <c r="CY287" i="3"/>
  <c r="CZ287" i="3"/>
  <c r="DB287" i="3" s="1"/>
  <c r="DA287" i="3"/>
  <c r="DC287" i="3"/>
  <c r="A288" i="3"/>
  <c r="CY288" i="3"/>
  <c r="CZ288" i="3"/>
  <c r="DA288" i="3"/>
  <c r="DB288" i="3"/>
  <c r="DC288" i="3"/>
  <c r="A289" i="3"/>
  <c r="CY289" i="3"/>
  <c r="CZ289" i="3"/>
  <c r="DA289" i="3"/>
  <c r="DB289" i="3"/>
  <c r="DC289" i="3"/>
  <c r="A290" i="3"/>
  <c r="CY290" i="3"/>
  <c r="CZ290" i="3"/>
  <c r="DB290" i="3" s="1"/>
  <c r="DA290" i="3"/>
  <c r="DC290" i="3"/>
  <c r="A291" i="3"/>
  <c r="CY291" i="3"/>
  <c r="CZ291" i="3"/>
  <c r="DB291" i="3" s="1"/>
  <c r="DA291" i="3"/>
  <c r="DC291" i="3"/>
  <c r="A292" i="3"/>
  <c r="CY292" i="3"/>
  <c r="CZ292" i="3"/>
  <c r="DA292" i="3"/>
  <c r="DB292" i="3"/>
  <c r="DC292" i="3"/>
  <c r="A293" i="3"/>
  <c r="CY293" i="3"/>
  <c r="CZ293" i="3"/>
  <c r="DA293" i="3"/>
  <c r="DB293" i="3"/>
  <c r="DC293" i="3"/>
  <c r="A294" i="3"/>
  <c r="CY294" i="3"/>
  <c r="CZ294" i="3"/>
  <c r="DB294" i="3" s="1"/>
  <c r="DA294" i="3"/>
  <c r="DC294" i="3"/>
  <c r="A295" i="3"/>
  <c r="CY295" i="3"/>
  <c r="CZ295" i="3"/>
  <c r="DB295" i="3" s="1"/>
  <c r="DA295" i="3"/>
  <c r="DC295" i="3"/>
  <c r="A296" i="3"/>
  <c r="CY296" i="3"/>
  <c r="CZ296" i="3"/>
  <c r="DA296" i="3"/>
  <c r="DB296" i="3"/>
  <c r="DC296" i="3"/>
  <c r="A297" i="3"/>
  <c r="CY297" i="3"/>
  <c r="CZ297" i="3"/>
  <c r="DA297" i="3"/>
  <c r="DB297" i="3"/>
  <c r="DC297" i="3"/>
  <c r="A298" i="3"/>
  <c r="CY298" i="3"/>
  <c r="CZ298" i="3"/>
  <c r="DB298" i="3" s="1"/>
  <c r="DA298" i="3"/>
  <c r="DC298" i="3"/>
  <c r="A299" i="3"/>
  <c r="CY299" i="3"/>
  <c r="CZ299" i="3"/>
  <c r="DB299" i="3" s="1"/>
  <c r="DA299" i="3"/>
  <c r="DC299" i="3"/>
  <c r="A300" i="3"/>
  <c r="CY300" i="3"/>
  <c r="CZ300" i="3"/>
  <c r="DA300" i="3"/>
  <c r="DB300" i="3"/>
  <c r="DC300" i="3"/>
  <c r="A301" i="3"/>
  <c r="CY301" i="3"/>
  <c r="CZ301" i="3"/>
  <c r="DA301" i="3"/>
  <c r="DB301" i="3"/>
  <c r="DC301" i="3"/>
  <c r="A302" i="3"/>
  <c r="CY302" i="3"/>
  <c r="CZ302" i="3"/>
  <c r="DB302" i="3" s="1"/>
  <c r="DA302" i="3"/>
  <c r="DC302" i="3"/>
  <c r="A303" i="3"/>
  <c r="CY303" i="3"/>
  <c r="CZ303" i="3"/>
  <c r="DB303" i="3" s="1"/>
  <c r="DA303" i="3"/>
  <c r="DC303" i="3"/>
  <c r="A304" i="3"/>
  <c r="CY304" i="3"/>
  <c r="CZ304" i="3"/>
  <c r="DA304" i="3"/>
  <c r="DB304" i="3"/>
  <c r="DC304" i="3"/>
  <c r="A305" i="3"/>
  <c r="CY305" i="3"/>
  <c r="CZ305" i="3"/>
  <c r="DA305" i="3"/>
  <c r="DB305" i="3"/>
  <c r="DC305" i="3"/>
  <c r="A306" i="3"/>
  <c r="CY306" i="3"/>
  <c r="CZ306" i="3"/>
  <c r="DB306" i="3" s="1"/>
  <c r="DA306" i="3"/>
  <c r="DC30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AC28" i="1"/>
  <c r="AB28" i="1" s="1"/>
  <c r="AD28" i="1"/>
  <c r="CR28" i="1" s="1"/>
  <c r="Q28" i="1" s="1"/>
  <c r="AE28" i="1"/>
  <c r="CS28" i="1" s="1"/>
  <c r="R28" i="1" s="1"/>
  <c r="AF28" i="1"/>
  <c r="AG28" i="1"/>
  <c r="AH28" i="1"/>
  <c r="CV28" i="1" s="1"/>
  <c r="U28" i="1" s="1"/>
  <c r="AI28" i="1"/>
  <c r="CW28" i="1" s="1"/>
  <c r="V28" i="1" s="1"/>
  <c r="AJ28" i="1"/>
  <c r="CQ28" i="1"/>
  <c r="P28" i="1" s="1"/>
  <c r="CP28" i="1" s="1"/>
  <c r="O28" i="1" s="1"/>
  <c r="CT28" i="1"/>
  <c r="S28" i="1" s="1"/>
  <c r="CU28" i="1"/>
  <c r="T28" i="1" s="1"/>
  <c r="CX28" i="1"/>
  <c r="W28" i="1" s="1"/>
  <c r="FR28" i="1"/>
  <c r="GL28" i="1"/>
  <c r="GO28" i="1"/>
  <c r="GP28" i="1"/>
  <c r="GV28" i="1"/>
  <c r="HC28" i="1" s="1"/>
  <c r="GX28" i="1" s="1"/>
  <c r="C29" i="1"/>
  <c r="D29" i="1"/>
  <c r="I29" i="1"/>
  <c r="AC29" i="1"/>
  <c r="AE29" i="1"/>
  <c r="AD29" i="1" s="1"/>
  <c r="AF29" i="1"/>
  <c r="CT29" i="1" s="1"/>
  <c r="S29" i="1" s="1"/>
  <c r="AG29" i="1"/>
  <c r="AH29" i="1"/>
  <c r="AI29" i="1"/>
  <c r="CW29" i="1" s="1"/>
  <c r="V29" i="1" s="1"/>
  <c r="AJ29" i="1"/>
  <c r="CX29" i="1" s="1"/>
  <c r="W29" i="1" s="1"/>
  <c r="CQ29" i="1"/>
  <c r="P29" i="1" s="1"/>
  <c r="CU29" i="1"/>
  <c r="T29" i="1" s="1"/>
  <c r="CV29" i="1"/>
  <c r="U29" i="1" s="1"/>
  <c r="FR29" i="1"/>
  <c r="GL29" i="1"/>
  <c r="GO29" i="1"/>
  <c r="GP29" i="1"/>
  <c r="GV29" i="1"/>
  <c r="GX29" i="1"/>
  <c r="HC29" i="1"/>
  <c r="I30" i="1"/>
  <c r="AC30" i="1"/>
  <c r="AB30" i="1" s="1"/>
  <c r="AD30" i="1"/>
  <c r="CR30" i="1" s="1"/>
  <c r="Q30" i="1" s="1"/>
  <c r="AE30" i="1"/>
  <c r="CS30" i="1" s="1"/>
  <c r="R30" i="1" s="1"/>
  <c r="AF30" i="1"/>
  <c r="AG30" i="1"/>
  <c r="AH30" i="1"/>
  <c r="CV30" i="1" s="1"/>
  <c r="U30" i="1" s="1"/>
  <c r="AI30" i="1"/>
  <c r="CW30" i="1" s="1"/>
  <c r="V30" i="1" s="1"/>
  <c r="AJ30" i="1"/>
  <c r="CQ30" i="1"/>
  <c r="P30" i="1" s="1"/>
  <c r="CP30" i="1" s="1"/>
  <c r="O30" i="1" s="1"/>
  <c r="CT30" i="1"/>
  <c r="S30" i="1" s="1"/>
  <c r="CU30" i="1"/>
  <c r="T30" i="1" s="1"/>
  <c r="CX30" i="1"/>
  <c r="W30" i="1" s="1"/>
  <c r="FR30" i="1"/>
  <c r="GL30" i="1"/>
  <c r="GO30" i="1"/>
  <c r="GP30" i="1"/>
  <c r="GV30" i="1"/>
  <c r="HC30" i="1" s="1"/>
  <c r="GX30" i="1" s="1"/>
  <c r="O31" i="1"/>
  <c r="P31" i="1"/>
  <c r="Q31" i="1"/>
  <c r="R31" i="1"/>
  <c r="S31" i="1"/>
  <c r="T31" i="1"/>
  <c r="U31" i="1"/>
  <c r="V31" i="1"/>
  <c r="W31" i="1"/>
  <c r="X31" i="1"/>
  <c r="Y31" i="1"/>
  <c r="AB31" i="1"/>
  <c r="AC31" i="1"/>
  <c r="AD31" i="1"/>
  <c r="AE31" i="1"/>
  <c r="AF31" i="1"/>
  <c r="AG31" i="1"/>
  <c r="AH31" i="1"/>
  <c r="AI31" i="1"/>
  <c r="AJ31" i="1"/>
  <c r="CP31" i="1"/>
  <c r="GM31" i="1" s="1"/>
  <c r="FR31" i="1"/>
  <c r="GL31" i="1"/>
  <c r="GN31" i="1"/>
  <c r="GO31" i="1"/>
  <c r="GP31" i="1"/>
  <c r="GV31" i="1"/>
  <c r="GX31" i="1"/>
  <c r="I32" i="1"/>
  <c r="O32" i="1"/>
  <c r="P32" i="1"/>
  <c r="Q32" i="1"/>
  <c r="R32" i="1"/>
  <c r="S32" i="1"/>
  <c r="T32" i="1"/>
  <c r="U32" i="1"/>
  <c r="V32" i="1"/>
  <c r="W32" i="1"/>
  <c r="X32" i="1"/>
  <c r="Y32" i="1"/>
  <c r="AB32" i="1"/>
  <c r="CP32" i="1" s="1"/>
  <c r="AC32" i="1"/>
  <c r="AD32" i="1"/>
  <c r="AE32" i="1"/>
  <c r="AF32" i="1"/>
  <c r="AG32" i="1"/>
  <c r="AH32" i="1"/>
  <c r="AI32" i="1"/>
  <c r="AJ32" i="1"/>
  <c r="FR32" i="1"/>
  <c r="GL32" i="1"/>
  <c r="GO32" i="1"/>
  <c r="GP32" i="1"/>
  <c r="GV32" i="1"/>
  <c r="GX32" i="1"/>
  <c r="C33" i="1"/>
  <c r="D33" i="1"/>
  <c r="I33" i="1"/>
  <c r="AC33" i="1"/>
  <c r="CQ33" i="1" s="1"/>
  <c r="P33" i="1" s="1"/>
  <c r="AE33" i="1"/>
  <c r="AD33" i="1" s="1"/>
  <c r="AF33" i="1"/>
  <c r="CT33" i="1" s="1"/>
  <c r="S33" i="1" s="1"/>
  <c r="AG33" i="1"/>
  <c r="CU33" i="1" s="1"/>
  <c r="T33" i="1" s="1"/>
  <c r="AH33" i="1"/>
  <c r="AI33" i="1"/>
  <c r="AJ33" i="1"/>
  <c r="CX33" i="1" s="1"/>
  <c r="W33" i="1" s="1"/>
  <c r="CS33" i="1"/>
  <c r="R33" i="1" s="1"/>
  <c r="CV33" i="1"/>
  <c r="U33" i="1" s="1"/>
  <c r="CW33" i="1"/>
  <c r="V33" i="1" s="1"/>
  <c r="FR33" i="1"/>
  <c r="GL33" i="1"/>
  <c r="GO33" i="1"/>
  <c r="GP33" i="1"/>
  <c r="GV33" i="1"/>
  <c r="HC33" i="1"/>
  <c r="GX33" i="1" s="1"/>
  <c r="C34" i="1"/>
  <c r="D34" i="1"/>
  <c r="AC34" i="1"/>
  <c r="AB34" i="1" s="1"/>
  <c r="AD34" i="1"/>
  <c r="CR34" i="1" s="1"/>
  <c r="AE34" i="1"/>
  <c r="AF34" i="1"/>
  <c r="AG34" i="1"/>
  <c r="CU34" i="1" s="1"/>
  <c r="AH34" i="1"/>
  <c r="CV34" i="1" s="1"/>
  <c r="AI34" i="1"/>
  <c r="AJ34" i="1"/>
  <c r="CS34" i="1"/>
  <c r="CT34" i="1"/>
  <c r="CW34" i="1"/>
  <c r="CX34" i="1"/>
  <c r="FR34" i="1"/>
  <c r="GL34" i="1"/>
  <c r="GO34" i="1"/>
  <c r="GP34" i="1"/>
  <c r="GV34" i="1"/>
  <c r="HC34" i="1"/>
  <c r="C35" i="1"/>
  <c r="D35" i="1"/>
  <c r="I35" i="1"/>
  <c r="AC35" i="1"/>
  <c r="AB35" i="1" s="1"/>
  <c r="AD35" i="1"/>
  <c r="CR35" i="1" s="1"/>
  <c r="Q35" i="1" s="1"/>
  <c r="AE35" i="1"/>
  <c r="CS35" i="1" s="1"/>
  <c r="R35" i="1" s="1"/>
  <c r="AF35" i="1"/>
  <c r="AG35" i="1"/>
  <c r="AH35" i="1"/>
  <c r="CV35" i="1" s="1"/>
  <c r="U35" i="1" s="1"/>
  <c r="AI35" i="1"/>
  <c r="CW35" i="1" s="1"/>
  <c r="V35" i="1" s="1"/>
  <c r="AJ35" i="1"/>
  <c r="CQ35" i="1"/>
  <c r="P35" i="1" s="1"/>
  <c r="CP35" i="1" s="1"/>
  <c r="O35" i="1" s="1"/>
  <c r="CT35" i="1"/>
  <c r="S35" i="1" s="1"/>
  <c r="CU35" i="1"/>
  <c r="T35" i="1" s="1"/>
  <c r="CX35" i="1"/>
  <c r="W35" i="1" s="1"/>
  <c r="FR35" i="1"/>
  <c r="GL35" i="1"/>
  <c r="GO35" i="1"/>
  <c r="GP35" i="1"/>
  <c r="GV35" i="1"/>
  <c r="HC35" i="1" s="1"/>
  <c r="GX35" i="1" s="1"/>
  <c r="C36" i="1"/>
  <c r="D36" i="1"/>
  <c r="R36" i="1"/>
  <c r="AC36" i="1"/>
  <c r="CQ36" i="1" s="1"/>
  <c r="P36" i="1" s="1"/>
  <c r="AE36" i="1"/>
  <c r="AD36" i="1" s="1"/>
  <c r="CR36" i="1" s="1"/>
  <c r="Q36" i="1" s="1"/>
  <c r="AF36" i="1"/>
  <c r="CT36" i="1" s="1"/>
  <c r="S36" i="1" s="1"/>
  <c r="AG36" i="1"/>
  <c r="CU36" i="1" s="1"/>
  <c r="T36" i="1" s="1"/>
  <c r="AH36" i="1"/>
  <c r="AI36" i="1"/>
  <c r="AJ36" i="1"/>
  <c r="CX36" i="1" s="1"/>
  <c r="W36" i="1" s="1"/>
  <c r="CS36" i="1"/>
  <c r="CV36" i="1"/>
  <c r="U36" i="1" s="1"/>
  <c r="CW36" i="1"/>
  <c r="V36" i="1" s="1"/>
  <c r="FR36" i="1"/>
  <c r="GL36" i="1"/>
  <c r="GN36" i="1"/>
  <c r="GP36" i="1"/>
  <c r="GV36" i="1"/>
  <c r="HC36" i="1"/>
  <c r="GX36" i="1" s="1"/>
  <c r="C37" i="1"/>
  <c r="D37" i="1"/>
  <c r="I37" i="1"/>
  <c r="W37" i="1"/>
  <c r="AC37" i="1"/>
  <c r="AD37" i="1"/>
  <c r="CR37" i="1" s="1"/>
  <c r="Q37" i="1" s="1"/>
  <c r="AE37" i="1"/>
  <c r="AF37" i="1"/>
  <c r="AG37" i="1"/>
  <c r="CU37" i="1" s="1"/>
  <c r="T37" i="1" s="1"/>
  <c r="AH37" i="1"/>
  <c r="CV37" i="1" s="1"/>
  <c r="U37" i="1" s="1"/>
  <c r="AI37" i="1"/>
  <c r="AJ37" i="1"/>
  <c r="CS37" i="1"/>
  <c r="R37" i="1" s="1"/>
  <c r="CT37" i="1"/>
  <c r="S37" i="1" s="1"/>
  <c r="CW37" i="1"/>
  <c r="V37" i="1" s="1"/>
  <c r="CX37" i="1"/>
  <c r="FR37" i="1"/>
  <c r="GL37" i="1"/>
  <c r="GO37" i="1"/>
  <c r="GP37" i="1"/>
  <c r="GV37" i="1"/>
  <c r="HC37" i="1" s="1"/>
  <c r="GX37" i="1" s="1"/>
  <c r="C38" i="1"/>
  <c r="D38" i="1"/>
  <c r="I38" i="1"/>
  <c r="AC38" i="1"/>
  <c r="AE38" i="1"/>
  <c r="AD38" i="1" s="1"/>
  <c r="AF38" i="1"/>
  <c r="CT38" i="1" s="1"/>
  <c r="S38" i="1" s="1"/>
  <c r="AG38" i="1"/>
  <c r="AH38" i="1"/>
  <c r="AI38" i="1"/>
  <c r="AJ38" i="1"/>
  <c r="CX38" i="1" s="1"/>
  <c r="W38" i="1" s="1"/>
  <c r="CQ38" i="1"/>
  <c r="P38" i="1" s="1"/>
  <c r="CS38" i="1"/>
  <c r="R38" i="1" s="1"/>
  <c r="CU38" i="1"/>
  <c r="T38" i="1" s="1"/>
  <c r="CV38" i="1"/>
  <c r="U38" i="1" s="1"/>
  <c r="CW38" i="1"/>
  <c r="V38" i="1" s="1"/>
  <c r="FR38" i="1"/>
  <c r="GL38" i="1"/>
  <c r="GO38" i="1"/>
  <c r="GP38" i="1"/>
  <c r="GV38" i="1"/>
  <c r="HC38" i="1"/>
  <c r="GX38" i="1" s="1"/>
  <c r="I39" i="1"/>
  <c r="AC39" i="1"/>
  <c r="AE39" i="1"/>
  <c r="CS39" i="1" s="1"/>
  <c r="R39" i="1" s="1"/>
  <c r="AF39" i="1"/>
  <c r="AG39" i="1"/>
  <c r="AH39" i="1"/>
  <c r="AI39" i="1"/>
  <c r="CW39" i="1" s="1"/>
  <c r="V39" i="1" s="1"/>
  <c r="AJ39" i="1"/>
  <c r="CQ39" i="1"/>
  <c r="P39" i="1" s="1"/>
  <c r="CT39" i="1"/>
  <c r="S39" i="1" s="1"/>
  <c r="CU39" i="1"/>
  <c r="T39" i="1" s="1"/>
  <c r="CV39" i="1"/>
  <c r="U39" i="1" s="1"/>
  <c r="CX39" i="1"/>
  <c r="W39" i="1" s="1"/>
  <c r="FR39" i="1"/>
  <c r="GL39" i="1"/>
  <c r="GO39" i="1"/>
  <c r="GP39" i="1"/>
  <c r="GV39" i="1"/>
  <c r="GX39" i="1"/>
  <c r="HC39" i="1"/>
  <c r="C40" i="1"/>
  <c r="D40" i="1"/>
  <c r="AC40" i="1"/>
  <c r="CQ40" i="1" s="1"/>
  <c r="P40" i="1" s="1"/>
  <c r="AE40" i="1"/>
  <c r="AD40" i="1" s="1"/>
  <c r="CR40" i="1" s="1"/>
  <c r="Q40" i="1" s="1"/>
  <c r="AF40" i="1"/>
  <c r="AG40" i="1"/>
  <c r="CU40" i="1" s="1"/>
  <c r="T40" i="1" s="1"/>
  <c r="AH40" i="1"/>
  <c r="AI40" i="1"/>
  <c r="AJ40" i="1"/>
  <c r="CS40" i="1"/>
  <c r="R40" i="1" s="1"/>
  <c r="CT40" i="1"/>
  <c r="S40" i="1" s="1"/>
  <c r="CV40" i="1"/>
  <c r="U40" i="1" s="1"/>
  <c r="CW40" i="1"/>
  <c r="V40" i="1" s="1"/>
  <c r="CX40" i="1"/>
  <c r="W40" i="1" s="1"/>
  <c r="FR40" i="1"/>
  <c r="GL40" i="1"/>
  <c r="GO40" i="1"/>
  <c r="GP40" i="1"/>
  <c r="GV40" i="1"/>
  <c r="HC40" i="1"/>
  <c r="GX40" i="1" s="1"/>
  <c r="I41" i="1"/>
  <c r="AC41" i="1"/>
  <c r="AE41" i="1"/>
  <c r="AD41" i="1" s="1"/>
  <c r="AF41" i="1"/>
  <c r="CT41" i="1" s="1"/>
  <c r="S41" i="1" s="1"/>
  <c r="AG41" i="1"/>
  <c r="AH41" i="1"/>
  <c r="AI41" i="1"/>
  <c r="AJ41" i="1"/>
  <c r="CX41" i="1" s="1"/>
  <c r="W41" i="1" s="1"/>
  <c r="CQ41" i="1"/>
  <c r="P41" i="1" s="1"/>
  <c r="CS41" i="1"/>
  <c r="R41" i="1" s="1"/>
  <c r="CU41" i="1"/>
  <c r="T41" i="1" s="1"/>
  <c r="CV41" i="1"/>
  <c r="U41" i="1" s="1"/>
  <c r="CW41" i="1"/>
  <c r="V41" i="1" s="1"/>
  <c r="FR41" i="1"/>
  <c r="GL41" i="1"/>
  <c r="GO41" i="1"/>
  <c r="GP41" i="1"/>
  <c r="GV41" i="1"/>
  <c r="HC41" i="1"/>
  <c r="GX41" i="1" s="1"/>
  <c r="C42" i="1"/>
  <c r="D42" i="1"/>
  <c r="I42" i="1"/>
  <c r="AC42" i="1"/>
  <c r="CQ42" i="1" s="1"/>
  <c r="P42" i="1" s="1"/>
  <c r="AE42" i="1"/>
  <c r="AD42" i="1" s="1"/>
  <c r="CR42" i="1" s="1"/>
  <c r="Q42" i="1" s="1"/>
  <c r="AF42" i="1"/>
  <c r="AG42" i="1"/>
  <c r="CU42" i="1" s="1"/>
  <c r="T42" i="1" s="1"/>
  <c r="AH42" i="1"/>
  <c r="AI42" i="1"/>
  <c r="AJ42" i="1"/>
  <c r="CS42" i="1"/>
  <c r="R42" i="1" s="1"/>
  <c r="CT42" i="1"/>
  <c r="S42" i="1" s="1"/>
  <c r="CV42" i="1"/>
  <c r="U42" i="1" s="1"/>
  <c r="CW42" i="1"/>
  <c r="V42" i="1" s="1"/>
  <c r="CX42" i="1"/>
  <c r="W42" i="1" s="1"/>
  <c r="FR42" i="1"/>
  <c r="GL42" i="1"/>
  <c r="GO42" i="1"/>
  <c r="GP42" i="1"/>
  <c r="GV42" i="1"/>
  <c r="HC42" i="1"/>
  <c r="GX42" i="1" s="1"/>
  <c r="C43" i="1"/>
  <c r="D43" i="1"/>
  <c r="I43" i="1"/>
  <c r="AC43" i="1"/>
  <c r="AB43" i="1" s="1"/>
  <c r="AD43" i="1"/>
  <c r="CR43" i="1" s="1"/>
  <c r="Q43" i="1" s="1"/>
  <c r="AE43" i="1"/>
  <c r="AF43" i="1"/>
  <c r="AG43" i="1"/>
  <c r="AH43" i="1"/>
  <c r="CV43" i="1" s="1"/>
  <c r="U43" i="1" s="1"/>
  <c r="AI43" i="1"/>
  <c r="AJ43" i="1"/>
  <c r="CQ43" i="1"/>
  <c r="P43" i="1" s="1"/>
  <c r="CP43" i="1" s="1"/>
  <c r="O43" i="1" s="1"/>
  <c r="CS43" i="1"/>
  <c r="R43" i="1" s="1"/>
  <c r="CT43" i="1"/>
  <c r="S43" i="1" s="1"/>
  <c r="CU43" i="1"/>
  <c r="T43" i="1" s="1"/>
  <c r="CW43" i="1"/>
  <c r="V43" i="1" s="1"/>
  <c r="CX43" i="1"/>
  <c r="W43" i="1" s="1"/>
  <c r="FR43" i="1"/>
  <c r="GL43" i="1"/>
  <c r="GO43" i="1"/>
  <c r="GP43" i="1"/>
  <c r="GV43" i="1"/>
  <c r="HC43" i="1" s="1"/>
  <c r="GX43" i="1" s="1"/>
  <c r="C44" i="1"/>
  <c r="D44" i="1"/>
  <c r="I44" i="1"/>
  <c r="AC44" i="1"/>
  <c r="AE44" i="1"/>
  <c r="CS44" i="1" s="1"/>
  <c r="R44" i="1" s="1"/>
  <c r="AF44" i="1"/>
  <c r="AG44" i="1"/>
  <c r="AH44" i="1"/>
  <c r="AI44" i="1"/>
  <c r="CW44" i="1" s="1"/>
  <c r="V44" i="1" s="1"/>
  <c r="AJ44" i="1"/>
  <c r="CQ44" i="1"/>
  <c r="P44" i="1" s="1"/>
  <c r="CT44" i="1"/>
  <c r="S44" i="1" s="1"/>
  <c r="CU44" i="1"/>
  <c r="T44" i="1" s="1"/>
  <c r="CV44" i="1"/>
  <c r="U44" i="1" s="1"/>
  <c r="CX44" i="1"/>
  <c r="W44" i="1" s="1"/>
  <c r="FR44" i="1"/>
  <c r="GL44" i="1"/>
  <c r="GO44" i="1"/>
  <c r="GP44" i="1"/>
  <c r="GV44" i="1"/>
  <c r="GX44" i="1"/>
  <c r="HC44" i="1"/>
  <c r="C45" i="1"/>
  <c r="D45" i="1"/>
  <c r="I45" i="1"/>
  <c r="AC45" i="1"/>
  <c r="AD45" i="1"/>
  <c r="CR45" i="1" s="1"/>
  <c r="Q45" i="1" s="1"/>
  <c r="AE45" i="1"/>
  <c r="AF45" i="1"/>
  <c r="CT45" i="1" s="1"/>
  <c r="S45" i="1" s="1"/>
  <c r="AG45" i="1"/>
  <c r="AH45" i="1"/>
  <c r="CV45" i="1" s="1"/>
  <c r="U45" i="1" s="1"/>
  <c r="AI45" i="1"/>
  <c r="AJ45" i="1"/>
  <c r="CX45" i="1" s="1"/>
  <c r="W45" i="1" s="1"/>
  <c r="CQ45" i="1"/>
  <c r="P45" i="1" s="1"/>
  <c r="CS45" i="1"/>
  <c r="R45" i="1" s="1"/>
  <c r="CU45" i="1"/>
  <c r="T45" i="1" s="1"/>
  <c r="CW45" i="1"/>
  <c r="V45" i="1" s="1"/>
  <c r="FR45" i="1"/>
  <c r="GL45" i="1"/>
  <c r="GO45" i="1"/>
  <c r="GP45" i="1"/>
  <c r="GV45" i="1"/>
  <c r="HC45" i="1"/>
  <c r="GX45" i="1" s="1"/>
  <c r="C46" i="1"/>
  <c r="D46" i="1"/>
  <c r="I46" i="1"/>
  <c r="AC46" i="1"/>
  <c r="AB46" i="1" s="1"/>
  <c r="AE46" i="1"/>
  <c r="AD46" i="1" s="1"/>
  <c r="CR46" i="1" s="1"/>
  <c r="Q46" i="1" s="1"/>
  <c r="AF46" i="1"/>
  <c r="AG46" i="1"/>
  <c r="AH46" i="1"/>
  <c r="AI46" i="1"/>
  <c r="AJ46" i="1"/>
  <c r="CQ46" i="1"/>
  <c r="P46" i="1" s="1"/>
  <c r="CP46" i="1" s="1"/>
  <c r="O46" i="1" s="1"/>
  <c r="CS46" i="1"/>
  <c r="R46" i="1" s="1"/>
  <c r="CT46" i="1"/>
  <c r="S46" i="1" s="1"/>
  <c r="CU46" i="1"/>
  <c r="T46" i="1" s="1"/>
  <c r="CV46" i="1"/>
  <c r="U46" i="1" s="1"/>
  <c r="CW46" i="1"/>
  <c r="V46" i="1" s="1"/>
  <c r="CX46" i="1"/>
  <c r="W46" i="1" s="1"/>
  <c r="FR46" i="1"/>
  <c r="GL46" i="1"/>
  <c r="GO46" i="1"/>
  <c r="GP46" i="1"/>
  <c r="GV46" i="1"/>
  <c r="HC46" i="1"/>
  <c r="GX46" i="1" s="1"/>
  <c r="C47" i="1"/>
  <c r="D47" i="1"/>
  <c r="I47" i="1"/>
  <c r="AC47" i="1"/>
  <c r="AB47" i="1" s="1"/>
  <c r="AD47" i="1"/>
  <c r="CR47" i="1" s="1"/>
  <c r="Q47" i="1" s="1"/>
  <c r="AE47" i="1"/>
  <c r="AF47" i="1"/>
  <c r="AG47" i="1"/>
  <c r="AH47" i="1"/>
  <c r="CV47" i="1" s="1"/>
  <c r="U47" i="1" s="1"/>
  <c r="AI47" i="1"/>
  <c r="AJ47" i="1"/>
  <c r="CQ47" i="1"/>
  <c r="P47" i="1" s="1"/>
  <c r="CP47" i="1" s="1"/>
  <c r="O47" i="1" s="1"/>
  <c r="CS47" i="1"/>
  <c r="R47" i="1" s="1"/>
  <c r="CT47" i="1"/>
  <c r="S47" i="1" s="1"/>
  <c r="CU47" i="1"/>
  <c r="T47" i="1" s="1"/>
  <c r="CW47" i="1"/>
  <c r="V47" i="1" s="1"/>
  <c r="CX47" i="1"/>
  <c r="W47" i="1" s="1"/>
  <c r="FR47" i="1"/>
  <c r="GL47" i="1"/>
  <c r="GO47" i="1"/>
  <c r="GP47" i="1"/>
  <c r="GV47" i="1"/>
  <c r="HC47" i="1" s="1"/>
  <c r="GX47" i="1" s="1"/>
  <c r="I48" i="1"/>
  <c r="AC48" i="1"/>
  <c r="CQ48" i="1" s="1"/>
  <c r="P48" i="1" s="1"/>
  <c r="AE48" i="1"/>
  <c r="AD48" i="1" s="1"/>
  <c r="CR48" i="1" s="1"/>
  <c r="Q48" i="1" s="1"/>
  <c r="AF48" i="1"/>
  <c r="AG48" i="1"/>
  <c r="CU48" i="1" s="1"/>
  <c r="T48" i="1" s="1"/>
  <c r="AH48" i="1"/>
  <c r="AI48" i="1"/>
  <c r="AJ48" i="1"/>
  <c r="CS48" i="1"/>
  <c r="R48" i="1" s="1"/>
  <c r="CT48" i="1"/>
  <c r="S48" i="1" s="1"/>
  <c r="CV48" i="1"/>
  <c r="U48" i="1" s="1"/>
  <c r="CW48" i="1"/>
  <c r="V48" i="1" s="1"/>
  <c r="CX48" i="1"/>
  <c r="W48" i="1" s="1"/>
  <c r="FR48" i="1"/>
  <c r="GL48" i="1"/>
  <c r="GO48" i="1"/>
  <c r="GP48" i="1"/>
  <c r="GV48" i="1"/>
  <c r="HC48" i="1"/>
  <c r="GX48" i="1" s="1"/>
  <c r="I49" i="1"/>
  <c r="AC49" i="1"/>
  <c r="AE49" i="1"/>
  <c r="AD49" i="1" s="1"/>
  <c r="AF49" i="1"/>
  <c r="CT49" i="1" s="1"/>
  <c r="S49" i="1" s="1"/>
  <c r="AG49" i="1"/>
  <c r="AH49" i="1"/>
  <c r="AI49" i="1"/>
  <c r="AJ49" i="1"/>
  <c r="CX49" i="1" s="1"/>
  <c r="W49" i="1" s="1"/>
  <c r="CQ49" i="1"/>
  <c r="P49" i="1" s="1"/>
  <c r="CS49" i="1"/>
  <c r="R49" i="1" s="1"/>
  <c r="CU49" i="1"/>
  <c r="T49" i="1" s="1"/>
  <c r="CV49" i="1"/>
  <c r="U49" i="1" s="1"/>
  <c r="CW49" i="1"/>
  <c r="V49" i="1" s="1"/>
  <c r="FR49" i="1"/>
  <c r="GL49" i="1"/>
  <c r="GO49" i="1"/>
  <c r="GP49" i="1"/>
  <c r="GV49" i="1"/>
  <c r="HC49" i="1"/>
  <c r="GX49" i="1" s="1"/>
  <c r="C50" i="1"/>
  <c r="D50" i="1"/>
  <c r="I50" i="1"/>
  <c r="CX97" i="3" s="1"/>
  <c r="AC50" i="1"/>
  <c r="AE50" i="1"/>
  <c r="AD50" i="1" s="1"/>
  <c r="AF50" i="1"/>
  <c r="CT50" i="1" s="1"/>
  <c r="S50" i="1" s="1"/>
  <c r="AG50" i="1"/>
  <c r="AH50" i="1"/>
  <c r="AI50" i="1"/>
  <c r="AJ50" i="1"/>
  <c r="CX50" i="1" s="1"/>
  <c r="W50" i="1" s="1"/>
  <c r="CQ50" i="1"/>
  <c r="P50" i="1" s="1"/>
  <c r="CS50" i="1"/>
  <c r="R50" i="1" s="1"/>
  <c r="CU50" i="1"/>
  <c r="T50" i="1" s="1"/>
  <c r="CV50" i="1"/>
  <c r="U50" i="1" s="1"/>
  <c r="CW50" i="1"/>
  <c r="V50" i="1" s="1"/>
  <c r="FR50" i="1"/>
  <c r="GL50" i="1"/>
  <c r="GO50" i="1"/>
  <c r="GP50" i="1"/>
  <c r="GV50" i="1"/>
  <c r="HC50" i="1"/>
  <c r="GX50" i="1" s="1"/>
  <c r="C51" i="1"/>
  <c r="D51" i="1"/>
  <c r="I51" i="1"/>
  <c r="AC51" i="1"/>
  <c r="AB51" i="1" s="1"/>
  <c r="AE51" i="1"/>
  <c r="AD51" i="1" s="1"/>
  <c r="CR51" i="1" s="1"/>
  <c r="Q51" i="1" s="1"/>
  <c r="AF51" i="1"/>
  <c r="AG51" i="1"/>
  <c r="CU51" i="1" s="1"/>
  <c r="T51" i="1" s="1"/>
  <c r="AH51" i="1"/>
  <c r="AI51" i="1"/>
  <c r="AJ51" i="1"/>
  <c r="CS51" i="1"/>
  <c r="R51" i="1" s="1"/>
  <c r="CT51" i="1"/>
  <c r="S51" i="1" s="1"/>
  <c r="CV51" i="1"/>
  <c r="U51" i="1" s="1"/>
  <c r="CW51" i="1"/>
  <c r="V51" i="1" s="1"/>
  <c r="CX51" i="1"/>
  <c r="W51" i="1" s="1"/>
  <c r="FR51" i="1"/>
  <c r="GL51" i="1"/>
  <c r="GO51" i="1"/>
  <c r="GP51" i="1"/>
  <c r="GV51" i="1"/>
  <c r="HC51" i="1"/>
  <c r="GX51" i="1" s="1"/>
  <c r="C52" i="1"/>
  <c r="D52" i="1"/>
  <c r="I52" i="1"/>
  <c r="CX105" i="3" s="1"/>
  <c r="AC52" i="1"/>
  <c r="AD52" i="1"/>
  <c r="AB52" i="1" s="1"/>
  <c r="AE52" i="1"/>
  <c r="AF52" i="1"/>
  <c r="CT52" i="1" s="1"/>
  <c r="S52" i="1" s="1"/>
  <c r="AG52" i="1"/>
  <c r="AH52" i="1"/>
  <c r="CV52" i="1" s="1"/>
  <c r="U52" i="1" s="1"/>
  <c r="AI52" i="1"/>
  <c r="AJ52" i="1"/>
  <c r="CX52" i="1" s="1"/>
  <c r="W52" i="1" s="1"/>
  <c r="CQ52" i="1"/>
  <c r="P52" i="1" s="1"/>
  <c r="CS52" i="1"/>
  <c r="R52" i="1" s="1"/>
  <c r="CU52" i="1"/>
  <c r="T52" i="1" s="1"/>
  <c r="CW52" i="1"/>
  <c r="V52" i="1" s="1"/>
  <c r="FR52" i="1"/>
  <c r="GL52" i="1"/>
  <c r="GO52" i="1"/>
  <c r="GP52" i="1"/>
  <c r="GV52" i="1"/>
  <c r="HC52" i="1" s="1"/>
  <c r="GX52" i="1" s="1"/>
  <c r="I53" i="1"/>
  <c r="O53" i="1"/>
  <c r="P53" i="1"/>
  <c r="Q53" i="1"/>
  <c r="R53" i="1"/>
  <c r="S53" i="1"/>
  <c r="T53" i="1"/>
  <c r="U53" i="1"/>
  <c r="V53" i="1"/>
  <c r="W53" i="1"/>
  <c r="X53" i="1"/>
  <c r="Y53" i="1"/>
  <c r="AB53" i="1"/>
  <c r="CP53" i="1" s="1"/>
  <c r="AC53" i="1"/>
  <c r="AD53" i="1"/>
  <c r="AE53" i="1"/>
  <c r="AF53" i="1"/>
  <c r="AG53" i="1"/>
  <c r="AH53" i="1"/>
  <c r="AI53" i="1"/>
  <c r="AJ53" i="1"/>
  <c r="FR53" i="1"/>
  <c r="GL53" i="1"/>
  <c r="GO53" i="1"/>
  <c r="GP53" i="1"/>
  <c r="GV53" i="1"/>
  <c r="GX53" i="1"/>
  <c r="I54" i="1"/>
  <c r="AC54" i="1"/>
  <c r="AE54" i="1"/>
  <c r="AF54" i="1"/>
  <c r="AG54" i="1"/>
  <c r="AH54" i="1"/>
  <c r="AI54" i="1"/>
  <c r="CW54" i="1" s="1"/>
  <c r="V54" i="1" s="1"/>
  <c r="AJ54" i="1"/>
  <c r="CQ54" i="1"/>
  <c r="P54" i="1" s="1"/>
  <c r="CT54" i="1"/>
  <c r="S54" i="1" s="1"/>
  <c r="CU54" i="1"/>
  <c r="T54" i="1" s="1"/>
  <c r="CV54" i="1"/>
  <c r="U54" i="1" s="1"/>
  <c r="CX54" i="1"/>
  <c r="W54" i="1" s="1"/>
  <c r="FR54" i="1"/>
  <c r="GL54" i="1"/>
  <c r="GO54" i="1"/>
  <c r="GP54" i="1"/>
  <c r="GV54" i="1"/>
  <c r="HC54" i="1" s="1"/>
  <c r="GX54" i="1" s="1"/>
  <c r="I55" i="1"/>
  <c r="AC55" i="1"/>
  <c r="AD55" i="1"/>
  <c r="CR55" i="1" s="1"/>
  <c r="Q55" i="1" s="1"/>
  <c r="AE55" i="1"/>
  <c r="AF55" i="1"/>
  <c r="AB55" i="1" s="1"/>
  <c r="AG55" i="1"/>
  <c r="AH55" i="1"/>
  <c r="CV55" i="1" s="1"/>
  <c r="U55" i="1" s="1"/>
  <c r="AI55" i="1"/>
  <c r="AJ55" i="1"/>
  <c r="CX55" i="1" s="1"/>
  <c r="W55" i="1" s="1"/>
  <c r="CQ55" i="1"/>
  <c r="P55" i="1" s="1"/>
  <c r="CS55" i="1"/>
  <c r="R55" i="1" s="1"/>
  <c r="CU55" i="1"/>
  <c r="T55" i="1" s="1"/>
  <c r="CW55" i="1"/>
  <c r="V55" i="1" s="1"/>
  <c r="FR55" i="1"/>
  <c r="GL55" i="1"/>
  <c r="GO55" i="1"/>
  <c r="GP55" i="1"/>
  <c r="GV55" i="1"/>
  <c r="HC55" i="1"/>
  <c r="GX55" i="1" s="1"/>
  <c r="AC56" i="1"/>
  <c r="CQ56" i="1" s="1"/>
  <c r="P56" i="1" s="1"/>
  <c r="AE56" i="1"/>
  <c r="AD56" i="1" s="1"/>
  <c r="AF56" i="1"/>
  <c r="CT56" i="1" s="1"/>
  <c r="S56" i="1" s="1"/>
  <c r="AG56" i="1"/>
  <c r="CU56" i="1" s="1"/>
  <c r="T56" i="1" s="1"/>
  <c r="AH56" i="1"/>
  <c r="AI56" i="1"/>
  <c r="AJ56" i="1"/>
  <c r="CX56" i="1" s="1"/>
  <c r="W56" i="1" s="1"/>
  <c r="CS56" i="1"/>
  <c r="R56" i="1" s="1"/>
  <c r="CV56" i="1"/>
  <c r="U56" i="1" s="1"/>
  <c r="CW56" i="1"/>
  <c r="V56" i="1" s="1"/>
  <c r="FR56" i="1"/>
  <c r="GL56" i="1"/>
  <c r="GO56" i="1"/>
  <c r="GP56" i="1"/>
  <c r="GV56" i="1"/>
  <c r="HC56" i="1"/>
  <c r="GX56" i="1" s="1"/>
  <c r="AC57" i="1"/>
  <c r="CQ57" i="1" s="1"/>
  <c r="P57" i="1" s="1"/>
  <c r="AE57" i="1"/>
  <c r="AD57" i="1" s="1"/>
  <c r="AF57" i="1"/>
  <c r="CT57" i="1" s="1"/>
  <c r="S57" i="1" s="1"/>
  <c r="AG57" i="1"/>
  <c r="CU57" i="1" s="1"/>
  <c r="T57" i="1" s="1"/>
  <c r="AH57" i="1"/>
  <c r="AI57" i="1"/>
  <c r="AJ57" i="1"/>
  <c r="CX57" i="1" s="1"/>
  <c r="W57" i="1" s="1"/>
  <c r="CS57" i="1"/>
  <c r="R57" i="1" s="1"/>
  <c r="CV57" i="1"/>
  <c r="U57" i="1" s="1"/>
  <c r="CW57" i="1"/>
  <c r="V57" i="1" s="1"/>
  <c r="FR57" i="1"/>
  <c r="GL57" i="1"/>
  <c r="GO57" i="1"/>
  <c r="GP57" i="1"/>
  <c r="GV57" i="1"/>
  <c r="HC57" i="1"/>
  <c r="GX57" i="1" s="1"/>
  <c r="I58" i="1"/>
  <c r="AC58" i="1"/>
  <c r="AE58" i="1"/>
  <c r="CS58" i="1" s="1"/>
  <c r="R58" i="1" s="1"/>
  <c r="AF58" i="1"/>
  <c r="CT58" i="1" s="1"/>
  <c r="S58" i="1" s="1"/>
  <c r="AG58" i="1"/>
  <c r="AH58" i="1"/>
  <c r="AI58" i="1"/>
  <c r="CW58" i="1" s="1"/>
  <c r="V58" i="1" s="1"/>
  <c r="AJ58" i="1"/>
  <c r="CX58" i="1" s="1"/>
  <c r="W58" i="1" s="1"/>
  <c r="CQ58" i="1"/>
  <c r="P58" i="1" s="1"/>
  <c r="CU58" i="1"/>
  <c r="T58" i="1" s="1"/>
  <c r="CV58" i="1"/>
  <c r="U58" i="1" s="1"/>
  <c r="FR58" i="1"/>
  <c r="GL58" i="1"/>
  <c r="GO58" i="1"/>
  <c r="GP58" i="1"/>
  <c r="GV58" i="1"/>
  <c r="GX58" i="1"/>
  <c r="HC58" i="1"/>
  <c r="AC59" i="1"/>
  <c r="CQ59" i="1" s="1"/>
  <c r="P59" i="1" s="1"/>
  <c r="AE59" i="1"/>
  <c r="CS59" i="1" s="1"/>
  <c r="R59" i="1" s="1"/>
  <c r="AF59" i="1"/>
  <c r="CT59" i="1" s="1"/>
  <c r="S59" i="1" s="1"/>
  <c r="AG59" i="1"/>
  <c r="CU59" i="1" s="1"/>
  <c r="T59" i="1" s="1"/>
  <c r="AH59" i="1"/>
  <c r="AI59" i="1"/>
  <c r="CW59" i="1" s="1"/>
  <c r="V59" i="1" s="1"/>
  <c r="AJ59" i="1"/>
  <c r="CX59" i="1" s="1"/>
  <c r="W59" i="1" s="1"/>
  <c r="CV59" i="1"/>
  <c r="U59" i="1" s="1"/>
  <c r="FR59" i="1"/>
  <c r="GL59" i="1"/>
  <c r="GO59" i="1"/>
  <c r="GP59" i="1"/>
  <c r="GV59" i="1"/>
  <c r="GX59" i="1"/>
  <c r="HC59" i="1"/>
  <c r="AC60" i="1"/>
  <c r="CQ60" i="1" s="1"/>
  <c r="P60" i="1" s="1"/>
  <c r="AE60" i="1"/>
  <c r="CS60" i="1" s="1"/>
  <c r="R60" i="1" s="1"/>
  <c r="AF60" i="1"/>
  <c r="CT60" i="1" s="1"/>
  <c r="S60" i="1" s="1"/>
  <c r="AG60" i="1"/>
  <c r="CU60" i="1" s="1"/>
  <c r="T60" i="1" s="1"/>
  <c r="AH60" i="1"/>
  <c r="AI60" i="1"/>
  <c r="CW60" i="1" s="1"/>
  <c r="V60" i="1" s="1"/>
  <c r="AJ60" i="1"/>
  <c r="CX60" i="1" s="1"/>
  <c r="W60" i="1" s="1"/>
  <c r="CV60" i="1"/>
  <c r="U60" i="1" s="1"/>
  <c r="FR60" i="1"/>
  <c r="GL60" i="1"/>
  <c r="GO60" i="1"/>
  <c r="GP60" i="1"/>
  <c r="GV60" i="1"/>
  <c r="GX60" i="1"/>
  <c r="HC60" i="1"/>
  <c r="AC61" i="1"/>
  <c r="CQ61" i="1" s="1"/>
  <c r="P61" i="1" s="1"/>
  <c r="AE61" i="1"/>
  <c r="CS61" i="1" s="1"/>
  <c r="R61" i="1" s="1"/>
  <c r="AF61" i="1"/>
  <c r="CT61" i="1" s="1"/>
  <c r="S61" i="1" s="1"/>
  <c r="AG61" i="1"/>
  <c r="CU61" i="1" s="1"/>
  <c r="T61" i="1" s="1"/>
  <c r="AH61" i="1"/>
  <c r="AI61" i="1"/>
  <c r="CW61" i="1" s="1"/>
  <c r="V61" i="1" s="1"/>
  <c r="AJ61" i="1"/>
  <c r="CX61" i="1" s="1"/>
  <c r="W61" i="1" s="1"/>
  <c r="CV61" i="1"/>
  <c r="U61" i="1" s="1"/>
  <c r="FR61" i="1"/>
  <c r="GL61" i="1"/>
  <c r="GO61" i="1"/>
  <c r="GP61" i="1"/>
  <c r="GV61" i="1"/>
  <c r="GX61" i="1"/>
  <c r="HC61" i="1"/>
  <c r="AC62" i="1"/>
  <c r="CQ62" i="1" s="1"/>
  <c r="P62" i="1" s="1"/>
  <c r="AE62" i="1"/>
  <c r="CS62" i="1" s="1"/>
  <c r="R62" i="1" s="1"/>
  <c r="AF62" i="1"/>
  <c r="CT62" i="1" s="1"/>
  <c r="S62" i="1" s="1"/>
  <c r="AG62" i="1"/>
  <c r="CU62" i="1" s="1"/>
  <c r="T62" i="1" s="1"/>
  <c r="AH62" i="1"/>
  <c r="AI62" i="1"/>
  <c r="CW62" i="1" s="1"/>
  <c r="V62" i="1" s="1"/>
  <c r="AJ62" i="1"/>
  <c r="CX62" i="1" s="1"/>
  <c r="W62" i="1" s="1"/>
  <c r="CV62" i="1"/>
  <c r="U62" i="1" s="1"/>
  <c r="FR62" i="1"/>
  <c r="GL62" i="1"/>
  <c r="GO62" i="1"/>
  <c r="GP62" i="1"/>
  <c r="GV62" i="1"/>
  <c r="GX62" i="1"/>
  <c r="HC62" i="1"/>
  <c r="AC63" i="1"/>
  <c r="CQ63" i="1" s="1"/>
  <c r="P63" i="1" s="1"/>
  <c r="AE63" i="1"/>
  <c r="CS63" i="1" s="1"/>
  <c r="R63" i="1" s="1"/>
  <c r="AF63" i="1"/>
  <c r="CT63" i="1" s="1"/>
  <c r="S63" i="1" s="1"/>
  <c r="AG63" i="1"/>
  <c r="CU63" i="1" s="1"/>
  <c r="T63" i="1" s="1"/>
  <c r="AH63" i="1"/>
  <c r="AI63" i="1"/>
  <c r="CW63" i="1" s="1"/>
  <c r="V63" i="1" s="1"/>
  <c r="AJ63" i="1"/>
  <c r="CX63" i="1" s="1"/>
  <c r="W63" i="1" s="1"/>
  <c r="CV63" i="1"/>
  <c r="U63" i="1" s="1"/>
  <c r="FR63" i="1"/>
  <c r="GL63" i="1"/>
  <c r="GO63" i="1"/>
  <c r="GP63" i="1"/>
  <c r="GV63" i="1"/>
  <c r="GX63" i="1"/>
  <c r="HC63" i="1"/>
  <c r="B65" i="1"/>
  <c r="B26" i="1" s="1"/>
  <c r="C65" i="1"/>
  <c r="C26" i="1" s="1"/>
  <c r="D65" i="1"/>
  <c r="D26" i="1" s="1"/>
  <c r="F65" i="1"/>
  <c r="F26" i="1" s="1"/>
  <c r="G65" i="1"/>
  <c r="G26" i="1" s="1"/>
  <c r="AQ65" i="1"/>
  <c r="AQ26" i="1" s="1"/>
  <c r="BX65" i="1"/>
  <c r="BX26" i="1" s="1"/>
  <c r="BY65" i="1"/>
  <c r="BY26" i="1" s="1"/>
  <c r="BZ65" i="1"/>
  <c r="BZ26" i="1" s="1"/>
  <c r="CD65" i="1"/>
  <c r="CD26" i="1" s="1"/>
  <c r="CI65" i="1"/>
  <c r="CI26" i="1" s="1"/>
  <c r="CK65" i="1"/>
  <c r="CK26" i="1" s="1"/>
  <c r="CL65" i="1"/>
  <c r="CL26" i="1" s="1"/>
  <c r="F75" i="1"/>
  <c r="D94" i="1"/>
  <c r="E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FA96" i="1"/>
  <c r="FB96" i="1"/>
  <c r="FC96" i="1"/>
  <c r="FD96" i="1"/>
  <c r="FE96" i="1"/>
  <c r="FF96" i="1"/>
  <c r="FG96" i="1"/>
  <c r="FH96" i="1"/>
  <c r="FI96" i="1"/>
  <c r="FJ96" i="1"/>
  <c r="FK96" i="1"/>
  <c r="FL96" i="1"/>
  <c r="FM96" i="1"/>
  <c r="FN96" i="1"/>
  <c r="FO96" i="1"/>
  <c r="FP96" i="1"/>
  <c r="FQ96" i="1"/>
  <c r="FR96" i="1"/>
  <c r="FS96" i="1"/>
  <c r="FT96" i="1"/>
  <c r="FU96" i="1"/>
  <c r="FV96" i="1"/>
  <c r="FW96" i="1"/>
  <c r="FX96" i="1"/>
  <c r="FY96" i="1"/>
  <c r="FZ96" i="1"/>
  <c r="GA96" i="1"/>
  <c r="GB96" i="1"/>
  <c r="GC96" i="1"/>
  <c r="GD96" i="1"/>
  <c r="GE96" i="1"/>
  <c r="GF96" i="1"/>
  <c r="GG96" i="1"/>
  <c r="GH96" i="1"/>
  <c r="GI96" i="1"/>
  <c r="GJ96" i="1"/>
  <c r="GK96" i="1"/>
  <c r="GL96" i="1"/>
  <c r="GM96" i="1"/>
  <c r="GN96" i="1"/>
  <c r="GO96" i="1"/>
  <c r="GP96" i="1"/>
  <c r="GQ96" i="1"/>
  <c r="GR96" i="1"/>
  <c r="GS96" i="1"/>
  <c r="GT96" i="1"/>
  <c r="GU96" i="1"/>
  <c r="GV96" i="1"/>
  <c r="GW96" i="1"/>
  <c r="GX96" i="1"/>
  <c r="D98" i="1"/>
  <c r="E100" i="1"/>
  <c r="Z100" i="1"/>
  <c r="AA100" i="1"/>
  <c r="AM100" i="1"/>
  <c r="AN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FA100" i="1"/>
  <c r="FB100" i="1"/>
  <c r="FC100" i="1"/>
  <c r="FD100" i="1"/>
  <c r="FE100" i="1"/>
  <c r="FF100" i="1"/>
  <c r="FG100" i="1"/>
  <c r="FH100" i="1"/>
  <c r="FI100" i="1"/>
  <c r="FJ100" i="1"/>
  <c r="FK100" i="1"/>
  <c r="FL100" i="1"/>
  <c r="FM100" i="1"/>
  <c r="FN100" i="1"/>
  <c r="FO100" i="1"/>
  <c r="FP100" i="1"/>
  <c r="FQ100" i="1"/>
  <c r="FR100" i="1"/>
  <c r="FS100" i="1"/>
  <c r="FT100" i="1"/>
  <c r="FU100" i="1"/>
  <c r="FV100" i="1"/>
  <c r="FW100" i="1"/>
  <c r="FX100" i="1"/>
  <c r="FY100" i="1"/>
  <c r="FZ100" i="1"/>
  <c r="GA100" i="1"/>
  <c r="GB100" i="1"/>
  <c r="GC100" i="1"/>
  <c r="GD100" i="1"/>
  <c r="GE100" i="1"/>
  <c r="GF100" i="1"/>
  <c r="GG100" i="1"/>
  <c r="GH100" i="1"/>
  <c r="GI100" i="1"/>
  <c r="GJ100" i="1"/>
  <c r="GK100" i="1"/>
  <c r="GL100" i="1"/>
  <c r="GM100" i="1"/>
  <c r="GN100" i="1"/>
  <c r="GO100" i="1"/>
  <c r="GP100" i="1"/>
  <c r="GQ100" i="1"/>
  <c r="GR100" i="1"/>
  <c r="GS100" i="1"/>
  <c r="GT100" i="1"/>
  <c r="GU100" i="1"/>
  <c r="GV100" i="1"/>
  <c r="GW100" i="1"/>
  <c r="GX100" i="1"/>
  <c r="C102" i="1"/>
  <c r="D102" i="1"/>
  <c r="I102" i="1"/>
  <c r="AC102" i="1"/>
  <c r="AE102" i="1"/>
  <c r="CS102" i="1" s="1"/>
  <c r="R102" i="1" s="1"/>
  <c r="AF102" i="1"/>
  <c r="AG102" i="1"/>
  <c r="CU102" i="1" s="1"/>
  <c r="T102" i="1" s="1"/>
  <c r="AH102" i="1"/>
  <c r="AI102" i="1"/>
  <c r="CW102" i="1" s="1"/>
  <c r="V102" i="1" s="1"/>
  <c r="AJ102" i="1"/>
  <c r="CT102" i="1"/>
  <c r="S102" i="1" s="1"/>
  <c r="CV102" i="1"/>
  <c r="U102" i="1" s="1"/>
  <c r="CX102" i="1"/>
  <c r="W102" i="1" s="1"/>
  <c r="FR102" i="1"/>
  <c r="GL102" i="1"/>
  <c r="GO102" i="1"/>
  <c r="GP102" i="1"/>
  <c r="GV102" i="1"/>
  <c r="GX102" i="1"/>
  <c r="HC102" i="1"/>
  <c r="C103" i="1"/>
  <c r="D103" i="1"/>
  <c r="I103" i="1"/>
  <c r="AC103" i="1"/>
  <c r="AD103" i="1"/>
  <c r="AB103" i="1" s="1"/>
  <c r="AE103" i="1"/>
  <c r="AF103" i="1"/>
  <c r="CT103" i="1" s="1"/>
  <c r="S103" i="1" s="1"/>
  <c r="AG103" i="1"/>
  <c r="AH103" i="1"/>
  <c r="CV103" i="1" s="1"/>
  <c r="U103" i="1" s="1"/>
  <c r="AI103" i="1"/>
  <c r="AJ103" i="1"/>
  <c r="CX103" i="1" s="1"/>
  <c r="W103" i="1" s="1"/>
  <c r="CQ103" i="1"/>
  <c r="P103" i="1" s="1"/>
  <c r="CS103" i="1"/>
  <c r="R103" i="1" s="1"/>
  <c r="CU103" i="1"/>
  <c r="T103" i="1" s="1"/>
  <c r="CW103" i="1"/>
  <c r="V103" i="1" s="1"/>
  <c r="FR103" i="1"/>
  <c r="GL103" i="1"/>
  <c r="GO103" i="1"/>
  <c r="GP103" i="1"/>
  <c r="GV103" i="1"/>
  <c r="HC103" i="1"/>
  <c r="GX103" i="1" s="1"/>
  <c r="I104" i="1"/>
  <c r="O104" i="1"/>
  <c r="P104" i="1"/>
  <c r="Q104" i="1"/>
  <c r="R104" i="1"/>
  <c r="S104" i="1"/>
  <c r="T104" i="1"/>
  <c r="U104" i="1"/>
  <c r="V104" i="1"/>
  <c r="W104" i="1"/>
  <c r="X104" i="1"/>
  <c r="Y104" i="1"/>
  <c r="AB104" i="1"/>
  <c r="AC104" i="1"/>
  <c r="AD104" i="1"/>
  <c r="AE104" i="1"/>
  <c r="AF104" i="1"/>
  <c r="AG104" i="1"/>
  <c r="AH104" i="1"/>
  <c r="AI104" i="1"/>
  <c r="AJ104" i="1"/>
  <c r="CP104" i="1"/>
  <c r="GM104" i="1" s="1"/>
  <c r="FR104" i="1"/>
  <c r="GL104" i="1"/>
  <c r="GN104" i="1"/>
  <c r="GO104" i="1"/>
  <c r="GP104" i="1"/>
  <c r="GV104" i="1"/>
  <c r="GX104" i="1"/>
  <c r="I105" i="1"/>
  <c r="O105" i="1"/>
  <c r="P105" i="1"/>
  <c r="Q105" i="1"/>
  <c r="R105" i="1"/>
  <c r="S105" i="1"/>
  <c r="T105" i="1"/>
  <c r="U105" i="1"/>
  <c r="V105" i="1"/>
  <c r="W105" i="1"/>
  <c r="X105" i="1"/>
  <c r="Y105" i="1"/>
  <c r="AB105" i="1"/>
  <c r="AC105" i="1"/>
  <c r="AD105" i="1"/>
  <c r="AE105" i="1"/>
  <c r="AF105" i="1"/>
  <c r="AG105" i="1"/>
  <c r="AH105" i="1"/>
  <c r="AI105" i="1"/>
  <c r="AJ105" i="1"/>
  <c r="CP105" i="1"/>
  <c r="GM105" i="1" s="1"/>
  <c r="FR105" i="1"/>
  <c r="GL105" i="1"/>
  <c r="GN105" i="1"/>
  <c r="GO105" i="1"/>
  <c r="GP105" i="1"/>
  <c r="GV105" i="1"/>
  <c r="GX105" i="1"/>
  <c r="C106" i="1"/>
  <c r="D106" i="1"/>
  <c r="I106" i="1"/>
  <c r="AC106" i="1"/>
  <c r="CQ106" i="1" s="1"/>
  <c r="P106" i="1" s="1"/>
  <c r="AE106" i="1"/>
  <c r="AD106" i="1" s="1"/>
  <c r="CR106" i="1" s="1"/>
  <c r="Q106" i="1" s="1"/>
  <c r="AF106" i="1"/>
  <c r="AG106" i="1"/>
  <c r="CU106" i="1" s="1"/>
  <c r="T106" i="1" s="1"/>
  <c r="AH106" i="1"/>
  <c r="AI106" i="1"/>
  <c r="AJ106" i="1"/>
  <c r="CS106" i="1"/>
  <c r="R106" i="1" s="1"/>
  <c r="CT106" i="1"/>
  <c r="S106" i="1" s="1"/>
  <c r="CV106" i="1"/>
  <c r="U106" i="1" s="1"/>
  <c r="CW106" i="1"/>
  <c r="V106" i="1" s="1"/>
  <c r="CX106" i="1"/>
  <c r="W106" i="1" s="1"/>
  <c r="FR106" i="1"/>
  <c r="GL106" i="1"/>
  <c r="GO106" i="1"/>
  <c r="GP106" i="1"/>
  <c r="GV106" i="1"/>
  <c r="HC106" i="1"/>
  <c r="GX106" i="1" s="1"/>
  <c r="I107" i="1"/>
  <c r="AC107" i="1"/>
  <c r="AE107" i="1"/>
  <c r="AD107" i="1" s="1"/>
  <c r="AF107" i="1"/>
  <c r="CT107" i="1" s="1"/>
  <c r="S107" i="1" s="1"/>
  <c r="AG107" i="1"/>
  <c r="AH107" i="1"/>
  <c r="AI107" i="1"/>
  <c r="AJ107" i="1"/>
  <c r="CX107" i="1" s="1"/>
  <c r="W107" i="1" s="1"/>
  <c r="CQ107" i="1"/>
  <c r="P107" i="1" s="1"/>
  <c r="CS107" i="1"/>
  <c r="R107" i="1" s="1"/>
  <c r="CU107" i="1"/>
  <c r="T107" i="1" s="1"/>
  <c r="CV107" i="1"/>
  <c r="U107" i="1" s="1"/>
  <c r="CW107" i="1"/>
  <c r="V107" i="1" s="1"/>
  <c r="FR107" i="1"/>
  <c r="GL107" i="1"/>
  <c r="GO107" i="1"/>
  <c r="GP107" i="1"/>
  <c r="GV107" i="1"/>
  <c r="HC107" i="1"/>
  <c r="GX107" i="1" s="1"/>
  <c r="C108" i="1"/>
  <c r="D108" i="1"/>
  <c r="I108" i="1"/>
  <c r="AC108" i="1"/>
  <c r="CQ108" i="1" s="1"/>
  <c r="P108" i="1" s="1"/>
  <c r="AE108" i="1"/>
  <c r="AD108" i="1" s="1"/>
  <c r="CR108" i="1" s="1"/>
  <c r="Q108" i="1" s="1"/>
  <c r="AF108" i="1"/>
  <c r="AG108" i="1"/>
  <c r="CU108" i="1" s="1"/>
  <c r="T108" i="1" s="1"/>
  <c r="AH108" i="1"/>
  <c r="AI108" i="1"/>
  <c r="AJ108" i="1"/>
  <c r="CS108" i="1"/>
  <c r="R108" i="1" s="1"/>
  <c r="CT108" i="1"/>
  <c r="S108" i="1" s="1"/>
  <c r="CV108" i="1"/>
  <c r="U108" i="1" s="1"/>
  <c r="CW108" i="1"/>
  <c r="V108" i="1" s="1"/>
  <c r="CX108" i="1"/>
  <c r="W108" i="1" s="1"/>
  <c r="FR108" i="1"/>
  <c r="GL108" i="1"/>
  <c r="GO108" i="1"/>
  <c r="GP108" i="1"/>
  <c r="GV108" i="1"/>
  <c r="HC108" i="1"/>
  <c r="GX108" i="1" s="1"/>
  <c r="I109" i="1"/>
  <c r="AC109" i="1"/>
  <c r="AE109" i="1"/>
  <c r="AD109" i="1" s="1"/>
  <c r="AF109" i="1"/>
  <c r="CT109" i="1" s="1"/>
  <c r="S109" i="1" s="1"/>
  <c r="AG109" i="1"/>
  <c r="AH109" i="1"/>
  <c r="AI109" i="1"/>
  <c r="AJ109" i="1"/>
  <c r="CX109" i="1" s="1"/>
  <c r="W109" i="1" s="1"/>
  <c r="CQ109" i="1"/>
  <c r="P109" i="1" s="1"/>
  <c r="CS109" i="1"/>
  <c r="R109" i="1" s="1"/>
  <c r="CU109" i="1"/>
  <c r="T109" i="1" s="1"/>
  <c r="CV109" i="1"/>
  <c r="U109" i="1" s="1"/>
  <c r="CW109" i="1"/>
  <c r="V109" i="1" s="1"/>
  <c r="FR109" i="1"/>
  <c r="GL109" i="1"/>
  <c r="GO109" i="1"/>
  <c r="GP109" i="1"/>
  <c r="GV109" i="1"/>
  <c r="HC109" i="1"/>
  <c r="GX109" i="1" s="1"/>
  <c r="C110" i="1"/>
  <c r="D110" i="1"/>
  <c r="I110" i="1"/>
  <c r="AC110" i="1"/>
  <c r="AB110" i="1" s="1"/>
  <c r="AD110" i="1"/>
  <c r="CR110" i="1" s="1"/>
  <c r="Q110" i="1" s="1"/>
  <c r="AE110" i="1"/>
  <c r="AF110" i="1"/>
  <c r="AG110" i="1"/>
  <c r="AH110" i="1"/>
  <c r="CV110" i="1" s="1"/>
  <c r="U110" i="1" s="1"/>
  <c r="AI110" i="1"/>
  <c r="AJ110" i="1"/>
  <c r="CQ110" i="1"/>
  <c r="P110" i="1" s="1"/>
  <c r="CP110" i="1" s="1"/>
  <c r="O110" i="1" s="1"/>
  <c r="CS110" i="1"/>
  <c r="R110" i="1" s="1"/>
  <c r="CT110" i="1"/>
  <c r="S110" i="1" s="1"/>
  <c r="CU110" i="1"/>
  <c r="T110" i="1" s="1"/>
  <c r="CW110" i="1"/>
  <c r="V110" i="1" s="1"/>
  <c r="CX110" i="1"/>
  <c r="W110" i="1" s="1"/>
  <c r="FR110" i="1"/>
  <c r="GL110" i="1"/>
  <c r="GO110" i="1"/>
  <c r="GP110" i="1"/>
  <c r="GV110" i="1"/>
  <c r="HC110" i="1"/>
  <c r="GX110" i="1" s="1"/>
  <c r="I111" i="1"/>
  <c r="AC111" i="1"/>
  <c r="AB111" i="1" s="1"/>
  <c r="AE111" i="1"/>
  <c r="AD111" i="1" s="1"/>
  <c r="CR111" i="1" s="1"/>
  <c r="Q111" i="1" s="1"/>
  <c r="AF111" i="1"/>
  <c r="AG111" i="1"/>
  <c r="CU111" i="1" s="1"/>
  <c r="T111" i="1" s="1"/>
  <c r="AH111" i="1"/>
  <c r="AI111" i="1"/>
  <c r="AJ111" i="1"/>
  <c r="CS111" i="1"/>
  <c r="R111" i="1" s="1"/>
  <c r="CT111" i="1"/>
  <c r="S111" i="1" s="1"/>
  <c r="CV111" i="1"/>
  <c r="U111" i="1" s="1"/>
  <c r="CW111" i="1"/>
  <c r="V111" i="1" s="1"/>
  <c r="CX111" i="1"/>
  <c r="W111" i="1" s="1"/>
  <c r="FR111" i="1"/>
  <c r="GL111" i="1"/>
  <c r="GO111" i="1"/>
  <c r="GP111" i="1"/>
  <c r="GV111" i="1"/>
  <c r="HC111" i="1"/>
  <c r="GX111" i="1" s="1"/>
  <c r="C112" i="1"/>
  <c r="D112" i="1"/>
  <c r="I112" i="1"/>
  <c r="AC112" i="1"/>
  <c r="AB112" i="1" s="1"/>
  <c r="AD112" i="1"/>
  <c r="CR112" i="1" s="1"/>
  <c r="Q112" i="1" s="1"/>
  <c r="AE112" i="1"/>
  <c r="AF112" i="1"/>
  <c r="AG112" i="1"/>
  <c r="AH112" i="1"/>
  <c r="CV112" i="1" s="1"/>
  <c r="U112" i="1" s="1"/>
  <c r="AI112" i="1"/>
  <c r="AJ112" i="1"/>
  <c r="CQ112" i="1"/>
  <c r="P112" i="1" s="1"/>
  <c r="CS112" i="1"/>
  <c r="R112" i="1" s="1"/>
  <c r="CT112" i="1"/>
  <c r="S112" i="1" s="1"/>
  <c r="CZ112" i="1" s="1"/>
  <c r="Y112" i="1" s="1"/>
  <c r="CU112" i="1"/>
  <c r="T112" i="1" s="1"/>
  <c r="CW112" i="1"/>
  <c r="V112" i="1" s="1"/>
  <c r="CX112" i="1"/>
  <c r="W112" i="1" s="1"/>
  <c r="CY112" i="1"/>
  <c r="X112" i="1" s="1"/>
  <c r="FR112" i="1"/>
  <c r="GL112" i="1"/>
  <c r="GO112" i="1"/>
  <c r="GP112" i="1"/>
  <c r="GV112" i="1"/>
  <c r="HC112" i="1" s="1"/>
  <c r="GX112" i="1" s="1"/>
  <c r="I113" i="1"/>
  <c r="Q113" i="1" s="1"/>
  <c r="AC113" i="1"/>
  <c r="AE113" i="1"/>
  <c r="AD113" i="1" s="1"/>
  <c r="AF113" i="1"/>
  <c r="AB113" i="1" s="1"/>
  <c r="AG113" i="1"/>
  <c r="CU113" i="1" s="1"/>
  <c r="T113" i="1" s="1"/>
  <c r="AH113" i="1"/>
  <c r="CV113" i="1" s="1"/>
  <c r="U113" i="1" s="1"/>
  <c r="AI113" i="1"/>
  <c r="AJ113" i="1"/>
  <c r="CX113" i="1" s="1"/>
  <c r="W113" i="1" s="1"/>
  <c r="CQ113" i="1"/>
  <c r="CR113" i="1"/>
  <c r="CS113" i="1"/>
  <c r="R113" i="1" s="1"/>
  <c r="CW113" i="1"/>
  <c r="V113" i="1" s="1"/>
  <c r="AI118" i="1" s="1"/>
  <c r="FR113" i="1"/>
  <c r="GL113" i="1"/>
  <c r="GO113" i="1"/>
  <c r="GP113" i="1"/>
  <c r="GV113" i="1"/>
  <c r="HC113" i="1"/>
  <c r="GX113" i="1" s="1"/>
  <c r="I114" i="1"/>
  <c r="AC114" i="1"/>
  <c r="CQ114" i="1" s="1"/>
  <c r="P114" i="1" s="1"/>
  <c r="AE114" i="1"/>
  <c r="AD114" i="1" s="1"/>
  <c r="AF114" i="1"/>
  <c r="CT114" i="1" s="1"/>
  <c r="S114" i="1" s="1"/>
  <c r="AG114" i="1"/>
  <c r="CU114" i="1" s="1"/>
  <c r="T114" i="1" s="1"/>
  <c r="AH114" i="1"/>
  <c r="AI114" i="1"/>
  <c r="CW114" i="1" s="1"/>
  <c r="V114" i="1" s="1"/>
  <c r="AJ114" i="1"/>
  <c r="CX114" i="1" s="1"/>
  <c r="W114" i="1" s="1"/>
  <c r="CV114" i="1"/>
  <c r="U114" i="1" s="1"/>
  <c r="FR114" i="1"/>
  <c r="GL114" i="1"/>
  <c r="GO114" i="1"/>
  <c r="GP114" i="1"/>
  <c r="GV114" i="1"/>
  <c r="GX114" i="1"/>
  <c r="HC114" i="1"/>
  <c r="C115" i="1"/>
  <c r="D115" i="1"/>
  <c r="I115" i="1"/>
  <c r="I116" i="1" s="1"/>
  <c r="GX116" i="1" s="1"/>
  <c r="AC115" i="1"/>
  <c r="CQ115" i="1" s="1"/>
  <c r="P115" i="1" s="1"/>
  <c r="AD115" i="1"/>
  <c r="CR115" i="1" s="1"/>
  <c r="Q115" i="1" s="1"/>
  <c r="AE115" i="1"/>
  <c r="AF115" i="1"/>
  <c r="AB115" i="1" s="1"/>
  <c r="AG115" i="1"/>
  <c r="CU115" i="1" s="1"/>
  <c r="T115" i="1" s="1"/>
  <c r="AH115" i="1"/>
  <c r="CV115" i="1" s="1"/>
  <c r="U115" i="1" s="1"/>
  <c r="AI115" i="1"/>
  <c r="AJ115" i="1"/>
  <c r="CX115" i="1" s="1"/>
  <c r="W115" i="1" s="1"/>
  <c r="CS115" i="1"/>
  <c r="R115" i="1" s="1"/>
  <c r="CW115" i="1"/>
  <c r="V115" i="1" s="1"/>
  <c r="FR115" i="1"/>
  <c r="GL115" i="1"/>
  <c r="GO115" i="1"/>
  <c r="GP115" i="1"/>
  <c r="GV115" i="1"/>
  <c r="HC115" i="1"/>
  <c r="GX115" i="1" s="1"/>
  <c r="AC116" i="1"/>
  <c r="CQ116" i="1" s="1"/>
  <c r="P116" i="1" s="1"/>
  <c r="AE116" i="1"/>
  <c r="AD116" i="1" s="1"/>
  <c r="AF116" i="1"/>
  <c r="CT116" i="1" s="1"/>
  <c r="S116" i="1" s="1"/>
  <c r="AG116" i="1"/>
  <c r="CU116" i="1" s="1"/>
  <c r="T116" i="1" s="1"/>
  <c r="AH116" i="1"/>
  <c r="AI116" i="1"/>
  <c r="CW116" i="1" s="1"/>
  <c r="V116" i="1" s="1"/>
  <c r="AJ116" i="1"/>
  <c r="CX116" i="1" s="1"/>
  <c r="W116" i="1" s="1"/>
  <c r="CV116" i="1"/>
  <c r="U116" i="1" s="1"/>
  <c r="FR116" i="1"/>
  <c r="GL116" i="1"/>
  <c r="GO116" i="1"/>
  <c r="GP116" i="1"/>
  <c r="GV116" i="1"/>
  <c r="HC116" i="1"/>
  <c r="B118" i="1"/>
  <c r="B100" i="1" s="1"/>
  <c r="C118" i="1"/>
  <c r="C100" i="1" s="1"/>
  <c r="D118" i="1"/>
  <c r="D100" i="1" s="1"/>
  <c r="F118" i="1"/>
  <c r="F100" i="1" s="1"/>
  <c r="G118" i="1"/>
  <c r="G100" i="1" s="1"/>
  <c r="BX118" i="1"/>
  <c r="BX100" i="1" s="1"/>
  <c r="BY118" i="1"/>
  <c r="BY100" i="1" s="1"/>
  <c r="BZ118" i="1"/>
  <c r="BZ100" i="1" s="1"/>
  <c r="CC118" i="1"/>
  <c r="CC100" i="1" s="1"/>
  <c r="CD118" i="1"/>
  <c r="CD100" i="1" s="1"/>
  <c r="CG118" i="1"/>
  <c r="CG100" i="1" s="1"/>
  <c r="CK118" i="1"/>
  <c r="CK100" i="1" s="1"/>
  <c r="CL118" i="1"/>
  <c r="CL100" i="1" s="1"/>
  <c r="D147" i="1"/>
  <c r="E149" i="1"/>
  <c r="Z149" i="1"/>
  <c r="AA149" i="1"/>
  <c r="AM149" i="1"/>
  <c r="AN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EF149" i="1"/>
  <c r="EG149" i="1"/>
  <c r="EH149" i="1"/>
  <c r="EI149" i="1"/>
  <c r="EJ149" i="1"/>
  <c r="EK149" i="1"/>
  <c r="EL149" i="1"/>
  <c r="EM149" i="1"/>
  <c r="EN149" i="1"/>
  <c r="EO149" i="1"/>
  <c r="EP149" i="1"/>
  <c r="EQ149" i="1"/>
  <c r="ER149" i="1"/>
  <c r="ES149" i="1"/>
  <c r="ET149" i="1"/>
  <c r="EU149" i="1"/>
  <c r="EV149" i="1"/>
  <c r="EW149" i="1"/>
  <c r="EX149" i="1"/>
  <c r="EY149" i="1"/>
  <c r="EZ149" i="1"/>
  <c r="FA149" i="1"/>
  <c r="FB149" i="1"/>
  <c r="FC149" i="1"/>
  <c r="FD149" i="1"/>
  <c r="FE149" i="1"/>
  <c r="FF149" i="1"/>
  <c r="FG149" i="1"/>
  <c r="FH149" i="1"/>
  <c r="FI149" i="1"/>
  <c r="FJ149" i="1"/>
  <c r="FK149" i="1"/>
  <c r="FL149" i="1"/>
  <c r="FM149" i="1"/>
  <c r="FN149" i="1"/>
  <c r="FO149" i="1"/>
  <c r="FP149" i="1"/>
  <c r="FQ149" i="1"/>
  <c r="FR149" i="1"/>
  <c r="FS149" i="1"/>
  <c r="FT149" i="1"/>
  <c r="FU149" i="1"/>
  <c r="FV149" i="1"/>
  <c r="FW149" i="1"/>
  <c r="FX149" i="1"/>
  <c r="FY149" i="1"/>
  <c r="FZ149" i="1"/>
  <c r="GA149" i="1"/>
  <c r="GB149" i="1"/>
  <c r="GC149" i="1"/>
  <c r="GD149" i="1"/>
  <c r="GE149" i="1"/>
  <c r="GF149" i="1"/>
  <c r="GG149" i="1"/>
  <c r="GH149" i="1"/>
  <c r="GI149" i="1"/>
  <c r="GJ149" i="1"/>
  <c r="GK149" i="1"/>
  <c r="GL149" i="1"/>
  <c r="GM149" i="1"/>
  <c r="GN149" i="1"/>
  <c r="GO149" i="1"/>
  <c r="GP149" i="1"/>
  <c r="GQ149" i="1"/>
  <c r="GR149" i="1"/>
  <c r="GS149" i="1"/>
  <c r="GT149" i="1"/>
  <c r="GU149" i="1"/>
  <c r="GV149" i="1"/>
  <c r="GW149" i="1"/>
  <c r="GX149" i="1"/>
  <c r="C151" i="1"/>
  <c r="D151" i="1"/>
  <c r="I151" i="1"/>
  <c r="AC151" i="1"/>
  <c r="AE151" i="1"/>
  <c r="CS151" i="1" s="1"/>
  <c r="R151" i="1" s="1"/>
  <c r="AF151" i="1"/>
  <c r="CT151" i="1" s="1"/>
  <c r="S151" i="1" s="1"/>
  <c r="AG151" i="1"/>
  <c r="AH151" i="1"/>
  <c r="AI151" i="1"/>
  <c r="CW151" i="1" s="1"/>
  <c r="V151" i="1" s="1"/>
  <c r="AJ151" i="1"/>
  <c r="CX151" i="1" s="1"/>
  <c r="W151" i="1" s="1"/>
  <c r="CQ151" i="1"/>
  <c r="P151" i="1" s="1"/>
  <c r="CU151" i="1"/>
  <c r="T151" i="1" s="1"/>
  <c r="CV151" i="1"/>
  <c r="U151" i="1" s="1"/>
  <c r="FR151" i="1"/>
  <c r="GL151" i="1"/>
  <c r="GO151" i="1"/>
  <c r="GP151" i="1"/>
  <c r="GV151" i="1"/>
  <c r="HC151" i="1" s="1"/>
  <c r="GX151" i="1" s="1"/>
  <c r="C152" i="1"/>
  <c r="D152" i="1"/>
  <c r="I152" i="1"/>
  <c r="AC152" i="1"/>
  <c r="CQ152" i="1" s="1"/>
  <c r="P152" i="1" s="1"/>
  <c r="AE152" i="1"/>
  <c r="AD152" i="1" s="1"/>
  <c r="AF152" i="1"/>
  <c r="CT152" i="1" s="1"/>
  <c r="S152" i="1" s="1"/>
  <c r="AG152" i="1"/>
  <c r="CU152" i="1" s="1"/>
  <c r="T152" i="1" s="1"/>
  <c r="AH152" i="1"/>
  <c r="AI152" i="1"/>
  <c r="AJ152" i="1"/>
  <c r="CX152" i="1" s="1"/>
  <c r="W152" i="1" s="1"/>
  <c r="CS152" i="1"/>
  <c r="R152" i="1" s="1"/>
  <c r="CV152" i="1"/>
  <c r="U152" i="1" s="1"/>
  <c r="CW152" i="1"/>
  <c r="V152" i="1" s="1"/>
  <c r="FR152" i="1"/>
  <c r="GL152" i="1"/>
  <c r="GO152" i="1"/>
  <c r="GP152" i="1"/>
  <c r="GV152" i="1"/>
  <c r="HC152" i="1"/>
  <c r="GX152" i="1" s="1"/>
  <c r="C153" i="1"/>
  <c r="D153" i="1"/>
  <c r="I153" i="1"/>
  <c r="AC153" i="1"/>
  <c r="CQ153" i="1" s="1"/>
  <c r="P153" i="1" s="1"/>
  <c r="AD153" i="1"/>
  <c r="CR153" i="1" s="1"/>
  <c r="Q153" i="1" s="1"/>
  <c r="AE153" i="1"/>
  <c r="AF153" i="1"/>
  <c r="AG153" i="1"/>
  <c r="CU153" i="1" s="1"/>
  <c r="T153" i="1" s="1"/>
  <c r="AH153" i="1"/>
  <c r="CV153" i="1" s="1"/>
  <c r="U153" i="1" s="1"/>
  <c r="AI153" i="1"/>
  <c r="AJ153" i="1"/>
  <c r="CS153" i="1"/>
  <c r="R153" i="1" s="1"/>
  <c r="CT153" i="1"/>
  <c r="S153" i="1" s="1"/>
  <c r="CW153" i="1"/>
  <c r="V153" i="1" s="1"/>
  <c r="CX153" i="1"/>
  <c r="W153" i="1" s="1"/>
  <c r="FR153" i="1"/>
  <c r="GL153" i="1"/>
  <c r="GO153" i="1"/>
  <c r="GP153" i="1"/>
  <c r="GV153" i="1"/>
  <c r="HC153" i="1"/>
  <c r="GX153" i="1" s="1"/>
  <c r="I154" i="1"/>
  <c r="I155" i="1" s="1"/>
  <c r="GN155" i="1" s="1"/>
  <c r="O154" i="1"/>
  <c r="P154" i="1"/>
  <c r="Q154" i="1"/>
  <c r="R154" i="1"/>
  <c r="S154" i="1"/>
  <c r="T154" i="1"/>
  <c r="U154" i="1"/>
  <c r="V154" i="1"/>
  <c r="W154" i="1"/>
  <c r="X154" i="1"/>
  <c r="Y154" i="1"/>
  <c r="AB154" i="1"/>
  <c r="CP154" i="1" s="1"/>
  <c r="AC154" i="1"/>
  <c r="AD154" i="1"/>
  <c r="AE154" i="1"/>
  <c r="AF154" i="1"/>
  <c r="AG154" i="1"/>
  <c r="AH154" i="1"/>
  <c r="AI154" i="1"/>
  <c r="AJ154" i="1"/>
  <c r="FR154" i="1"/>
  <c r="GL154" i="1"/>
  <c r="GO154" i="1"/>
  <c r="GP154" i="1"/>
  <c r="GV154" i="1"/>
  <c r="GX154" i="1"/>
  <c r="O155" i="1"/>
  <c r="P155" i="1"/>
  <c r="Q155" i="1"/>
  <c r="R155" i="1"/>
  <c r="S155" i="1"/>
  <c r="T155" i="1"/>
  <c r="U155" i="1"/>
  <c r="V155" i="1"/>
  <c r="W155" i="1"/>
  <c r="X155" i="1"/>
  <c r="Y155" i="1"/>
  <c r="AB155" i="1"/>
  <c r="AC155" i="1"/>
  <c r="AD155" i="1"/>
  <c r="AE155" i="1"/>
  <c r="AF155" i="1"/>
  <c r="AG155" i="1"/>
  <c r="AH155" i="1"/>
  <c r="AI155" i="1"/>
  <c r="AJ155" i="1"/>
  <c r="CP155" i="1"/>
  <c r="GM155" i="1" s="1"/>
  <c r="FR155" i="1"/>
  <c r="GL155" i="1"/>
  <c r="GO155" i="1"/>
  <c r="GP155" i="1"/>
  <c r="GV155" i="1"/>
  <c r="GX155" i="1"/>
  <c r="C156" i="1"/>
  <c r="D156" i="1"/>
  <c r="I156" i="1"/>
  <c r="AC156" i="1"/>
  <c r="AB156" i="1" s="1"/>
  <c r="AD156" i="1"/>
  <c r="CR156" i="1" s="1"/>
  <c r="Q156" i="1" s="1"/>
  <c r="AE156" i="1"/>
  <c r="CS156" i="1" s="1"/>
  <c r="R156" i="1" s="1"/>
  <c r="AF156" i="1"/>
  <c r="AG156" i="1"/>
  <c r="AH156" i="1"/>
  <c r="CV156" i="1" s="1"/>
  <c r="U156" i="1" s="1"/>
  <c r="AI156" i="1"/>
  <c r="CW156" i="1" s="1"/>
  <c r="V156" i="1" s="1"/>
  <c r="AJ156" i="1"/>
  <c r="CQ156" i="1"/>
  <c r="P156" i="1" s="1"/>
  <c r="CT156" i="1"/>
  <c r="S156" i="1" s="1"/>
  <c r="CU156" i="1"/>
  <c r="T156" i="1" s="1"/>
  <c r="CX156" i="1"/>
  <c r="W156" i="1" s="1"/>
  <c r="FR156" i="1"/>
  <c r="GL156" i="1"/>
  <c r="GO156" i="1"/>
  <c r="GP156" i="1"/>
  <c r="GV156" i="1"/>
  <c r="HC156" i="1" s="1"/>
  <c r="GX156" i="1" s="1"/>
  <c r="I157" i="1"/>
  <c r="AC157" i="1"/>
  <c r="CQ157" i="1" s="1"/>
  <c r="P157" i="1" s="1"/>
  <c r="CP157" i="1" s="1"/>
  <c r="O157" i="1" s="1"/>
  <c r="AD157" i="1"/>
  <c r="CR157" i="1" s="1"/>
  <c r="Q157" i="1" s="1"/>
  <c r="AE157" i="1"/>
  <c r="AF157" i="1"/>
  <c r="AG157" i="1"/>
  <c r="CU157" i="1" s="1"/>
  <c r="T157" i="1" s="1"/>
  <c r="AH157" i="1"/>
  <c r="CV157" i="1" s="1"/>
  <c r="U157" i="1" s="1"/>
  <c r="AI157" i="1"/>
  <c r="AJ157" i="1"/>
  <c r="CS157" i="1"/>
  <c r="R157" i="1" s="1"/>
  <c r="CT157" i="1"/>
  <c r="S157" i="1" s="1"/>
  <c r="CW157" i="1"/>
  <c r="V157" i="1" s="1"/>
  <c r="CX157" i="1"/>
  <c r="W157" i="1" s="1"/>
  <c r="FR157" i="1"/>
  <c r="GL157" i="1"/>
  <c r="GO157" i="1"/>
  <c r="GP157" i="1"/>
  <c r="GV157" i="1"/>
  <c r="HC157" i="1"/>
  <c r="GX157" i="1" s="1"/>
  <c r="C158" i="1"/>
  <c r="D158" i="1"/>
  <c r="I158" i="1"/>
  <c r="AC158" i="1"/>
  <c r="AB158" i="1" s="1"/>
  <c r="AD158" i="1"/>
  <c r="CR158" i="1" s="1"/>
  <c r="Q158" i="1" s="1"/>
  <c r="AE158" i="1"/>
  <c r="CS158" i="1" s="1"/>
  <c r="R158" i="1" s="1"/>
  <c r="AF158" i="1"/>
  <c r="AG158" i="1"/>
  <c r="AH158" i="1"/>
  <c r="CV158" i="1" s="1"/>
  <c r="U158" i="1" s="1"/>
  <c r="AI158" i="1"/>
  <c r="CW158" i="1" s="1"/>
  <c r="V158" i="1" s="1"/>
  <c r="AJ158" i="1"/>
  <c r="CQ158" i="1"/>
  <c r="P158" i="1" s="1"/>
  <c r="CP158" i="1" s="1"/>
  <c r="O158" i="1" s="1"/>
  <c r="CT158" i="1"/>
  <c r="S158" i="1" s="1"/>
  <c r="CU158" i="1"/>
  <c r="T158" i="1" s="1"/>
  <c r="CX158" i="1"/>
  <c r="W158" i="1" s="1"/>
  <c r="FR158" i="1"/>
  <c r="GL158" i="1"/>
  <c r="GO158" i="1"/>
  <c r="GP158" i="1"/>
  <c r="GV158" i="1"/>
  <c r="HC158" i="1" s="1"/>
  <c r="GX158" i="1" s="1"/>
  <c r="I159" i="1"/>
  <c r="AC159" i="1"/>
  <c r="CQ159" i="1" s="1"/>
  <c r="P159" i="1" s="1"/>
  <c r="AD159" i="1"/>
  <c r="CR159" i="1" s="1"/>
  <c r="Q159" i="1" s="1"/>
  <c r="AE159" i="1"/>
  <c r="AF159" i="1"/>
  <c r="AG159" i="1"/>
  <c r="CU159" i="1" s="1"/>
  <c r="T159" i="1" s="1"/>
  <c r="AH159" i="1"/>
  <c r="CV159" i="1" s="1"/>
  <c r="U159" i="1" s="1"/>
  <c r="AI159" i="1"/>
  <c r="AJ159" i="1"/>
  <c r="CS159" i="1"/>
  <c r="R159" i="1" s="1"/>
  <c r="CT159" i="1"/>
  <c r="S159" i="1" s="1"/>
  <c r="CW159" i="1"/>
  <c r="V159" i="1" s="1"/>
  <c r="CX159" i="1"/>
  <c r="W159" i="1" s="1"/>
  <c r="FR159" i="1"/>
  <c r="GL159" i="1"/>
  <c r="GO159" i="1"/>
  <c r="GP159" i="1"/>
  <c r="GV159" i="1"/>
  <c r="HC159" i="1"/>
  <c r="GX159" i="1" s="1"/>
  <c r="C160" i="1"/>
  <c r="D160" i="1"/>
  <c r="I160" i="1"/>
  <c r="AC160" i="1"/>
  <c r="AB160" i="1" s="1"/>
  <c r="AD160" i="1"/>
  <c r="CR160" i="1" s="1"/>
  <c r="Q160" i="1" s="1"/>
  <c r="AE160" i="1"/>
  <c r="CS160" i="1" s="1"/>
  <c r="R160" i="1" s="1"/>
  <c r="AF160" i="1"/>
  <c r="AG160" i="1"/>
  <c r="AH160" i="1"/>
  <c r="CV160" i="1" s="1"/>
  <c r="U160" i="1" s="1"/>
  <c r="AI160" i="1"/>
  <c r="CW160" i="1" s="1"/>
  <c r="V160" i="1" s="1"/>
  <c r="AJ160" i="1"/>
  <c r="CQ160" i="1"/>
  <c r="P160" i="1" s="1"/>
  <c r="CP160" i="1" s="1"/>
  <c r="O160" i="1" s="1"/>
  <c r="CT160" i="1"/>
  <c r="S160" i="1" s="1"/>
  <c r="CU160" i="1"/>
  <c r="T160" i="1" s="1"/>
  <c r="CX160" i="1"/>
  <c r="W160" i="1" s="1"/>
  <c r="FR160" i="1"/>
  <c r="GL160" i="1"/>
  <c r="GO160" i="1"/>
  <c r="GP160" i="1"/>
  <c r="GV160" i="1"/>
  <c r="HC160" i="1" s="1"/>
  <c r="GX160" i="1" s="1"/>
  <c r="I161" i="1"/>
  <c r="AC161" i="1"/>
  <c r="CQ161" i="1" s="1"/>
  <c r="P161" i="1" s="1"/>
  <c r="AD161" i="1"/>
  <c r="CR161" i="1" s="1"/>
  <c r="Q161" i="1" s="1"/>
  <c r="CP161" i="1" s="1"/>
  <c r="O161" i="1" s="1"/>
  <c r="AE161" i="1"/>
  <c r="AF161" i="1"/>
  <c r="AG161" i="1"/>
  <c r="CU161" i="1" s="1"/>
  <c r="T161" i="1" s="1"/>
  <c r="AH161" i="1"/>
  <c r="CV161" i="1" s="1"/>
  <c r="U161" i="1" s="1"/>
  <c r="AI161" i="1"/>
  <c r="AJ161" i="1"/>
  <c r="CS161" i="1"/>
  <c r="R161" i="1" s="1"/>
  <c r="CT161" i="1"/>
  <c r="S161" i="1" s="1"/>
  <c r="CW161" i="1"/>
  <c r="V161" i="1" s="1"/>
  <c r="CX161" i="1"/>
  <c r="W161" i="1" s="1"/>
  <c r="FR161" i="1"/>
  <c r="GL161" i="1"/>
  <c r="GO161" i="1"/>
  <c r="GP161" i="1"/>
  <c r="GV161" i="1"/>
  <c r="HC161" i="1"/>
  <c r="GX161" i="1" s="1"/>
  <c r="I162" i="1"/>
  <c r="R162" i="1"/>
  <c r="U162" i="1"/>
  <c r="AB162" i="1"/>
  <c r="AC162" i="1"/>
  <c r="CQ162" i="1" s="1"/>
  <c r="P162" i="1" s="1"/>
  <c r="AE162" i="1"/>
  <c r="AD162" i="1" s="1"/>
  <c r="AF162" i="1"/>
  <c r="CT162" i="1" s="1"/>
  <c r="S162" i="1" s="1"/>
  <c r="AG162" i="1"/>
  <c r="CU162" i="1" s="1"/>
  <c r="T162" i="1" s="1"/>
  <c r="AH162" i="1"/>
  <c r="AI162" i="1"/>
  <c r="AJ162" i="1"/>
  <c r="CX162" i="1" s="1"/>
  <c r="W162" i="1" s="1"/>
  <c r="CR162" i="1"/>
  <c r="Q162" i="1" s="1"/>
  <c r="CS162" i="1"/>
  <c r="CV162" i="1"/>
  <c r="CW162" i="1"/>
  <c r="V162" i="1" s="1"/>
  <c r="CZ162" i="1"/>
  <c r="Y162" i="1" s="1"/>
  <c r="FR162" i="1"/>
  <c r="GL162" i="1"/>
  <c r="GO162" i="1"/>
  <c r="GP162" i="1"/>
  <c r="GV162" i="1"/>
  <c r="HC162" i="1"/>
  <c r="GX162" i="1" s="1"/>
  <c r="C163" i="1"/>
  <c r="D163" i="1"/>
  <c r="I163" i="1"/>
  <c r="AC163" i="1"/>
  <c r="AD163" i="1"/>
  <c r="CR163" i="1" s="1"/>
  <c r="Q163" i="1" s="1"/>
  <c r="AE163" i="1"/>
  <c r="AF163" i="1"/>
  <c r="AB163" i="1" s="1"/>
  <c r="AG163" i="1"/>
  <c r="AH163" i="1"/>
  <c r="CV163" i="1" s="1"/>
  <c r="U163" i="1" s="1"/>
  <c r="AI163" i="1"/>
  <c r="AJ163" i="1"/>
  <c r="CQ163" i="1"/>
  <c r="P163" i="1" s="1"/>
  <c r="CP163" i="1" s="1"/>
  <c r="O163" i="1" s="1"/>
  <c r="CS163" i="1"/>
  <c r="R163" i="1" s="1"/>
  <c r="CT163" i="1"/>
  <c r="S163" i="1" s="1"/>
  <c r="CU163" i="1"/>
  <c r="CW163" i="1"/>
  <c r="V163" i="1" s="1"/>
  <c r="CX163" i="1"/>
  <c r="W163" i="1" s="1"/>
  <c r="FR163" i="1"/>
  <c r="GL163" i="1"/>
  <c r="GO163" i="1"/>
  <c r="GP163" i="1"/>
  <c r="GV163" i="1"/>
  <c r="HC163" i="1"/>
  <c r="GX163" i="1" s="1"/>
  <c r="I164" i="1"/>
  <c r="AC164" i="1"/>
  <c r="CQ164" i="1" s="1"/>
  <c r="P164" i="1" s="1"/>
  <c r="AE164" i="1"/>
  <c r="AD164" i="1" s="1"/>
  <c r="CR164" i="1" s="1"/>
  <c r="Q164" i="1" s="1"/>
  <c r="AF164" i="1"/>
  <c r="AG164" i="1"/>
  <c r="CU164" i="1" s="1"/>
  <c r="AH164" i="1"/>
  <c r="AI164" i="1"/>
  <c r="CW164" i="1" s="1"/>
  <c r="V164" i="1" s="1"/>
  <c r="AJ164" i="1"/>
  <c r="CS164" i="1"/>
  <c r="R164" i="1" s="1"/>
  <c r="CT164" i="1"/>
  <c r="S164" i="1" s="1"/>
  <c r="CV164" i="1"/>
  <c r="U164" i="1" s="1"/>
  <c r="CX164" i="1"/>
  <c r="W164" i="1" s="1"/>
  <c r="FR164" i="1"/>
  <c r="GL164" i="1"/>
  <c r="GO164" i="1"/>
  <c r="GP164" i="1"/>
  <c r="GV164" i="1"/>
  <c r="GX164" i="1"/>
  <c r="HC164" i="1"/>
  <c r="AC165" i="1"/>
  <c r="AD165" i="1"/>
  <c r="AE165" i="1"/>
  <c r="AF165" i="1"/>
  <c r="CT165" i="1" s="1"/>
  <c r="AG165" i="1"/>
  <c r="AH165" i="1"/>
  <c r="AI165" i="1"/>
  <c r="AJ165" i="1"/>
  <c r="CX165" i="1" s="1"/>
  <c r="CQ165" i="1"/>
  <c r="CR165" i="1"/>
  <c r="CS165" i="1"/>
  <c r="CU165" i="1"/>
  <c r="CV165" i="1"/>
  <c r="CW165" i="1"/>
  <c r="FR165" i="1"/>
  <c r="GL165" i="1"/>
  <c r="GO165" i="1"/>
  <c r="GP165" i="1"/>
  <c r="GV165" i="1"/>
  <c r="HC165" i="1"/>
  <c r="C166" i="1"/>
  <c r="D166" i="1"/>
  <c r="I166" i="1"/>
  <c r="AC166" i="1"/>
  <c r="AE166" i="1"/>
  <c r="CS166" i="1" s="1"/>
  <c r="R166" i="1" s="1"/>
  <c r="AF166" i="1"/>
  <c r="CT166" i="1" s="1"/>
  <c r="S166" i="1" s="1"/>
  <c r="AG166" i="1"/>
  <c r="AH166" i="1"/>
  <c r="AI166" i="1"/>
  <c r="CW166" i="1" s="1"/>
  <c r="V166" i="1" s="1"/>
  <c r="AJ166" i="1"/>
  <c r="CX166" i="1" s="1"/>
  <c r="W166" i="1" s="1"/>
  <c r="CQ166" i="1"/>
  <c r="P166" i="1" s="1"/>
  <c r="CU166" i="1"/>
  <c r="T166" i="1" s="1"/>
  <c r="CV166" i="1"/>
  <c r="U166" i="1" s="1"/>
  <c r="FR166" i="1"/>
  <c r="GL166" i="1"/>
  <c r="GO166" i="1"/>
  <c r="GP166" i="1"/>
  <c r="GV166" i="1"/>
  <c r="HC166" i="1" s="1"/>
  <c r="GX166" i="1" s="1"/>
  <c r="AC167" i="1"/>
  <c r="AB167" i="1" s="1"/>
  <c r="AD167" i="1"/>
  <c r="CR167" i="1" s="1"/>
  <c r="AE167" i="1"/>
  <c r="CS167" i="1" s="1"/>
  <c r="AF167" i="1"/>
  <c r="AG167" i="1"/>
  <c r="AH167" i="1"/>
  <c r="CV167" i="1" s="1"/>
  <c r="AI167" i="1"/>
  <c r="CW167" i="1" s="1"/>
  <c r="AJ167" i="1"/>
  <c r="CQ167" i="1"/>
  <c r="CT167" i="1"/>
  <c r="CU167" i="1"/>
  <c r="CX167" i="1"/>
  <c r="FR167" i="1"/>
  <c r="GL167" i="1"/>
  <c r="GO167" i="1"/>
  <c r="GP167" i="1"/>
  <c r="GV167" i="1"/>
  <c r="HC167" i="1" s="1"/>
  <c r="I168" i="1"/>
  <c r="AC168" i="1"/>
  <c r="CQ168" i="1" s="1"/>
  <c r="P168" i="1" s="1"/>
  <c r="AD168" i="1"/>
  <c r="CR168" i="1" s="1"/>
  <c r="Q168" i="1" s="1"/>
  <c r="AE168" i="1"/>
  <c r="AF168" i="1"/>
  <c r="AG168" i="1"/>
  <c r="CU168" i="1" s="1"/>
  <c r="T168" i="1" s="1"/>
  <c r="AH168" i="1"/>
  <c r="CV168" i="1" s="1"/>
  <c r="U168" i="1" s="1"/>
  <c r="AI168" i="1"/>
  <c r="AJ168" i="1"/>
  <c r="CS168" i="1"/>
  <c r="R168" i="1" s="1"/>
  <c r="CT168" i="1"/>
  <c r="S168" i="1" s="1"/>
  <c r="CW168" i="1"/>
  <c r="V168" i="1" s="1"/>
  <c r="CX168" i="1"/>
  <c r="W168" i="1" s="1"/>
  <c r="FR168" i="1"/>
  <c r="GL168" i="1"/>
  <c r="GO168" i="1"/>
  <c r="GP168" i="1"/>
  <c r="GV168" i="1"/>
  <c r="HC168" i="1"/>
  <c r="GX168" i="1" s="1"/>
  <c r="B170" i="1"/>
  <c r="B149" i="1" s="1"/>
  <c r="C170" i="1"/>
  <c r="C149" i="1" s="1"/>
  <c r="D170" i="1"/>
  <c r="D149" i="1" s="1"/>
  <c r="F170" i="1"/>
  <c r="F149" i="1" s="1"/>
  <c r="G170" i="1"/>
  <c r="G149" i="1" s="1"/>
  <c r="AO170" i="1"/>
  <c r="AO149" i="1" s="1"/>
  <c r="BX170" i="1"/>
  <c r="BX149" i="1" s="1"/>
  <c r="BY170" i="1"/>
  <c r="BY149" i="1" s="1"/>
  <c r="BZ170" i="1"/>
  <c r="BZ149" i="1" s="1"/>
  <c r="CC170" i="1"/>
  <c r="CC149" i="1" s="1"/>
  <c r="CD170" i="1"/>
  <c r="CD149" i="1" s="1"/>
  <c r="CG170" i="1"/>
  <c r="CG149" i="1" s="1"/>
  <c r="CK170" i="1"/>
  <c r="CK149" i="1" s="1"/>
  <c r="CL170" i="1"/>
  <c r="CL149" i="1" s="1"/>
  <c r="F174" i="1"/>
  <c r="D199" i="1"/>
  <c r="E201" i="1"/>
  <c r="Z201" i="1"/>
  <c r="AA201" i="1"/>
  <c r="AM201" i="1"/>
  <c r="AN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DB201" i="1"/>
  <c r="DC201" i="1"/>
  <c r="DD201" i="1"/>
  <c r="DE201" i="1"/>
  <c r="DF201" i="1"/>
  <c r="DG201" i="1"/>
  <c r="DH201" i="1"/>
  <c r="DI201" i="1"/>
  <c r="DJ201" i="1"/>
  <c r="DK201" i="1"/>
  <c r="DL201" i="1"/>
  <c r="DM201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EF201" i="1"/>
  <c r="EG201" i="1"/>
  <c r="EH201" i="1"/>
  <c r="EI201" i="1"/>
  <c r="EJ201" i="1"/>
  <c r="EK201" i="1"/>
  <c r="EL201" i="1"/>
  <c r="EM201" i="1"/>
  <c r="EN201" i="1"/>
  <c r="EO201" i="1"/>
  <c r="EP201" i="1"/>
  <c r="EQ201" i="1"/>
  <c r="ER201" i="1"/>
  <c r="ES201" i="1"/>
  <c r="ET201" i="1"/>
  <c r="EU201" i="1"/>
  <c r="EV201" i="1"/>
  <c r="EW201" i="1"/>
  <c r="EX201" i="1"/>
  <c r="EY201" i="1"/>
  <c r="EZ201" i="1"/>
  <c r="FA201" i="1"/>
  <c r="FB201" i="1"/>
  <c r="FC201" i="1"/>
  <c r="FD201" i="1"/>
  <c r="FE201" i="1"/>
  <c r="FF201" i="1"/>
  <c r="FG201" i="1"/>
  <c r="FH201" i="1"/>
  <c r="FI201" i="1"/>
  <c r="FJ201" i="1"/>
  <c r="FK201" i="1"/>
  <c r="FL201" i="1"/>
  <c r="FM201" i="1"/>
  <c r="FN201" i="1"/>
  <c r="FO201" i="1"/>
  <c r="FP201" i="1"/>
  <c r="FQ201" i="1"/>
  <c r="FR201" i="1"/>
  <c r="FS201" i="1"/>
  <c r="FT201" i="1"/>
  <c r="FU201" i="1"/>
  <c r="FV201" i="1"/>
  <c r="FW201" i="1"/>
  <c r="FX201" i="1"/>
  <c r="FY201" i="1"/>
  <c r="FZ201" i="1"/>
  <c r="GA201" i="1"/>
  <c r="GB201" i="1"/>
  <c r="GC201" i="1"/>
  <c r="GD201" i="1"/>
  <c r="GE201" i="1"/>
  <c r="GF201" i="1"/>
  <c r="GG201" i="1"/>
  <c r="GH201" i="1"/>
  <c r="GI201" i="1"/>
  <c r="GJ201" i="1"/>
  <c r="GK201" i="1"/>
  <c r="GL201" i="1"/>
  <c r="GM201" i="1"/>
  <c r="GN201" i="1"/>
  <c r="GO201" i="1"/>
  <c r="GP201" i="1"/>
  <c r="GQ201" i="1"/>
  <c r="GR201" i="1"/>
  <c r="GS201" i="1"/>
  <c r="GT201" i="1"/>
  <c r="GU201" i="1"/>
  <c r="GV201" i="1"/>
  <c r="GW201" i="1"/>
  <c r="GX201" i="1"/>
  <c r="C203" i="1"/>
  <c r="D203" i="1"/>
  <c r="I203" i="1"/>
  <c r="AC203" i="1"/>
  <c r="AE203" i="1"/>
  <c r="AD203" i="1" s="1"/>
  <c r="AF203" i="1"/>
  <c r="CT203" i="1" s="1"/>
  <c r="S203" i="1" s="1"/>
  <c r="AG203" i="1"/>
  <c r="AH203" i="1"/>
  <c r="AI203" i="1"/>
  <c r="AJ203" i="1"/>
  <c r="CX203" i="1" s="1"/>
  <c r="W203" i="1" s="1"/>
  <c r="CQ203" i="1"/>
  <c r="P203" i="1" s="1"/>
  <c r="CS203" i="1"/>
  <c r="R203" i="1" s="1"/>
  <c r="CU203" i="1"/>
  <c r="T203" i="1" s="1"/>
  <c r="CV203" i="1"/>
  <c r="U203" i="1" s="1"/>
  <c r="CW203" i="1"/>
  <c r="V203" i="1" s="1"/>
  <c r="FR203" i="1"/>
  <c r="GL203" i="1"/>
  <c r="GO203" i="1"/>
  <c r="GP203" i="1"/>
  <c r="GV203" i="1"/>
  <c r="HC203" i="1"/>
  <c r="GX203" i="1" s="1"/>
  <c r="C204" i="1"/>
  <c r="D204" i="1"/>
  <c r="I204" i="1"/>
  <c r="AC204" i="1"/>
  <c r="CQ204" i="1" s="1"/>
  <c r="P204" i="1" s="1"/>
  <c r="AE204" i="1"/>
  <c r="AD204" i="1" s="1"/>
  <c r="CR204" i="1" s="1"/>
  <c r="Q204" i="1" s="1"/>
  <c r="AF204" i="1"/>
  <c r="AG204" i="1"/>
  <c r="CU204" i="1" s="1"/>
  <c r="T204" i="1" s="1"/>
  <c r="AH204" i="1"/>
  <c r="AI204" i="1"/>
  <c r="AJ204" i="1"/>
  <c r="CS204" i="1"/>
  <c r="R204" i="1" s="1"/>
  <c r="CT204" i="1"/>
  <c r="S204" i="1" s="1"/>
  <c r="CV204" i="1"/>
  <c r="U204" i="1" s="1"/>
  <c r="CW204" i="1"/>
  <c r="V204" i="1" s="1"/>
  <c r="CX204" i="1"/>
  <c r="W204" i="1" s="1"/>
  <c r="FR204" i="1"/>
  <c r="GL204" i="1"/>
  <c r="GO204" i="1"/>
  <c r="GP204" i="1"/>
  <c r="GV204" i="1"/>
  <c r="HC204" i="1"/>
  <c r="GX204" i="1" s="1"/>
  <c r="C205" i="1"/>
  <c r="D205" i="1"/>
  <c r="I205" i="1"/>
  <c r="AC205" i="1"/>
  <c r="AB205" i="1" s="1"/>
  <c r="AD205" i="1"/>
  <c r="CR205" i="1" s="1"/>
  <c r="Q205" i="1" s="1"/>
  <c r="AE205" i="1"/>
  <c r="AF205" i="1"/>
  <c r="AG205" i="1"/>
  <c r="AH205" i="1"/>
  <c r="CV205" i="1" s="1"/>
  <c r="U205" i="1" s="1"/>
  <c r="AI205" i="1"/>
  <c r="AJ205" i="1"/>
  <c r="CQ205" i="1"/>
  <c r="P205" i="1" s="1"/>
  <c r="CP205" i="1" s="1"/>
  <c r="O205" i="1" s="1"/>
  <c r="CS205" i="1"/>
  <c r="R205" i="1" s="1"/>
  <c r="CT205" i="1"/>
  <c r="S205" i="1" s="1"/>
  <c r="CU205" i="1"/>
  <c r="T205" i="1" s="1"/>
  <c r="CW205" i="1"/>
  <c r="V205" i="1" s="1"/>
  <c r="CX205" i="1"/>
  <c r="W205" i="1" s="1"/>
  <c r="FR205" i="1"/>
  <c r="GL205" i="1"/>
  <c r="GO205" i="1"/>
  <c r="GP205" i="1"/>
  <c r="GV205" i="1"/>
  <c r="HC205" i="1" s="1"/>
  <c r="GX205" i="1" s="1"/>
  <c r="I206" i="1"/>
  <c r="I207" i="1" s="1"/>
  <c r="GN207" i="1" s="1"/>
  <c r="O206" i="1"/>
  <c r="P206" i="1"/>
  <c r="Q206" i="1"/>
  <c r="R206" i="1"/>
  <c r="S206" i="1"/>
  <c r="T206" i="1"/>
  <c r="U206" i="1"/>
  <c r="V206" i="1"/>
  <c r="W206" i="1"/>
  <c r="X206" i="1"/>
  <c r="Y206" i="1"/>
  <c r="AB206" i="1"/>
  <c r="CP206" i="1" s="1"/>
  <c r="AC206" i="1"/>
  <c r="AD206" i="1"/>
  <c r="AE206" i="1"/>
  <c r="AF206" i="1"/>
  <c r="AG206" i="1"/>
  <c r="AH206" i="1"/>
  <c r="AI206" i="1"/>
  <c r="AJ206" i="1"/>
  <c r="FR206" i="1"/>
  <c r="GL206" i="1"/>
  <c r="GO206" i="1"/>
  <c r="GP206" i="1"/>
  <c r="GV206" i="1"/>
  <c r="GX206" i="1"/>
  <c r="O207" i="1"/>
  <c r="P207" i="1"/>
  <c r="Q207" i="1"/>
  <c r="R207" i="1"/>
  <c r="S207" i="1"/>
  <c r="T207" i="1"/>
  <c r="U207" i="1"/>
  <c r="V207" i="1"/>
  <c r="W207" i="1"/>
  <c r="X207" i="1"/>
  <c r="Y207" i="1"/>
  <c r="AB207" i="1"/>
  <c r="AC207" i="1"/>
  <c r="AD207" i="1"/>
  <c r="AE207" i="1"/>
  <c r="AF207" i="1"/>
  <c r="AG207" i="1"/>
  <c r="AH207" i="1"/>
  <c r="AI207" i="1"/>
  <c r="AJ207" i="1"/>
  <c r="CP207" i="1"/>
  <c r="FR207" i="1"/>
  <c r="GL207" i="1"/>
  <c r="GO207" i="1"/>
  <c r="GP207" i="1"/>
  <c r="GV207" i="1"/>
  <c r="GX207" i="1"/>
  <c r="C209" i="1"/>
  <c r="D209" i="1"/>
  <c r="I209" i="1"/>
  <c r="AC209" i="1"/>
  <c r="AE209" i="1"/>
  <c r="CS209" i="1" s="1"/>
  <c r="R209" i="1" s="1"/>
  <c r="AF209" i="1"/>
  <c r="AG209" i="1"/>
  <c r="AH209" i="1"/>
  <c r="AI209" i="1"/>
  <c r="CW209" i="1" s="1"/>
  <c r="V209" i="1" s="1"/>
  <c r="AJ209" i="1"/>
  <c r="CQ209" i="1"/>
  <c r="P209" i="1" s="1"/>
  <c r="CT209" i="1"/>
  <c r="S209" i="1" s="1"/>
  <c r="CU209" i="1"/>
  <c r="T209" i="1" s="1"/>
  <c r="CV209" i="1"/>
  <c r="U209" i="1" s="1"/>
  <c r="CX209" i="1"/>
  <c r="W209" i="1" s="1"/>
  <c r="FR209" i="1"/>
  <c r="GL209" i="1"/>
  <c r="GO209" i="1"/>
  <c r="GP209" i="1"/>
  <c r="GV209" i="1"/>
  <c r="HC209" i="1" s="1"/>
  <c r="GX209" i="1" s="1"/>
  <c r="I210" i="1"/>
  <c r="AC210" i="1"/>
  <c r="AB210" i="1" s="1"/>
  <c r="AD210" i="1"/>
  <c r="CR210" i="1" s="1"/>
  <c r="Q210" i="1" s="1"/>
  <c r="AE210" i="1"/>
  <c r="AF210" i="1"/>
  <c r="AG210" i="1"/>
  <c r="AH210" i="1"/>
  <c r="CV210" i="1" s="1"/>
  <c r="U210" i="1" s="1"/>
  <c r="AI210" i="1"/>
  <c r="AJ210" i="1"/>
  <c r="CQ210" i="1"/>
  <c r="P210" i="1" s="1"/>
  <c r="CS210" i="1"/>
  <c r="R210" i="1" s="1"/>
  <c r="CT210" i="1"/>
  <c r="S210" i="1" s="1"/>
  <c r="CU210" i="1"/>
  <c r="T210" i="1" s="1"/>
  <c r="CW210" i="1"/>
  <c r="V210" i="1" s="1"/>
  <c r="CX210" i="1"/>
  <c r="W210" i="1" s="1"/>
  <c r="FR210" i="1"/>
  <c r="GL210" i="1"/>
  <c r="GO210" i="1"/>
  <c r="GP210" i="1"/>
  <c r="GV210" i="1"/>
  <c r="HC210" i="1" s="1"/>
  <c r="GX210" i="1" s="1"/>
  <c r="C211" i="1"/>
  <c r="D211" i="1"/>
  <c r="I211" i="1"/>
  <c r="AC211" i="1"/>
  <c r="AB211" i="1" s="1"/>
  <c r="AD211" i="1"/>
  <c r="CR211" i="1" s="1"/>
  <c r="Q211" i="1" s="1"/>
  <c r="AE211" i="1"/>
  <c r="CS211" i="1" s="1"/>
  <c r="R211" i="1" s="1"/>
  <c r="AF211" i="1"/>
  <c r="AG211" i="1"/>
  <c r="AH211" i="1"/>
  <c r="CV211" i="1" s="1"/>
  <c r="U211" i="1" s="1"/>
  <c r="AI211" i="1"/>
  <c r="CW211" i="1" s="1"/>
  <c r="V211" i="1" s="1"/>
  <c r="AJ211" i="1"/>
  <c r="CQ211" i="1"/>
  <c r="P211" i="1" s="1"/>
  <c r="CP211" i="1" s="1"/>
  <c r="O211" i="1" s="1"/>
  <c r="CT211" i="1"/>
  <c r="S211" i="1" s="1"/>
  <c r="CU211" i="1"/>
  <c r="T211" i="1" s="1"/>
  <c r="CX211" i="1"/>
  <c r="W211" i="1" s="1"/>
  <c r="FR211" i="1"/>
  <c r="GL211" i="1"/>
  <c r="GO211" i="1"/>
  <c r="GP211" i="1"/>
  <c r="GV211" i="1"/>
  <c r="HC211" i="1" s="1"/>
  <c r="GX211" i="1" s="1"/>
  <c r="I212" i="1"/>
  <c r="AC212" i="1"/>
  <c r="AB212" i="1" s="1"/>
  <c r="AD212" i="1"/>
  <c r="CR212" i="1" s="1"/>
  <c r="Q212" i="1" s="1"/>
  <c r="AE212" i="1"/>
  <c r="AF212" i="1"/>
  <c r="AG212" i="1"/>
  <c r="CU212" i="1" s="1"/>
  <c r="T212" i="1" s="1"/>
  <c r="AH212" i="1"/>
  <c r="CV212" i="1" s="1"/>
  <c r="U212" i="1" s="1"/>
  <c r="AI212" i="1"/>
  <c r="AJ212" i="1"/>
  <c r="CS212" i="1"/>
  <c r="R212" i="1" s="1"/>
  <c r="CT212" i="1"/>
  <c r="S212" i="1" s="1"/>
  <c r="CW212" i="1"/>
  <c r="V212" i="1" s="1"/>
  <c r="CX212" i="1"/>
  <c r="W212" i="1" s="1"/>
  <c r="FR212" i="1"/>
  <c r="GL212" i="1"/>
  <c r="GO212" i="1"/>
  <c r="GP212" i="1"/>
  <c r="GV212" i="1"/>
  <c r="HC212" i="1" s="1"/>
  <c r="GX212" i="1" s="1"/>
  <c r="C213" i="1"/>
  <c r="D213" i="1"/>
  <c r="I213" i="1"/>
  <c r="AC213" i="1"/>
  <c r="AB213" i="1" s="1"/>
  <c r="AD213" i="1"/>
  <c r="CR213" i="1" s="1"/>
  <c r="Q213" i="1" s="1"/>
  <c r="AE213" i="1"/>
  <c r="CS213" i="1" s="1"/>
  <c r="R213" i="1" s="1"/>
  <c r="AF213" i="1"/>
  <c r="AG213" i="1"/>
  <c r="AH213" i="1"/>
  <c r="CV213" i="1" s="1"/>
  <c r="U213" i="1" s="1"/>
  <c r="AI213" i="1"/>
  <c r="CW213" i="1" s="1"/>
  <c r="V213" i="1" s="1"/>
  <c r="AJ213" i="1"/>
  <c r="CQ213" i="1"/>
  <c r="P213" i="1" s="1"/>
  <c r="CT213" i="1"/>
  <c r="S213" i="1" s="1"/>
  <c r="CU213" i="1"/>
  <c r="T213" i="1" s="1"/>
  <c r="CX213" i="1"/>
  <c r="W213" i="1" s="1"/>
  <c r="FR213" i="1"/>
  <c r="GL213" i="1"/>
  <c r="GO213" i="1"/>
  <c r="GP213" i="1"/>
  <c r="GV213" i="1"/>
  <c r="HC213" i="1" s="1"/>
  <c r="GX213" i="1" s="1"/>
  <c r="I214" i="1"/>
  <c r="AC214" i="1"/>
  <c r="AB214" i="1" s="1"/>
  <c r="AD214" i="1"/>
  <c r="CR214" i="1" s="1"/>
  <c r="Q214" i="1" s="1"/>
  <c r="AE214" i="1"/>
  <c r="AF214" i="1"/>
  <c r="AG214" i="1"/>
  <c r="CU214" i="1" s="1"/>
  <c r="T214" i="1" s="1"/>
  <c r="AH214" i="1"/>
  <c r="CV214" i="1" s="1"/>
  <c r="U214" i="1" s="1"/>
  <c r="AI214" i="1"/>
  <c r="AJ214" i="1"/>
  <c r="CS214" i="1"/>
  <c r="R214" i="1" s="1"/>
  <c r="CT214" i="1"/>
  <c r="S214" i="1" s="1"/>
  <c r="CW214" i="1"/>
  <c r="V214" i="1" s="1"/>
  <c r="CX214" i="1"/>
  <c r="W214" i="1" s="1"/>
  <c r="FR214" i="1"/>
  <c r="GL214" i="1"/>
  <c r="GO214" i="1"/>
  <c r="GP214" i="1"/>
  <c r="GV214" i="1"/>
  <c r="HC214" i="1" s="1"/>
  <c r="GX214" i="1" s="1"/>
  <c r="I215" i="1"/>
  <c r="V215" i="1"/>
  <c r="AB215" i="1"/>
  <c r="AC215" i="1"/>
  <c r="CQ215" i="1" s="1"/>
  <c r="P215" i="1" s="1"/>
  <c r="AE215" i="1"/>
  <c r="AD215" i="1" s="1"/>
  <c r="CR215" i="1" s="1"/>
  <c r="Q215" i="1" s="1"/>
  <c r="AF215" i="1"/>
  <c r="CT215" i="1" s="1"/>
  <c r="S215" i="1" s="1"/>
  <c r="AG215" i="1"/>
  <c r="CU215" i="1" s="1"/>
  <c r="T215" i="1" s="1"/>
  <c r="AH215" i="1"/>
  <c r="AI215" i="1"/>
  <c r="AJ215" i="1"/>
  <c r="CX215" i="1" s="1"/>
  <c r="W215" i="1" s="1"/>
  <c r="CS215" i="1"/>
  <c r="R215" i="1" s="1"/>
  <c r="CV215" i="1"/>
  <c r="U215" i="1" s="1"/>
  <c r="CW215" i="1"/>
  <c r="FR215" i="1"/>
  <c r="GL215" i="1"/>
  <c r="GO215" i="1"/>
  <c r="GP215" i="1"/>
  <c r="GV215" i="1"/>
  <c r="HC215" i="1"/>
  <c r="GX215" i="1" s="1"/>
  <c r="C216" i="1"/>
  <c r="D216" i="1"/>
  <c r="I216" i="1"/>
  <c r="S216" i="1"/>
  <c r="T216" i="1"/>
  <c r="AC216" i="1"/>
  <c r="AD216" i="1"/>
  <c r="CR216" i="1" s="1"/>
  <c r="Q216" i="1" s="1"/>
  <c r="AE216" i="1"/>
  <c r="AF216" i="1"/>
  <c r="AG216" i="1"/>
  <c r="AH216" i="1"/>
  <c r="CV216" i="1" s="1"/>
  <c r="U216" i="1" s="1"/>
  <c r="AI216" i="1"/>
  <c r="AJ216" i="1"/>
  <c r="CQ216" i="1"/>
  <c r="P216" i="1" s="1"/>
  <c r="CP216" i="1" s="1"/>
  <c r="O216" i="1" s="1"/>
  <c r="CS216" i="1"/>
  <c r="R216" i="1" s="1"/>
  <c r="CT216" i="1"/>
  <c r="CU216" i="1"/>
  <c r="CW216" i="1"/>
  <c r="V216" i="1" s="1"/>
  <c r="CX216" i="1"/>
  <c r="W216" i="1" s="1"/>
  <c r="FR216" i="1"/>
  <c r="GL216" i="1"/>
  <c r="GO216" i="1"/>
  <c r="GP216" i="1"/>
  <c r="GV216" i="1"/>
  <c r="HC216" i="1" s="1"/>
  <c r="GX216" i="1" s="1"/>
  <c r="I217" i="1"/>
  <c r="S217" i="1"/>
  <c r="V217" i="1"/>
  <c r="AC217" i="1"/>
  <c r="CQ217" i="1" s="1"/>
  <c r="P217" i="1" s="1"/>
  <c r="CP217" i="1" s="1"/>
  <c r="O217" i="1" s="1"/>
  <c r="AE217" i="1"/>
  <c r="AD217" i="1" s="1"/>
  <c r="CR217" i="1" s="1"/>
  <c r="Q217" i="1" s="1"/>
  <c r="AF217" i="1"/>
  <c r="AG217" i="1"/>
  <c r="CU217" i="1" s="1"/>
  <c r="AH217" i="1"/>
  <c r="AI217" i="1"/>
  <c r="AJ217" i="1"/>
  <c r="CS217" i="1"/>
  <c r="R217" i="1" s="1"/>
  <c r="CT217" i="1"/>
  <c r="CV217" i="1"/>
  <c r="CW217" i="1"/>
  <c r="CX217" i="1"/>
  <c r="W217" i="1" s="1"/>
  <c r="FR217" i="1"/>
  <c r="GL217" i="1"/>
  <c r="GO217" i="1"/>
  <c r="GP217" i="1"/>
  <c r="GV217" i="1"/>
  <c r="HC217" i="1"/>
  <c r="I218" i="1"/>
  <c r="R218" i="1"/>
  <c r="AC218" i="1"/>
  <c r="AE218" i="1"/>
  <c r="AD218" i="1" s="1"/>
  <c r="CR218" i="1" s="1"/>
  <c r="Q218" i="1" s="1"/>
  <c r="AF218" i="1"/>
  <c r="CT218" i="1" s="1"/>
  <c r="S218" i="1" s="1"/>
  <c r="CY218" i="1" s="1"/>
  <c r="X218" i="1" s="1"/>
  <c r="AG218" i="1"/>
  <c r="AH218" i="1"/>
  <c r="AI218" i="1"/>
  <c r="CW218" i="1" s="1"/>
  <c r="V218" i="1" s="1"/>
  <c r="AJ218" i="1"/>
  <c r="CX218" i="1" s="1"/>
  <c r="W218" i="1" s="1"/>
  <c r="CQ218" i="1"/>
  <c r="P218" i="1" s="1"/>
  <c r="CS218" i="1"/>
  <c r="CU218" i="1"/>
  <c r="T218" i="1" s="1"/>
  <c r="CV218" i="1"/>
  <c r="U218" i="1" s="1"/>
  <c r="FR218" i="1"/>
  <c r="GL218" i="1"/>
  <c r="GO218" i="1"/>
  <c r="GP218" i="1"/>
  <c r="GV218" i="1"/>
  <c r="HC218" i="1"/>
  <c r="GX218" i="1" s="1"/>
  <c r="C219" i="1"/>
  <c r="D219" i="1"/>
  <c r="I219" i="1"/>
  <c r="R219" i="1"/>
  <c r="AC219" i="1"/>
  <c r="CQ219" i="1" s="1"/>
  <c r="P219" i="1" s="1"/>
  <c r="AD219" i="1"/>
  <c r="CR219" i="1" s="1"/>
  <c r="Q219" i="1" s="1"/>
  <c r="AE219" i="1"/>
  <c r="AF219" i="1"/>
  <c r="CT219" i="1" s="1"/>
  <c r="S219" i="1" s="1"/>
  <c r="AG219" i="1"/>
  <c r="AH219" i="1"/>
  <c r="CV219" i="1" s="1"/>
  <c r="U219" i="1" s="1"/>
  <c r="AI219" i="1"/>
  <c r="AJ219" i="1"/>
  <c r="CX219" i="1" s="1"/>
  <c r="W219" i="1" s="1"/>
  <c r="CS219" i="1"/>
  <c r="CU219" i="1"/>
  <c r="T219" i="1" s="1"/>
  <c r="CW219" i="1"/>
  <c r="V219" i="1" s="1"/>
  <c r="FR219" i="1"/>
  <c r="GL219" i="1"/>
  <c r="GO219" i="1"/>
  <c r="GP219" i="1"/>
  <c r="GV219" i="1"/>
  <c r="HC219" i="1" s="1"/>
  <c r="GX219" i="1" s="1"/>
  <c r="I220" i="1"/>
  <c r="AC220" i="1"/>
  <c r="CQ220" i="1" s="1"/>
  <c r="P220" i="1" s="1"/>
  <c r="AE220" i="1"/>
  <c r="AD220" i="1" s="1"/>
  <c r="AF220" i="1"/>
  <c r="CT220" i="1" s="1"/>
  <c r="S220" i="1" s="1"/>
  <c r="AG220" i="1"/>
  <c r="CU220" i="1" s="1"/>
  <c r="T220" i="1" s="1"/>
  <c r="AH220" i="1"/>
  <c r="AI220" i="1"/>
  <c r="AJ220" i="1"/>
  <c r="CX220" i="1" s="1"/>
  <c r="W220" i="1" s="1"/>
  <c r="CS220" i="1"/>
  <c r="R220" i="1" s="1"/>
  <c r="CV220" i="1"/>
  <c r="U220" i="1" s="1"/>
  <c r="CW220" i="1"/>
  <c r="V220" i="1" s="1"/>
  <c r="FR220" i="1"/>
  <c r="GL220" i="1"/>
  <c r="GO220" i="1"/>
  <c r="GP220" i="1"/>
  <c r="GV220" i="1"/>
  <c r="HC220" i="1"/>
  <c r="GX220" i="1" s="1"/>
  <c r="I221" i="1"/>
  <c r="AC221" i="1"/>
  <c r="AE221" i="1"/>
  <c r="AD221" i="1" s="1"/>
  <c r="AF221" i="1"/>
  <c r="CT221" i="1" s="1"/>
  <c r="S221" i="1" s="1"/>
  <c r="AG221" i="1"/>
  <c r="AH221" i="1"/>
  <c r="AI221" i="1"/>
  <c r="CW221" i="1" s="1"/>
  <c r="V221" i="1" s="1"/>
  <c r="AJ221" i="1"/>
  <c r="CX221" i="1" s="1"/>
  <c r="W221" i="1" s="1"/>
  <c r="CQ221" i="1"/>
  <c r="P221" i="1" s="1"/>
  <c r="CU221" i="1"/>
  <c r="T221" i="1" s="1"/>
  <c r="CV221" i="1"/>
  <c r="U221" i="1" s="1"/>
  <c r="FR221" i="1"/>
  <c r="GL221" i="1"/>
  <c r="GO221" i="1"/>
  <c r="GP221" i="1"/>
  <c r="GV221" i="1"/>
  <c r="GX221" i="1"/>
  <c r="HC221" i="1"/>
  <c r="C223" i="1"/>
  <c r="D223" i="1"/>
  <c r="I223" i="1"/>
  <c r="AC223" i="1"/>
  <c r="CQ223" i="1" s="1"/>
  <c r="P223" i="1" s="1"/>
  <c r="AE223" i="1"/>
  <c r="AD223" i="1" s="1"/>
  <c r="AF223" i="1"/>
  <c r="CT223" i="1" s="1"/>
  <c r="S223" i="1" s="1"/>
  <c r="AG223" i="1"/>
  <c r="CU223" i="1" s="1"/>
  <c r="T223" i="1" s="1"/>
  <c r="AH223" i="1"/>
  <c r="AI223" i="1"/>
  <c r="AJ223" i="1"/>
  <c r="CX223" i="1" s="1"/>
  <c r="W223" i="1" s="1"/>
  <c r="CS223" i="1"/>
  <c r="R223" i="1" s="1"/>
  <c r="CV223" i="1"/>
  <c r="U223" i="1" s="1"/>
  <c r="CW223" i="1"/>
  <c r="V223" i="1" s="1"/>
  <c r="FR223" i="1"/>
  <c r="GL223" i="1"/>
  <c r="GO223" i="1"/>
  <c r="GP223" i="1"/>
  <c r="GV223" i="1"/>
  <c r="HC223" i="1"/>
  <c r="GX223" i="1" s="1"/>
  <c r="I224" i="1"/>
  <c r="AC224" i="1"/>
  <c r="AE224" i="1"/>
  <c r="AD224" i="1" s="1"/>
  <c r="AF224" i="1"/>
  <c r="CT224" i="1" s="1"/>
  <c r="S224" i="1" s="1"/>
  <c r="AG224" i="1"/>
  <c r="CU224" i="1" s="1"/>
  <c r="T224" i="1" s="1"/>
  <c r="AH224" i="1"/>
  <c r="AI224" i="1"/>
  <c r="CW224" i="1" s="1"/>
  <c r="V224" i="1" s="1"/>
  <c r="AJ224" i="1"/>
  <c r="CX224" i="1" s="1"/>
  <c r="W224" i="1" s="1"/>
  <c r="CQ224" i="1"/>
  <c r="P224" i="1" s="1"/>
  <c r="CV224" i="1"/>
  <c r="U224" i="1" s="1"/>
  <c r="FR224" i="1"/>
  <c r="GL224" i="1"/>
  <c r="GO224" i="1"/>
  <c r="GP224" i="1"/>
  <c r="GV224" i="1"/>
  <c r="GX224" i="1"/>
  <c r="HC224" i="1"/>
  <c r="C225" i="1"/>
  <c r="D225" i="1"/>
  <c r="I225" i="1"/>
  <c r="AC225" i="1"/>
  <c r="CQ225" i="1" s="1"/>
  <c r="P225" i="1" s="1"/>
  <c r="AD225" i="1"/>
  <c r="CR225" i="1" s="1"/>
  <c r="Q225" i="1" s="1"/>
  <c r="AE225" i="1"/>
  <c r="AF225" i="1"/>
  <c r="AB225" i="1" s="1"/>
  <c r="AG225" i="1"/>
  <c r="CU225" i="1" s="1"/>
  <c r="T225" i="1" s="1"/>
  <c r="AH225" i="1"/>
  <c r="CV225" i="1" s="1"/>
  <c r="U225" i="1" s="1"/>
  <c r="AI225" i="1"/>
  <c r="AJ225" i="1"/>
  <c r="CX225" i="1" s="1"/>
  <c r="W225" i="1" s="1"/>
  <c r="CS225" i="1"/>
  <c r="R225" i="1" s="1"/>
  <c r="CW225" i="1"/>
  <c r="V225" i="1" s="1"/>
  <c r="FR225" i="1"/>
  <c r="GL225" i="1"/>
  <c r="GO225" i="1"/>
  <c r="GP225" i="1"/>
  <c r="GV225" i="1"/>
  <c r="HC225" i="1"/>
  <c r="GX225" i="1" s="1"/>
  <c r="I226" i="1"/>
  <c r="AC226" i="1"/>
  <c r="CQ226" i="1" s="1"/>
  <c r="P226" i="1" s="1"/>
  <c r="AE226" i="1"/>
  <c r="AD226" i="1" s="1"/>
  <c r="AF226" i="1"/>
  <c r="CT226" i="1" s="1"/>
  <c r="S226" i="1" s="1"/>
  <c r="AG226" i="1"/>
  <c r="CU226" i="1" s="1"/>
  <c r="T226" i="1" s="1"/>
  <c r="AH226" i="1"/>
  <c r="AI226" i="1"/>
  <c r="CW226" i="1" s="1"/>
  <c r="V226" i="1" s="1"/>
  <c r="AJ226" i="1"/>
  <c r="CX226" i="1" s="1"/>
  <c r="W226" i="1" s="1"/>
  <c r="CV226" i="1"/>
  <c r="U226" i="1" s="1"/>
  <c r="FR226" i="1"/>
  <c r="GL226" i="1"/>
  <c r="GO226" i="1"/>
  <c r="GP226" i="1"/>
  <c r="GV226" i="1"/>
  <c r="GX226" i="1"/>
  <c r="HC226" i="1"/>
  <c r="C227" i="1"/>
  <c r="D227" i="1"/>
  <c r="I227" i="1"/>
  <c r="I228" i="1" s="1"/>
  <c r="GX228" i="1" s="1"/>
  <c r="AC227" i="1"/>
  <c r="CQ227" i="1" s="1"/>
  <c r="P227" i="1" s="1"/>
  <c r="AD227" i="1"/>
  <c r="CR227" i="1" s="1"/>
  <c r="Q227" i="1" s="1"/>
  <c r="AE227" i="1"/>
  <c r="AF227" i="1"/>
  <c r="AB227" i="1" s="1"/>
  <c r="AG227" i="1"/>
  <c r="CU227" i="1" s="1"/>
  <c r="T227" i="1" s="1"/>
  <c r="AH227" i="1"/>
  <c r="CV227" i="1" s="1"/>
  <c r="U227" i="1" s="1"/>
  <c r="AI227" i="1"/>
  <c r="AJ227" i="1"/>
  <c r="CX227" i="1" s="1"/>
  <c r="W227" i="1" s="1"/>
  <c r="CS227" i="1"/>
  <c r="R227" i="1" s="1"/>
  <c r="CW227" i="1"/>
  <c r="V227" i="1" s="1"/>
  <c r="FR227" i="1"/>
  <c r="GL227" i="1"/>
  <c r="GO227" i="1"/>
  <c r="GP227" i="1"/>
  <c r="GV227" i="1"/>
  <c r="HC227" i="1"/>
  <c r="GX227" i="1" s="1"/>
  <c r="AC228" i="1"/>
  <c r="CQ228" i="1" s="1"/>
  <c r="P228" i="1" s="1"/>
  <c r="AE228" i="1"/>
  <c r="AD228" i="1" s="1"/>
  <c r="AF228" i="1"/>
  <c r="CT228" i="1" s="1"/>
  <c r="S228" i="1" s="1"/>
  <c r="AG228" i="1"/>
  <c r="CU228" i="1" s="1"/>
  <c r="T228" i="1" s="1"/>
  <c r="AH228" i="1"/>
  <c r="AI228" i="1"/>
  <c r="CW228" i="1" s="1"/>
  <c r="V228" i="1" s="1"/>
  <c r="AJ228" i="1"/>
  <c r="CX228" i="1" s="1"/>
  <c r="W228" i="1" s="1"/>
  <c r="CV228" i="1"/>
  <c r="U228" i="1" s="1"/>
  <c r="FR228" i="1"/>
  <c r="GL228" i="1"/>
  <c r="GO228" i="1"/>
  <c r="GP228" i="1"/>
  <c r="GV228" i="1"/>
  <c r="HC228" i="1"/>
  <c r="C229" i="1"/>
  <c r="D229" i="1"/>
  <c r="I229" i="1"/>
  <c r="AC229" i="1"/>
  <c r="CQ229" i="1" s="1"/>
  <c r="P229" i="1" s="1"/>
  <c r="AD229" i="1"/>
  <c r="CR229" i="1" s="1"/>
  <c r="Q229" i="1" s="1"/>
  <c r="AE229" i="1"/>
  <c r="AF229" i="1"/>
  <c r="AB229" i="1" s="1"/>
  <c r="AG229" i="1"/>
  <c r="CU229" i="1" s="1"/>
  <c r="T229" i="1" s="1"/>
  <c r="AH229" i="1"/>
  <c r="CV229" i="1" s="1"/>
  <c r="U229" i="1" s="1"/>
  <c r="AI229" i="1"/>
  <c r="AJ229" i="1"/>
  <c r="CX229" i="1" s="1"/>
  <c r="W229" i="1" s="1"/>
  <c r="CS229" i="1"/>
  <c r="R229" i="1" s="1"/>
  <c r="CW229" i="1"/>
  <c r="V229" i="1" s="1"/>
  <c r="FR229" i="1"/>
  <c r="GL229" i="1"/>
  <c r="GO229" i="1"/>
  <c r="GP229" i="1"/>
  <c r="GV229" i="1"/>
  <c r="HC229" i="1"/>
  <c r="GX229" i="1" s="1"/>
  <c r="I230" i="1"/>
  <c r="AC230" i="1"/>
  <c r="CQ230" i="1" s="1"/>
  <c r="P230" i="1" s="1"/>
  <c r="AE230" i="1"/>
  <c r="AD230" i="1" s="1"/>
  <c r="AF230" i="1"/>
  <c r="CT230" i="1" s="1"/>
  <c r="S230" i="1" s="1"/>
  <c r="AG230" i="1"/>
  <c r="CU230" i="1" s="1"/>
  <c r="T230" i="1" s="1"/>
  <c r="AH230" i="1"/>
  <c r="AI230" i="1"/>
  <c r="CW230" i="1" s="1"/>
  <c r="V230" i="1" s="1"/>
  <c r="AJ230" i="1"/>
  <c r="CX230" i="1" s="1"/>
  <c r="W230" i="1" s="1"/>
  <c r="CV230" i="1"/>
  <c r="U230" i="1" s="1"/>
  <c r="FR230" i="1"/>
  <c r="GL230" i="1"/>
  <c r="GO230" i="1"/>
  <c r="GP230" i="1"/>
  <c r="GV230" i="1"/>
  <c r="GX230" i="1"/>
  <c r="HC230" i="1"/>
  <c r="AC231" i="1"/>
  <c r="AD231" i="1"/>
  <c r="AE231" i="1"/>
  <c r="CS231" i="1" s="1"/>
  <c r="AF231" i="1"/>
  <c r="CT231" i="1" s="1"/>
  <c r="AG231" i="1"/>
  <c r="AH231" i="1"/>
  <c r="CV231" i="1" s="1"/>
  <c r="AI231" i="1"/>
  <c r="CW231" i="1" s="1"/>
  <c r="AJ231" i="1"/>
  <c r="CX231" i="1" s="1"/>
  <c r="CQ231" i="1"/>
  <c r="CU231" i="1"/>
  <c r="FR231" i="1"/>
  <c r="GL231" i="1"/>
  <c r="GO231" i="1"/>
  <c r="GP231" i="1"/>
  <c r="GV231" i="1"/>
  <c r="HC231" i="1" s="1"/>
  <c r="C232" i="1"/>
  <c r="D232" i="1"/>
  <c r="I232" i="1"/>
  <c r="AC232" i="1"/>
  <c r="AE232" i="1"/>
  <c r="AF232" i="1"/>
  <c r="CT232" i="1" s="1"/>
  <c r="S232" i="1" s="1"/>
  <c r="AG232" i="1"/>
  <c r="AH232" i="1"/>
  <c r="AI232" i="1"/>
  <c r="CW232" i="1" s="1"/>
  <c r="V232" i="1" s="1"/>
  <c r="AJ232" i="1"/>
  <c r="CX232" i="1" s="1"/>
  <c r="W232" i="1" s="1"/>
  <c r="CQ232" i="1"/>
  <c r="P232" i="1" s="1"/>
  <c r="CU232" i="1"/>
  <c r="T232" i="1" s="1"/>
  <c r="CV232" i="1"/>
  <c r="U232" i="1" s="1"/>
  <c r="FR232" i="1"/>
  <c r="GL232" i="1"/>
  <c r="GO232" i="1"/>
  <c r="GP232" i="1"/>
  <c r="GV232" i="1"/>
  <c r="GX232" i="1"/>
  <c r="HC232" i="1"/>
  <c r="AC233" i="1"/>
  <c r="AD233" i="1"/>
  <c r="AE233" i="1"/>
  <c r="CS233" i="1" s="1"/>
  <c r="AF233" i="1"/>
  <c r="CT233" i="1" s="1"/>
  <c r="AG233" i="1"/>
  <c r="AH233" i="1"/>
  <c r="CV233" i="1" s="1"/>
  <c r="AI233" i="1"/>
  <c r="CW233" i="1" s="1"/>
  <c r="AJ233" i="1"/>
  <c r="CX233" i="1" s="1"/>
  <c r="CQ233" i="1"/>
  <c r="CU233" i="1"/>
  <c r="FR233" i="1"/>
  <c r="GL233" i="1"/>
  <c r="GO233" i="1"/>
  <c r="GP233" i="1"/>
  <c r="GV233" i="1"/>
  <c r="HC233" i="1" s="1"/>
  <c r="B235" i="1"/>
  <c r="B201" i="1" s="1"/>
  <c r="C235" i="1"/>
  <c r="C201" i="1" s="1"/>
  <c r="D235" i="1"/>
  <c r="D201" i="1" s="1"/>
  <c r="F235" i="1"/>
  <c r="F201" i="1" s="1"/>
  <c r="G235" i="1"/>
  <c r="G201" i="1" s="1"/>
  <c r="AQ235" i="1"/>
  <c r="AQ201" i="1" s="1"/>
  <c r="AU235" i="1"/>
  <c r="BC235" i="1"/>
  <c r="BX235" i="1"/>
  <c r="BX201" i="1" s="1"/>
  <c r="BY235" i="1"/>
  <c r="BY201" i="1" s="1"/>
  <c r="BZ235" i="1"/>
  <c r="BZ201" i="1" s="1"/>
  <c r="CC235" i="1"/>
  <c r="CC201" i="1" s="1"/>
  <c r="CD235" i="1"/>
  <c r="CD201" i="1" s="1"/>
  <c r="CG235" i="1"/>
  <c r="CG201" i="1" s="1"/>
  <c r="CI235" i="1"/>
  <c r="CK235" i="1"/>
  <c r="CK201" i="1" s="1"/>
  <c r="CL235" i="1"/>
  <c r="CL201" i="1" s="1"/>
  <c r="D264" i="1"/>
  <c r="C266" i="1"/>
  <c r="E266" i="1"/>
  <c r="Z266" i="1"/>
  <c r="AA266" i="1"/>
  <c r="AM266" i="1"/>
  <c r="AN266" i="1"/>
  <c r="BD266" i="1"/>
  <c r="BE266" i="1"/>
  <c r="BF266" i="1"/>
  <c r="BG266" i="1"/>
  <c r="BH266" i="1"/>
  <c r="BI266" i="1"/>
  <c r="BJ266" i="1"/>
  <c r="BK266" i="1"/>
  <c r="BL266" i="1"/>
  <c r="BM266" i="1"/>
  <c r="BN266" i="1"/>
  <c r="BO266" i="1"/>
  <c r="BP266" i="1"/>
  <c r="BQ266" i="1"/>
  <c r="BR266" i="1"/>
  <c r="BS266" i="1"/>
  <c r="BT266" i="1"/>
  <c r="BU266" i="1"/>
  <c r="BV266" i="1"/>
  <c r="BW266" i="1"/>
  <c r="CM266" i="1"/>
  <c r="CN266" i="1"/>
  <c r="CO266" i="1"/>
  <c r="CP266" i="1"/>
  <c r="CQ266" i="1"/>
  <c r="CR266" i="1"/>
  <c r="CS266" i="1"/>
  <c r="CT266" i="1"/>
  <c r="CU266" i="1"/>
  <c r="CV266" i="1"/>
  <c r="CW266" i="1"/>
  <c r="CX266" i="1"/>
  <c r="CY266" i="1"/>
  <c r="CZ266" i="1"/>
  <c r="DA266" i="1"/>
  <c r="DB266" i="1"/>
  <c r="DC266" i="1"/>
  <c r="DD266" i="1"/>
  <c r="DE266" i="1"/>
  <c r="DF266" i="1"/>
  <c r="DG266" i="1"/>
  <c r="DH266" i="1"/>
  <c r="DI266" i="1"/>
  <c r="DJ266" i="1"/>
  <c r="DK266" i="1"/>
  <c r="DL266" i="1"/>
  <c r="DM266" i="1"/>
  <c r="DN266" i="1"/>
  <c r="DO266" i="1"/>
  <c r="DP266" i="1"/>
  <c r="DQ266" i="1"/>
  <c r="DR266" i="1"/>
  <c r="DS266" i="1"/>
  <c r="DT266" i="1"/>
  <c r="DU266" i="1"/>
  <c r="DV266" i="1"/>
  <c r="DW266" i="1"/>
  <c r="DX266" i="1"/>
  <c r="DY266" i="1"/>
  <c r="DZ266" i="1"/>
  <c r="EA266" i="1"/>
  <c r="EB266" i="1"/>
  <c r="EC266" i="1"/>
  <c r="ED266" i="1"/>
  <c r="EE266" i="1"/>
  <c r="EF266" i="1"/>
  <c r="EG266" i="1"/>
  <c r="EH266" i="1"/>
  <c r="EI266" i="1"/>
  <c r="EJ266" i="1"/>
  <c r="EK266" i="1"/>
  <c r="EL266" i="1"/>
  <c r="EM266" i="1"/>
  <c r="EN266" i="1"/>
  <c r="EO266" i="1"/>
  <c r="EP266" i="1"/>
  <c r="EQ266" i="1"/>
  <c r="ER266" i="1"/>
  <c r="ES266" i="1"/>
  <c r="ET266" i="1"/>
  <c r="EU266" i="1"/>
  <c r="EV266" i="1"/>
  <c r="EW266" i="1"/>
  <c r="EX266" i="1"/>
  <c r="EY266" i="1"/>
  <c r="EZ266" i="1"/>
  <c r="FA266" i="1"/>
  <c r="FB266" i="1"/>
  <c r="FC266" i="1"/>
  <c r="FD266" i="1"/>
  <c r="FE266" i="1"/>
  <c r="FF266" i="1"/>
  <c r="FG266" i="1"/>
  <c r="FH266" i="1"/>
  <c r="FI266" i="1"/>
  <c r="FJ266" i="1"/>
  <c r="FK266" i="1"/>
  <c r="FL266" i="1"/>
  <c r="FM266" i="1"/>
  <c r="FN266" i="1"/>
  <c r="FO266" i="1"/>
  <c r="FP266" i="1"/>
  <c r="FQ266" i="1"/>
  <c r="FR266" i="1"/>
  <c r="FS266" i="1"/>
  <c r="FT266" i="1"/>
  <c r="FU266" i="1"/>
  <c r="FV266" i="1"/>
  <c r="FW266" i="1"/>
  <c r="FX266" i="1"/>
  <c r="FY266" i="1"/>
  <c r="FZ266" i="1"/>
  <c r="GA266" i="1"/>
  <c r="GB266" i="1"/>
  <c r="GC266" i="1"/>
  <c r="GD266" i="1"/>
  <c r="GE266" i="1"/>
  <c r="GF266" i="1"/>
  <c r="GG266" i="1"/>
  <c r="GH266" i="1"/>
  <c r="GI266" i="1"/>
  <c r="GJ266" i="1"/>
  <c r="GK266" i="1"/>
  <c r="GL266" i="1"/>
  <c r="GM266" i="1"/>
  <c r="GN266" i="1"/>
  <c r="GO266" i="1"/>
  <c r="GP266" i="1"/>
  <c r="GQ266" i="1"/>
  <c r="GR266" i="1"/>
  <c r="GS266" i="1"/>
  <c r="GT266" i="1"/>
  <c r="GU266" i="1"/>
  <c r="GV266" i="1"/>
  <c r="GW266" i="1"/>
  <c r="GX266" i="1"/>
  <c r="C268" i="1"/>
  <c r="D268" i="1"/>
  <c r="I268" i="1"/>
  <c r="W268" i="1"/>
  <c r="AC268" i="1"/>
  <c r="AE268" i="1"/>
  <c r="AD268" i="1" s="1"/>
  <c r="CR268" i="1" s="1"/>
  <c r="Q268" i="1" s="1"/>
  <c r="AF268" i="1"/>
  <c r="AG268" i="1"/>
  <c r="CU268" i="1" s="1"/>
  <c r="T268" i="1" s="1"/>
  <c r="AH268" i="1"/>
  <c r="AI268" i="1"/>
  <c r="AJ268" i="1"/>
  <c r="CS268" i="1"/>
  <c r="R268" i="1" s="1"/>
  <c r="CT268" i="1"/>
  <c r="S268" i="1" s="1"/>
  <c r="CV268" i="1"/>
  <c r="U268" i="1" s="1"/>
  <c r="CW268" i="1"/>
  <c r="V268" i="1" s="1"/>
  <c r="CX268" i="1"/>
  <c r="FR268" i="1"/>
  <c r="GL268" i="1"/>
  <c r="GO268" i="1"/>
  <c r="GP268" i="1"/>
  <c r="GV268" i="1"/>
  <c r="HC268" i="1"/>
  <c r="GX268" i="1" s="1"/>
  <c r="I269" i="1"/>
  <c r="V269" i="1"/>
  <c r="AC269" i="1"/>
  <c r="AE269" i="1"/>
  <c r="AD269" i="1" s="1"/>
  <c r="CR269" i="1" s="1"/>
  <c r="AF269" i="1"/>
  <c r="CT269" i="1" s="1"/>
  <c r="S269" i="1" s="1"/>
  <c r="AG269" i="1"/>
  <c r="AH269" i="1"/>
  <c r="AI269" i="1"/>
  <c r="AJ269" i="1"/>
  <c r="CX269" i="1" s="1"/>
  <c r="W269" i="1" s="1"/>
  <c r="AJ272" i="1" s="1"/>
  <c r="CQ269" i="1"/>
  <c r="CS269" i="1"/>
  <c r="R269" i="1" s="1"/>
  <c r="CU269" i="1"/>
  <c r="CV269" i="1"/>
  <c r="U269" i="1" s="1"/>
  <c r="CW269" i="1"/>
  <c r="FR269" i="1"/>
  <c r="BY272" i="1" s="1"/>
  <c r="GL269" i="1"/>
  <c r="GO269" i="1"/>
  <c r="CC272" i="1" s="1"/>
  <c r="CC266" i="1" s="1"/>
  <c r="GP269" i="1"/>
  <c r="GV269" i="1"/>
  <c r="HC269" i="1"/>
  <c r="C270" i="1"/>
  <c r="D270" i="1"/>
  <c r="I270" i="1"/>
  <c r="S270" i="1"/>
  <c r="AC270" i="1"/>
  <c r="AE270" i="1"/>
  <c r="AD270" i="1" s="1"/>
  <c r="CR270" i="1" s="1"/>
  <c r="Q270" i="1" s="1"/>
  <c r="AF270" i="1"/>
  <c r="AG270" i="1"/>
  <c r="CU270" i="1" s="1"/>
  <c r="T270" i="1" s="1"/>
  <c r="AH270" i="1"/>
  <c r="AI270" i="1"/>
  <c r="AJ270" i="1"/>
  <c r="CS270" i="1"/>
  <c r="R270" i="1" s="1"/>
  <c r="CT270" i="1"/>
  <c r="CV270" i="1"/>
  <c r="U270" i="1" s="1"/>
  <c r="CW270" i="1"/>
  <c r="V270" i="1" s="1"/>
  <c r="CX270" i="1"/>
  <c r="W270" i="1" s="1"/>
  <c r="FR270" i="1"/>
  <c r="GL270" i="1"/>
  <c r="BZ272" i="1" s="1"/>
  <c r="GO270" i="1"/>
  <c r="GP270" i="1"/>
  <c r="GV270" i="1"/>
  <c r="HC270" i="1"/>
  <c r="GX270" i="1" s="1"/>
  <c r="B272" i="1"/>
  <c r="B266" i="1" s="1"/>
  <c r="C272" i="1"/>
  <c r="D272" i="1"/>
  <c r="D266" i="1" s="1"/>
  <c r="F272" i="1"/>
  <c r="F266" i="1" s="1"/>
  <c r="G272" i="1"/>
  <c r="G266" i="1" s="1"/>
  <c r="AO272" i="1"/>
  <c r="AO266" i="1" s="1"/>
  <c r="AP272" i="1"/>
  <c r="AP266" i="1" s="1"/>
  <c r="BX272" i="1"/>
  <c r="BX266" i="1" s="1"/>
  <c r="CD272" i="1"/>
  <c r="AU272" i="1" s="1"/>
  <c r="AU266" i="1" s="1"/>
  <c r="CK272" i="1"/>
  <c r="CK266" i="1" s="1"/>
  <c r="CL272" i="1"/>
  <c r="BC272" i="1" s="1"/>
  <c r="BC266" i="1" s="1"/>
  <c r="F276" i="1"/>
  <c r="B301" i="1"/>
  <c r="B96" i="1" s="1"/>
  <c r="C301" i="1"/>
  <c r="C96" i="1" s="1"/>
  <c r="D301" i="1"/>
  <c r="D96" i="1" s="1"/>
  <c r="F301" i="1"/>
  <c r="F96" i="1" s="1"/>
  <c r="G301" i="1"/>
  <c r="G96" i="1" s="1"/>
  <c r="B330" i="1"/>
  <c r="B22" i="1" s="1"/>
  <c r="C330" i="1"/>
  <c r="C22" i="1" s="1"/>
  <c r="D330" i="1"/>
  <c r="D22" i="1" s="1"/>
  <c r="F330" i="1"/>
  <c r="F22" i="1" s="1"/>
  <c r="G330" i="1"/>
  <c r="G22" i="1" s="1"/>
  <c r="B359" i="1"/>
  <c r="B18" i="1" s="1"/>
  <c r="C359" i="1"/>
  <c r="C18" i="1" s="1"/>
  <c r="D359" i="1"/>
  <c r="D18" i="1" s="1"/>
  <c r="F359" i="1"/>
  <c r="F18" i="1" s="1"/>
  <c r="G359" i="1"/>
  <c r="G18" i="1" s="1"/>
  <c r="G534" i="5" l="1"/>
  <c r="O534" i="5" s="1"/>
  <c r="W476" i="5"/>
  <c r="G257" i="5"/>
  <c r="O257" i="5" s="1"/>
  <c r="G301" i="5" s="1"/>
  <c r="G217" i="5"/>
  <c r="W40" i="5"/>
  <c r="G466" i="5"/>
  <c r="O466" i="5" s="1"/>
  <c r="J545" i="5"/>
  <c r="G572" i="5"/>
  <c r="G476" i="5"/>
  <c r="O476" i="5" s="1"/>
  <c r="G18" i="5"/>
  <c r="I18" i="5" s="1"/>
  <c r="G545" i="5"/>
  <c r="W534" i="5"/>
  <c r="G19" i="5" s="1"/>
  <c r="I19" i="5" s="1"/>
  <c r="G24" i="5"/>
  <c r="G394" i="5"/>
  <c r="CZ268" i="1"/>
  <c r="Y268" i="1" s="1"/>
  <c r="CY268" i="1"/>
  <c r="X268" i="1" s="1"/>
  <c r="AF272" i="1"/>
  <c r="AQ272" i="1"/>
  <c r="BZ266" i="1"/>
  <c r="CG272" i="1"/>
  <c r="AJ266" i="1"/>
  <c r="W272" i="1"/>
  <c r="CY269" i="1"/>
  <c r="X269" i="1" s="1"/>
  <c r="CZ269" i="1"/>
  <c r="Y269" i="1" s="1"/>
  <c r="CL266" i="1"/>
  <c r="AD232" i="1"/>
  <c r="CS232" i="1"/>
  <c r="R232" i="1" s="1"/>
  <c r="CZ232" i="1" s="1"/>
  <c r="Y232" i="1" s="1"/>
  <c r="CP228" i="1"/>
  <c r="O228" i="1" s="1"/>
  <c r="F288" i="1"/>
  <c r="BB272" i="1"/>
  <c r="GX269" i="1"/>
  <c r="T269" i="1"/>
  <c r="Q269" i="1"/>
  <c r="AD272" i="1" s="1"/>
  <c r="AE272" i="1"/>
  <c r="AB268" i="1"/>
  <c r="CQ268" i="1"/>
  <c r="P268" i="1" s="1"/>
  <c r="F245" i="1"/>
  <c r="AU201" i="1"/>
  <c r="F254" i="1"/>
  <c r="AB233" i="1"/>
  <c r="CR233" i="1"/>
  <c r="CR230" i="1"/>
  <c r="Q230" i="1" s="1"/>
  <c r="AB230" i="1"/>
  <c r="CR226" i="1"/>
  <c r="Q226" i="1" s="1"/>
  <c r="AB226" i="1"/>
  <c r="CR224" i="1"/>
  <c r="Q224" i="1" s="1"/>
  <c r="AB224" i="1"/>
  <c r="CY223" i="1"/>
  <c r="X223" i="1" s="1"/>
  <c r="CZ223" i="1"/>
  <c r="Y223" i="1" s="1"/>
  <c r="CY221" i="1"/>
  <c r="X221" i="1" s="1"/>
  <c r="F281" i="1"/>
  <c r="AB270" i="1"/>
  <c r="CQ270" i="1"/>
  <c r="P270" i="1" s="1"/>
  <c r="CP270" i="1" s="1"/>
  <c r="O270" i="1" s="1"/>
  <c r="AG272" i="1"/>
  <c r="CZ219" i="1"/>
  <c r="Y219" i="1" s="1"/>
  <c r="CY219" i="1"/>
  <c r="X219" i="1" s="1"/>
  <c r="CP219" i="1"/>
  <c r="O219" i="1" s="1"/>
  <c r="BY266" i="1"/>
  <c r="CI272" i="1"/>
  <c r="AI272" i="1"/>
  <c r="CD266" i="1"/>
  <c r="CI201" i="1"/>
  <c r="AZ235" i="1"/>
  <c r="GX233" i="1"/>
  <c r="CP230" i="1"/>
  <c r="O230" i="1" s="1"/>
  <c r="CP226" i="1"/>
  <c r="O226" i="1" s="1"/>
  <c r="CR223" i="1"/>
  <c r="Q223" i="1" s="1"/>
  <c r="CP223" i="1" s="1"/>
  <c r="O223" i="1" s="1"/>
  <c r="AB223" i="1"/>
  <c r="CR221" i="1"/>
  <c r="Q221" i="1" s="1"/>
  <c r="AB221" i="1"/>
  <c r="CY220" i="1"/>
  <c r="X220" i="1" s="1"/>
  <c r="CZ220" i="1"/>
  <c r="Y220" i="1" s="1"/>
  <c r="F291" i="1"/>
  <c r="AT272" i="1"/>
  <c r="P269" i="1"/>
  <c r="CP269" i="1" s="1"/>
  <c r="O269" i="1" s="1"/>
  <c r="AB269" i="1"/>
  <c r="CJ272" i="1"/>
  <c r="AH272" i="1"/>
  <c r="BC201" i="1"/>
  <c r="F251" i="1"/>
  <c r="CY232" i="1"/>
  <c r="X232" i="1" s="1"/>
  <c r="AB231" i="1"/>
  <c r="CR231" i="1"/>
  <c r="CR228" i="1"/>
  <c r="Q228" i="1" s="1"/>
  <c r="AB228" i="1"/>
  <c r="CP224" i="1"/>
  <c r="O224" i="1" s="1"/>
  <c r="CR220" i="1"/>
  <c r="Q220" i="1" s="1"/>
  <c r="AB220" i="1"/>
  <c r="CZ270" i="1"/>
  <c r="Y270" i="1" s="1"/>
  <c r="CY270" i="1"/>
  <c r="X270" i="1" s="1"/>
  <c r="V233" i="1"/>
  <c r="CP221" i="1"/>
  <c r="O221" i="1" s="1"/>
  <c r="CP220" i="1"/>
  <c r="O220" i="1" s="1"/>
  <c r="CX295" i="3"/>
  <c r="CX297" i="3"/>
  <c r="CX296" i="3"/>
  <c r="CS230" i="1"/>
  <c r="R230" i="1" s="1"/>
  <c r="CY230" i="1" s="1"/>
  <c r="X230" i="1" s="1"/>
  <c r="CT229" i="1"/>
  <c r="S229" i="1" s="1"/>
  <c r="CS228" i="1"/>
  <c r="R228" i="1" s="1"/>
  <c r="CZ228" i="1" s="1"/>
  <c r="Y228" i="1" s="1"/>
  <c r="CT227" i="1"/>
  <c r="S227" i="1" s="1"/>
  <c r="CP227" i="1" s="1"/>
  <c r="O227" i="1" s="1"/>
  <c r="CS226" i="1"/>
  <c r="R226" i="1" s="1"/>
  <c r="CY226" i="1" s="1"/>
  <c r="X226" i="1" s="1"/>
  <c r="CT225" i="1"/>
  <c r="S225" i="1" s="1"/>
  <c r="CS224" i="1"/>
  <c r="R224" i="1" s="1"/>
  <c r="CY224" i="1" s="1"/>
  <c r="X224" i="1" s="1"/>
  <c r="CS221" i="1"/>
  <c r="R221" i="1" s="1"/>
  <c r="CZ221" i="1" s="1"/>
  <c r="Y221" i="1" s="1"/>
  <c r="CP218" i="1"/>
  <c r="O218" i="1" s="1"/>
  <c r="AB218" i="1"/>
  <c r="CZ210" i="1"/>
  <c r="Y210" i="1" s="1"/>
  <c r="CY210" i="1"/>
  <c r="X210" i="1" s="1"/>
  <c r="CY209" i="1"/>
  <c r="X209" i="1" s="1"/>
  <c r="CZ209" i="1"/>
  <c r="Y209" i="1" s="1"/>
  <c r="CY203" i="1"/>
  <c r="X203" i="1" s="1"/>
  <c r="CZ203" i="1"/>
  <c r="Y203" i="1" s="1"/>
  <c r="CP168" i="1"/>
  <c r="O168" i="1" s="1"/>
  <c r="U165" i="1"/>
  <c r="CX286" i="3"/>
  <c r="CX290" i="3"/>
  <c r="CX294" i="3"/>
  <c r="CX287" i="3"/>
  <c r="CX291" i="3"/>
  <c r="CX289" i="3"/>
  <c r="CX293" i="3"/>
  <c r="CX288" i="3"/>
  <c r="CX292" i="3"/>
  <c r="CX282" i="3"/>
  <c r="CX283" i="3"/>
  <c r="CX285" i="3"/>
  <c r="CX284" i="3"/>
  <c r="CX278" i="3"/>
  <c r="CX275" i="3"/>
  <c r="CX279" i="3"/>
  <c r="CX277" i="3"/>
  <c r="CX281" i="3"/>
  <c r="CX276" i="3"/>
  <c r="CX280" i="3"/>
  <c r="CX270" i="3"/>
  <c r="CX274" i="3"/>
  <c r="CX269" i="3"/>
  <c r="CX267" i="3"/>
  <c r="CX271" i="3"/>
  <c r="CX273" i="3"/>
  <c r="CX272" i="3"/>
  <c r="CX268" i="3"/>
  <c r="AB219" i="1"/>
  <c r="CY217" i="1"/>
  <c r="X217" i="1" s="1"/>
  <c r="GM217" i="1" s="1"/>
  <c r="CZ217" i="1"/>
  <c r="Y217" i="1" s="1"/>
  <c r="GN217" i="1" s="1"/>
  <c r="CY215" i="1"/>
  <c r="X215" i="1" s="1"/>
  <c r="CZ215" i="1"/>
  <c r="Y215" i="1" s="1"/>
  <c r="CY213" i="1"/>
  <c r="X213" i="1" s="1"/>
  <c r="CZ213" i="1"/>
  <c r="Y213" i="1" s="1"/>
  <c r="CZ212" i="1"/>
  <c r="Y212" i="1" s="1"/>
  <c r="CY212" i="1"/>
  <c r="X212" i="1" s="1"/>
  <c r="GM206" i="1"/>
  <c r="GN206" i="1"/>
  <c r="CY204" i="1"/>
  <c r="X204" i="1" s="1"/>
  <c r="CZ204" i="1"/>
  <c r="Y204" i="1" s="1"/>
  <c r="CP204" i="1"/>
  <c r="O204" i="1" s="1"/>
  <c r="CR203" i="1"/>
  <c r="Q203" i="1" s="1"/>
  <c r="AB203" i="1"/>
  <c r="U167" i="1"/>
  <c r="AH170" i="1"/>
  <c r="CZ163" i="1"/>
  <c r="Y163" i="1" s="1"/>
  <c r="CY163" i="1"/>
  <c r="X163" i="1" s="1"/>
  <c r="GM161" i="1"/>
  <c r="CX306" i="3"/>
  <c r="CX303" i="3"/>
  <c r="CX305" i="3"/>
  <c r="CX304" i="3"/>
  <c r="CX298" i="3"/>
  <c r="CX302" i="3"/>
  <c r="CX299" i="3"/>
  <c r="CX301" i="3"/>
  <c r="CX300" i="3"/>
  <c r="BB235" i="1"/>
  <c r="AX235" i="1"/>
  <c r="AT235" i="1"/>
  <c r="AP235" i="1"/>
  <c r="CZ218" i="1"/>
  <c r="Y218" i="1" s="1"/>
  <c r="T217" i="1"/>
  <c r="AB217" i="1"/>
  <c r="AB216" i="1"/>
  <c r="CZ216" i="1"/>
  <c r="Y216" i="1" s="1"/>
  <c r="CP213" i="1"/>
  <c r="O213" i="1" s="1"/>
  <c r="CP210" i="1"/>
  <c r="O210" i="1" s="1"/>
  <c r="GM207" i="1"/>
  <c r="CZ205" i="1"/>
  <c r="Y205" i="1" s="1"/>
  <c r="CY205" i="1"/>
  <c r="X205" i="1" s="1"/>
  <c r="GN205" i="1" s="1"/>
  <c r="CY164" i="1"/>
  <c r="X164" i="1" s="1"/>
  <c r="CZ164" i="1"/>
  <c r="Y164" i="1" s="1"/>
  <c r="CP164" i="1"/>
  <c r="O164" i="1" s="1"/>
  <c r="AO235" i="1"/>
  <c r="I233" i="1"/>
  <c r="T233" i="1" s="1"/>
  <c r="I231" i="1"/>
  <c r="T231" i="1" s="1"/>
  <c r="CX254" i="3"/>
  <c r="CX258" i="3"/>
  <c r="CX262" i="3"/>
  <c r="CX266" i="3"/>
  <c r="CX253" i="3"/>
  <c r="CX257" i="3"/>
  <c r="CX261" i="3"/>
  <c r="CX265" i="3"/>
  <c r="CX255" i="3"/>
  <c r="CX259" i="3"/>
  <c r="CX263" i="3"/>
  <c r="CX264" i="3"/>
  <c r="CX260" i="3"/>
  <c r="CX256" i="3"/>
  <c r="GX217" i="1"/>
  <c r="U217" i="1"/>
  <c r="CY216" i="1"/>
  <c r="X216" i="1" s="1"/>
  <c r="GN216" i="1" s="1"/>
  <c r="CP215" i="1"/>
  <c r="O215" i="1" s="1"/>
  <c r="CZ214" i="1"/>
  <c r="Y214" i="1" s="1"/>
  <c r="CY214" i="1"/>
  <c r="X214" i="1" s="1"/>
  <c r="CY211" i="1"/>
  <c r="X211" i="1" s="1"/>
  <c r="GN211" i="1" s="1"/>
  <c r="CZ211" i="1"/>
  <c r="Y211" i="1" s="1"/>
  <c r="CP203" i="1"/>
  <c r="O203" i="1" s="1"/>
  <c r="CY168" i="1"/>
  <c r="X168" i="1" s="1"/>
  <c r="CZ168" i="1"/>
  <c r="Y168" i="1" s="1"/>
  <c r="CY166" i="1"/>
  <c r="X166" i="1" s="1"/>
  <c r="CZ166" i="1"/>
  <c r="Y166" i="1" s="1"/>
  <c r="GN163" i="1"/>
  <c r="GM163" i="1"/>
  <c r="CQ214" i="1"/>
  <c r="P214" i="1" s="1"/>
  <c r="CP214" i="1" s="1"/>
  <c r="O214" i="1" s="1"/>
  <c r="CQ212" i="1"/>
  <c r="P212" i="1" s="1"/>
  <c r="CX206" i="3"/>
  <c r="CX209" i="3"/>
  <c r="CX208" i="3"/>
  <c r="CX207" i="3"/>
  <c r="BB170" i="1"/>
  <c r="AX170" i="1"/>
  <c r="AT170" i="1"/>
  <c r="AP170" i="1"/>
  <c r="CY159" i="1"/>
  <c r="X159" i="1" s="1"/>
  <c r="CZ159" i="1"/>
  <c r="Y159" i="1" s="1"/>
  <c r="CY153" i="1"/>
  <c r="X153" i="1" s="1"/>
  <c r="CZ153" i="1"/>
  <c r="Y153" i="1" s="1"/>
  <c r="CY151" i="1"/>
  <c r="X151" i="1" s="1"/>
  <c r="CZ151" i="1"/>
  <c r="Y151" i="1" s="1"/>
  <c r="AI100" i="1"/>
  <c r="V118" i="1"/>
  <c r="AJ118" i="1"/>
  <c r="CJ118" i="1"/>
  <c r="AD209" i="1"/>
  <c r="CR209" i="1" s="1"/>
  <c r="Q209" i="1" s="1"/>
  <c r="CP209" i="1" s="1"/>
  <c r="O209" i="1" s="1"/>
  <c r="AB204" i="1"/>
  <c r="CX210" i="3"/>
  <c r="CX213" i="3"/>
  <c r="CX212" i="3"/>
  <c r="CX211" i="3"/>
  <c r="AB168" i="1"/>
  <c r="AD166" i="1"/>
  <c r="CX194" i="3"/>
  <c r="CX198" i="3"/>
  <c r="CX202" i="3"/>
  <c r="CX193" i="3"/>
  <c r="CX197" i="3"/>
  <c r="CX201" i="3"/>
  <c r="CX205" i="3"/>
  <c r="CX192" i="3"/>
  <c r="CX196" i="3"/>
  <c r="CX200" i="3"/>
  <c r="CX204" i="3"/>
  <c r="CX195" i="3"/>
  <c r="CX199" i="3"/>
  <c r="CX203" i="3"/>
  <c r="S165" i="1"/>
  <c r="AB165" i="1"/>
  <c r="CX190" i="3"/>
  <c r="CX189" i="3"/>
  <c r="CX188" i="3"/>
  <c r="CX191" i="3"/>
  <c r="CY162" i="1"/>
  <c r="X162" i="1" s="1"/>
  <c r="CP159" i="1"/>
  <c r="O159" i="1" s="1"/>
  <c r="CZ156" i="1"/>
  <c r="Y156" i="1" s="1"/>
  <c r="CY156" i="1"/>
  <c r="X156" i="1" s="1"/>
  <c r="CP153" i="1"/>
  <c r="O153" i="1" s="1"/>
  <c r="CR116" i="1"/>
  <c r="Q116" i="1" s="1"/>
  <c r="AB116" i="1"/>
  <c r="CX250" i="3"/>
  <c r="CX249" i="3"/>
  <c r="CX251" i="3"/>
  <c r="CX252" i="3"/>
  <c r="CX214" i="3"/>
  <c r="CX217" i="3"/>
  <c r="CX216" i="3"/>
  <c r="CX215" i="3"/>
  <c r="I167" i="1"/>
  <c r="V167" i="1" s="1"/>
  <c r="I165" i="1"/>
  <c r="T165" i="1" s="1"/>
  <c r="T164" i="1"/>
  <c r="AB164" i="1"/>
  <c r="T163" i="1"/>
  <c r="AB161" i="1"/>
  <c r="CZ158" i="1"/>
  <c r="Y158" i="1" s="1"/>
  <c r="CY158" i="1"/>
  <c r="X158" i="1" s="1"/>
  <c r="GM158" i="1" s="1"/>
  <c r="CP156" i="1"/>
  <c r="O156" i="1" s="1"/>
  <c r="CY152" i="1"/>
  <c r="X152" i="1" s="1"/>
  <c r="CZ152" i="1"/>
  <c r="Y152" i="1" s="1"/>
  <c r="CP116" i="1"/>
  <c r="O116" i="1" s="1"/>
  <c r="AH118" i="1"/>
  <c r="CX238" i="3"/>
  <c r="CX242" i="3"/>
  <c r="CX246" i="3"/>
  <c r="CX237" i="3"/>
  <c r="CX241" i="3"/>
  <c r="CX245" i="3"/>
  <c r="CX235" i="3"/>
  <c r="CX239" i="3"/>
  <c r="CX243" i="3"/>
  <c r="CX247" i="3"/>
  <c r="CX248" i="3"/>
  <c r="CX244" i="3"/>
  <c r="CX240" i="3"/>
  <c r="CX236" i="3"/>
  <c r="CX226" i="3"/>
  <c r="CX230" i="3"/>
  <c r="CX234" i="3"/>
  <c r="CX229" i="3"/>
  <c r="CX233" i="3"/>
  <c r="CX227" i="3"/>
  <c r="CX231" i="3"/>
  <c r="CX232" i="3"/>
  <c r="CX228" i="3"/>
  <c r="CX218" i="3"/>
  <c r="CX222" i="3"/>
  <c r="CX221" i="3"/>
  <c r="CX225" i="3"/>
  <c r="CX219" i="3"/>
  <c r="CX223" i="3"/>
  <c r="CX224" i="3"/>
  <c r="CX220" i="3"/>
  <c r="CI170" i="1"/>
  <c r="BC170" i="1"/>
  <c r="AU170" i="1"/>
  <c r="AQ170" i="1"/>
  <c r="CP162" i="1"/>
  <c r="O162" i="1" s="1"/>
  <c r="CY161" i="1"/>
  <c r="X161" i="1" s="1"/>
  <c r="GN161" i="1" s="1"/>
  <c r="CZ161" i="1"/>
  <c r="Y161" i="1" s="1"/>
  <c r="CZ160" i="1"/>
  <c r="Y160" i="1" s="1"/>
  <c r="CY160" i="1"/>
  <c r="X160" i="1" s="1"/>
  <c r="GN160" i="1" s="1"/>
  <c r="CY157" i="1"/>
  <c r="X157" i="1" s="1"/>
  <c r="GM157" i="1" s="1"/>
  <c r="CZ157" i="1"/>
  <c r="Y157" i="1" s="1"/>
  <c r="GN154" i="1"/>
  <c r="GM154" i="1"/>
  <c r="CR152" i="1"/>
  <c r="Q152" i="1" s="1"/>
  <c r="CP152" i="1" s="1"/>
  <c r="O152" i="1" s="1"/>
  <c r="AB152" i="1"/>
  <c r="CR114" i="1"/>
  <c r="Q114" i="1" s="1"/>
  <c r="CP114" i="1" s="1"/>
  <c r="O114" i="1" s="1"/>
  <c r="AB114" i="1"/>
  <c r="AG118" i="1"/>
  <c r="CX152" i="3"/>
  <c r="CX151" i="3"/>
  <c r="CX150" i="3"/>
  <c r="CX149" i="3"/>
  <c r="AO118" i="1"/>
  <c r="CS116" i="1"/>
  <c r="R116" i="1" s="1"/>
  <c r="CZ116" i="1" s="1"/>
  <c r="Y116" i="1" s="1"/>
  <c r="CT115" i="1"/>
  <c r="S115" i="1" s="1"/>
  <c r="CP115" i="1" s="1"/>
  <c r="O115" i="1" s="1"/>
  <c r="CS114" i="1"/>
  <c r="R114" i="1" s="1"/>
  <c r="CY114" i="1" s="1"/>
  <c r="X114" i="1" s="1"/>
  <c r="CT113" i="1"/>
  <c r="S113" i="1" s="1"/>
  <c r="CY111" i="1"/>
  <c r="X111" i="1" s="1"/>
  <c r="CZ111" i="1"/>
  <c r="Y111" i="1" s="1"/>
  <c r="CY109" i="1"/>
  <c r="X109" i="1" s="1"/>
  <c r="CZ109" i="1"/>
  <c r="Y109" i="1" s="1"/>
  <c r="CY107" i="1"/>
  <c r="X107" i="1" s="1"/>
  <c r="CZ107" i="1"/>
  <c r="Y107" i="1" s="1"/>
  <c r="CP103" i="1"/>
  <c r="O103" i="1" s="1"/>
  <c r="CZ63" i="1"/>
  <c r="Y63" i="1" s="1"/>
  <c r="CY63" i="1"/>
  <c r="X63" i="1" s="1"/>
  <c r="CZ59" i="1"/>
  <c r="Y59" i="1" s="1"/>
  <c r="CY59" i="1"/>
  <c r="X59" i="1" s="1"/>
  <c r="CP57" i="1"/>
  <c r="O57" i="1" s="1"/>
  <c r="AB159" i="1"/>
  <c r="AB157" i="1"/>
  <c r="AB153" i="1"/>
  <c r="CX156" i="3"/>
  <c r="CX155" i="3"/>
  <c r="CX154" i="3"/>
  <c r="CX153" i="3"/>
  <c r="AD151" i="1"/>
  <c r="CX144" i="3"/>
  <c r="CX143" i="3"/>
  <c r="CX142" i="3"/>
  <c r="AB109" i="1"/>
  <c r="CR109" i="1"/>
  <c r="Q109" i="1" s="1"/>
  <c r="CY108" i="1"/>
  <c r="X108" i="1" s="1"/>
  <c r="CZ108" i="1"/>
  <c r="Y108" i="1" s="1"/>
  <c r="CP108" i="1"/>
  <c r="O108" i="1" s="1"/>
  <c r="AB107" i="1"/>
  <c r="CR107" i="1"/>
  <c r="Q107" i="1" s="1"/>
  <c r="CY106" i="1"/>
  <c r="X106" i="1" s="1"/>
  <c r="CZ106" i="1"/>
  <c r="Y106" i="1" s="1"/>
  <c r="CP106" i="1"/>
  <c r="O106" i="1" s="1"/>
  <c r="CY103" i="1"/>
  <c r="X103" i="1" s="1"/>
  <c r="CZ103" i="1"/>
  <c r="Y103" i="1" s="1"/>
  <c r="CZ102" i="1"/>
  <c r="Y102" i="1" s="1"/>
  <c r="CY102" i="1"/>
  <c r="X102" i="1" s="1"/>
  <c r="CZ60" i="1"/>
  <c r="Y60" i="1" s="1"/>
  <c r="CY60" i="1"/>
  <c r="X60" i="1" s="1"/>
  <c r="CZ58" i="1"/>
  <c r="Y58" i="1" s="1"/>
  <c r="CY58" i="1"/>
  <c r="X58" i="1" s="1"/>
  <c r="CX176" i="3"/>
  <c r="CX180" i="3"/>
  <c r="CX175" i="3"/>
  <c r="CX179" i="3"/>
  <c r="CX174" i="3"/>
  <c r="CX178" i="3"/>
  <c r="CX182" i="3"/>
  <c r="CX186" i="3"/>
  <c r="CX177" i="3"/>
  <c r="CX181" i="3"/>
  <c r="CX185" i="3"/>
  <c r="CX184" i="3"/>
  <c r="CX183" i="3"/>
  <c r="CX187" i="3"/>
  <c r="CX168" i="3"/>
  <c r="CX172" i="3"/>
  <c r="CX167" i="3"/>
  <c r="CX171" i="3"/>
  <c r="CX166" i="3"/>
  <c r="CX170" i="3"/>
  <c r="CX165" i="3"/>
  <c r="CX169" i="3"/>
  <c r="CX173" i="3"/>
  <c r="CX160" i="3"/>
  <c r="CX164" i="3"/>
  <c r="CX159" i="3"/>
  <c r="CX163" i="3"/>
  <c r="CX158" i="3"/>
  <c r="CX162" i="3"/>
  <c r="CX157" i="3"/>
  <c r="CX161" i="3"/>
  <c r="CI118" i="1"/>
  <c r="BC118" i="1"/>
  <c r="AU118" i="1"/>
  <c r="AQ118" i="1"/>
  <c r="CZ61" i="1"/>
  <c r="Y61" i="1" s="1"/>
  <c r="CY61" i="1"/>
  <c r="X61" i="1" s="1"/>
  <c r="CY57" i="1"/>
  <c r="X57" i="1" s="1"/>
  <c r="CZ57" i="1"/>
  <c r="Y57" i="1" s="1"/>
  <c r="CY56" i="1"/>
  <c r="X56" i="1" s="1"/>
  <c r="CZ56" i="1"/>
  <c r="Y56" i="1" s="1"/>
  <c r="CX145" i="3"/>
  <c r="CX148" i="3"/>
  <c r="CX147" i="3"/>
  <c r="CX146" i="3"/>
  <c r="BB118" i="1"/>
  <c r="AX118" i="1"/>
  <c r="AT118" i="1"/>
  <c r="AP118" i="1"/>
  <c r="P113" i="1"/>
  <c r="CP113" i="1" s="1"/>
  <c r="O113" i="1" s="1"/>
  <c r="CP112" i="1"/>
  <c r="O112" i="1" s="1"/>
  <c r="CY110" i="1"/>
  <c r="X110" i="1" s="1"/>
  <c r="GM110" i="1" s="1"/>
  <c r="CZ110" i="1"/>
  <c r="Y110" i="1" s="1"/>
  <c r="CP109" i="1"/>
  <c r="O109" i="1" s="1"/>
  <c r="CP107" i="1"/>
  <c r="O107" i="1" s="1"/>
  <c r="CZ62" i="1"/>
  <c r="Y62" i="1" s="1"/>
  <c r="CY62" i="1"/>
  <c r="X62" i="1" s="1"/>
  <c r="AB57" i="1"/>
  <c r="CR57" i="1"/>
  <c r="Q57" i="1" s="1"/>
  <c r="AB56" i="1"/>
  <c r="CR56" i="1"/>
  <c r="Q56" i="1" s="1"/>
  <c r="CP56" i="1" s="1"/>
  <c r="O56" i="1" s="1"/>
  <c r="CX133" i="3"/>
  <c r="CX137" i="3"/>
  <c r="CX141" i="3"/>
  <c r="CX136" i="3"/>
  <c r="CX140" i="3"/>
  <c r="CX135" i="3"/>
  <c r="CX139" i="3"/>
  <c r="CX134" i="3"/>
  <c r="CX138" i="3"/>
  <c r="CX129" i="3"/>
  <c r="CX132" i="3"/>
  <c r="CX131" i="3"/>
  <c r="CX130" i="3"/>
  <c r="AB108" i="1"/>
  <c r="CX125" i="3"/>
  <c r="CX124" i="3"/>
  <c r="CX128" i="3"/>
  <c r="CX123" i="3"/>
  <c r="CX127" i="3"/>
  <c r="CX122" i="3"/>
  <c r="CX126" i="3"/>
  <c r="AB106" i="1"/>
  <c r="CX117" i="3"/>
  <c r="CX121" i="3"/>
  <c r="CX116" i="3"/>
  <c r="CX120" i="3"/>
  <c r="CX115" i="3"/>
  <c r="CX119" i="3"/>
  <c r="CX114" i="3"/>
  <c r="CX118" i="3"/>
  <c r="CR103" i="1"/>
  <c r="Q103" i="1" s="1"/>
  <c r="CQ102" i="1"/>
  <c r="P102" i="1" s="1"/>
  <c r="AD102" i="1"/>
  <c r="CR102" i="1" s="1"/>
  <c r="Q102" i="1" s="1"/>
  <c r="AD118" i="1" s="1"/>
  <c r="BC65" i="1"/>
  <c r="AU65" i="1"/>
  <c r="AD63" i="1"/>
  <c r="AD62" i="1"/>
  <c r="AD61" i="1"/>
  <c r="AD60" i="1"/>
  <c r="AD59" i="1"/>
  <c r="AD58" i="1"/>
  <c r="GM53" i="1"/>
  <c r="GN53" i="1"/>
  <c r="CP50" i="1"/>
  <c r="O50" i="1" s="1"/>
  <c r="CY45" i="1"/>
  <c r="X45" i="1" s="1"/>
  <c r="CZ45" i="1"/>
  <c r="Y45" i="1" s="1"/>
  <c r="CY42" i="1"/>
  <c r="X42" i="1" s="1"/>
  <c r="CZ42" i="1"/>
  <c r="Y42" i="1" s="1"/>
  <c r="CP42" i="1"/>
  <c r="O42" i="1" s="1"/>
  <c r="CR41" i="1"/>
  <c r="Q41" i="1" s="1"/>
  <c r="AB41" i="1"/>
  <c r="CY40" i="1"/>
  <c r="X40" i="1" s="1"/>
  <c r="CZ40" i="1"/>
  <c r="Y40" i="1" s="1"/>
  <c r="CP40" i="1"/>
  <c r="O40" i="1" s="1"/>
  <c r="CQ111" i="1"/>
  <c r="P111" i="1" s="1"/>
  <c r="CP111" i="1" s="1"/>
  <c r="O111" i="1" s="1"/>
  <c r="BB65" i="1"/>
  <c r="AP65" i="1"/>
  <c r="CY50" i="1"/>
  <c r="X50" i="1" s="1"/>
  <c r="CZ50" i="1"/>
  <c r="Y50" i="1" s="1"/>
  <c r="CZ47" i="1"/>
  <c r="Y47" i="1" s="1"/>
  <c r="CY47" i="1"/>
  <c r="X47" i="1" s="1"/>
  <c r="GN47" i="1" s="1"/>
  <c r="CY46" i="1"/>
  <c r="X46" i="1" s="1"/>
  <c r="GN46" i="1" s="1"/>
  <c r="CZ46" i="1"/>
  <c r="Y46" i="1" s="1"/>
  <c r="CY44" i="1"/>
  <c r="X44" i="1" s="1"/>
  <c r="CZ44" i="1"/>
  <c r="Y44" i="1" s="1"/>
  <c r="CZ43" i="1"/>
  <c r="Y43" i="1" s="1"/>
  <c r="CY43" i="1"/>
  <c r="X43" i="1" s="1"/>
  <c r="CY39" i="1"/>
  <c r="X39" i="1" s="1"/>
  <c r="CZ39" i="1"/>
  <c r="Y39" i="1" s="1"/>
  <c r="CX109" i="3"/>
  <c r="CX108" i="3"/>
  <c r="CX107" i="3"/>
  <c r="CX106" i="3"/>
  <c r="CG65" i="1"/>
  <c r="AO65" i="1"/>
  <c r="CT55" i="1"/>
  <c r="S55" i="1" s="1"/>
  <c r="CY52" i="1"/>
  <c r="X52" i="1" s="1"/>
  <c r="CZ52" i="1"/>
  <c r="Y52" i="1" s="1"/>
  <c r="CZ51" i="1"/>
  <c r="Y51" i="1" s="1"/>
  <c r="CY51" i="1"/>
  <c r="X51" i="1" s="1"/>
  <c r="CR50" i="1"/>
  <c r="Q50" i="1" s="1"/>
  <c r="AB50" i="1"/>
  <c r="CY49" i="1"/>
  <c r="X49" i="1" s="1"/>
  <c r="CZ49" i="1"/>
  <c r="Y49" i="1" s="1"/>
  <c r="CP41" i="1"/>
  <c r="O41" i="1" s="1"/>
  <c r="CY38" i="1"/>
  <c r="X38" i="1" s="1"/>
  <c r="CZ38" i="1"/>
  <c r="Y38" i="1" s="1"/>
  <c r="CX113" i="3"/>
  <c r="CX112" i="3"/>
  <c r="CX111" i="3"/>
  <c r="CX110" i="3"/>
  <c r="AZ65" i="1"/>
  <c r="AD54" i="1"/>
  <c r="CR54" i="1" s="1"/>
  <c r="Q54" i="1" s="1"/>
  <c r="CP54" i="1" s="1"/>
  <c r="O54" i="1" s="1"/>
  <c r="CS54" i="1"/>
  <c r="R54" i="1" s="1"/>
  <c r="CY54" i="1" s="1"/>
  <c r="X54" i="1" s="1"/>
  <c r="CR49" i="1"/>
  <c r="Q49" i="1" s="1"/>
  <c r="CP49" i="1" s="1"/>
  <c r="O49" i="1" s="1"/>
  <c r="AB49" i="1"/>
  <c r="CY48" i="1"/>
  <c r="X48" i="1" s="1"/>
  <c r="CZ48" i="1"/>
  <c r="Y48" i="1" s="1"/>
  <c r="CP48" i="1"/>
  <c r="O48" i="1" s="1"/>
  <c r="GM47" i="1"/>
  <c r="GM46" i="1"/>
  <c r="CP45" i="1"/>
  <c r="O45" i="1" s="1"/>
  <c r="GN43" i="1"/>
  <c r="GM43" i="1"/>
  <c r="CY41" i="1"/>
  <c r="X41" i="1" s="1"/>
  <c r="CZ41" i="1"/>
  <c r="Y41" i="1" s="1"/>
  <c r="CR38" i="1"/>
  <c r="Q38" i="1" s="1"/>
  <c r="CP38" i="1" s="1"/>
  <c r="O38" i="1" s="1"/>
  <c r="AB38" i="1"/>
  <c r="CZ37" i="1"/>
  <c r="Y37" i="1" s="1"/>
  <c r="CY37" i="1"/>
  <c r="X37" i="1" s="1"/>
  <c r="CR52" i="1"/>
  <c r="Q52" i="1" s="1"/>
  <c r="CP52" i="1" s="1"/>
  <c r="O52" i="1" s="1"/>
  <c r="CQ51" i="1"/>
  <c r="P51" i="1" s="1"/>
  <c r="CP51" i="1" s="1"/>
  <c r="O51" i="1" s="1"/>
  <c r="AB45" i="1"/>
  <c r="CX77" i="3"/>
  <c r="CX76" i="3"/>
  <c r="CX75" i="3"/>
  <c r="CX79" i="3"/>
  <c r="CX74" i="3"/>
  <c r="CX78" i="3"/>
  <c r="GN35" i="1"/>
  <c r="Q34" i="1"/>
  <c r="AB48" i="1"/>
  <c r="CX81" i="3"/>
  <c r="CX85" i="3"/>
  <c r="CX80" i="3"/>
  <c r="CX84" i="3"/>
  <c r="CX83" i="3"/>
  <c r="CX87" i="3"/>
  <c r="CX82" i="3"/>
  <c r="CX86" i="3"/>
  <c r="AD44" i="1"/>
  <c r="CR44" i="1" s="1"/>
  <c r="Q44" i="1" s="1"/>
  <c r="CP44" i="1" s="1"/>
  <c r="O44" i="1" s="1"/>
  <c r="AB42" i="1"/>
  <c r="CX57" i="3"/>
  <c r="CX56" i="3"/>
  <c r="CX55" i="3"/>
  <c r="CX58" i="3"/>
  <c r="AB40" i="1"/>
  <c r="AD39" i="1"/>
  <c r="CP36" i="1"/>
  <c r="O36" i="1" s="1"/>
  <c r="CY33" i="1"/>
  <c r="X33" i="1" s="1"/>
  <c r="CZ33" i="1"/>
  <c r="Y33" i="1" s="1"/>
  <c r="GM32" i="1"/>
  <c r="GN32" i="1"/>
  <c r="CY30" i="1"/>
  <c r="X30" i="1" s="1"/>
  <c r="GM30" i="1" s="1"/>
  <c r="CZ30" i="1"/>
  <c r="Y30" i="1" s="1"/>
  <c r="GN30" i="1" s="1"/>
  <c r="CP29" i="1"/>
  <c r="O29" i="1" s="1"/>
  <c r="CX101" i="3"/>
  <c r="CX100" i="3"/>
  <c r="CX104" i="3"/>
  <c r="CX99" i="3"/>
  <c r="CX103" i="3"/>
  <c r="CX98" i="3"/>
  <c r="CX102" i="3"/>
  <c r="CX89" i="3"/>
  <c r="CX93" i="3"/>
  <c r="CX88" i="3"/>
  <c r="CX92" i="3"/>
  <c r="CX96" i="3"/>
  <c r="CX91" i="3"/>
  <c r="CX95" i="3"/>
  <c r="CX90" i="3"/>
  <c r="CX94" i="3"/>
  <c r="CX61" i="3"/>
  <c r="CX60" i="3"/>
  <c r="CX59" i="3"/>
  <c r="CX63" i="3"/>
  <c r="CX62" i="3"/>
  <c r="AB37" i="1"/>
  <c r="CQ37" i="1"/>
  <c r="P37" i="1" s="1"/>
  <c r="CP37" i="1" s="1"/>
  <c r="O37" i="1" s="1"/>
  <c r="AB36" i="1"/>
  <c r="CR33" i="1"/>
  <c r="Q33" i="1" s="1"/>
  <c r="CP33" i="1" s="1"/>
  <c r="O33" i="1" s="1"/>
  <c r="AB33" i="1"/>
  <c r="CY29" i="1"/>
  <c r="X29" i="1" s="1"/>
  <c r="CX65" i="3"/>
  <c r="CX69" i="3"/>
  <c r="CX73" i="3"/>
  <c r="CX64" i="3"/>
  <c r="CX68" i="3"/>
  <c r="CX72" i="3"/>
  <c r="CX67" i="3"/>
  <c r="CX71" i="3"/>
  <c r="CX66" i="3"/>
  <c r="CX70" i="3"/>
  <c r="CY36" i="1"/>
  <c r="X36" i="1" s="1"/>
  <c r="CZ36" i="1"/>
  <c r="Y36" i="1" s="1"/>
  <c r="CY35" i="1"/>
  <c r="X35" i="1" s="1"/>
  <c r="GM35" i="1" s="1"/>
  <c r="CZ35" i="1"/>
  <c r="Y35" i="1" s="1"/>
  <c r="V34" i="1"/>
  <c r="AI65" i="1" s="1"/>
  <c r="CR29" i="1"/>
  <c r="Q29" i="1" s="1"/>
  <c r="AB29" i="1"/>
  <c r="CY28" i="1"/>
  <c r="X28" i="1" s="1"/>
  <c r="GM28" i="1" s="1"/>
  <c r="CZ28" i="1"/>
  <c r="Y28" i="1" s="1"/>
  <c r="CQ34" i="1"/>
  <c r="CS29" i="1"/>
  <c r="R29" i="1" s="1"/>
  <c r="CZ29" i="1" s="1"/>
  <c r="Y29" i="1" s="1"/>
  <c r="CX1" i="3"/>
  <c r="CX2" i="3"/>
  <c r="CX5" i="3"/>
  <c r="CX4" i="3"/>
  <c r="CX3" i="3"/>
  <c r="CX29" i="3"/>
  <c r="CX33" i="3"/>
  <c r="CX37" i="3"/>
  <c r="CX41" i="3"/>
  <c r="CX28" i="3"/>
  <c r="CX32" i="3"/>
  <c r="CX36" i="3"/>
  <c r="CX40" i="3"/>
  <c r="CX44" i="3"/>
  <c r="CX27" i="3"/>
  <c r="CX31" i="3"/>
  <c r="CX35" i="3"/>
  <c r="CX39" i="3"/>
  <c r="CX43" i="3"/>
  <c r="CX30" i="3"/>
  <c r="CX34" i="3"/>
  <c r="CX38" i="3"/>
  <c r="CX42" i="3"/>
  <c r="I34" i="1"/>
  <c r="CX6" i="3" s="1"/>
  <c r="CX45" i="3"/>
  <c r="CX47" i="3"/>
  <c r="CX46" i="3"/>
  <c r="CX9" i="3"/>
  <c r="CX8" i="3"/>
  <c r="CX12" i="3"/>
  <c r="CX7" i="3"/>
  <c r="CX11" i="3"/>
  <c r="CX10" i="3"/>
  <c r="G584" i="5" l="1"/>
  <c r="J586" i="5" s="1"/>
  <c r="G576" i="5"/>
  <c r="G580" i="5"/>
  <c r="GM152" i="1"/>
  <c r="GN152" i="1"/>
  <c r="GM209" i="1"/>
  <c r="GN209" i="1"/>
  <c r="GM56" i="1"/>
  <c r="GN56" i="1"/>
  <c r="Q272" i="1"/>
  <c r="AD266" i="1"/>
  <c r="GM44" i="1"/>
  <c r="GN44" i="1"/>
  <c r="GM52" i="1"/>
  <c r="GN52" i="1"/>
  <c r="GM38" i="1"/>
  <c r="GN38" i="1"/>
  <c r="GM49" i="1"/>
  <c r="GN49" i="1"/>
  <c r="GM33" i="1"/>
  <c r="GN33" i="1"/>
  <c r="GM223" i="1"/>
  <c r="GN223" i="1"/>
  <c r="AI26" i="1"/>
  <c r="V65" i="1"/>
  <c r="CY55" i="1"/>
  <c r="X55" i="1" s="1"/>
  <c r="CZ55" i="1"/>
  <c r="Y55" i="1" s="1"/>
  <c r="CR58" i="1"/>
  <c r="Q58" i="1" s="1"/>
  <c r="CP58" i="1" s="1"/>
  <c r="O58" i="1" s="1"/>
  <c r="AB58" i="1"/>
  <c r="GN112" i="1"/>
  <c r="GM112" i="1"/>
  <c r="AU100" i="1"/>
  <c r="F137" i="1"/>
  <c r="AU301" i="1"/>
  <c r="GM108" i="1"/>
  <c r="GN108" i="1"/>
  <c r="AH100" i="1"/>
  <c r="U118" i="1"/>
  <c r="GM29" i="1"/>
  <c r="GN29" i="1"/>
  <c r="R34" i="1"/>
  <c r="GX34" i="1"/>
  <c r="CJ65" i="1" s="1"/>
  <c r="GM48" i="1"/>
  <c r="GN48" i="1"/>
  <c r="AP26" i="1"/>
  <c r="F74" i="1"/>
  <c r="GM42" i="1"/>
  <c r="GN42" i="1"/>
  <c r="AB54" i="1"/>
  <c r="CR61" i="1"/>
  <c r="Q61" i="1" s="1"/>
  <c r="CP61" i="1" s="1"/>
  <c r="O61" i="1" s="1"/>
  <c r="AB61" i="1"/>
  <c r="BC26" i="1"/>
  <c r="F81" i="1"/>
  <c r="AT100" i="1"/>
  <c r="F136" i="1"/>
  <c r="AT301" i="1"/>
  <c r="AQ100" i="1"/>
  <c r="F128" i="1"/>
  <c r="AQ301" i="1"/>
  <c r="GM106" i="1"/>
  <c r="GN106" i="1"/>
  <c r="AB102" i="1"/>
  <c r="CY113" i="1"/>
  <c r="X113" i="1" s="1"/>
  <c r="AK118" i="1" s="1"/>
  <c r="AF118" i="1"/>
  <c r="CZ113" i="1"/>
  <c r="Y113" i="1" s="1"/>
  <c r="AO100" i="1"/>
  <c r="F122" i="1"/>
  <c r="AO301" i="1"/>
  <c r="GN158" i="1"/>
  <c r="BC149" i="1"/>
  <c r="F186" i="1"/>
  <c r="GN156" i="1"/>
  <c r="GM156" i="1"/>
  <c r="GM153" i="1"/>
  <c r="GN153" i="1"/>
  <c r="V100" i="1"/>
  <c r="F141" i="1"/>
  <c r="CY116" i="1"/>
  <c r="X116" i="1" s="1"/>
  <c r="AP149" i="1"/>
  <c r="F179" i="1"/>
  <c r="CP212" i="1"/>
  <c r="O212" i="1" s="1"/>
  <c r="GX167" i="1"/>
  <c r="GN210" i="1"/>
  <c r="GM210" i="1"/>
  <c r="AT201" i="1"/>
  <c r="F253" i="1"/>
  <c r="Q167" i="1"/>
  <c r="P165" i="1"/>
  <c r="T167" i="1"/>
  <c r="AG170" i="1" s="1"/>
  <c r="GM205" i="1"/>
  <c r="GM211" i="1"/>
  <c r="GM220" i="1"/>
  <c r="GN220" i="1"/>
  <c r="GX231" i="1"/>
  <c r="U231" i="1"/>
  <c r="CY228" i="1"/>
  <c r="X228" i="1" s="1"/>
  <c r="GN270" i="1"/>
  <c r="GM270" i="1"/>
  <c r="Q233" i="1"/>
  <c r="AE266" i="1"/>
  <c r="R272" i="1"/>
  <c r="F285" i="1"/>
  <c r="BB266" i="1"/>
  <c r="W266" i="1"/>
  <c r="F296" i="1"/>
  <c r="AQ266" i="1"/>
  <c r="F282" i="1"/>
  <c r="GM36" i="1"/>
  <c r="GO36" i="1"/>
  <c r="CC65" i="1" s="1"/>
  <c r="AB44" i="1"/>
  <c r="BB26" i="1"/>
  <c r="F78" i="1"/>
  <c r="GM50" i="1"/>
  <c r="GN50" i="1"/>
  <c r="GM57" i="1"/>
  <c r="GN57" i="1"/>
  <c r="AG100" i="1"/>
  <c r="T118" i="1"/>
  <c r="GM162" i="1"/>
  <c r="GN162" i="1"/>
  <c r="CI149" i="1"/>
  <c r="AZ170" i="1"/>
  <c r="AE118" i="1"/>
  <c r="AT149" i="1"/>
  <c r="F188" i="1"/>
  <c r="GN214" i="1"/>
  <c r="GM214" i="1"/>
  <c r="GM213" i="1"/>
  <c r="GN213" i="1"/>
  <c r="AG235" i="1"/>
  <c r="AX201" i="1"/>
  <c r="F242" i="1"/>
  <c r="AH149" i="1"/>
  <c r="U170" i="1"/>
  <c r="GM204" i="1"/>
  <c r="GN204" i="1"/>
  <c r="GM168" i="1"/>
  <c r="GN168" i="1"/>
  <c r="CY225" i="1"/>
  <c r="X225" i="1" s="1"/>
  <c r="CZ225" i="1"/>
  <c r="Y225" i="1" s="1"/>
  <c r="CY229" i="1"/>
  <c r="X229" i="1" s="1"/>
  <c r="CZ229" i="1"/>
  <c r="Y229" i="1" s="1"/>
  <c r="GM221" i="1"/>
  <c r="GN221" i="1"/>
  <c r="CP229" i="1"/>
  <c r="O229" i="1" s="1"/>
  <c r="GM269" i="1"/>
  <c r="GN269" i="1"/>
  <c r="AI266" i="1"/>
  <c r="V272" i="1"/>
  <c r="GM228" i="1"/>
  <c r="GN228" i="1"/>
  <c r="AB232" i="1"/>
  <c r="CR232" i="1"/>
  <c r="Q232" i="1" s="1"/>
  <c r="CP232" i="1" s="1"/>
  <c r="O232" i="1" s="1"/>
  <c r="AF266" i="1"/>
  <c r="S272" i="1"/>
  <c r="AD100" i="1"/>
  <c r="Q118" i="1"/>
  <c r="GM107" i="1"/>
  <c r="GN107" i="1"/>
  <c r="GM103" i="1"/>
  <c r="GN103" i="1"/>
  <c r="AB39" i="1"/>
  <c r="CR39" i="1"/>
  <c r="Q39" i="1" s="1"/>
  <c r="CP39" i="1" s="1"/>
  <c r="O39" i="1" s="1"/>
  <c r="U34" i="1"/>
  <c r="AH65" i="1" s="1"/>
  <c r="AO26" i="1"/>
  <c r="F69" i="1"/>
  <c r="AO330" i="1"/>
  <c r="GM111" i="1"/>
  <c r="GN111" i="1"/>
  <c r="CR59" i="1"/>
  <c r="Q59" i="1" s="1"/>
  <c r="CP59" i="1" s="1"/>
  <c r="O59" i="1" s="1"/>
  <c r="AB59" i="1"/>
  <c r="CR63" i="1"/>
  <c r="Q63" i="1" s="1"/>
  <c r="CP63" i="1" s="1"/>
  <c r="O63" i="1" s="1"/>
  <c r="AB63" i="1"/>
  <c r="CP102" i="1"/>
  <c r="O102" i="1" s="1"/>
  <c r="AC118" i="1"/>
  <c r="GM109" i="1"/>
  <c r="GN109" i="1"/>
  <c r="GM113" i="1"/>
  <c r="GN113" i="1"/>
  <c r="BB100" i="1"/>
  <c r="F131" i="1"/>
  <c r="BB301" i="1"/>
  <c r="BB330" i="1" s="1"/>
  <c r="BC100" i="1"/>
  <c r="F134" i="1"/>
  <c r="BC301" i="1"/>
  <c r="GN110" i="1"/>
  <c r="CY115" i="1"/>
  <c r="X115" i="1" s="1"/>
  <c r="GN115" i="1" s="1"/>
  <c r="CZ115" i="1"/>
  <c r="Y115" i="1" s="1"/>
  <c r="AQ149" i="1"/>
  <c r="F180" i="1"/>
  <c r="CZ114" i="1"/>
  <c r="Y114" i="1" s="1"/>
  <c r="GM114" i="1" s="1"/>
  <c r="AB166" i="1"/>
  <c r="CR166" i="1"/>
  <c r="Q166" i="1" s="1"/>
  <c r="CP166" i="1" s="1"/>
  <c r="O166" i="1" s="1"/>
  <c r="CJ100" i="1"/>
  <c r="BA118" i="1"/>
  <c r="GN157" i="1"/>
  <c r="GM160" i="1"/>
  <c r="AX149" i="1"/>
  <c r="F177" i="1"/>
  <c r="GM203" i="1"/>
  <c r="GN203" i="1"/>
  <c r="CJ235" i="1"/>
  <c r="BB201" i="1"/>
  <c r="F248" i="1"/>
  <c r="S167" i="1"/>
  <c r="R167" i="1"/>
  <c r="AB209" i="1"/>
  <c r="GM218" i="1"/>
  <c r="GN218" i="1"/>
  <c r="GM216" i="1"/>
  <c r="CZ226" i="1"/>
  <c r="Y226" i="1" s="1"/>
  <c r="CP225" i="1"/>
  <c r="O225" i="1" s="1"/>
  <c r="Q231" i="1"/>
  <c r="AD235" i="1" s="1"/>
  <c r="S233" i="1"/>
  <c r="U272" i="1"/>
  <c r="AH266" i="1"/>
  <c r="F290" i="1"/>
  <c r="AT266" i="1"/>
  <c r="GM226" i="1"/>
  <c r="GN226" i="1"/>
  <c r="R231" i="1"/>
  <c r="AE235" i="1" s="1"/>
  <c r="AZ201" i="1"/>
  <c r="F246" i="1"/>
  <c r="AZ272" i="1"/>
  <c r="CI266" i="1"/>
  <c r="S231" i="1"/>
  <c r="U233" i="1"/>
  <c r="AH235" i="1" s="1"/>
  <c r="AC272" i="1"/>
  <c r="CP268" i="1"/>
  <c r="O268" i="1" s="1"/>
  <c r="CZ224" i="1"/>
  <c r="Y224" i="1" s="1"/>
  <c r="CZ230" i="1"/>
  <c r="Y230" i="1" s="1"/>
  <c r="GN230" i="1" s="1"/>
  <c r="R233" i="1"/>
  <c r="P233" i="1"/>
  <c r="CP233" i="1" s="1"/>
  <c r="O233" i="1" s="1"/>
  <c r="CG266" i="1"/>
  <c r="AX272" i="1"/>
  <c r="AK272" i="1"/>
  <c r="GN37" i="1"/>
  <c r="GM37" i="1"/>
  <c r="GN51" i="1"/>
  <c r="GM51" i="1"/>
  <c r="CR62" i="1"/>
  <c r="Q62" i="1" s="1"/>
  <c r="CP62" i="1" s="1"/>
  <c r="O62" i="1" s="1"/>
  <c r="AB62" i="1"/>
  <c r="AX100" i="1"/>
  <c r="F125" i="1"/>
  <c r="AX301" i="1"/>
  <c r="AL118" i="1"/>
  <c r="GM116" i="1"/>
  <c r="GN116" i="1"/>
  <c r="AE65" i="1"/>
  <c r="W34" i="1"/>
  <c r="AJ65" i="1" s="1"/>
  <c r="P34" i="1"/>
  <c r="AD65" i="1"/>
  <c r="T34" i="1"/>
  <c r="AG65" i="1" s="1"/>
  <c r="GN28" i="1"/>
  <c r="S34" i="1"/>
  <c r="GM45" i="1"/>
  <c r="GN45" i="1"/>
  <c r="AZ26" i="1"/>
  <c r="F76" i="1"/>
  <c r="GM41" i="1"/>
  <c r="GN41" i="1"/>
  <c r="CG26" i="1"/>
  <c r="AX65" i="1"/>
  <c r="GM40" i="1"/>
  <c r="GN40" i="1"/>
  <c r="CR60" i="1"/>
  <c r="Q60" i="1" s="1"/>
  <c r="CP60" i="1" s="1"/>
  <c r="O60" i="1" s="1"/>
  <c r="AB60" i="1"/>
  <c r="AU26" i="1"/>
  <c r="F84" i="1"/>
  <c r="AU330" i="1"/>
  <c r="AP100" i="1"/>
  <c r="F127" i="1"/>
  <c r="AP301" i="1"/>
  <c r="AP330" i="1" s="1"/>
  <c r="CP55" i="1"/>
  <c r="O55" i="1" s="1"/>
  <c r="CI100" i="1"/>
  <c r="AZ118" i="1"/>
  <c r="AB151" i="1"/>
  <c r="CR151" i="1"/>
  <c r="Q151" i="1" s="1"/>
  <c r="CZ54" i="1"/>
  <c r="Y54" i="1" s="1"/>
  <c r="GN54" i="1" s="1"/>
  <c r="AU149" i="1"/>
  <c r="F189" i="1"/>
  <c r="R165" i="1"/>
  <c r="AE170" i="1" s="1"/>
  <c r="Q165" i="1"/>
  <c r="V165" i="1"/>
  <c r="AI170" i="1" s="1"/>
  <c r="GM159" i="1"/>
  <c r="GN159" i="1"/>
  <c r="W165" i="1"/>
  <c r="AJ100" i="1"/>
  <c r="W118" i="1"/>
  <c r="BB149" i="1"/>
  <c r="F183" i="1"/>
  <c r="W167" i="1"/>
  <c r="GM215" i="1"/>
  <c r="GN215" i="1"/>
  <c r="AO201" i="1"/>
  <c r="F239" i="1"/>
  <c r="GM164" i="1"/>
  <c r="GN164" i="1"/>
  <c r="P167" i="1"/>
  <c r="CP167" i="1" s="1"/>
  <c r="O167" i="1" s="1"/>
  <c r="AP201" i="1"/>
  <c r="F244" i="1"/>
  <c r="GX165" i="1"/>
  <c r="CJ170" i="1" s="1"/>
  <c r="CY227" i="1"/>
  <c r="X227" i="1" s="1"/>
  <c r="CZ227" i="1"/>
  <c r="Y227" i="1" s="1"/>
  <c r="W233" i="1"/>
  <c r="CJ266" i="1"/>
  <c r="BA272" i="1"/>
  <c r="V231" i="1"/>
  <c r="AI235" i="1" s="1"/>
  <c r="GN219" i="1"/>
  <c r="GM219" i="1"/>
  <c r="T272" i="1"/>
  <c r="AG266" i="1"/>
  <c r="W231" i="1"/>
  <c r="AJ235" i="1" s="1"/>
  <c r="P231" i="1"/>
  <c r="CP231" i="1" s="1"/>
  <c r="O231" i="1" s="1"/>
  <c r="AL272" i="1"/>
  <c r="AH201" i="1" l="1"/>
  <c r="U235" i="1"/>
  <c r="AK100" i="1"/>
  <c r="X118" i="1"/>
  <c r="BB22" i="1"/>
  <c r="F343" i="1"/>
  <c r="BB359" i="1"/>
  <c r="AE201" i="1"/>
  <c r="R235" i="1"/>
  <c r="AG149" i="1"/>
  <c r="T170" i="1"/>
  <c r="AP22" i="1"/>
  <c r="AP359" i="1"/>
  <c r="F339" i="1"/>
  <c r="G16" i="2" s="1"/>
  <c r="G18" i="2" s="1"/>
  <c r="AD201" i="1"/>
  <c r="Q235" i="1"/>
  <c r="AI149" i="1"/>
  <c r="V170" i="1"/>
  <c r="AZ100" i="1"/>
  <c r="F129" i="1"/>
  <c r="AZ301" i="1"/>
  <c r="AG26" i="1"/>
  <c r="T65" i="1"/>
  <c r="AE26" i="1"/>
  <c r="R65" i="1"/>
  <c r="AX96" i="1"/>
  <c r="F308" i="1"/>
  <c r="GN62" i="1"/>
  <c r="GM62" i="1"/>
  <c r="GN268" i="1"/>
  <c r="CB272" i="1" s="1"/>
  <c r="GM268" i="1"/>
  <c r="CA272" i="1" s="1"/>
  <c r="AB272" i="1"/>
  <c r="GM166" i="1"/>
  <c r="GN166" i="1"/>
  <c r="AC100" i="1"/>
  <c r="CH118" i="1"/>
  <c r="CE118" i="1"/>
  <c r="P118" i="1"/>
  <c r="CF118" i="1"/>
  <c r="AO22" i="1"/>
  <c r="F334" i="1"/>
  <c r="AO359" i="1"/>
  <c r="GM54" i="1"/>
  <c r="Q100" i="1"/>
  <c r="F130" i="1"/>
  <c r="GM230" i="1"/>
  <c r="GN224" i="1"/>
  <c r="U149" i="1"/>
  <c r="F192" i="1"/>
  <c r="AG201" i="1"/>
  <c r="T235" i="1"/>
  <c r="CC26" i="1"/>
  <c r="AT65" i="1"/>
  <c r="F286" i="1"/>
  <c r="R266" i="1"/>
  <c r="AQ96" i="1"/>
  <c r="AQ330" i="1"/>
  <c r="F311" i="1"/>
  <c r="GN227" i="1"/>
  <c r="GM115" i="1"/>
  <c r="T266" i="1"/>
  <c r="F293" i="1"/>
  <c r="BA266" i="1"/>
  <c r="F292" i="1"/>
  <c r="AJ170" i="1"/>
  <c r="AX26" i="1"/>
  <c r="F72" i="1"/>
  <c r="AX330" i="1"/>
  <c r="AD26" i="1"/>
  <c r="Q65" i="1"/>
  <c r="X272" i="1"/>
  <c r="AK266" i="1"/>
  <c r="P272" i="1"/>
  <c r="CF272" i="1"/>
  <c r="AC266" i="1"/>
  <c r="CE272" i="1"/>
  <c r="CH272" i="1"/>
  <c r="AZ266" i="1"/>
  <c r="F283" i="1"/>
  <c r="GM225" i="1"/>
  <c r="GN225" i="1"/>
  <c r="CZ167" i="1"/>
  <c r="Y167" i="1" s="1"/>
  <c r="CY167" i="1"/>
  <c r="X167" i="1" s="1"/>
  <c r="GM167" i="1" s="1"/>
  <c r="CJ201" i="1"/>
  <c r="BA235" i="1"/>
  <c r="BB96" i="1"/>
  <c r="F314" i="1"/>
  <c r="GN102" i="1"/>
  <c r="GM102" i="1"/>
  <c r="CA118" i="1" s="1"/>
  <c r="AB118" i="1"/>
  <c r="GN59" i="1"/>
  <c r="GM59" i="1"/>
  <c r="AH26" i="1"/>
  <c r="U65" i="1"/>
  <c r="GM232" i="1"/>
  <c r="GN232" i="1"/>
  <c r="V266" i="1"/>
  <c r="F295" i="1"/>
  <c r="GM224" i="1"/>
  <c r="AE100" i="1"/>
  <c r="R118" i="1"/>
  <c r="U100" i="1"/>
  <c r="F140" i="1"/>
  <c r="U301" i="1"/>
  <c r="AU96" i="1"/>
  <c r="F320" i="1"/>
  <c r="GM227" i="1"/>
  <c r="Y272" i="1"/>
  <c r="AL266" i="1"/>
  <c r="AJ201" i="1"/>
  <c r="W235" i="1"/>
  <c r="CJ149" i="1"/>
  <c r="BA170" i="1"/>
  <c r="AE149" i="1"/>
  <c r="R170" i="1"/>
  <c r="AD170" i="1"/>
  <c r="CP151" i="1"/>
  <c r="O151" i="1" s="1"/>
  <c r="GM55" i="1"/>
  <c r="GN55" i="1"/>
  <c r="AU22" i="1"/>
  <c r="AU359" i="1"/>
  <c r="F349" i="1"/>
  <c r="GN60" i="1"/>
  <c r="GM60" i="1"/>
  <c r="CZ34" i="1"/>
  <c r="Y34" i="1" s="1"/>
  <c r="AL65" i="1" s="1"/>
  <c r="CY34" i="1"/>
  <c r="X34" i="1" s="1"/>
  <c r="AK65" i="1" s="1"/>
  <c r="AF65" i="1"/>
  <c r="CP34" i="1"/>
  <c r="O34" i="1" s="1"/>
  <c r="AC65" i="1"/>
  <c r="F279" i="1"/>
  <c r="AX266" i="1"/>
  <c r="U266" i="1"/>
  <c r="F294" i="1"/>
  <c r="AF170" i="1"/>
  <c r="AB235" i="1"/>
  <c r="BA100" i="1"/>
  <c r="F138" i="1"/>
  <c r="BA301" i="1"/>
  <c r="CZ165" i="1"/>
  <c r="Y165" i="1" s="1"/>
  <c r="AL170" i="1" s="1"/>
  <c r="BC96" i="1"/>
  <c r="F317" i="1"/>
  <c r="GM39" i="1"/>
  <c r="GN39" i="1"/>
  <c r="AZ149" i="1"/>
  <c r="F181" i="1"/>
  <c r="T100" i="1"/>
  <c r="F139" i="1"/>
  <c r="T301" i="1"/>
  <c r="CP165" i="1"/>
  <c r="O165" i="1" s="1"/>
  <c r="AC170" i="1"/>
  <c r="AC235" i="1"/>
  <c r="AO96" i="1"/>
  <c r="F305" i="1"/>
  <c r="AF100" i="1"/>
  <c r="S118" i="1"/>
  <c r="BC330" i="1"/>
  <c r="GN61" i="1"/>
  <c r="GM61" i="1"/>
  <c r="V26" i="1"/>
  <c r="F88" i="1"/>
  <c r="GN114" i="1"/>
  <c r="Q266" i="1"/>
  <c r="F284" i="1"/>
  <c r="AI201" i="1"/>
  <c r="V235" i="1"/>
  <c r="W100" i="1"/>
  <c r="F142" i="1"/>
  <c r="AP96" i="1"/>
  <c r="F310" i="1"/>
  <c r="AJ26" i="1"/>
  <c r="W65" i="1"/>
  <c r="AL100" i="1"/>
  <c r="Y118" i="1"/>
  <c r="CZ231" i="1"/>
  <c r="Y231" i="1" s="1"/>
  <c r="AL235" i="1" s="1"/>
  <c r="CY231" i="1"/>
  <c r="X231" i="1" s="1"/>
  <c r="AK235" i="1" s="1"/>
  <c r="CZ233" i="1"/>
  <c r="Y233" i="1" s="1"/>
  <c r="CY233" i="1"/>
  <c r="X233" i="1" s="1"/>
  <c r="GN233" i="1" s="1"/>
  <c r="CY165" i="1"/>
  <c r="X165" i="1" s="1"/>
  <c r="AK170" i="1" s="1"/>
  <c r="GN63" i="1"/>
  <c r="GM63" i="1"/>
  <c r="S266" i="1"/>
  <c r="F287" i="1"/>
  <c r="GM229" i="1"/>
  <c r="GN229" i="1"/>
  <c r="GN212" i="1"/>
  <c r="GM212" i="1"/>
  <c r="AT96" i="1"/>
  <c r="F319" i="1"/>
  <c r="CJ26" i="1"/>
  <c r="BA65" i="1"/>
  <c r="GN58" i="1"/>
  <c r="GM58" i="1"/>
  <c r="AF235" i="1"/>
  <c r="AK201" i="1" l="1"/>
  <c r="X235" i="1"/>
  <c r="AL201" i="1"/>
  <c r="Y235" i="1"/>
  <c r="AK149" i="1"/>
  <c r="X170" i="1"/>
  <c r="W26" i="1"/>
  <c r="F89" i="1"/>
  <c r="GM165" i="1"/>
  <c r="GN165" i="1"/>
  <c r="AC26" i="1"/>
  <c r="P65" i="1"/>
  <c r="CF65" i="1"/>
  <c r="CH65" i="1"/>
  <c r="CE65" i="1"/>
  <c r="AL26" i="1"/>
  <c r="Y65" i="1"/>
  <c r="AU18" i="1"/>
  <c r="F378" i="1"/>
  <c r="GM151" i="1"/>
  <c r="CA170" i="1" s="1"/>
  <c r="GN151" i="1"/>
  <c r="AB170" i="1"/>
  <c r="BA149" i="1"/>
  <c r="F190" i="1"/>
  <c r="GM231" i="1"/>
  <c r="CA235" i="1" s="1"/>
  <c r="X266" i="1"/>
  <c r="F297" i="1"/>
  <c r="GN167" i="1"/>
  <c r="AQ22" i="1"/>
  <c r="F340" i="1"/>
  <c r="AQ359" i="1"/>
  <c r="AT26" i="1"/>
  <c r="F83" i="1"/>
  <c r="AT330" i="1"/>
  <c r="AO18" i="1"/>
  <c r="F363" i="1"/>
  <c r="P100" i="1"/>
  <c r="F121" i="1"/>
  <c r="AR272" i="1"/>
  <c r="CA266" i="1"/>
  <c r="R26" i="1"/>
  <c r="F79" i="1"/>
  <c r="AZ96" i="1"/>
  <c r="F312" i="1"/>
  <c r="AZ330" i="1"/>
  <c r="AP18" i="1"/>
  <c r="F368" i="1"/>
  <c r="X100" i="1"/>
  <c r="F143" i="1"/>
  <c r="X301" i="1"/>
  <c r="BA26" i="1"/>
  <c r="F85" i="1"/>
  <c r="BA330" i="1"/>
  <c r="AF201" i="1"/>
  <c r="S235" i="1"/>
  <c r="Y100" i="1"/>
  <c r="F144" i="1"/>
  <c r="BC22" i="1"/>
  <c r="BC359" i="1"/>
  <c r="F346" i="1"/>
  <c r="T96" i="1"/>
  <c r="F322" i="1"/>
  <c r="GN34" i="1"/>
  <c r="CB65" i="1" s="1"/>
  <c r="GM34" i="1"/>
  <c r="CA65" i="1" s="1"/>
  <c r="AB65" i="1"/>
  <c r="AD149" i="1"/>
  <c r="Q170" i="1"/>
  <c r="GN231" i="1"/>
  <c r="CB235" i="1" s="1"/>
  <c r="U26" i="1"/>
  <c r="F87" i="1"/>
  <c r="U330" i="1"/>
  <c r="AB100" i="1"/>
  <c r="O118" i="1"/>
  <c r="CF266" i="1"/>
  <c r="AW272" i="1"/>
  <c r="Q26" i="1"/>
  <c r="F77" i="1"/>
  <c r="CE100" i="1"/>
  <c r="AV118" i="1"/>
  <c r="CB266" i="1"/>
  <c r="AS272" i="1"/>
  <c r="Q201" i="1"/>
  <c r="F247" i="1"/>
  <c r="R201" i="1"/>
  <c r="F249" i="1"/>
  <c r="S100" i="1"/>
  <c r="F133" i="1"/>
  <c r="AC201" i="1"/>
  <c r="CH235" i="1"/>
  <c r="P235" i="1"/>
  <c r="CF235" i="1"/>
  <c r="CE235" i="1"/>
  <c r="AL149" i="1"/>
  <c r="Y170" i="1"/>
  <c r="Y301" i="1" s="1"/>
  <c r="AB201" i="1"/>
  <c r="O235" i="1"/>
  <c r="AF26" i="1"/>
  <c r="S65" i="1"/>
  <c r="R149" i="1"/>
  <c r="F184" i="1"/>
  <c r="W201" i="1"/>
  <c r="F259" i="1"/>
  <c r="R100" i="1"/>
  <c r="F132" i="1"/>
  <c r="R301" i="1"/>
  <c r="R330" i="1" s="1"/>
  <c r="CA100" i="1"/>
  <c r="AR118" i="1"/>
  <c r="BA201" i="1"/>
  <c r="F255" i="1"/>
  <c r="AY272" i="1"/>
  <c r="CH266" i="1"/>
  <c r="P266" i="1"/>
  <c r="F275" i="1"/>
  <c r="AJ149" i="1"/>
  <c r="W170" i="1"/>
  <c r="T201" i="1"/>
  <c r="F256" i="1"/>
  <c r="CH100" i="1"/>
  <c r="AY118" i="1"/>
  <c r="GM233" i="1"/>
  <c r="T26" i="1"/>
  <c r="F86" i="1"/>
  <c r="T330" i="1"/>
  <c r="U201" i="1"/>
  <c r="F257" i="1"/>
  <c r="V201" i="1"/>
  <c r="F258" i="1"/>
  <c r="AC149" i="1"/>
  <c r="CE170" i="1"/>
  <c r="P170" i="1"/>
  <c r="CF170" i="1"/>
  <c r="CH170" i="1"/>
  <c r="BA96" i="1"/>
  <c r="F321" i="1"/>
  <c r="AF149" i="1"/>
  <c r="S170" i="1"/>
  <c r="AK26" i="1"/>
  <c r="X65" i="1"/>
  <c r="Y266" i="1"/>
  <c r="F298" i="1"/>
  <c r="U96" i="1"/>
  <c r="F323" i="1"/>
  <c r="CB118" i="1"/>
  <c r="AV272" i="1"/>
  <c r="CE266" i="1"/>
  <c r="AX22" i="1"/>
  <c r="AX359" i="1"/>
  <c r="F337" i="1"/>
  <c r="CF100" i="1"/>
  <c r="AW118" i="1"/>
  <c r="AB266" i="1"/>
  <c r="O272" i="1"/>
  <c r="V149" i="1"/>
  <c r="F193" i="1"/>
  <c r="V301" i="1"/>
  <c r="T149" i="1"/>
  <c r="F191" i="1"/>
  <c r="BB18" i="1"/>
  <c r="F372" i="1"/>
  <c r="CB201" i="1" l="1"/>
  <c r="AS235" i="1"/>
  <c r="CA201" i="1"/>
  <c r="AR235" i="1"/>
  <c r="R22" i="1"/>
  <c r="F344" i="1"/>
  <c r="R359" i="1"/>
  <c r="Y96" i="1"/>
  <c r="F327" i="1"/>
  <c r="V96" i="1"/>
  <c r="F324" i="1"/>
  <c r="V330" i="1"/>
  <c r="AX18" i="1"/>
  <c r="F366" i="1"/>
  <c r="CB100" i="1"/>
  <c r="AS118" i="1"/>
  <c r="S149" i="1"/>
  <c r="F185" i="1"/>
  <c r="CH149" i="1"/>
  <c r="AY170" i="1"/>
  <c r="O201" i="1"/>
  <c r="F237" i="1"/>
  <c r="CE201" i="1"/>
  <c r="AV235" i="1"/>
  <c r="AS266" i="1"/>
  <c r="F289" i="1"/>
  <c r="S201" i="1"/>
  <c r="F250" i="1"/>
  <c r="CB170" i="1"/>
  <c r="Y26" i="1"/>
  <c r="F91" i="1"/>
  <c r="Y330" i="1"/>
  <c r="CF26" i="1"/>
  <c r="AW65" i="1"/>
  <c r="X149" i="1"/>
  <c r="F195" i="1"/>
  <c r="AW100" i="1"/>
  <c r="F124" i="1"/>
  <c r="CF149" i="1"/>
  <c r="AW170" i="1"/>
  <c r="T22" i="1"/>
  <c r="T359" i="1"/>
  <c r="F351" i="1"/>
  <c r="AY100" i="1"/>
  <c r="F126" i="1"/>
  <c r="AY301" i="1"/>
  <c r="W149" i="1"/>
  <c r="F194" i="1"/>
  <c r="W301" i="1"/>
  <c r="AR100" i="1"/>
  <c r="F145" i="1"/>
  <c r="CF201" i="1"/>
  <c r="AW235" i="1"/>
  <c r="S301" i="1"/>
  <c r="O100" i="1"/>
  <c r="F120" i="1"/>
  <c r="O301" i="1"/>
  <c r="AB26" i="1"/>
  <c r="O65" i="1"/>
  <c r="X96" i="1"/>
  <c r="F326" i="1"/>
  <c r="AR266" i="1"/>
  <c r="F299" i="1"/>
  <c r="CA149" i="1"/>
  <c r="AR170" i="1"/>
  <c r="P26" i="1"/>
  <c r="F68" i="1"/>
  <c r="X201" i="1"/>
  <c r="F260" i="1"/>
  <c r="X26" i="1"/>
  <c r="F90" i="1"/>
  <c r="X330" i="1"/>
  <c r="P149" i="1"/>
  <c r="F173" i="1"/>
  <c r="AY266" i="1"/>
  <c r="F280" i="1"/>
  <c r="S26" i="1"/>
  <c r="F80" i="1"/>
  <c r="S330" i="1"/>
  <c r="Y149" i="1"/>
  <c r="F196" i="1"/>
  <c r="P201" i="1"/>
  <c r="F238" i="1"/>
  <c r="AV100" i="1"/>
  <c r="F123" i="1"/>
  <c r="CA26" i="1"/>
  <c r="AR65" i="1"/>
  <c r="BA22" i="1"/>
  <c r="F350" i="1"/>
  <c r="H16" i="2" s="1"/>
  <c r="H18" i="2" s="1"/>
  <c r="BA359" i="1"/>
  <c r="AZ22" i="1"/>
  <c r="F341" i="1"/>
  <c r="AZ359" i="1"/>
  <c r="P301" i="1"/>
  <c r="AQ18" i="1"/>
  <c r="F369" i="1"/>
  <c r="CE26" i="1"/>
  <c r="AV65" i="1"/>
  <c r="O266" i="1"/>
  <c r="F274" i="1"/>
  <c r="AV266" i="1"/>
  <c r="F277" i="1"/>
  <c r="CE149" i="1"/>
  <c r="AV170" i="1"/>
  <c r="R96" i="1"/>
  <c r="F315" i="1"/>
  <c r="CH201" i="1"/>
  <c r="AY235" i="1"/>
  <c r="AW266" i="1"/>
  <c r="F278" i="1"/>
  <c r="U22" i="1"/>
  <c r="F352" i="1"/>
  <c r="U359" i="1"/>
  <c r="Q149" i="1"/>
  <c r="F182" i="1"/>
  <c r="Q301" i="1"/>
  <c r="CB26" i="1"/>
  <c r="AS65" i="1"/>
  <c r="BC18" i="1"/>
  <c r="F375" i="1"/>
  <c r="AT22" i="1"/>
  <c r="F348" i="1"/>
  <c r="F16" i="2" s="1"/>
  <c r="F18" i="2" s="1"/>
  <c r="AT359" i="1"/>
  <c r="AB149" i="1"/>
  <c r="O170" i="1"/>
  <c r="CH26" i="1"/>
  <c r="AY65" i="1"/>
  <c r="Y201" i="1"/>
  <c r="F261" i="1"/>
  <c r="O96" i="1" l="1"/>
  <c r="F303" i="1"/>
  <c r="Q96" i="1"/>
  <c r="F313" i="1"/>
  <c r="Q330" i="1"/>
  <c r="AY201" i="1"/>
  <c r="F243" i="1"/>
  <c r="AV149" i="1"/>
  <c r="F175" i="1"/>
  <c r="S96" i="1"/>
  <c r="F316" i="1"/>
  <c r="Y22" i="1"/>
  <c r="F356" i="1"/>
  <c r="Y359" i="1"/>
  <c r="AV201" i="1"/>
  <c r="F240" i="1"/>
  <c r="AY149" i="1"/>
  <c r="F178" i="1"/>
  <c r="AS100" i="1"/>
  <c r="F135" i="1"/>
  <c r="V22" i="1"/>
  <c r="F353" i="1"/>
  <c r="V359" i="1"/>
  <c r="AR201" i="1"/>
  <c r="F262" i="1"/>
  <c r="AT18" i="1"/>
  <c r="F377" i="1"/>
  <c r="X22" i="1"/>
  <c r="X359" i="1"/>
  <c r="F355" i="1"/>
  <c r="AW201" i="1"/>
  <c r="F241" i="1"/>
  <c r="T18" i="1"/>
  <c r="F380" i="1"/>
  <c r="R18" i="1"/>
  <c r="F373" i="1"/>
  <c r="AS26" i="1"/>
  <c r="F82" i="1"/>
  <c r="AV26" i="1"/>
  <c r="F70" i="1"/>
  <c r="P96" i="1"/>
  <c r="F304" i="1"/>
  <c r="BA18" i="1"/>
  <c r="F379" i="1"/>
  <c r="S22" i="1"/>
  <c r="F345" i="1"/>
  <c r="J16" i="2" s="1"/>
  <c r="J18" i="2" s="1"/>
  <c r="S359" i="1"/>
  <c r="P330" i="1"/>
  <c r="W96" i="1"/>
  <c r="F325" i="1"/>
  <c r="W330" i="1"/>
  <c r="AW26" i="1"/>
  <c r="F71" i="1"/>
  <c r="AS201" i="1"/>
  <c r="F252" i="1"/>
  <c r="AY26" i="1"/>
  <c r="F73" i="1"/>
  <c r="AY330" i="1"/>
  <c r="AR26" i="1"/>
  <c r="F92" i="1"/>
  <c r="AR149" i="1"/>
  <c r="F197" i="1"/>
  <c r="AY96" i="1"/>
  <c r="F309" i="1"/>
  <c r="AW301" i="1"/>
  <c r="O149" i="1"/>
  <c r="F172" i="1"/>
  <c r="U18" i="1"/>
  <c r="F381" i="1"/>
  <c r="AZ18" i="1"/>
  <c r="F370" i="1"/>
  <c r="AV301" i="1"/>
  <c r="AV330" i="1" s="1"/>
  <c r="O26" i="1"/>
  <c r="F67" i="1"/>
  <c r="O330" i="1"/>
  <c r="AR301" i="1"/>
  <c r="AW149" i="1"/>
  <c r="F176" i="1"/>
  <c r="CB149" i="1"/>
  <c r="AS170" i="1"/>
  <c r="AV22" i="1" l="1"/>
  <c r="AV359" i="1"/>
  <c r="F335" i="1"/>
  <c r="P22" i="1"/>
  <c r="P359" i="1"/>
  <c r="F333" i="1"/>
  <c r="O22" i="1"/>
  <c r="O359" i="1"/>
  <c r="F332" i="1"/>
  <c r="AW96" i="1"/>
  <c r="F307" i="1"/>
  <c r="AY22" i="1"/>
  <c r="AY359" i="1"/>
  <c r="F338" i="1"/>
  <c r="W22" i="1"/>
  <c r="F354" i="1"/>
  <c r="W359" i="1"/>
  <c r="S18" i="1"/>
  <c r="F374" i="1"/>
  <c r="X18" i="1"/>
  <c r="F384" i="1"/>
  <c r="Y18" i="1"/>
  <c r="F385" i="1"/>
  <c r="V18" i="1"/>
  <c r="F382" i="1"/>
  <c r="AS149" i="1"/>
  <c r="F187" i="1"/>
  <c r="AR96" i="1"/>
  <c r="F328" i="1"/>
  <c r="AV96" i="1"/>
  <c r="F306" i="1"/>
  <c r="AR330" i="1"/>
  <c r="AW330" i="1"/>
  <c r="AS301" i="1"/>
  <c r="Q22" i="1"/>
  <c r="Q359" i="1"/>
  <c r="F342" i="1"/>
  <c r="Q18" i="1" l="1"/>
  <c r="F371" i="1"/>
  <c r="AR22" i="1"/>
  <c r="F357" i="1"/>
  <c r="AR359" i="1"/>
  <c r="O18" i="1"/>
  <c r="F361" i="1"/>
  <c r="AS96" i="1"/>
  <c r="F318" i="1"/>
  <c r="AS330" i="1"/>
  <c r="AV18" i="1"/>
  <c r="F364" i="1"/>
  <c r="AW22" i="1"/>
  <c r="F336" i="1"/>
  <c r="AW359" i="1"/>
  <c r="W18" i="1"/>
  <c r="F383" i="1"/>
  <c r="AY18" i="1"/>
  <c r="F367" i="1"/>
  <c r="P18" i="1"/>
  <c r="F362" i="1"/>
  <c r="AW18" i="1" l="1"/>
  <c r="F365" i="1"/>
  <c r="AS22" i="1"/>
  <c r="AS359" i="1"/>
  <c r="F347" i="1"/>
  <c r="E16" i="2" s="1"/>
  <c r="AR18" i="1"/>
  <c r="F386" i="1"/>
  <c r="F387" i="1" s="1"/>
  <c r="F388" i="1" s="1"/>
  <c r="F389" i="1" s="1"/>
  <c r="AS18" i="1" l="1"/>
  <c r="F376" i="1"/>
  <c r="F390" i="1"/>
  <c r="F391" i="1" s="1"/>
  <c r="I16" i="2"/>
  <c r="I18" i="2" s="1"/>
  <c r="E18" i="2"/>
</calcChain>
</file>

<file path=xl/sharedStrings.xml><?xml version="1.0" encoding="utf-8"?>
<sst xmlns="http://schemas.openxmlformats.org/spreadsheetml/2006/main" count="9952" uniqueCount="863">
  <si>
    <t>Smeta.RU  (495) 974-1589</t>
  </si>
  <si>
    <t>_PS_</t>
  </si>
  <si>
    <t>Smeta.RU</t>
  </si>
  <si>
    <t/>
  </si>
  <si>
    <t>Новая стройка 1</t>
  </si>
  <si>
    <t>Благовещинск</t>
  </si>
  <si>
    <t>ФНС России в Амурской области, Амурская область,г. Благовещенск, ул. Пушкина, д. 104_(в базовых ценах)</t>
  </si>
  <si>
    <t>Сметные нормы списания</t>
  </si>
  <si>
    <t>Коды ценников</t>
  </si>
  <si>
    <t>ФЕР-2017 Кап.ремонт</t>
  </si>
  <si>
    <t>ТР для Версии 10: Центральные регионы (с уч. п-ма 2536-ИП/12/ГС от 27.11.12, 01/57049-ЮЛ от 27.04.2018) от 30.08.2018 г</t>
  </si>
  <si>
    <t>ФЕР-2017</t>
  </si>
  <si>
    <t>Поправки  для ГСН 2017 от 10.01.2019 г</t>
  </si>
  <si>
    <t>Локальная смета №1</t>
  </si>
  <si>
    <t>Металическое ограждение</t>
  </si>
  <si>
    <t>1</t>
  </si>
  <si>
    <t>Материалы строительные</t>
  </si>
  <si>
    <t>Материалы, изделия и конструкции</t>
  </si>
  <si>
    <t>материалы (03)</t>
  </si>
  <si>
    <t>2</t>
  </si>
  <si>
    <t>68-26-2</t>
  </si>
  <si>
    <t>Разборка деревянных заборов штакетных</t>
  </si>
  <si>
    <t>100 м2</t>
  </si>
  <si>
    <t>ФЕРр-2001, 68-26-2, приказ Минстроя России №1039/пр от 30.12.2016г.</t>
  </si>
  <si>
    <t>)*1,15</t>
  </si>
  <si>
    <t>Ремонтно-строительные работы</t>
  </si>
  <si>
    <t>Благоустройство</t>
  </si>
  <si>
    <t>рФЕР-68</t>
  </si>
  <si>
    <t>Поправка: МР 81/пр Прил.2, Табл.3, п. 3</t>
  </si>
  <si>
    <t>2,1</t>
  </si>
  <si>
    <t>01.7.07.07</t>
  </si>
  <si>
    <t>Строительный мусор</t>
  </si>
  <si>
    <t>т</t>
  </si>
  <si>
    <t>3</t>
  </si>
  <si>
    <t>т01-01-01-041</t>
  </si>
  <si>
    <t>Погрузочные работы при автомобильных перевозках мусора строительного с погрузкой вручную</t>
  </si>
  <si>
    <t>1 Т ГРУЗА</t>
  </si>
  <si>
    <t>ФССЦпг-2001, т01-01-01-041, приказ Минстроя России №1039/пр от 30.12.2016г.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</si>
  <si>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</si>
  <si>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</si>
  <si>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</si>
  <si>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4</t>
  </si>
  <si>
    <t>т03-21-01-025</t>
  </si>
  <si>
    <t>Перевозка грузов I класса автомобилями-самосвалами грузоподъемностью 10 т работающих вне карьера на расстояние до 25 км</t>
  </si>
  <si>
    <t>ФССЦпг-2001, т03-21-01-025, приказ Минстроя России №1039/пр от 30.12.2016г.</t>
  </si>
  <si>
    <t>Перевозка грузов авто/транспортом</t>
  </si>
  <si>
    <t>Перевозкуа грузов (ФССЦпр-2011 - изм. 7, разделы 1-4) - по сметной стоимости</t>
  </si>
  <si>
    <t>ФССЦпр , изм. 7</t>
  </si>
  <si>
    <t>5</t>
  </si>
  <si>
    <t>47-01-001-03</t>
  </si>
  <si>
    <t>Разбивка участка  Прим. вынос осей заграждений, ворот, согласно проекту. (274 п.м.* 0,4м(где 0,4м ширина ф-тов))  (согл. л.3 РД)</t>
  </si>
  <si>
    <t>ФЕР-2001, 47-01-001-03, приказ Минстроя России №1039/пр от 30.12.2016г.</t>
  </si>
  <si>
    <t>)*1,25)*1,15</t>
  </si>
  <si>
    <t>)*1,15)*1,15</t>
  </si>
  <si>
    <t>Общестроительные работы</t>
  </si>
  <si>
    <t>Озеленение. Защитные лесонасаждения</t>
  </si>
  <si>
    <t>ФЕР-47</t>
  </si>
  <si>
    <t>Поправка: МДС 81-35.2004, п.4.7  Поправка: МДС 81-35.2004, прил.1, т.3, п.7</t>
  </si>
  <si>
    <t>*0,9</t>
  </si>
  <si>
    <t>*0,85</t>
  </si>
  <si>
    <t>6</t>
  </si>
  <si>
    <t>47-01-001-02</t>
  </si>
  <si>
    <t>Планировка участка вручную (согл. л.3 РД)</t>
  </si>
  <si>
    <t>ФЕР-2001, 47-01-001-02, приказ Минстроя России №1039/пр от 30.12.2016г.</t>
  </si>
  <si>
    <t>7</t>
  </si>
  <si>
    <t>09-08-001-04</t>
  </si>
  <si>
    <t>Установка металлических столбов высотой более 4 м с погружением в бетонное основание</t>
  </si>
  <si>
    <t>100 ШТ</t>
  </si>
  <si>
    <t>ФЕР-2001, 09-08-001-04, приказ Минстроя России №1039/пр от 30.12.2016г.</t>
  </si>
  <si>
    <t>Металлические конструкции</t>
  </si>
  <si>
    <t>ФЕР-09</t>
  </si>
  <si>
    <t>8</t>
  </si>
  <si>
    <t>м38-01-006-07</t>
  </si>
  <si>
    <t>Сборка с помощью лебедок ручных (с установкой и снятием их в процессе работы) или вручную (мелких деталей) листовые конструкции массой до 0,5 т (бачки, течки, воронки, желоба, лотки и пр.) (Прим. заглушки стоек 94 шт)</t>
  </si>
  <si>
    <t>ФЕРм-2001, м38-01-006-07, приказ Минстроя России №1039/пр от 30.12.2016г.</t>
  </si>
  <si>
    <t>Монтажные работы</t>
  </si>
  <si>
    <t>Изготовление технологических конструкций  ( (НР= 66; СП=40%  )</t>
  </si>
  <si>
    <t>приг_ФЕРм-38</t>
  </si>
  <si>
    <t>9</t>
  </si>
  <si>
    <t>09-06-001-02</t>
  </si>
  <si>
    <t>Монтаж лотков, решеток, затворов из полосовой и тонколистовой стали(Прим. Секция С-1 (Основная секция) - 88шт)</t>
  </si>
  <si>
    <t>ФЕР-2001, 09-06-001-02, приказ Минстроя России №1039/пр от 30.12.2016г.</t>
  </si>
  <si>
    <t>10</t>
  </si>
  <si>
    <t>56-12-6</t>
  </si>
  <si>
    <t>Установка дверных приборов замки накладные</t>
  </si>
  <si>
    <t>ФЕРр-2001, 56-12-6, приказ Минстроя России №1039/пр от 30.12.2016г.</t>
  </si>
  <si>
    <t>Проемы</t>
  </si>
  <si>
    <t>рФЕР-56</t>
  </si>
  <si>
    <t>10,1</t>
  </si>
  <si>
    <t>01.7.04.04-0001</t>
  </si>
  <si>
    <t>Замки накладные с засовом и защелкой</t>
  </si>
  <si>
    <t>компл.</t>
  </si>
  <si>
    <t>ФССЦ-2001, 01.7.04.04-0001, приказ Минстроя России №1039/пр от 30.12.2016г.</t>
  </si>
  <si>
    <t>11</t>
  </si>
  <si>
    <t>08-01-002-01</t>
  </si>
  <si>
    <t>Устройство основания под фундаменты песчаного</t>
  </si>
  <si>
    <t>м3</t>
  </si>
  <si>
    <t>ФЕР-2001, 08-01-002-01, приказ Минстроя России №1039/пр от 30.12.2016г.</t>
  </si>
  <si>
    <t>Конструкции из кирпича и блоков</t>
  </si>
  <si>
    <t>ФЕР-08</t>
  </si>
  <si>
    <t>11,1</t>
  </si>
  <si>
    <t>02.3.01.02-0015</t>
  </si>
  <si>
    <t>Песок природный для строительных работ средний</t>
  </si>
  <si>
    <t>ФССЦ-2001, 02.3.01.02-0015, приказ Минстроя России №1039/пр от 30.12.2016г.</t>
  </si>
  <si>
    <t>12</t>
  </si>
  <si>
    <t>11-01-050-01</t>
  </si>
  <si>
    <t>Устройство пароизоляции из полиэтиленовой пленки в один слой насухо</t>
  </si>
  <si>
    <t>ФЕР-2001, 11-01-050-01, приказ Минстроя России №1039/пр от 30.12.2016г.</t>
  </si>
  <si>
    <t>Полы</t>
  </si>
  <si>
    <t>ФЕР-11</t>
  </si>
  <si>
    <t>13</t>
  </si>
  <si>
    <t>07-01-055-09</t>
  </si>
  <si>
    <t>Устройство калиток без установки столбов при металлических оградах и оградах из панелей   (Калитка К—1)</t>
  </si>
  <si>
    <t>ФЕР-2001, 07-01-055-09, приказ Минстроя России №1039/пр от 30.12.2016г.</t>
  </si>
  <si>
    <t>Сборные бетонные конструкции в промышленном строительстве  ( Произоводственные здания и сооружения )</t>
  </si>
  <si>
    <t>ФЕР-07</t>
  </si>
  <si>
    <t>14</t>
  </si>
  <si>
    <t>07-01-055-01</t>
  </si>
  <si>
    <t>Устройство ворот распашных с установкой столбов металлических  (Ворота В-1)</t>
  </si>
  <si>
    <t>ФЕР-2001, 07-01-055-01, приказ Минстроя России №1039/пр от 30.12.2016г.</t>
  </si>
  <si>
    <t>15</t>
  </si>
  <si>
    <t>07-01-055-12</t>
  </si>
  <si>
    <t>Устройство откатных ворот с ручным управлением  (Ворота В-2)</t>
  </si>
  <si>
    <t>100 шт.</t>
  </si>
  <si>
    <t>ФЕР-2001, 07-01-055-12, приказ Минстроя России №886/пр от 15.06.2017</t>
  </si>
  <si>
    <t>16</t>
  </si>
  <si>
    <t>13-03-002-04</t>
  </si>
  <si>
    <t>Огрунтовка металлических поверхностей за один раз грунтовкой ГФ-021 (Прим. Второй слой согласно РД)</t>
  </si>
  <si>
    <t>ФЕР-2001, 13-03-002-04, приказ Минстроя России №1039/пр от 30.12.2016г.</t>
  </si>
  <si>
    <t>)*1,1</t>
  </si>
  <si>
    <t>)*1,1)*1,25)*1,15</t>
  </si>
  <si>
    <t>)*1,1)*1,15)*1,15</t>
  </si>
  <si>
    <t>Защита строительных конструкций</t>
  </si>
  <si>
    <t>ФЕР-13</t>
  </si>
  <si>
    <t>Поправка: Прил.13.2, п.3.13.</t>
  </si>
  <si>
    <t>17</t>
  </si>
  <si>
    <t>13-03-004-26</t>
  </si>
  <si>
    <t>Окраска металлических огрунтованных поверхностей эмалью ПФ-115 (Прим. В два слоя)</t>
  </si>
  <si>
    <t>ФЕР-2001, 13-03-004-26, приказ Минстроя России №1039/пр от 30.12.2016г.</t>
  </si>
  <si>
    <t>)*1,1*2</t>
  </si>
  <si>
    <t>)*1,1*2)*1,25)*1,15</t>
  </si>
  <si>
    <t>)*1,1)*2)*1,15)*1,15</t>
  </si>
  <si>
    <t>17,1</t>
  </si>
  <si>
    <t>14.4.04.08-0008</t>
  </si>
  <si>
    <t>Эмаль ПФ-133 цветная</t>
  </si>
  <si>
    <t>ФССЦ-2001, 14.4.04.08-0008, приказ Минстроя России №1039/пр от 30.12.2016г.</t>
  </si>
  <si>
    <t>Поправка: Прил.13.2, п.3.13.  Наименование: Окраска и огрунтовка решетчатых поверхностей</t>
  </si>
  <si>
    <t>17,2</t>
  </si>
  <si>
    <t>14.4.04.08-0003</t>
  </si>
  <si>
    <t>Эмаль ПФ-115 серая</t>
  </si>
  <si>
    <t>ФССЦ-2001, 14.4.04.08-0003, приказ Минстроя России №1039/пр от 30.12.2016г.</t>
  </si>
  <si>
    <t>18</t>
  </si>
  <si>
    <t>01-02-058-07</t>
  </si>
  <si>
    <t>Копание ям вручную без креплений для стоек и столбов с откосами глубиной до 1,5 м, группа грунтов 3 (Общий объем выемки для бетонирования столбов, фундамента ФМ1 и подушки по РД 20,39 м3.  В п.№№ 3,10,11 учтено - 10,257м3 )</t>
  </si>
  <si>
    <t>100 м3</t>
  </si>
  <si>
    <t>ФЕР-2001, 01-02-058-07, приказ Минстроя России №1039/пр от 30.12.2016г.</t>
  </si>
  <si>
    <t>Земляные работы, выполняемые  ручным способом</t>
  </si>
  <si>
    <t>ФЕР-01</t>
  </si>
  <si>
    <t>19</t>
  </si>
  <si>
    <t>06-01-001-01</t>
  </si>
  <si>
    <t>Устройство бетонной подготовки (Общий обьем бетонирования столбов и фундамента ФМ1 по РД 19,74 м3 В п.№№ 3,10,11 учтено - 10,257м3)</t>
  </si>
  <si>
    <t>ФЕР-2001, 06-01-001-01, приказ Минстроя России №1039/пр от 30.12.2016г.</t>
  </si>
  <si>
    <t>Монолитные бетонные и железобетонные конструкции в промышленном строительстве</t>
  </si>
  <si>
    <t>ФЕР-06</t>
  </si>
  <si>
    <t>20</t>
  </si>
  <si>
    <t>01-02-060-03</t>
  </si>
  <si>
    <t>Погрузка вручную неуплотненного грунта из штабелей и отвалов в транспортные средства, группа грунтов 3</t>
  </si>
  <si>
    <t>ФЕР-2001, 01-02-060-03, приказ Минстроя России №1039/пр от 30.12.2016г.</t>
  </si>
  <si>
    <t>21</t>
  </si>
  <si>
    <t>22</t>
  </si>
  <si>
    <t>04.1.02.05-0007</t>
  </si>
  <si>
    <t>Бетон тяжелый, класс В20 (М250) (бетонирование столбов, фундамента ФМ1 )</t>
  </si>
  <si>
    <t>ФССЦ-2001, 04.1.02.05-0007, приказ Минстроя России №1039/пр от 30.12.2016г.</t>
  </si>
  <si>
    <t>Материалы и конструкции ( строительные ) по ценникам и каталогом</t>
  </si>
  <si>
    <t>ФССЦст</t>
  </si>
  <si>
    <t>23</t>
  </si>
  <si>
    <t>23.3.08.01-0122</t>
  </si>
  <si>
    <t>Трубы стальные квадратные из стали марки ст1-3сп/пс размером 100х100 мм, толщина стенки 5 мм (Столбы металлические)</t>
  </si>
  <si>
    <t>ФССЦ-2001, 23.3.08.01-0122, приказ Минстроя России №1039/пр от 30.12.2016г.</t>
  </si>
  <si>
    <t>24</t>
  </si>
  <si>
    <t>08.3.05.02-0061</t>
  </si>
  <si>
    <t>Сталь листовая горячекатаная марки Ст3 толщиной 10-13 мм</t>
  </si>
  <si>
    <t>ФССЦ-2001, 08.3.05.02-0061, приказ Минстроя России №1039/пр от 30.12.2016г.</t>
  </si>
  <si>
    <t>25</t>
  </si>
  <si>
    <t>01.7.04.09-0012</t>
  </si>
  <si>
    <t>Петля накладная</t>
  </si>
  <si>
    <t>шт.</t>
  </si>
  <si>
    <t>ФССЦ-2001, 01.7.04.09-0012, приказ Минстроя России №1039/пр от 30.12.2016г.</t>
  </si>
  <si>
    <t>26</t>
  </si>
  <si>
    <t>07.2.07.04-0014</t>
  </si>
  <si>
    <t>Прочие индивидуальные сварные конструкции, масса сборочной единицы от 0,1 до 0,5 т (Прим. Секция С-1 (Основная секция -88шт)</t>
  </si>
  <si>
    <t>ФССЦ-2001, 07.2.07.04-0014, приказ Минстроя России №1039/пр от 30.12.2016г.</t>
  </si>
  <si>
    <t>27</t>
  </si>
  <si>
    <t>Прочие индивидуальные сварные конструкции, масса сборочной единицы от 0,1 до 0,5 т   (Калитка К—1)</t>
  </si>
  <si>
    <t>28</t>
  </si>
  <si>
    <t>Прочие индивидуальные сварные конструкции, масса сборочной единицы от 0,1 до 0,5 т   (Ворота В-1)</t>
  </si>
  <si>
    <t>29</t>
  </si>
  <si>
    <t>Прочие индивидуальные сварные конструкции, масса сборочной единицы от 0,1 до 0,5 т   (Ворота В-2)</t>
  </si>
  <si>
    <t>30</t>
  </si>
  <si>
    <t>08.4.03.04-3066</t>
  </si>
  <si>
    <t>Заготовки арматурные (стержни, хомуты и т.п.), не собранные в каркасы или сетки: Арматура класс A-III, диаметр 12-14 мм</t>
  </si>
  <si>
    <t>КТЦ Стройинформресурс к ФЕР-2017, 08.4.03.04-3066</t>
  </si>
  <si>
    <t>31</t>
  </si>
  <si>
    <t>08.4.01.02-3003</t>
  </si>
  <si>
    <t>Детали закладные, масса свыше 5 кг</t>
  </si>
  <si>
    <t>КТЦ Стройинформресурс к ФЕР-2017, 08.4.01.02-3003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</si>
  <si>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</si>
  <si>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</si>
  <si>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</si>
  <si>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</si>
  <si>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</si>
  <si>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</si>
  <si>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</si>
  <si>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</si>
  <si>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</si>
  <si>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</si>
  <si>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</si>
  <si>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</si>
  <si>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</si>
  <si>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</si>
  <si>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</si>
  <si>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</si>
  <si>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</si>
  <si>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</si>
  <si>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</si>
  <si>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</si>
  <si>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</si>
  <si>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</si>
  <si>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</si>
  <si>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</si>
  <si>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</si>
  <si>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</si>
  <si>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</si>
  <si>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</si>
  <si>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</si>
  <si>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</si>
  <si>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</si>
  <si>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</si>
  <si>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</si>
  <si>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</si>
  <si>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</si>
  <si>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</si>
  <si>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</si>
  <si>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</si>
  <si>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</si>
  <si>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</si>
  <si>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</si>
  <si>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</si>
  <si>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</si>
  <si>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</si>
  <si>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</si>
  <si>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</si>
  <si>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</si>
  <si>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</si>
  <si>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</si>
  <si>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</si>
  <si>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</si>
  <si>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</si>
  <si>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Новый раздел</t>
  </si>
  <si>
    <t>Прочие работы</t>
  </si>
  <si>
    <t>Новый подраздел</t>
  </si>
  <si>
    <t>Укладка пешеходных дорожек</t>
  </si>
  <si>
    <t>32</t>
  </si>
  <si>
    <t>68-13-2</t>
  </si>
  <si>
    <t>Разборка асфальтобетонных покрытий тротуаров толщиной до 4 см с помощью молотков отбойных пневматических</t>
  </si>
  <si>
    <t>1000 м2</t>
  </si>
  <si>
    <t>ФЕРр-2001, 68-13-2, приказ Минстроя России №1039/пр от 30.12.2016г.</t>
  </si>
  <si>
    <t>33</t>
  </si>
  <si>
    <t>68-12-2</t>
  </si>
  <si>
    <t>Разборка покрытий и оснований щебеночных (25см)</t>
  </si>
  <si>
    <t>ФЕРр-2001, 68-12-2, приказ Минстроя России №1039/пр от 30.12.2016г.</t>
  </si>
  <si>
    <t>34</t>
  </si>
  <si>
    <t>т01-01-01-042</t>
  </si>
  <si>
    <t>Погрузочные работы при автомобильных перевозках мусора строительного с погрузкой транспортерами</t>
  </si>
  <si>
    <t>ФССЦпг-2001, т01-01-01-042, приказ Минстроя России №1039/пр от 30.12.2016г.</t>
  </si>
  <si>
    <t>35</t>
  </si>
  <si>
    <t>36</t>
  </si>
  <si>
    <t>27-04-001-01</t>
  </si>
  <si>
    <t>Устройство подстилающих и выравнивающих слоев оснований из песка (10см)</t>
  </si>
  <si>
    <t>ФЕР-2001, 27-04-001-01, приказ Минстроя России №1039/пр от 30.12.2016г.</t>
  </si>
  <si>
    <t>)*1,15)*1,25</t>
  </si>
  <si>
    <t>Автомобильные дороги</t>
  </si>
  <si>
    <t>ФЕР-27</t>
  </si>
  <si>
    <t>Поправка: МР 81/пр Прил.2, Табл.3, п. 3  Поправка: МДС 81-35.2004, п.4.7</t>
  </si>
  <si>
    <t>36,1</t>
  </si>
  <si>
    <t>37</t>
  </si>
  <si>
    <t>27-07-002-01</t>
  </si>
  <si>
    <t>Устройство оснований толщиной 12 см под тротуары из кирпичного или известнякового щебня</t>
  </si>
  <si>
    <t>ФЕР-2001, 27-07-002-01, приказ Минстроя России №1039/пр от 30.12.2016г.</t>
  </si>
  <si>
    <t>37,1</t>
  </si>
  <si>
    <t>02.2.05.04-0046</t>
  </si>
  <si>
    <t>Щебень из гравия для строительных работ марка 600, фракция 10-20 мм</t>
  </si>
  <si>
    <t>ФССЦ-2001, 02.2.05.04-0046, приказ Минстроя России №1039/пр от 30.12.2016г.</t>
  </si>
  <si>
    <t>38</t>
  </si>
  <si>
    <t>27-07-002-02</t>
  </si>
  <si>
    <t>На каждый 1 см изменения толщины оснований добавлять или исключать к расценке 27-07-002-01 (до 15см)</t>
  </si>
  <si>
    <t>ФЕР-2001, 27-07-002-02, приказ Минстроя России №1039/пр от 30.12.2016г.</t>
  </si>
  <si>
    <t>*3</t>
  </si>
  <si>
    <t>38,1</t>
  </si>
  <si>
    <t>39</t>
  </si>
  <si>
    <t>27-07-001-01</t>
  </si>
  <si>
    <t>Устройство асфальтобетонных покрытий дорожек и тротуаров однослойных из литой мелкозернистой асфальто-бетонной смеси толщиной 3 см</t>
  </si>
  <si>
    <t>ФЕР-2001, 27-07-001-01, приказ Минстроя России №1039/пр от 30.12.2016г.</t>
  </si>
  <si>
    <t>39,1</t>
  </si>
  <si>
    <t>39,2</t>
  </si>
  <si>
    <t>04.2.01.01-0031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</si>
  <si>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</si>
  <si>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t>ФССЦ-2001, 04.2.01.01-0031, приказ Минстроя России №1039/пр от 30.12.2016г.</t>
  </si>
  <si>
    <t>40</t>
  </si>
  <si>
    <t>27-07-001-02</t>
  </si>
  <si>
    <t>На каждые 0,5 см изменения толщины покрытия добавлять к расценке 27-07-001-01 (до 5см)</t>
  </si>
  <si>
    <t>ФЕР-2001, 27-07-001-02, приказ Минстроя России №1039/пр от 30.12.2016г.</t>
  </si>
  <si>
    <t>40,1</t>
  </si>
  <si>
    <t>Востановление пожарных подъездов</t>
  </si>
  <si>
    <t>41</t>
  </si>
  <si>
    <t>Разборка асфальтобетонных покрытий тротуаров толщиной до 4 см с помощью молотков отбойных пневматических Первый слой</t>
  </si>
  <si>
    <t>42</t>
  </si>
  <si>
    <t>Разборка асфальтобетонных покрытий тротуаров толщиной до 4 см с помощью молотков отбойных пневматических Второй слой</t>
  </si>
  <si>
    <t>43</t>
  </si>
  <si>
    <t>Разборка покрытий и оснований щебеночных (50см)</t>
  </si>
  <si>
    <t>44</t>
  </si>
  <si>
    <t>45</t>
  </si>
  <si>
    <t>46</t>
  </si>
  <si>
    <t>Устройство подстилающих и выравнивающих слоев оснований из песка (20см)</t>
  </si>
  <si>
    <t>46,1</t>
  </si>
  <si>
    <t>47</t>
  </si>
  <si>
    <t>27-04-001-04</t>
  </si>
  <si>
    <t>Устройство подстилающих и выравнивающих слоев оснований из щебня (30см)</t>
  </si>
  <si>
    <t>ФЕР-2001, 27-04-001-04, приказ Минстроя России №1039/пр от 30.12.2016г.</t>
  </si>
  <si>
    <t>47,1</t>
  </si>
  <si>
    <t>48</t>
  </si>
  <si>
    <t>27-06-020-03</t>
  </si>
  <si>
    <t>Устройство покрытия толщиной 4 см из горячих асфальтобетонных смесей плотных крупнозернинистых типа АБ, плотность каменных материалов 2,5-2,9 т/м3 Первый слой.</t>
  </si>
  <si>
    <t>ФЕР-2001, 27-06-020-03, приказ Минстроя России №1039/пр от 30.12.2016г.</t>
  </si>
  <si>
    <t>48,1</t>
  </si>
  <si>
    <t>01.2.01.02-0001</t>
  </si>
  <si>
    <t>Битум горячий</t>
  </si>
  <si>
    <t>ФССЦ-2001, 01.2.01.02-0001, приказ Минстроя России №1039/пр от 30.12.2016г.</t>
  </si>
  <si>
    <t>48,2</t>
  </si>
  <si>
    <t>04.2.03.01-0003</t>
  </si>
  <si>
    <t>Асфальтобетон щебеночно-мастичный, вид ЩМА-20</t>
  </si>
  <si>
    <t>ФССЦ-2001, 04.2.03.01-0003, приказ Минстроя России №1039/пр от 30.12.2016г.</t>
  </si>
  <si>
    <t>49</t>
  </si>
  <si>
    <t>27-06-021-03</t>
  </si>
  <si>
    <t>На каждые 0,5 см изменения толщины покрытия добавлять или исключать к расценке 27-06-020-03 До 6см</t>
  </si>
  <si>
    <t>ФЕР-2001, 27-06-021-03, приказ Минстроя России №1039/пр от 30.12.2016г.</t>
  </si>
  <si>
    <t>*4</t>
  </si>
  <si>
    <t>49,1</t>
  </si>
  <si>
    <t>49,2</t>
  </si>
  <si>
    <t>50</t>
  </si>
  <si>
    <t>27-06-020-01</t>
  </si>
  <si>
    <t>Устройство покрытия толщиной 4 см из горячих асфальтобетонных смесей плотных мелкозернистых типа АБВ, плотность каменных материалов 2,5-2,9 т/м3 Второй слой.</t>
  </si>
  <si>
    <t>ФЕР-2001, 27-06-020-01, приказ Минстроя России №1039/пр от 30.12.2016г.</t>
  </si>
  <si>
    <t>50,1</t>
  </si>
  <si>
    <t>50,2</t>
  </si>
  <si>
    <t>04.2.01.04-0001</t>
  </si>
  <si>
    <t>Смеси асфальтобетонные дорожные мелкозернистые щебеночные типа Б марки 1</t>
  </si>
  <si>
    <t>ФССЦ-2001, 04.2.01.04-0001, приказ Минстроя России №1039/пр от 30.12.2016г.</t>
  </si>
  <si>
    <t>Востановление общественной зоны</t>
  </si>
  <si>
    <t>51</t>
  </si>
  <si>
    <t>52</t>
  </si>
  <si>
    <t>53</t>
  </si>
  <si>
    <t>54</t>
  </si>
  <si>
    <t>55</t>
  </si>
  <si>
    <t>УСТРОЙСТВО ПРОЕЗДА 46*4м</t>
  </si>
  <si>
    <t>56</t>
  </si>
  <si>
    <t>56,1</t>
  </si>
  <si>
    <t>57</t>
  </si>
  <si>
    <t>57,1</t>
  </si>
  <si>
    <t>58</t>
  </si>
  <si>
    <t>58,1</t>
  </si>
  <si>
    <t>58,2</t>
  </si>
  <si>
    <t>59</t>
  </si>
  <si>
    <t>59,1</t>
  </si>
  <si>
    <t>59,2</t>
  </si>
  <si>
    <t>60</t>
  </si>
  <si>
    <t>60,1</t>
  </si>
  <si>
    <t>60,2</t>
  </si>
  <si>
    <t>УСТРОЙСТВО ТРОТУАРА  46*4м</t>
  </si>
  <si>
    <t>61</t>
  </si>
  <si>
    <t>61,1</t>
  </si>
  <si>
    <t>62</t>
  </si>
  <si>
    <t>62,1</t>
  </si>
  <si>
    <t>63</t>
  </si>
  <si>
    <t>*3)*1,15)*1,25</t>
  </si>
  <si>
    <t>*3)*1,15)*1,15</t>
  </si>
  <si>
    <t>63,1</t>
  </si>
  <si>
    <t>64</t>
  </si>
  <si>
    <t>64,1</t>
  </si>
  <si>
    <t>64,2</t>
  </si>
  <si>
    <t>65</t>
  </si>
  <si>
    <t>65,1</t>
  </si>
  <si>
    <t>Газоны</t>
  </si>
  <si>
    <t>66</t>
  </si>
  <si>
    <t>47-01-046-06</t>
  </si>
  <si>
    <t>Посев газонов партерных, мавританских и обыкновенных вручную</t>
  </si>
  <si>
    <t>ФЕР-2001, 47-01-046-06, приказ Минстроя России №1039/пр от 30.12.2016г.</t>
  </si>
  <si>
    <t>66,1</t>
  </si>
  <si>
    <t>16.2.02.07-0161</t>
  </si>
  <si>
    <t>Семена газонных трав (смесь)</t>
  </si>
  <si>
    <t>кг</t>
  </si>
  <si>
    <t>ФССЦ-2001, 16.2.02.07-0161, приказ Минстроя России №1039/пр от 30.12.2016г.</t>
  </si>
  <si>
    <t>67</t>
  </si>
  <si>
    <t>47-01-070-03</t>
  </si>
  <si>
    <t>Уход за газонами обыкновенными</t>
  </si>
  <si>
    <t>ФЕР-2001, 47-01-070-03, приказ Минстроя России №1039/пр от 30.12.2016г.</t>
  </si>
  <si>
    <t>и1</t>
  </si>
  <si>
    <t>Итого</t>
  </si>
  <si>
    <t>иЗУ</t>
  </si>
  <si>
    <t>Итого с учетом зимнего удорожания к-1,03384 (3,76% и к-т 0,9  Согласно ГСНр 81-05-02-2001, п. 1.4;  п. 28.)</t>
  </si>
  <si>
    <t>иДЕФЛ</t>
  </si>
  <si>
    <t>Итого с учетом индекса дефлятор на 2-4 кв 2019 г и 2020г: (105%-100%)/4*2+100=102,5%*104,4% = 107,01%) (Согласно письму Минэкономразвития №28438-АТ/ДОЗ от 03.10.2018)</t>
  </si>
  <si>
    <t>и2</t>
  </si>
  <si>
    <t>НДС 20%</t>
  </si>
  <si>
    <t>и3</t>
  </si>
  <si>
    <t>Переменная</t>
  </si>
  <si>
    <t>Новая переменная</t>
  </si>
  <si>
    <t>Переменная_1</t>
  </si>
  <si>
    <t>Переменная_2</t>
  </si>
  <si>
    <t>Переменная_3</t>
  </si>
  <si>
    <t>Переменная_4</t>
  </si>
  <si>
    <t>Переменная_5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</si>
  <si>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</si>
  <si>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</si>
  <si>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</si>
  <si>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</si>
  <si>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</si>
  <si>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</si>
  <si>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</si>
  <si>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</si>
  <si>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</si>
  <si>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</si>
  <si>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</si>
  <si>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</si>
  <si>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</si>
  <si>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</si>
  <si>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</si>
  <si>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</si>
  <si>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</si>
  <si>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</si>
  <si>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</si>
  <si>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</si>
  <si>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</si>
  <si>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</si>
  <si>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</si>
  <si>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</si>
  <si>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</si>
  <si>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</si>
  <si>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</si>
  <si>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</si>
  <si>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</si>
  <si>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</si>
  <si>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</si>
  <si>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</si>
  <si>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</si>
  <si>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</si>
  <si>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</si>
  <si>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</si>
  <si>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</si>
  <si>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</si>
  <si>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</si>
  <si>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</si>
  <si>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</si>
  <si>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</si>
  <si>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</si>
  <si>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</si>
  <si>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</si>
  <si>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</si>
  <si>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</si>
  <si>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</si>
  <si>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</si>
  <si>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</si>
  <si>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</si>
  <si>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</si>
  <si>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</si>
  <si>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</si>
  <si>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</si>
  <si>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</si>
  <si>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</si>
  <si>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</si>
  <si>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</si>
  <si>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</si>
  <si>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</si>
  <si>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</si>
  <si>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_OBSM_</t>
  </si>
  <si>
    <t>1-100-25</t>
  </si>
  <si>
    <t>Рабочий среднего разряда 2.5</t>
  </si>
  <si>
    <t>чел.-ч.</t>
  </si>
  <si>
    <t>1-100-33</t>
  </si>
  <si>
    <t>Рабочий среднего разряда 3.3</t>
  </si>
  <si>
    <t>01.7.20.07-0001</t>
  </si>
  <si>
    <t>ФССЦ-2001, 01.7.20.07-0001, приказ Минстроя России №1039/пр от 30.12.2016г.</t>
  </si>
  <si>
    <t>Шпагат из пенькового волокна</t>
  </si>
  <si>
    <t>11.1.03.05-0090</t>
  </si>
  <si>
    <t>ФССЦ-2001, 11.1.03.05-0090, приказ Минстроя России №1039/пр от 30.12.2016г.</t>
  </si>
  <si>
    <t>Доски необрезные хвойных пород длиной 4-6,5 м, шириной 75-150 мм, толщиной 16 мм, IV сорта</t>
  </si>
  <si>
    <t>1-100-20</t>
  </si>
  <si>
    <t>Рабочий среднего разряда 2</t>
  </si>
  <si>
    <t>1-100-30</t>
  </si>
  <si>
    <t>Рабочий среднего разряда 3</t>
  </si>
  <si>
    <t>4-100-00</t>
  </si>
  <si>
    <t>Затраты труда машинистов</t>
  </si>
  <si>
    <t>91.04.01-031</t>
  </si>
  <si>
    <t>ФСЭМ-2001, 91.04.01-031, приказ Минстроя России №1039/пр от 30.12.2016г.</t>
  </si>
  <si>
    <t>Машины бурильно-крановые на автомобиле, глубина бурения 3,5 м</t>
  </si>
  <si>
    <t>маш.-ч</t>
  </si>
  <si>
    <t>91.14.01-002</t>
  </si>
  <si>
    <t>ФСЭМ-2001, 91.14.01-002, приказ Минстроя России №1039/пр от 30.12.2016г.</t>
  </si>
  <si>
    <t>Автобетоносмесители 5 м3</t>
  </si>
  <si>
    <t>91.14.02-001</t>
  </si>
  <si>
    <t>ФСЭМ-2001, 91.14.02-001, приказ Минстроя России №1039/пр от 30.12.2016г.</t>
  </si>
  <si>
    <t>Автомобили бортовые, грузоподъемность до 5 т</t>
  </si>
  <si>
    <t>11.1.03.01-0001</t>
  </si>
  <si>
    <t>ФССЦ-2001, 11.1.03.01-0001, приказ Минстроя России №1039/пр от 30.12.2016г.</t>
  </si>
  <si>
    <t>Бруски деревянные 50*50 мм</t>
  </si>
  <si>
    <t>м</t>
  </si>
  <si>
    <t>1-100-38</t>
  </si>
  <si>
    <t>Рабочий среднего разряда 3.8</t>
  </si>
  <si>
    <t>91.05.05-014</t>
  </si>
  <si>
    <t>ФСЭМ-2001, 91.05.05-014, приказ Минстроя России №1039/пр от 30.12.2016г.</t>
  </si>
  <si>
    <t>Краны на автомобильном ходу, грузоподъемность 10 т</t>
  </si>
  <si>
    <t>91.06.03-062</t>
  </si>
  <si>
    <t>ФСЭМ-2001, 91.06.03-062, приказ Минстроя России №1039/пр от 30.12.2016г.</t>
  </si>
  <si>
    <t>Лебедки электрические тяговым усилием до 31,39 кН (3,2 т)</t>
  </si>
  <si>
    <t>91.14.02-002</t>
  </si>
  <si>
    <t>ФСЭМ-2001, 91.14.02-002, приказ Минстроя России №1039/пр от 30.12.2016г.</t>
  </si>
  <si>
    <t>Автомобили бортовые, грузоподъемность до 8 т</t>
  </si>
  <si>
    <t>91.17.04-011</t>
  </si>
  <si>
    <t>ФСЭМ-2001, 91.17.04-011, приказ Минстроя России №1039/пр от 30.12.2016г.</t>
  </si>
  <si>
    <t>Автоматы сварочные номинальным сварочным током 450-1250 А</t>
  </si>
  <si>
    <t>91.17.04-042</t>
  </si>
  <si>
    <t>ФСЭМ-2001, 91.17.04-042, приказ Минстроя России №1039/пр от 30.12.2016г.</t>
  </si>
  <si>
    <t>Аппарат для газовой сварки и резки</t>
  </si>
  <si>
    <t>91.21.12-002</t>
  </si>
  <si>
    <t>ФСЭМ-2001, 91.21.12-002, приказ Минстроя России №1039/пр от 30.12.2016г.</t>
  </si>
  <si>
    <t>Ножницы листовые кривошипные гильотинные</t>
  </si>
  <si>
    <t>91.21.16-014</t>
  </si>
  <si>
    <t>ФСЭМ-2001, 91.21.16-014, приказ Минстроя России №1039/пр от 30.12.2016г.</t>
  </si>
  <si>
    <t>Пресс листогибочный кривошипный 1000 кН (100 тс)</t>
  </si>
  <si>
    <t>91.21.22-194</t>
  </si>
  <si>
    <t>ФСЭМ-2001, 91.21.22-194, приказ Минстроя России №1039/пр от 30.12.2016г.</t>
  </si>
  <si>
    <t>Машины листогибочные специальные (вальцы)</t>
  </si>
  <si>
    <t>01.3.02.08-0001</t>
  </si>
  <si>
    <t>ФССЦ-2001, 01.3.02.08-0001, приказ Минстроя России №1039/пр от 30.12.2016г.</t>
  </si>
  <si>
    <t>Кислород технический газообразный</t>
  </si>
  <si>
    <t>01.3.02.09-0022</t>
  </si>
  <si>
    <t>ФССЦ-2001, 01.3.02.09-0022, приказ Минстроя России №1039/пр от 30.12.2016г.</t>
  </si>
  <si>
    <t>Пропан-бутан, смесь техническая</t>
  </si>
  <si>
    <t>01.7.11.07-0044</t>
  </si>
  <si>
    <t>ФССЦ-2001, 01.7.11.07-0044, приказ Минстроя России №1039/пр от 30.12.2016г.</t>
  </si>
  <si>
    <t>Электроды диаметром 5 мм Э42</t>
  </si>
  <si>
    <t>999-9950</t>
  </si>
  <si>
    <t>Вспомогательные ненормируемые материалы (2% от ОЗП)</t>
  </si>
  <si>
    <t>РУБ</t>
  </si>
  <si>
    <t>91.17.04-171</t>
  </si>
  <si>
    <t>ФСЭМ-2001, 91.17.04-171, приказ Минстроя России №1039/пр от 30.12.2016г.</t>
  </si>
  <si>
    <t>Преобразователи сварочные номинальным сварочным током 315-500 А</t>
  </si>
  <si>
    <t>01.7.11.07-0035</t>
  </si>
  <si>
    <t>ФССЦ-2001, 01.7.11.07-0035, приказ Минстроя России №1039/пр от 30.12.2016г.</t>
  </si>
  <si>
    <t>Электроды диаметром 4 мм Э46</t>
  </si>
  <si>
    <t>01.7.15.03-0041</t>
  </si>
  <si>
    <t>ФССЦ-2001, 01.7.15.03-0041, приказ Минстроя России №1039/пр от 30.12.2016г.</t>
  </si>
  <si>
    <t>Болты с гайками и шайбами строительные</t>
  </si>
  <si>
    <t>01.7.15.06-0111</t>
  </si>
  <si>
    <t>ФССЦ-2001, 01.7.15.06-0111, приказ Минстроя России №1039/пр от 30.12.2016г.</t>
  </si>
  <si>
    <t>Гвозди строительные</t>
  </si>
  <si>
    <t>01.7.20.08-0071</t>
  </si>
  <si>
    <t>ФССЦ-2001, 01.7.20.08-0071, приказ Минстроя России №1039/пр от 30.12.2016г.</t>
  </si>
  <si>
    <t>Канаты пеньковые пропитанные</t>
  </si>
  <si>
    <t>08.2.02.11-0007</t>
  </si>
  <si>
    <t>ФССЦ-2001, 08.2.02.11-0007, приказ Минстроя России №1039/пр от 30.12.2016г.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</si>
  <si>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</si>
  <si>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</si>
  <si>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08.3.03.06-0002</t>
  </si>
  <si>
    <t>ФССЦ-2001, 08.3.03.06-0002, приказ Минстроя России №1039/пр от 30.12.2016г.</t>
  </si>
  <si>
    <t>Проволока горячекатаная в мотках, диаметром 6,3-6,5 мм</t>
  </si>
  <si>
    <t>08.3.11.01-0091</t>
  </si>
  <si>
    <t>ФССЦ-2001, 08.3.11.01-0091, приказ Минстроя России №1039/пр от 30.12.2016г.</t>
  </si>
  <si>
    <t>Швеллеры № 40 из стали марки Ст0</t>
  </si>
  <si>
    <t>14.4.01.01-0003</t>
  </si>
  <si>
    <t>ФССЦ-2001, 14.4.01.01-0003, приказ Минстроя России №1039/пр от 30.12.2016г.</t>
  </si>
  <si>
    <t>Грунтовка ГФ-021 красно-коричневая</t>
  </si>
  <si>
    <t>14.5.09.07-0029</t>
  </si>
  <si>
    <t>ФССЦ-2001, 14.5.09.07-0029, приказ Минстроя России №1039/пр от 30.12.2016г.</t>
  </si>
  <si>
    <t>Растворитель марки Р-4</t>
  </si>
  <si>
    <t>01.7.15.14-0164</t>
  </si>
  <si>
    <t>ФССЦ-2001, 01.7.15.14-0164, приказ Минстроя России №1039/пр от 30.12.2016г.</t>
  </si>
  <si>
    <t>Шурупы с полукруглой головкой 3,5х35 мм</t>
  </si>
  <si>
    <t>91.06.05-057</t>
  </si>
  <si>
    <t>ФСЭМ-2001, 91.06.05-057, приказ Минстроя России №1039/пр от 30.12.2016г.</t>
  </si>
  <si>
    <t>Погрузчики одноковшовые универсальные фронтальные пневмоколесные, грузоподъемность 3 т</t>
  </si>
  <si>
    <t>91.08.09-023</t>
  </si>
  <si>
    <t>ФСЭМ-2001, 91.08.09-023, приказ Минстроя России №1039/пр от 30.12.2016г.</t>
  </si>
  <si>
    <t>Трамбовки пневматические при работе от передвижных компрессорных станций</t>
  </si>
  <si>
    <t>91.18.01-007</t>
  </si>
  <si>
    <t>ФСЭМ-2001, 91.18.01-007, приказ Минстроя России №1039/пр от 30.12.2016г.</t>
  </si>
  <si>
    <t>Компрессоры передвижные с двигателем внутреннего сгорания, давлением до 686 кПа (7ат), производительность до 5мЗ/мин</t>
  </si>
  <si>
    <t>01.7.03.01-0001</t>
  </si>
  <si>
    <t>ФССЦ-2001, 01.7.03.01-0001, приказ Минстроя России №1039/пр от 30.12.2016г.</t>
  </si>
  <si>
    <t>Вода</t>
  </si>
  <si>
    <t>01.7.07.12-0022</t>
  </si>
  <si>
    <t>ФССЦ-2001, 01.7.07.12-0022, приказ Минстроя России №1039/пр от 30.12.2016г.</t>
  </si>
  <si>
    <t>Пленка полиэтиленовая толщиной 0,2-0,5 мм</t>
  </si>
  <si>
    <t>м2</t>
  </si>
  <si>
    <t>91.17.04-233</t>
  </si>
  <si>
    <t>ФСЭМ-2001, 91.17.04-233, приказ Минстроя России №1039/пр от 30.12.2016г.</t>
  </si>
  <si>
    <t>Установки для сварки ручной дуговой (постоянного тока)</t>
  </si>
  <si>
    <t>01.7.11.07-0054</t>
  </si>
  <si>
    <t>ФССЦ-2001, 01.7.11.07-0054, приказ Минстроя России №1039/пр от 30.12.2016г.</t>
  </si>
  <si>
    <t>Электроды диаметром 6 мм Э42</t>
  </si>
  <si>
    <t>1-100-41</t>
  </si>
  <si>
    <t>Рабочий среднего разряда 4.1</t>
  </si>
  <si>
    <t>91.01.05-106</t>
  </si>
  <si>
    <t>ФСЭМ-2001, 91.01.05-106, приказ Минстроя России №1039/пр от 30.12.2016г.</t>
  </si>
  <si>
    <t>Экскаваторы одноковшовые дизельные на пневмоколесном ходу, емкость ковша 0,25 м3</t>
  </si>
  <si>
    <t>91.07.04-001</t>
  </si>
  <si>
    <t>ФСЭМ-2001, 91.07.04-001, приказ Минстроя России №1039/пр от 30.12.2016г.</t>
  </si>
  <si>
    <t>Вибратор глубинный</t>
  </si>
  <si>
    <t>04.3.01.09-0011</t>
  </si>
  <si>
    <t>ФССЦ-2001, 04.3.01.09-0011, приказ Минстроя России №1039/пр от 30.12.2016г.</t>
  </si>
  <si>
    <t>Раствор готовый кладочный цементный марки 25</t>
  </si>
  <si>
    <t>91.05.05-013</t>
  </si>
  <si>
    <t>ФСЭМ-2001, 91.05.05-013, приказ Минстроя России №1039/пр от 30.12.2016г.</t>
  </si>
  <si>
    <t>Краны на автомобильном ходу, грузоподъемность 6,3 т</t>
  </si>
  <si>
    <t>1-100-47</t>
  </si>
  <si>
    <t>Рабочий среднего разряда 4.7</t>
  </si>
  <si>
    <t>91.06.03-060</t>
  </si>
  <si>
    <t>ФСЭМ-2001, 91.06.03-060, приказ Минстроя России №1039/пр от 30.12.2016г.</t>
  </si>
  <si>
    <t>Лебедки электрические тяговым усилием до 5,79 кН (0,59 т)</t>
  </si>
  <si>
    <t>91.06.05-011</t>
  </si>
  <si>
    <t>ФСЭМ-2001, 91.06.05-011, приказ Минстроя России №1039/пр от 30.12.2016г.</t>
  </si>
  <si>
    <t>Погрузчик, грузоподъемность 5 т</t>
  </si>
  <si>
    <t>91.21.01-012</t>
  </si>
  <si>
    <t>ФСЭМ-2001, 91.21.01-012, приказ Минстроя России №1039/пр от 30.12.2016г.</t>
  </si>
  <si>
    <t>Агрегаты окрасочные высокого давления для окраски поверхностей конструкций, мощность 1 кВт</t>
  </si>
  <si>
    <t>14.5.09.02-0002</t>
  </si>
  <si>
    <t>ФССЦ-2001, 14.5.09.02-0002, приказ Минстроя России №1039/пр от 30.12.2016г.</t>
  </si>
  <si>
    <t>Ксилол нефтяной марки А</t>
  </si>
  <si>
    <t>1-100-35</t>
  </si>
  <si>
    <t>Рабочий среднего разряда 3.5</t>
  </si>
  <si>
    <t>14.5.09.11-0101</t>
  </si>
  <si>
    <t>ФССЦ-2001, 14.5.09.11-0101, приказ Минстроя России №1039/пр от 30.12.2016г.</t>
  </si>
  <si>
    <t>Уайт-спирит</t>
  </si>
  <si>
    <t>91.05.01-017</t>
  </si>
  <si>
    <t>ФСЭМ-2001, 91.05.01-017, приказ Минстроя России №1039/пр от 30.12.2016г.</t>
  </si>
  <si>
    <t>Краны башенные, грузоподъемность 8 т</t>
  </si>
  <si>
    <t>91.07.04-002</t>
  </si>
  <si>
    <t>ФСЭМ-2001, 91.07.04-002, приказ Минстроя России №1039/пр от 30.12.2016г.</t>
  </si>
  <si>
    <t>Вибратор поверхностный</t>
  </si>
  <si>
    <t>01.7.07.12-0024</t>
  </si>
  <si>
    <t>ФССЦ-2001, 01.7.07.12-0024, приказ Минстроя России №1039/пр от 30.12.2016г.</t>
  </si>
  <si>
    <t>Пленка полиэтиленовая толщиной 0,15 мм</t>
  </si>
  <si>
    <t>1-100-15</t>
  </si>
  <si>
    <t>Рабочий среднего разряда 1.5</t>
  </si>
  <si>
    <t>1-100-27</t>
  </si>
  <si>
    <t>Рабочий среднего разряда 2.7</t>
  </si>
  <si>
    <t>91.21.10-003</t>
  </si>
  <si>
    <t>ФСЭМ-2001, 91.21.10-003, приказ Минстроя России №1039/пр от 30.12.2016г.</t>
  </si>
  <si>
    <t>Молотки при работе от передвижных компрессорных станций отбойные пневматические</t>
  </si>
  <si>
    <t>1-100-21</t>
  </si>
  <si>
    <t>Рабочий среднего разряда 2.1</t>
  </si>
  <si>
    <t>91.01.02-004</t>
  </si>
  <si>
    <t>ФСЭМ-2001, 91.01.02-004, приказ Минстроя России №1039/пр от 30.12.2016г.</t>
  </si>
  <si>
    <t>Автогрейдеры среднего типа, мощность 99 кВт (135 л.с.)</t>
  </si>
  <si>
    <t>91.13.01-051</t>
  </si>
  <si>
    <t>ФСЭМ-2001, 91.13.01-051, приказ Минстроя России №1039/пр от 30.12.2016г.</t>
  </si>
  <si>
    <t>Трактор с щетками дорожными навесными</t>
  </si>
  <si>
    <t>1-100-23</t>
  </si>
  <si>
    <t>Рабочий среднего разряда 2.3</t>
  </si>
  <si>
    <t>91.08.03-030</t>
  </si>
  <si>
    <t>ФСЭМ-2001, 91.08.03-030, приказ Минстроя России №1039/пр от 30.12.2016г.</t>
  </si>
  <si>
    <t>Катки на пневмоколесном ходу, масса 30 т</t>
  </si>
  <si>
    <t>91.13.01-038</t>
  </si>
  <si>
    <t>ФСЭМ-2001, 91.13.01-038, приказ Минстроя России №1039/пр от 30.12.2016г.</t>
  </si>
  <si>
    <t>Машины поливомоечные 6000 л</t>
  </si>
  <si>
    <t>1-100-29</t>
  </si>
  <si>
    <t>Рабочий среднего разряда 2.9</t>
  </si>
  <si>
    <t>91.08.03-016</t>
  </si>
  <si>
    <t>ФСЭМ-2001, 91.08.03-016, приказ Минстроя России №1039/пр от 30.12.2016г.</t>
  </si>
  <si>
    <t>Катки дорожные самоходные гладкие, масса 8 т</t>
  </si>
  <si>
    <t>1-100-37</t>
  </si>
  <si>
    <t>Рабочий среднего разряда 3.7</t>
  </si>
  <si>
    <t>91.08.09-001</t>
  </si>
  <si>
    <t>ФСЭМ-2001, 91.08.09-001, приказ Минстроя России №1039/пр от 30.12.2016г.</t>
  </si>
  <si>
    <t>Виброплита с двигателем внутреннего сгорания</t>
  </si>
  <si>
    <t>01.2.01.01-0019</t>
  </si>
  <si>
    <t>ФССЦ-2001, 01.2.01.01-0019, приказ Минстроя России №1039/пр от 30.12.2016г.</t>
  </si>
  <si>
    <t>Битумы нефтяные дорожные марки БНД-60/90, БНД 90/130</t>
  </si>
  <si>
    <t>1-100-24</t>
  </si>
  <si>
    <t>Рабочий среднего разряда 2.4</t>
  </si>
  <si>
    <t>91.01.01-035</t>
  </si>
  <si>
    <t>ФСЭМ-2001, 91.01.01-035, приказ Минстроя России №1039/пр от 30.12.2016г.</t>
  </si>
  <si>
    <t>Бульдозеры, мощность 79 кВт (108 л.с.)</t>
  </si>
  <si>
    <t>1-100-40</t>
  </si>
  <si>
    <t>Рабочий среднего разряда 4</t>
  </si>
  <si>
    <t>91.08.01-021</t>
  </si>
  <si>
    <t>ФСЭМ-2001, 91.08.01-021, приказ Минстроя России №1039/пр от 30.12.2016г.</t>
  </si>
  <si>
    <t>Укладчики асфальтобетона</t>
  </si>
  <si>
    <t>91.08.02-011</t>
  </si>
  <si>
    <t>ФСЭМ-2001, 91.08.02-011, приказ Минстроя России №1039/пр от 30.12.2016г.</t>
  </si>
  <si>
    <t>Гудронаторы ручные</t>
  </si>
  <si>
    <t>91.08.03-018</t>
  </si>
  <si>
    <t>ФСЭМ-2001, 91.08.03-018, приказ Минстроя России №1039/пр от 30.12.2016г.</t>
  </si>
  <si>
    <t>Катки дорожные самоходные гладкие, масса 13 т</t>
  </si>
  <si>
    <t>08.1.02.11-0001</t>
  </si>
  <si>
    <t>ФССЦ-2001, 08.1.02.11-0001, приказ Минстроя России №1039/пр от 30.12.2016г.</t>
  </si>
  <si>
    <t>Поковки из квадратных заготовок, масса 1,8 кг</t>
  </si>
  <si>
    <t>11.1.03.01-0079</t>
  </si>
  <si>
    <t>ФССЦ-2001, 11.1.03.01-0079, приказ Минстроя России №1039/пр от 30.12.2016г.</t>
  </si>
  <si>
    <t>Бруски обрезные хвойных пород длиной 4-6,5 м, шириной 75-150 мм, толщиной 40-75 мм, III сорта</t>
  </si>
  <si>
    <t>04.1.02.06</t>
  </si>
  <si>
    <t>Бетон</t>
  </si>
  <si>
    <t>07.2.07.11</t>
  </si>
  <si>
    <t>Стойки металлические опорные</t>
  </si>
  <si>
    <t>07.2.07.13</t>
  </si>
  <si>
    <t>Конструкции стальные</t>
  </si>
  <si>
    <t>01.7.04.11</t>
  </si>
  <si>
    <t>Приборы дверные</t>
  </si>
  <si>
    <t>02.3.01.02</t>
  </si>
  <si>
    <t>Песок для строительных работ природный</t>
  </si>
  <si>
    <t>08.1.06.05</t>
  </si>
  <si>
    <t>Полотна калиток</t>
  </si>
  <si>
    <t>06.1.01.05</t>
  </si>
  <si>
    <t>Кирпич глиняный обыкновенный марки 100</t>
  </si>
  <si>
    <t>1000 шт.</t>
  </si>
  <si>
    <t>08.1.06.04</t>
  </si>
  <si>
    <t>Полотна ворот</t>
  </si>
  <si>
    <t>04.1.02.05</t>
  </si>
  <si>
    <t>Бетонные смеси готовые к употреблению</t>
  </si>
  <si>
    <t>08.4.01.02</t>
  </si>
  <si>
    <t>Детали закладные</t>
  </si>
  <si>
    <t>02.2.05.04</t>
  </si>
  <si>
    <t>Щебень известняковый или кирпичный</t>
  </si>
  <si>
    <t>04.2.01.04</t>
  </si>
  <si>
    <t>Смесь асфальтобетонная</t>
  </si>
  <si>
    <t>Щебень</t>
  </si>
  <si>
    <t>01.2.01.02</t>
  </si>
  <si>
    <t>Битум</t>
  </si>
  <si>
    <t>16.2.02.07</t>
  </si>
  <si>
    <t>Семена газонных трав</t>
  </si>
  <si>
    <t>16.3.02.01</t>
  </si>
  <si>
    <t>Удобрения минеральные</t>
  </si>
  <si>
    <t>Поправка: МР 81/пр Прил.2, Табл.3, п. 3  Наименование: Производство ремонтно-строительных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 разветвленной сети транспортных и инженерных коммуникаций; стесненных условий для складирования материалов; действующего технологического оборудования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</si>
  <si>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  Поправка: МДС 81-35.2004, прил.1, т.3, п.7  Наименование: Ремонт инженерных сетей и сооружений, а также объектов жилищно-гражданского назначения в стесненных условиях застроенной части города</t>
  </si>
  <si>
    <t>Поправка: Прил.13.2, п.3.13.  Наименование: Окраска и огрунтовка решетчатых поверхностей    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  Поправка: МДС 81-35.2004, прил.1, т.3, п.7  Наименование: Ремонт инженерных сетей и сооружений, а также объектов жилищно-гражданского назначения в стесненных условиях застроенной части города</t>
  </si>
  <si>
    <t>Поправка: Прил.13.2, п.3.13.  Наименование: Окраска и огрунтовка решетчатых поверхностей  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  Поправка: МДС 81-35.2004, прил.1, т.3, п.7  Наименование: Ремонт инженерных сетей и сооружений, а также объектов жилищно-гражданского назначения в стесненных условиях застроенной части города</t>
  </si>
  <si>
    <t>Поправка: МР 81/пр Прил.2, Табл.3, п. 3  Наименование: Производство ремонтно-строительных работ осуществляется на территории действующего предприятия с наличием в зоне производства работ одного или нескольких из перечисленных ниже факторов:  разветвленной сети транспортных и инженерных коммуникаций; стесненных условий для складирования материалов; действующего технологического оборудования  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</si>
  <si>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</si>
  <si>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</si>
  <si>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</si>
  <si>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</si>
  <si>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</si>
  <si>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</si>
  <si>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</si>
  <si>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</si>
  <si>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</si>
  <si>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</si>
  <si>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</si>
  <si>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</si>
  <si>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</si>
  <si>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</si>
  <si>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</si>
  <si>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</si>
  <si>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</si>
  <si>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</si>
  <si>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</si>
  <si>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</si>
  <si>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</si>
  <si>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</si>
  <si>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</si>
  <si>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</si>
  <si>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</si>
  <si>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</si>
  <si>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январь 2000 года</t>
  </si>
  <si>
    <r>
      <t>68-26-2</t>
    </r>
    <r>
      <rPr>
        <i/>
        <sz val="10"/>
        <rFont val="Arial"/>
        <family val="2"/>
        <charset val="204"/>
      </rPr>
      <t xml:space="preserve">
Поправка: МР 81/пр Прил.2, Табл.3, п. 3</t>
    </r>
  </si>
  <si>
    <t>Зарплата</t>
  </si>
  <si>
    <t>НР от ФОТ</t>
  </si>
  <si>
    <t>%</t>
  </si>
  <si>
    <t>СП от ФОТ</t>
  </si>
  <si>
    <t>Затраты труда</t>
  </si>
  <si>
    <t>чел-ч</t>
  </si>
  <si>
    <t>Материальные ресурсы</t>
  </si>
  <si>
    <t>в т.ч. зарплата машинистов</t>
  </si>
  <si>
    <r>
      <t>13-03-004-26</t>
    </r>
    <r>
      <rPr>
        <i/>
        <sz val="10"/>
        <rFont val="Arial"/>
        <family val="2"/>
        <charset val="204"/>
      </rPr>
      <t xml:space="preserve">
Поправка: Прил.13.2, п.3.13.</t>
    </r>
  </si>
  <si>
    <r>
      <t>14.4.04.08-0008</t>
    </r>
    <r>
      <rPr>
        <i/>
        <sz val="10"/>
        <rFont val="Arial"/>
        <family val="2"/>
        <charset val="204"/>
      </rPr>
      <t xml:space="preserve">
Поправка: Прил.13.2, п.3.13.</t>
    </r>
  </si>
  <si>
    <t>к нр )*1,1*2</t>
  </si>
  <si>
    <r>
      <t>14.4.04.08-0003</t>
    </r>
    <r>
      <rPr>
        <i/>
        <sz val="10"/>
        <rFont val="Arial"/>
        <family val="2"/>
        <charset val="204"/>
      </rPr>
      <t xml:space="preserve">
Поправка: Прил.13.2, п.3.13.</t>
    </r>
  </si>
  <si>
    <r>
      <t>68-13-2</t>
    </r>
    <r>
      <rPr>
        <i/>
        <sz val="10"/>
        <rFont val="Arial"/>
        <family val="2"/>
        <charset val="204"/>
      </rPr>
      <t xml:space="preserve">
Поправка: МР 81/пр Прил.2, Табл.3, п. 3</t>
    </r>
  </si>
  <si>
    <r>
      <t>68-12-2</t>
    </r>
    <r>
      <rPr>
        <i/>
        <sz val="10"/>
        <rFont val="Arial"/>
        <family val="2"/>
        <charset val="204"/>
      </rPr>
      <t xml:space="preserve">
Поправка: МР 81/пр Прил.2, Табл.3, п. 3</t>
    </r>
  </si>
  <si>
    <r>
      <t>27-04-001-01</t>
    </r>
    <r>
      <rPr>
        <i/>
        <sz val="10"/>
        <rFont val="Arial"/>
        <family val="2"/>
        <charset val="204"/>
      </rPr>
      <t xml:space="preserve">
Поправка: МР 81/пр Прил.2, Табл.3, п. 3  Поправка: МДС 81-35.2004, п.4.7</t>
    </r>
  </si>
  <si>
    <r>
      <t>27-07-002-01</t>
    </r>
    <r>
      <rPr>
        <i/>
        <sz val="10"/>
        <rFont val="Arial"/>
        <family val="2"/>
        <charset val="204"/>
      </rPr>
      <t xml:space="preserve">
Поправка: МР 81/пр Прил.2, Табл.3, п. 3  Поправка: МДС 81-35.2004, п.4.7</t>
    </r>
  </si>
  <si>
    <r>
      <t>27-07-002-02</t>
    </r>
    <r>
      <rPr>
        <i/>
        <sz val="10"/>
        <rFont val="Arial"/>
        <family val="2"/>
        <charset val="204"/>
      </rPr>
      <t xml:space="preserve">
Поправка: МР 81/пр Прил.2, Табл.3, п. 3  Поправка: МДС 81-35.2004, п.4.7</t>
    </r>
  </si>
  <si>
    <t>к нр *3</t>
  </si>
  <si>
    <r>
      <t>27-07-001-01</t>
    </r>
    <r>
      <rPr>
        <i/>
        <sz val="10"/>
        <rFont val="Arial"/>
        <family val="2"/>
        <charset val="204"/>
      </rPr>
      <t xml:space="preserve">
Поправка: МР 81/пр Прил.2, Табл.3, п. 3  Поправка: МДС 81-35.2004, п.4.7</t>
    </r>
  </si>
  <si>
    <r>
      <t>27-07-001-02</t>
    </r>
    <r>
      <rPr>
        <i/>
        <sz val="10"/>
        <rFont val="Arial"/>
        <family val="2"/>
        <charset val="204"/>
      </rPr>
      <t xml:space="preserve">
Поправка: МР 81/пр Прил.2, Табл.3, п. 3  Поправка: МДС 81-35.2004, п.4.7</t>
    </r>
  </si>
  <si>
    <r>
      <t>27-04-001-04</t>
    </r>
    <r>
      <rPr>
        <i/>
        <sz val="10"/>
        <rFont val="Arial"/>
        <family val="2"/>
        <charset val="204"/>
      </rPr>
      <t xml:space="preserve">
Поправка: МР 81/пр Прил.2, Табл.3, п. 3  Поправка: МДС 81-35.2004, п.4.7</t>
    </r>
  </si>
  <si>
    <r>
      <t>27-06-020-03</t>
    </r>
    <r>
      <rPr>
        <i/>
        <sz val="10"/>
        <rFont val="Arial"/>
        <family val="2"/>
        <charset val="204"/>
      </rPr>
      <t xml:space="preserve">
Поправка: МР 81/пр Прил.2, Табл.3, п. 3  Поправка: МДС 81-35.2004, п.4.7</t>
    </r>
  </si>
  <si>
    <t>к нр *4</t>
  </si>
  <si>
    <r>
      <t>27-06-020-01</t>
    </r>
    <r>
      <rPr>
        <i/>
        <sz val="10"/>
        <rFont val="Arial"/>
        <family val="2"/>
        <charset val="204"/>
      </rPr>
      <t xml:space="preserve">
Поправка: МР 81/пр Прил.2, Табл.3, п. 3  Поправка: МДС 81-35.2004, п.4.7</t>
    </r>
  </si>
  <si>
    <t xml:space="preserve">   </t>
  </si>
  <si>
    <t xml:space="preserve">Составил  </t>
  </si>
  <si>
    <t>[должность,подпись(инициалы,фамилия)]</t>
  </si>
  <si>
    <t xml:space="preserve">Проверил  </t>
  </si>
  <si>
    <t>TYPE</t>
  </si>
  <si>
    <t>LINK</t>
  </si>
  <si>
    <t>RABMAT_EX</t>
  </si>
  <si>
    <t>TIP_RAB</t>
  </si>
  <si>
    <t>TYPE_TRUD</t>
  </si>
  <si>
    <t>TAB</t>
  </si>
  <si>
    <t>NAME</t>
  </si>
  <si>
    <t>EDIZM</t>
  </si>
  <si>
    <t>KOLL</t>
  </si>
  <si>
    <t>UCH</t>
  </si>
  <si>
    <t>PRICE_B</t>
  </si>
  <si>
    <t>PRICE_ED</t>
  </si>
  <si>
    <t>STOIM_B</t>
  </si>
  <si>
    <t>PRICE_C</t>
  </si>
  <si>
    <t>STOIM_C</t>
  </si>
  <si>
    <t>ZPM_B</t>
  </si>
  <si>
    <t>ZPM_ED</t>
  </si>
  <si>
    <t>STOIM_ZPM_B</t>
  </si>
  <si>
    <t>ZPM_C</t>
  </si>
  <si>
    <t>STOIM_ZPM_C</t>
  </si>
  <si>
    <t>CRC_GR_RES</t>
  </si>
  <si>
    <t>CRC_B</t>
  </si>
  <si>
    <t>CRC_C</t>
  </si>
  <si>
    <t>BuildingFinished</t>
  </si>
  <si>
    <t>Trud</t>
  </si>
  <si>
    <t>Mash</t>
  </si>
  <si>
    <t>Mat</t>
  </si>
  <si>
    <t>MatZak</t>
  </si>
  <si>
    <t>Oborud</t>
  </si>
  <si>
    <t>OborudZak</t>
  </si>
  <si>
    <t>ZeroStoim</t>
  </si>
  <si>
    <t>NegativeKoll</t>
  </si>
  <si>
    <t>ReUnionKollResurcy</t>
  </si>
  <si>
    <t>Ресурсная ведомость на</t>
  </si>
  <si>
    <t>Объект: ФНС России в Амурской области, Амурская область,г. Благовещенск, ул. Пушкина, д. 104_(в базовых ценах)</t>
  </si>
  <si>
    <t>Обоснование</t>
  </si>
  <si>
    <t>Наименование</t>
  </si>
  <si>
    <t>Единица измерения</t>
  </si>
  <si>
    <t>Объем</t>
  </si>
  <si>
    <t>Базовая</t>
  </si>
  <si>
    <t>цена</t>
  </si>
  <si>
    <t>стоимость</t>
  </si>
  <si>
    <t>Текущая</t>
  </si>
  <si>
    <t xml:space="preserve">Трудовые ресурсы </t>
  </si>
  <si>
    <t xml:space="preserve">Итого трудовые ресурсы </t>
  </si>
  <si>
    <t xml:space="preserve">Машины и механизмы </t>
  </si>
  <si>
    <t xml:space="preserve">	в том числе ЗПМ</t>
  </si>
  <si>
    <t xml:space="preserve">Итого машины и механизмы </t>
  </si>
  <si>
    <t xml:space="preserve">в том числе ЗПМ </t>
  </si>
  <si>
    <t xml:space="preserve">Материальные ресурсы </t>
  </si>
  <si>
    <t xml:space="preserve">Итого материальные ресурсы </t>
  </si>
  <si>
    <t>Итого по объекту: ФНС России в Амурской области, Амурская область,г. Благовещенск, ул. Пушкина, д. 104_(в базовых ценах)</t>
  </si>
  <si>
    <t xml:space="preserve">Итого материалы заказчика </t>
  </si>
  <si>
    <t xml:space="preserve">Итого оборудование </t>
  </si>
  <si>
    <t xml:space="preserve">Итого оборудование заказчика </t>
  </si>
  <si>
    <t>Итого материальных ресурсов</t>
  </si>
  <si>
    <t>Итого с НДС</t>
  </si>
  <si>
    <r>
      <t>47-01-001-03</t>
    </r>
    <r>
      <rPr>
        <i/>
        <sz val="10"/>
        <color rgb="FFFF0000"/>
        <rFont val="Arial"/>
        <family val="2"/>
        <charset val="204"/>
      </rPr>
      <t xml:space="preserve">
Поправка: МДС 81-35.2004, п.4.7  Поправка: МДС 81-35.2004, прил.1, т.3, п.7</t>
    </r>
  </si>
  <si>
    <r>
      <t>13-03-002-04</t>
    </r>
    <r>
      <rPr>
        <i/>
        <sz val="10"/>
        <color rgb="FFFF0000"/>
        <rFont val="Arial"/>
        <family val="2"/>
        <charset val="204"/>
      </rPr>
      <t xml:space="preserve">
Поправка: Прил.13.2, п.3.13.</t>
    </r>
  </si>
  <si>
    <r>
      <t>68-13-2</t>
    </r>
    <r>
      <rPr>
        <i/>
        <sz val="10"/>
        <color rgb="FFFF0000"/>
        <rFont val="Arial"/>
        <family val="2"/>
        <charset val="204"/>
      </rPr>
      <t xml:space="preserve">
Поправка: МР 81/пр Прил.2, Табл.3, п.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</si>
</sst>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[Red]\-\ #,##0.00"/>
    <numFmt numFmtId="165" formatCode="#,##0.00####;[Red]\-\ #,##0.00####"/>
  </numFmts>
  <fonts count="26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b/>
      <sz val="10"/>
      <color indexed="14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3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3"/>
      <name val="Arial"/>
      <family val="2"/>
      <charset val="204"/>
    </font>
    <font>
      <b/>
      <sz val="9"/>
      <name val="Arial"/>
      <family val="2"/>
      <charset val="204"/>
    </font>
    <font>
      <b/>
      <u/>
      <sz val="11"/>
      <name val="Arial"/>
      <family val="2"/>
      <charset val="204"/>
    </font>
    <font>
      <sz val="12"/>
      <name val="Arial"/>
      <family val="2"/>
      <charset val="204"/>
    </font>
    <font>
      <sz val="11"/>
      <color rgb="FFFF0000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wrapText="1"/>
    </xf>
    <xf numFmtId="164" fontId="0" fillId="0" borderId="0" xfId="0" applyNumberFormat="1"/>
    <xf numFmtId="0" fontId="11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3" fillId="0" borderId="0" xfId="0" applyFont="1"/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6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2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18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0" fontId="21" fillId="0" borderId="0" xfId="0" applyFont="1"/>
    <xf numFmtId="0" fontId="12" fillId="0" borderId="0" xfId="0" applyFont="1"/>
    <xf numFmtId="164" fontId="13" fillId="0" borderId="1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43" fontId="21" fillId="0" borderId="0" xfId="1" applyFont="1" applyAlignment="1">
      <alignment horizontal="right"/>
    </xf>
    <xf numFmtId="0" fontId="10" fillId="0" borderId="1" xfId="0" applyFont="1" applyBorder="1" applyAlignment="1">
      <alignment horizontal="center" vertical="top"/>
    </xf>
    <xf numFmtId="43" fontId="12" fillId="0" borderId="0" xfId="1" applyFont="1" applyAlignment="1">
      <alignment horizontal="center"/>
    </xf>
    <xf numFmtId="43" fontId="21" fillId="0" borderId="0" xfId="1" applyFont="1" applyAlignment="1">
      <alignment horizontal="center"/>
    </xf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4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wrapText="1"/>
    </xf>
    <xf numFmtId="0" fontId="13" fillId="0" borderId="3" xfId="0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wrapText="1"/>
    </xf>
    <xf numFmtId="0" fontId="22" fillId="0" borderId="0" xfId="0" applyFont="1" applyAlignment="1">
      <alignment horizontal="right"/>
    </xf>
    <xf numFmtId="165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16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94"/>
  <sheetViews>
    <sheetView tabSelected="1" topLeftCell="A581" zoomScaleNormal="100" workbookViewId="0">
      <selection activeCell="L588" sqref="L588"/>
    </sheetView>
  </sheetViews>
  <sheetFormatPr defaultRowHeight="12.75" x14ac:dyDescent="0.2"/>
  <cols>
    <col min="1" max="1" width="5.7109375" customWidth="1"/>
    <col min="2" max="2" width="16" customWidth="1"/>
    <col min="3" max="3" width="40.7109375" customWidth="1"/>
    <col min="4" max="5" width="10.7109375" customWidth="1"/>
    <col min="6" max="8" width="12.7109375" customWidth="1"/>
    <col min="9" max="9" width="10.7109375" customWidth="1"/>
    <col min="10" max="10" width="8.7109375" customWidth="1"/>
    <col min="11" max="11" width="12.7109375" customWidth="1"/>
    <col min="12" max="12" width="8.7109375" customWidth="1"/>
    <col min="15" max="29" width="0" hidden="1" customWidth="1"/>
    <col min="30" max="30" width="147.7109375" hidden="1" customWidth="1"/>
    <col min="31" max="31" width="0" hidden="1" customWidth="1"/>
    <col min="32" max="32" width="91.7109375" hidden="1" customWidth="1"/>
    <col min="33" max="36" width="0" hidden="1" customWidth="1"/>
  </cols>
  <sheetData>
    <row r="1" spans="1:30" x14ac:dyDescent="0.2">
      <c r="A1" s="8" t="str">
        <f>Source!B1</f>
        <v>Smeta.RU  (495) 974-1589</v>
      </c>
    </row>
    <row r="2" spans="1:30" ht="15.75" x14ac:dyDescent="0.25">
      <c r="A2" s="9"/>
      <c r="B2" s="83"/>
      <c r="C2" s="83"/>
      <c r="D2" s="83"/>
      <c r="E2" s="83"/>
      <c r="F2" s="83"/>
      <c r="G2" s="83"/>
      <c r="H2" s="83"/>
      <c r="I2" s="83"/>
      <c r="J2" s="83"/>
      <c r="K2" s="83"/>
      <c r="L2" s="9"/>
    </row>
    <row r="3" spans="1:30" ht="14.25" x14ac:dyDescent="0.2">
      <c r="A3" s="10"/>
      <c r="B3" s="84" t="s">
        <v>747</v>
      </c>
      <c r="C3" s="84"/>
      <c r="D3" s="84"/>
      <c r="E3" s="84"/>
      <c r="F3" s="84"/>
      <c r="G3" s="84"/>
      <c r="H3" s="84"/>
      <c r="I3" s="84"/>
      <c r="J3" s="84"/>
      <c r="K3" s="84"/>
      <c r="L3" s="9"/>
    </row>
    <row r="4" spans="1:30" ht="14.2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30" ht="14.25" x14ac:dyDescent="0.2">
      <c r="A5" s="11"/>
      <c r="B5" s="11"/>
      <c r="C5" s="11"/>
      <c r="D5" s="11"/>
      <c r="E5" s="11"/>
      <c r="F5" s="66" t="s">
        <v>748</v>
      </c>
      <c r="G5" s="66"/>
      <c r="H5" s="81"/>
      <c r="I5" s="81"/>
      <c r="J5" s="81"/>
      <c r="K5" s="81"/>
      <c r="L5" s="12"/>
    </row>
    <row r="6" spans="1:30" ht="14.25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30" ht="31.5" x14ac:dyDescent="0.25">
      <c r="A7" s="13"/>
      <c r="B7" s="83" t="str">
        <f>CONCATENATE( "ЛОКАЛЬНАЯ СМЕТА № ",IF(Source!F12&lt;&gt;"Новый объект", Source!F12, ""))</f>
        <v>ЛОКАЛЬНАЯ СМЕТА № ФНС России в Амурской области, Амурская область,г. Благовещенск, ул. Пушкина, д. 104_(в базовых ценах)</v>
      </c>
      <c r="C7" s="83"/>
      <c r="D7" s="83"/>
      <c r="E7" s="83"/>
      <c r="F7" s="83"/>
      <c r="G7" s="83"/>
      <c r="H7" s="83"/>
      <c r="I7" s="83"/>
      <c r="J7" s="83"/>
      <c r="K7" s="83"/>
      <c r="L7" s="13"/>
      <c r="AD7" s="14" t="str">
        <f>CONCATENATE( "ЛОКАЛЬНАЯ СМЕТА № ",IF(Source!F12&lt;&gt;"Новый объект", Source!F12, ""))</f>
        <v>ЛОКАЛЬНАЯ СМЕТА № ФНС России в Амурской области, Амурская область,г. Благовещенск, ул. Пушкина, д. 104_(в базовых ценах)</v>
      </c>
    </row>
    <row r="8" spans="1:30" ht="15.75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3"/>
    </row>
    <row r="9" spans="1:30" ht="18" hidden="1" x14ac:dyDescent="0.25">
      <c r="A9" s="13"/>
      <c r="B9" s="85"/>
      <c r="C9" s="85"/>
      <c r="D9" s="85"/>
      <c r="E9" s="85"/>
      <c r="F9" s="85"/>
      <c r="G9" s="85"/>
      <c r="H9" s="85"/>
      <c r="I9" s="85"/>
      <c r="J9" s="85"/>
      <c r="K9" s="85"/>
      <c r="L9" s="13"/>
    </row>
    <row r="10" spans="1:30" ht="14.25" hidden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30" ht="36" x14ac:dyDescent="0.25">
      <c r="A11" s="11"/>
      <c r="B11" s="79" t="str">
        <f>IF(Source!G12&lt;&gt;"Новый объект", Source!G12, "")</f>
        <v>ФНС России в Амурской области, Амурская область,г. Благовещенск, ул. Пушкина, д. 104_(в базовых ценах)</v>
      </c>
      <c r="C11" s="79"/>
      <c r="D11" s="79"/>
      <c r="E11" s="79"/>
      <c r="F11" s="79"/>
      <c r="G11" s="79"/>
      <c r="H11" s="79"/>
      <c r="I11" s="79"/>
      <c r="J11" s="79"/>
      <c r="K11" s="79"/>
      <c r="L11" s="15"/>
      <c r="AD11" s="52" t="str">
        <f>IF(Source!G12&lt;&gt;"Новый объект", Source!G12, "")</f>
        <v>ФНС России в Амурской области, Амурская область,г. Благовещенск, ул. Пушкина, д. 104_(в базовых ценах)</v>
      </c>
    </row>
    <row r="12" spans="1:30" ht="14.25" x14ac:dyDescent="0.2">
      <c r="A12" s="11"/>
      <c r="B12" s="80" t="s">
        <v>749</v>
      </c>
      <c r="C12" s="80"/>
      <c r="D12" s="80"/>
      <c r="E12" s="80"/>
      <c r="F12" s="80"/>
      <c r="G12" s="80"/>
      <c r="H12" s="80"/>
      <c r="I12" s="80"/>
      <c r="J12" s="80"/>
      <c r="K12" s="80"/>
      <c r="L12" s="9"/>
    </row>
    <row r="13" spans="1:30" ht="14.2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30" ht="14.25" x14ac:dyDescent="0.2">
      <c r="A14" s="81" t="str">
        <f>CONCATENATE("Основание: РАБОЧАЯ ДОКУМЕНТАЦИЯ 1807-19 - КР ", Source!J12)</f>
        <v xml:space="preserve">Основание: РАБОЧАЯ ДОКУМЕНТАЦИЯ 1807-19 - КР 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30" ht="14.2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30" ht="14.2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14.25" x14ac:dyDescent="0.2">
      <c r="A17" s="11"/>
      <c r="B17" s="11"/>
      <c r="C17" s="11"/>
      <c r="D17" s="11"/>
      <c r="E17" s="16"/>
      <c r="F17" s="16"/>
      <c r="G17" s="82" t="s">
        <v>750</v>
      </c>
      <c r="H17" s="82"/>
      <c r="I17" s="82" t="s">
        <v>751</v>
      </c>
      <c r="J17" s="82"/>
      <c r="K17" s="11"/>
      <c r="L17" s="11"/>
    </row>
    <row r="18" spans="1:12" ht="15" x14ac:dyDescent="0.25">
      <c r="A18" s="11"/>
      <c r="B18" s="11"/>
      <c r="C18" s="75" t="s">
        <v>752</v>
      </c>
      <c r="D18" s="75"/>
      <c r="E18" s="75"/>
      <c r="F18" s="75"/>
      <c r="G18" s="76">
        <f>SUM(O1:O585)/1000</f>
        <v>485.95461999999986</v>
      </c>
      <c r="H18" s="76"/>
      <c r="I18" s="76">
        <f>G18</f>
        <v>485.95461999999986</v>
      </c>
      <c r="J18" s="76"/>
      <c r="K18" s="77" t="s">
        <v>753</v>
      </c>
      <c r="L18" s="77"/>
    </row>
    <row r="19" spans="1:12" ht="14.25" x14ac:dyDescent="0.2">
      <c r="A19" s="11"/>
      <c r="B19" s="11"/>
      <c r="C19" s="78" t="s">
        <v>754</v>
      </c>
      <c r="D19" s="78"/>
      <c r="E19" s="78"/>
      <c r="F19" s="78"/>
      <c r="G19" s="76">
        <f>SUM(W1:W585)/1000</f>
        <v>484.82048000000003</v>
      </c>
      <c r="H19" s="76"/>
      <c r="I19" s="76">
        <f>G19</f>
        <v>484.82048000000003</v>
      </c>
      <c r="J19" s="76"/>
      <c r="K19" s="77" t="s">
        <v>753</v>
      </c>
      <c r="L19" s="77"/>
    </row>
    <row r="20" spans="1:12" ht="14.25" x14ac:dyDescent="0.2">
      <c r="A20" s="11"/>
      <c r="B20" s="11"/>
      <c r="C20" s="78" t="s">
        <v>755</v>
      </c>
      <c r="D20" s="78"/>
      <c r="E20" s="78"/>
      <c r="F20" s="78"/>
      <c r="G20" s="76">
        <f>SUM(X1:X585)/1000</f>
        <v>1.1341400000000001</v>
      </c>
      <c r="H20" s="76"/>
      <c r="I20" s="76">
        <f>(Source!F377)/1000</f>
        <v>1.1341400000000001</v>
      </c>
      <c r="J20" s="76"/>
      <c r="K20" s="77" t="s">
        <v>753</v>
      </c>
      <c r="L20" s="77"/>
    </row>
    <row r="21" spans="1:12" ht="14.25" x14ac:dyDescent="0.2">
      <c r="A21" s="11"/>
      <c r="B21" s="11"/>
      <c r="C21" s="78" t="s">
        <v>756</v>
      </c>
      <c r="D21" s="78"/>
      <c r="E21" s="78"/>
      <c r="F21" s="78"/>
      <c r="G21" s="76">
        <f>SUM(Y1:Y585)/1000</f>
        <v>0</v>
      </c>
      <c r="H21" s="76"/>
      <c r="I21" s="76">
        <f>(Source!F368)/1000</f>
        <v>0</v>
      </c>
      <c r="J21" s="76"/>
      <c r="K21" s="77" t="s">
        <v>753</v>
      </c>
      <c r="L21" s="77"/>
    </row>
    <row r="22" spans="1:12" ht="14.25" x14ac:dyDescent="0.2">
      <c r="A22" s="11"/>
      <c r="B22" s="11"/>
      <c r="C22" s="78" t="s">
        <v>757</v>
      </c>
      <c r="D22" s="78"/>
      <c r="E22" s="78"/>
      <c r="F22" s="78"/>
      <c r="G22" s="76">
        <f>SUM(Z1:Z585)/1000</f>
        <v>0</v>
      </c>
      <c r="H22" s="76"/>
      <c r="I22" s="76">
        <f>(Source!F378+Source!F379)/1000</f>
        <v>0</v>
      </c>
      <c r="J22" s="76"/>
      <c r="K22" s="77" t="s">
        <v>753</v>
      </c>
      <c r="L22" s="77"/>
    </row>
    <row r="23" spans="1:12" ht="15" x14ac:dyDescent="0.25">
      <c r="A23" s="11"/>
      <c r="B23" s="11"/>
      <c r="C23" s="75" t="s">
        <v>758</v>
      </c>
      <c r="D23" s="75"/>
      <c r="E23" s="75"/>
      <c r="F23" s="75"/>
      <c r="G23" s="76">
        <f>I23</f>
        <v>2927.9385482357507</v>
      </c>
      <c r="H23" s="76"/>
      <c r="I23" s="76">
        <f>(Source!F381+Source!F382)</f>
        <v>2927.9385482357507</v>
      </c>
      <c r="J23" s="76"/>
      <c r="K23" s="77" t="s">
        <v>759</v>
      </c>
      <c r="L23" s="77"/>
    </row>
    <row r="24" spans="1:12" ht="15" x14ac:dyDescent="0.25">
      <c r="A24" s="11"/>
      <c r="B24" s="11"/>
      <c r="C24" s="75" t="s">
        <v>760</v>
      </c>
      <c r="D24" s="75"/>
      <c r="E24" s="75"/>
      <c r="F24" s="75"/>
      <c r="G24" s="76">
        <f>SUM(R1:R585)/1000</f>
        <v>25.916519999999984</v>
      </c>
      <c r="H24" s="76"/>
      <c r="I24" s="76">
        <f>(Source!F374+ Source!F373)/1000</f>
        <v>25.916520000000002</v>
      </c>
      <c r="J24" s="76"/>
      <c r="K24" s="77" t="s">
        <v>753</v>
      </c>
      <c r="L24" s="77"/>
    </row>
    <row r="25" spans="1:12" ht="14.2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ht="14.25" x14ac:dyDescent="0.2">
      <c r="A26" s="74" t="s">
        <v>773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</row>
    <row r="27" spans="1:12" ht="57" x14ac:dyDescent="0.2">
      <c r="A27" s="17" t="s">
        <v>761</v>
      </c>
      <c r="B27" s="17" t="s">
        <v>762</v>
      </c>
      <c r="C27" s="17" t="s">
        <v>763</v>
      </c>
      <c r="D27" s="17" t="s">
        <v>764</v>
      </c>
      <c r="E27" s="17" t="s">
        <v>765</v>
      </c>
      <c r="F27" s="17" t="s">
        <v>766</v>
      </c>
      <c r="G27" s="17" t="s">
        <v>767</v>
      </c>
      <c r="H27" s="17" t="s">
        <v>768</v>
      </c>
      <c r="I27" s="55" t="s">
        <v>769</v>
      </c>
      <c r="J27" s="17" t="s">
        <v>770</v>
      </c>
      <c r="K27" s="17" t="s">
        <v>771</v>
      </c>
      <c r="L27" s="17" t="s">
        <v>772</v>
      </c>
    </row>
    <row r="28" spans="1:12" ht="14.25" x14ac:dyDescent="0.2">
      <c r="A28" s="18">
        <v>1</v>
      </c>
      <c r="B28" s="18">
        <v>2</v>
      </c>
      <c r="C28" s="18">
        <v>3</v>
      </c>
      <c r="D28" s="18">
        <v>4</v>
      </c>
      <c r="E28" s="18">
        <v>5</v>
      </c>
      <c r="F28" s="18">
        <v>6</v>
      </c>
      <c r="G28" s="18">
        <v>7</v>
      </c>
      <c r="H28" s="18">
        <v>8</v>
      </c>
      <c r="I28" s="18">
        <v>9</v>
      </c>
      <c r="J28" s="18">
        <v>10</v>
      </c>
      <c r="K28" s="18">
        <v>11</v>
      </c>
      <c r="L28" s="19">
        <v>12</v>
      </c>
    </row>
    <row r="30" spans="1:12" ht="16.5" x14ac:dyDescent="0.25">
      <c r="A30" s="67" t="str">
        <f>CONCATENATE("Локальная смета: ",IF(Source!G20&lt;&gt;"Новая локальная смета", Source!G20, ""))</f>
        <v>Локальная смета: Локальная смета №1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2" spans="1:12" ht="16.5" x14ac:dyDescent="0.25">
      <c r="A32" s="67" t="str">
        <f>CONCATENATE("Раздел: ",IF(Source!G24&lt;&gt;"Новый раздел", Source!G24, ""))</f>
        <v>Раздел: Металическое ограждение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1:26" ht="52.5" x14ac:dyDescent="0.2">
      <c r="A33" s="47" t="str">
        <f>Source!E29</f>
        <v>2</v>
      </c>
      <c r="B33" s="48" t="s">
        <v>774</v>
      </c>
      <c r="C33" s="48" t="str">
        <f>Source!G29</f>
        <v>Разборка деревянных заборов штакетных</v>
      </c>
      <c r="D33" s="29" t="str">
        <f>Source!H29</f>
        <v>100 м2</v>
      </c>
      <c r="E33" s="26">
        <f>Source!I29</f>
        <v>8.2200000000000006</v>
      </c>
      <c r="F33" s="30">
        <f>Source!AL29+Source!AM29+Source!AO29</f>
        <v>435.95</v>
      </c>
      <c r="G33" s="31"/>
      <c r="H33" s="32"/>
      <c r="I33" s="31" t="str">
        <f>Source!BO29</f>
        <v/>
      </c>
      <c r="J33" s="31"/>
      <c r="K33" s="32"/>
      <c r="L33" s="33"/>
      <c r="S33">
        <f>ROUND((Source!FX29/100)*((ROUND(Source!AF29*Source!I29, 2)+ROUND(Source!AE29*Source!I29, 2))), 2)</f>
        <v>4285.88</v>
      </c>
      <c r="T33">
        <f>Source!X29</f>
        <v>4285.88</v>
      </c>
      <c r="U33">
        <f>ROUND((Source!FY29/100)*((ROUND(Source!AF29*Source!I29, 2)+ROUND(Source!AE29*Source!I29, 2))), 2)</f>
        <v>2472.62</v>
      </c>
      <c r="V33">
        <f>Source!Y29</f>
        <v>2472.62</v>
      </c>
    </row>
    <row r="34" spans="1:26" x14ac:dyDescent="0.2">
      <c r="C34" s="20" t="str">
        <f>"Объем: "&amp;Source!I29&amp;"=(274*"&amp;"3)/"&amp;"100"</f>
        <v>Объем: 8,22=(274*3)/100</v>
      </c>
    </row>
    <row r="35" spans="1:26" ht="14.25" x14ac:dyDescent="0.2">
      <c r="A35" s="47"/>
      <c r="B35" s="48"/>
      <c r="C35" s="48" t="s">
        <v>775</v>
      </c>
      <c r="D35" s="29"/>
      <c r="E35" s="26"/>
      <c r="F35" s="30">
        <f>Source!AO29</f>
        <v>435.95</v>
      </c>
      <c r="G35" s="31" t="str">
        <f>Source!DG29</f>
        <v>)*1,15</v>
      </c>
      <c r="H35" s="32">
        <f>ROUND(Source!AF29*Source!I29, 2)</f>
        <v>4121.04</v>
      </c>
      <c r="I35" s="31"/>
      <c r="J35" s="31">
        <f>IF(Source!BA29&lt;&gt; 0, Source!BA29, 1)</f>
        <v>1</v>
      </c>
      <c r="K35" s="32">
        <f>Source!S29</f>
        <v>4121.04</v>
      </c>
      <c r="L35" s="33"/>
      <c r="R35">
        <f>H35</f>
        <v>4121.04</v>
      </c>
    </row>
    <row r="36" spans="1:26" ht="14.25" x14ac:dyDescent="0.2">
      <c r="A36" s="47"/>
      <c r="B36" s="48"/>
      <c r="C36" s="48" t="s">
        <v>776</v>
      </c>
      <c r="D36" s="29" t="s">
        <v>777</v>
      </c>
      <c r="E36" s="26">
        <f>Source!BZ29</f>
        <v>104</v>
      </c>
      <c r="F36" s="51"/>
      <c r="G36" s="31"/>
      <c r="H36" s="32">
        <f>SUM(S33:S39)</f>
        <v>4285.88</v>
      </c>
      <c r="I36" s="34"/>
      <c r="J36" s="28">
        <f>Source!AT29</f>
        <v>104</v>
      </c>
      <c r="K36" s="32">
        <f>SUM(T33:T39)</f>
        <v>4285.88</v>
      </c>
      <c r="L36" s="33"/>
    </row>
    <row r="37" spans="1:26" ht="14.25" x14ac:dyDescent="0.2">
      <c r="A37" s="47"/>
      <c r="B37" s="48"/>
      <c r="C37" s="48" t="s">
        <v>778</v>
      </c>
      <c r="D37" s="29" t="s">
        <v>777</v>
      </c>
      <c r="E37" s="26">
        <f>Source!CA29</f>
        <v>60</v>
      </c>
      <c r="F37" s="51"/>
      <c r="G37" s="31"/>
      <c r="H37" s="32">
        <f>SUM(U33:U39)</f>
        <v>2472.62</v>
      </c>
      <c r="I37" s="34"/>
      <c r="J37" s="28">
        <f>Source!AU29</f>
        <v>60</v>
      </c>
      <c r="K37" s="32">
        <f>SUM(V33:V39)</f>
        <v>2472.62</v>
      </c>
      <c r="L37" s="33"/>
    </row>
    <row r="38" spans="1:26" ht="14.25" x14ac:dyDescent="0.2">
      <c r="A38" s="47"/>
      <c r="B38" s="48"/>
      <c r="C38" s="48" t="s">
        <v>779</v>
      </c>
      <c r="D38" s="29" t="s">
        <v>780</v>
      </c>
      <c r="E38" s="26">
        <f>Source!AQ29</f>
        <v>53.36</v>
      </c>
      <c r="F38" s="30"/>
      <c r="G38" s="31" t="str">
        <f>Source!DI29</f>
        <v>)*1,15</v>
      </c>
      <c r="H38" s="32"/>
      <c r="I38" s="31"/>
      <c r="J38" s="31"/>
      <c r="K38" s="32"/>
      <c r="L38" s="35">
        <f>Source!U29</f>
        <v>504.41208</v>
      </c>
    </row>
    <row r="39" spans="1:26" ht="14.25" x14ac:dyDescent="0.2">
      <c r="A39" s="49" t="str">
        <f>Source!E30</f>
        <v>2,1</v>
      </c>
      <c r="B39" s="50" t="str">
        <f>Source!F30</f>
        <v>01.7.07.07</v>
      </c>
      <c r="C39" s="50" t="str">
        <f>Source!G30</f>
        <v>Строительный мусор</v>
      </c>
      <c r="D39" s="36" t="str">
        <f>Source!H30</f>
        <v>т</v>
      </c>
      <c r="E39" s="37">
        <f>Source!I30</f>
        <v>3.8633999999999999</v>
      </c>
      <c r="F39" s="38">
        <f>Source!AL30+Source!AM30+Source!AO30</f>
        <v>0</v>
      </c>
      <c r="G39" s="39" t="s">
        <v>3</v>
      </c>
      <c r="H39" s="40">
        <f>ROUND(Source!AC30*Source!I30, 2)+ROUND(Source!AD30*Source!I30, 2)+ROUND(Source!AF30*Source!I30, 2)</f>
        <v>0</v>
      </c>
      <c r="I39" s="41"/>
      <c r="J39" s="41">
        <f>IF(Source!BC30&lt;&gt; 0, Source!BC30, 1)</f>
        <v>1</v>
      </c>
      <c r="K39" s="40">
        <f>Source!O30</f>
        <v>0</v>
      </c>
      <c r="L39" s="42"/>
      <c r="S39">
        <f>ROUND((Source!FX30/100)*((ROUND(Source!AF30*Source!I30, 2)+ROUND(Source!AE30*Source!I30, 2))), 2)</f>
        <v>0</v>
      </c>
      <c r="T39">
        <f>Source!X30</f>
        <v>0</v>
      </c>
      <c r="U39">
        <f>ROUND((Source!FY30/100)*((ROUND(Source!AF30*Source!I30, 2)+ROUND(Source!AE30*Source!I30, 2))), 2)</f>
        <v>0</v>
      </c>
      <c r="V39">
        <f>Source!Y30</f>
        <v>0</v>
      </c>
      <c r="W39">
        <f>IF(Source!BI30&lt;=1,H39, 0)</f>
        <v>0</v>
      </c>
      <c r="X39">
        <f>IF(Source!BI30=2,H39, 0)</f>
        <v>0</v>
      </c>
      <c r="Y39">
        <f>IF(Source!BI30=3,H39, 0)</f>
        <v>0</v>
      </c>
      <c r="Z39">
        <f>IF(Source!BI30=4,H39, 0)</f>
        <v>0</v>
      </c>
    </row>
    <row r="40" spans="1:26" ht="15" x14ac:dyDescent="0.25">
      <c r="G40" s="62">
        <f>H35+H36+H37+SUM(H39:H39)</f>
        <v>10879.54</v>
      </c>
      <c r="H40" s="62"/>
      <c r="J40" s="62">
        <f>K35+K36+K37+SUM(K39:K39)</f>
        <v>10879.54</v>
      </c>
      <c r="K40" s="62"/>
      <c r="L40" s="43">
        <f>Source!U29</f>
        <v>504.41208</v>
      </c>
      <c r="O40" s="21">
        <f>G40</f>
        <v>10879.54</v>
      </c>
      <c r="P40" s="21">
        <f>J40</f>
        <v>10879.54</v>
      </c>
      <c r="Q40" s="21">
        <f>L40</f>
        <v>504.41208</v>
      </c>
      <c r="W40">
        <f>IF(Source!BI29&lt;=1,H35+H36+H37, 0)</f>
        <v>10879.54</v>
      </c>
      <c r="X40">
        <f>IF(Source!BI29=2,H35+H36+H37, 0)</f>
        <v>0</v>
      </c>
      <c r="Y40">
        <f>IF(Source!BI29=3,H35+H36+H37, 0)</f>
        <v>0</v>
      </c>
      <c r="Z40">
        <f>IF(Source!BI29=4,H35+H36+H37, 0)</f>
        <v>0</v>
      </c>
    </row>
    <row r="41" spans="1:26" ht="42.75" x14ac:dyDescent="0.2">
      <c r="A41" s="49" t="str">
        <f>Source!E31</f>
        <v>3</v>
      </c>
      <c r="B41" s="50" t="str">
        <f>Source!F31</f>
        <v>т01-01-01-041</v>
      </c>
      <c r="C41" s="50" t="str">
        <f>Source!G31</f>
        <v>Погрузочные работы при автомобильных перевозках мусора строительного с погрузкой вручную</v>
      </c>
      <c r="D41" s="36" t="str">
        <f>Source!H31</f>
        <v>1 Т ГРУЗА</v>
      </c>
      <c r="E41" s="37">
        <f>Source!I31</f>
        <v>3.8633999999999999</v>
      </c>
      <c r="F41" s="38">
        <f>Source!AK31</f>
        <v>42.98</v>
      </c>
      <c r="G41" s="41" t="str">
        <f>Source!DC31</f>
        <v/>
      </c>
      <c r="H41" s="40">
        <f>ROUND(Source!AB31*Source!I31, 2)</f>
        <v>166.05</v>
      </c>
      <c r="I41" s="41" t="str">
        <f>Source!BO31</f>
        <v/>
      </c>
      <c r="J41" s="41">
        <f>Source!AZ31</f>
        <v>1</v>
      </c>
      <c r="K41" s="40">
        <f>Source!GM31</f>
        <v>166.05</v>
      </c>
      <c r="L41" s="42"/>
      <c r="S41">
        <f>ROUND((Source!FX31/100)*((ROUND(0*Source!I31, 2)+ROUND(0*Source!I31, 2))), 2)</f>
        <v>0</v>
      </c>
      <c r="T41">
        <f>Source!X31</f>
        <v>0</v>
      </c>
      <c r="U41">
        <f>ROUND((Source!FY31/100)*((ROUND(0*Source!I31, 2)+ROUND(0*Source!I31, 2))), 2)</f>
        <v>0</v>
      </c>
      <c r="V41">
        <f>Source!Y31</f>
        <v>0</v>
      </c>
    </row>
    <row r="42" spans="1:26" ht="15" x14ac:dyDescent="0.25">
      <c r="G42" s="62">
        <f>H41</f>
        <v>166.05</v>
      </c>
      <c r="H42" s="62"/>
      <c r="J42" s="62">
        <f>K41</f>
        <v>166.05</v>
      </c>
      <c r="K42" s="62"/>
      <c r="L42" s="43">
        <f>Source!U31</f>
        <v>0</v>
      </c>
      <c r="O42" s="21">
        <f>G42</f>
        <v>166.05</v>
      </c>
      <c r="P42" s="21">
        <f>J42</f>
        <v>166.05</v>
      </c>
      <c r="Q42" s="21">
        <f>L42</f>
        <v>0</v>
      </c>
      <c r="W42">
        <f>IF(Source!BI31&lt;=1,H41, 0)</f>
        <v>166.05</v>
      </c>
      <c r="X42">
        <f>IF(Source!BI31=2,H41, 0)</f>
        <v>0</v>
      </c>
      <c r="Y42">
        <f>IF(Source!BI31=3,H41, 0)</f>
        <v>0</v>
      </c>
      <c r="Z42">
        <f>IF(Source!BI31=4,H41, 0)</f>
        <v>0</v>
      </c>
    </row>
    <row r="43" spans="1:26" ht="57" x14ac:dyDescent="0.2">
      <c r="A43" s="49" t="str">
        <f>Source!E32</f>
        <v>4</v>
      </c>
      <c r="B43" s="50" t="str">
        <f>Source!F32</f>
        <v>т03-21-01-025</v>
      </c>
      <c r="C43" s="50" t="str">
        <f>Source!G32</f>
        <v>Перевозка грузов I класса автомобилями-самосвалами грузоподъемностью 10 т работающих вне карьера на расстояние до 25 км</v>
      </c>
      <c r="D43" s="36" t="str">
        <f>Source!H32</f>
        <v>1 Т ГРУЗА</v>
      </c>
      <c r="E43" s="37">
        <f>Source!I32</f>
        <v>3.8633999999999999</v>
      </c>
      <c r="F43" s="38">
        <f>Source!AK32</f>
        <v>17.32</v>
      </c>
      <c r="G43" s="41" t="str">
        <f>Source!DC32</f>
        <v/>
      </c>
      <c r="H43" s="40">
        <f>ROUND(Source!AB32*Source!I32, 2)</f>
        <v>66.91</v>
      </c>
      <c r="I43" s="41" t="str">
        <f>Source!BO32</f>
        <v/>
      </c>
      <c r="J43" s="41">
        <f>Source!AZ32</f>
        <v>1</v>
      </c>
      <c r="K43" s="40">
        <f>Source!GM32</f>
        <v>66.91</v>
      </c>
      <c r="L43" s="42"/>
      <c r="S43">
        <f>ROUND((Source!FX32/100)*((ROUND(0*Source!I32, 2)+ROUND(0*Source!I32, 2))), 2)</f>
        <v>0</v>
      </c>
      <c r="T43">
        <f>Source!X32</f>
        <v>0</v>
      </c>
      <c r="U43">
        <f>ROUND((Source!FY32/100)*((ROUND(0*Source!I32, 2)+ROUND(0*Source!I32, 2))), 2)</f>
        <v>0</v>
      </c>
      <c r="V43">
        <f>Source!Y32</f>
        <v>0</v>
      </c>
    </row>
    <row r="44" spans="1:26" ht="15" x14ac:dyDescent="0.25">
      <c r="G44" s="62">
        <f>H43</f>
        <v>66.91</v>
      </c>
      <c r="H44" s="62"/>
      <c r="J44" s="62">
        <f>K43</f>
        <v>66.91</v>
      </c>
      <c r="K44" s="62"/>
      <c r="L44" s="43">
        <f>Source!U32</f>
        <v>0</v>
      </c>
      <c r="O44" s="21">
        <f>G44</f>
        <v>66.91</v>
      </c>
      <c r="P44" s="21">
        <f>J44</f>
        <v>66.91</v>
      </c>
      <c r="Q44" s="21">
        <f>L44</f>
        <v>0</v>
      </c>
      <c r="W44">
        <f>IF(Source!BI32&lt;=1,H43, 0)</f>
        <v>66.91</v>
      </c>
      <c r="X44">
        <f>IF(Source!BI32=2,H43, 0)</f>
        <v>0</v>
      </c>
      <c r="Y44">
        <f>IF(Source!BI32=3,H43, 0)</f>
        <v>0</v>
      </c>
      <c r="Z44">
        <f>IF(Source!BI32=4,H43, 0)</f>
        <v>0</v>
      </c>
    </row>
    <row r="45" spans="1:26" ht="78" x14ac:dyDescent="0.2">
      <c r="A45" s="102" t="str">
        <f>Source!E33</f>
        <v>5</v>
      </c>
      <c r="B45" s="103" t="s">
        <v>860</v>
      </c>
      <c r="C45" s="103" t="str">
        <f>Source!G33</f>
        <v>Разбивка участка  Прим. вынос осей заграждений, ворот, согласно проекту. (274 п.м.* 0,4м(где 0,4м ширина ф-тов))  (согл. л.3 РД)</v>
      </c>
      <c r="D45" s="104" t="str">
        <f>Source!H33</f>
        <v>100 м2</v>
      </c>
      <c r="E45" s="105">
        <f>Source!I33</f>
        <v>1.1040000000000001</v>
      </c>
      <c r="F45" s="106">
        <f>Source!AL33+Source!AM33+Source!AO33</f>
        <v>75.830000000000013</v>
      </c>
      <c r="G45" s="107"/>
      <c r="H45" s="108"/>
      <c r="I45" s="107" t="str">
        <f>Source!BO33</f>
        <v/>
      </c>
      <c r="J45" s="107"/>
      <c r="K45" s="108"/>
      <c r="L45" s="109"/>
      <c r="S45">
        <f>ROUND((Source!FX33/100)*((ROUND(Source!AF33*Source!I33, 2)+ROUND(Source!AE33*Source!I33, 2))), 2)</f>
        <v>102.02</v>
      </c>
      <c r="T45">
        <f>Source!X33</f>
        <v>102.51</v>
      </c>
      <c r="U45">
        <f>ROUND((Source!FY33/100)*((ROUND(Source!AF33*Source!I33, 2)+ROUND(Source!AE33*Source!I33, 2))), 2)</f>
        <v>75.41</v>
      </c>
      <c r="V45">
        <f>Source!Y33</f>
        <v>75.900000000000006</v>
      </c>
    </row>
    <row r="46" spans="1:26" x14ac:dyDescent="0.2">
      <c r="C46" s="20" t="str">
        <f>"Объем: "&amp;Source!I33&amp;"=(276*"&amp;"0,4)/"&amp;"100"</f>
        <v>Объем: 1,104=(276*0,4)/100</v>
      </c>
    </row>
    <row r="47" spans="1:26" ht="14.25" x14ac:dyDescent="0.2">
      <c r="A47" s="47"/>
      <c r="B47" s="48"/>
      <c r="C47" s="48" t="s">
        <v>775</v>
      </c>
      <c r="D47" s="29"/>
      <c r="E47" s="26"/>
      <c r="F47" s="30">
        <f>Source!AO33</f>
        <v>67.510000000000005</v>
      </c>
      <c r="G47" s="31" t="str">
        <f>Source!DG33</f>
        <v>)*1,15)*1,15</v>
      </c>
      <c r="H47" s="32">
        <f>ROUND(Source!AF33*Source!I33, 2)</f>
        <v>98.57</v>
      </c>
      <c r="I47" s="31"/>
      <c r="J47" s="31">
        <f>IF(Source!BA33&lt;&gt; 0, Source!BA33, 1)</f>
        <v>1</v>
      </c>
      <c r="K47" s="32">
        <f>Source!S33</f>
        <v>98.57</v>
      </c>
      <c r="L47" s="33"/>
      <c r="R47">
        <f>H47</f>
        <v>98.57</v>
      </c>
    </row>
    <row r="48" spans="1:26" ht="14.25" x14ac:dyDescent="0.2">
      <c r="A48" s="47"/>
      <c r="B48" s="48"/>
      <c r="C48" s="48" t="s">
        <v>781</v>
      </c>
      <c r="D48" s="29"/>
      <c r="E48" s="26"/>
      <c r="F48" s="30">
        <f>Source!AL33</f>
        <v>8.32</v>
      </c>
      <c r="G48" s="31" t="str">
        <f>Source!DD33</f>
        <v/>
      </c>
      <c r="H48" s="32">
        <f>ROUND(Source!AC33*Source!I33, 2)</f>
        <v>9.19</v>
      </c>
      <c r="I48" s="31"/>
      <c r="J48" s="31">
        <f>IF(Source!BC33&lt;&gt; 0, Source!BC33, 1)</f>
        <v>1</v>
      </c>
      <c r="K48" s="32">
        <f>Source!P33</f>
        <v>9.19</v>
      </c>
      <c r="L48" s="33"/>
    </row>
    <row r="49" spans="1:26" ht="14.25" x14ac:dyDescent="0.2">
      <c r="A49" s="47"/>
      <c r="B49" s="48"/>
      <c r="C49" s="48" t="s">
        <v>776</v>
      </c>
      <c r="D49" s="29" t="s">
        <v>777</v>
      </c>
      <c r="E49" s="26">
        <f>Source!BZ33</f>
        <v>115</v>
      </c>
      <c r="F49" s="65" t="str">
        <f>CONCATENATE(" )", Source!DL33, Source!FT33, "=", Source!FX33)</f>
        <v xml:space="preserve"> )*0,9=103,5</v>
      </c>
      <c r="G49" s="66"/>
      <c r="H49" s="32">
        <f>SUM(S45:S51)</f>
        <v>102.02</v>
      </c>
      <c r="I49" s="34"/>
      <c r="J49" s="28">
        <f>Source!AT33</f>
        <v>104</v>
      </c>
      <c r="K49" s="32">
        <f>SUM(T45:T51)</f>
        <v>102.51</v>
      </c>
      <c r="L49" s="33"/>
    </row>
    <row r="50" spans="1:26" ht="14.25" x14ac:dyDescent="0.2">
      <c r="A50" s="47"/>
      <c r="B50" s="48"/>
      <c r="C50" s="48" t="s">
        <v>778</v>
      </c>
      <c r="D50" s="29" t="s">
        <v>777</v>
      </c>
      <c r="E50" s="26">
        <f>Source!CA33</f>
        <v>90</v>
      </c>
      <c r="F50" s="65" t="str">
        <f>CONCATENATE(" )", Source!DM33, Source!FU33, "=", Source!FY33)</f>
        <v xml:space="preserve"> )*0,85=76,5</v>
      </c>
      <c r="G50" s="66"/>
      <c r="H50" s="32">
        <f>SUM(U45:U51)</f>
        <v>75.41</v>
      </c>
      <c r="I50" s="34"/>
      <c r="J50" s="28">
        <f>Source!AU33</f>
        <v>77</v>
      </c>
      <c r="K50" s="32">
        <f>SUM(V45:V51)</f>
        <v>75.900000000000006</v>
      </c>
      <c r="L50" s="33"/>
    </row>
    <row r="51" spans="1:26" ht="14.25" x14ac:dyDescent="0.2">
      <c r="A51" s="49"/>
      <c r="B51" s="50"/>
      <c r="C51" s="50" t="s">
        <v>779</v>
      </c>
      <c r="D51" s="36" t="s">
        <v>780</v>
      </c>
      <c r="E51" s="37">
        <f>Source!AQ33</f>
        <v>7.62</v>
      </c>
      <c r="F51" s="38"/>
      <c r="G51" s="41" t="str">
        <f>Source!DI33</f>
        <v>)*1,15)*1,15</v>
      </c>
      <c r="H51" s="40"/>
      <c r="I51" s="41"/>
      <c r="J51" s="41"/>
      <c r="K51" s="40"/>
      <c r="L51" s="44">
        <f>Source!U33</f>
        <v>11.1255048</v>
      </c>
    </row>
    <row r="52" spans="1:26" ht="15" x14ac:dyDescent="0.25">
      <c r="G52" s="62">
        <f>H47+H48+H49+H50</f>
        <v>285.18999999999994</v>
      </c>
      <c r="H52" s="62"/>
      <c r="J52" s="62">
        <f>K47+K48+K49+K50</f>
        <v>286.16999999999996</v>
      </c>
      <c r="K52" s="62"/>
      <c r="L52" s="43">
        <f>Source!U33</f>
        <v>11.1255048</v>
      </c>
      <c r="O52" s="21">
        <f>G52</f>
        <v>285.18999999999994</v>
      </c>
      <c r="P52" s="21">
        <f>J52</f>
        <v>286.16999999999996</v>
      </c>
      <c r="Q52" s="21">
        <f>L52</f>
        <v>11.1255048</v>
      </c>
      <c r="W52">
        <f>IF(Source!BI33&lt;=1,H47+H48+H49+H50, 0)</f>
        <v>285.18999999999994</v>
      </c>
      <c r="X52">
        <f>IF(Source!BI33=2,H47+H48+H49+H50, 0)</f>
        <v>0</v>
      </c>
      <c r="Y52">
        <f>IF(Source!BI33=3,H47+H48+H49+H50, 0)</f>
        <v>0</v>
      </c>
      <c r="Z52">
        <f>IF(Source!BI33=4,H47+H48+H49+H50, 0)</f>
        <v>0</v>
      </c>
    </row>
    <row r="53" spans="1:26" ht="28.5" x14ac:dyDescent="0.2">
      <c r="A53" s="47" t="str">
        <f>Source!E34</f>
        <v>6</v>
      </c>
      <c r="B53" s="48" t="str">
        <f>Source!F34</f>
        <v>47-01-001-02</v>
      </c>
      <c r="C53" s="48" t="str">
        <f>Source!G34</f>
        <v>Планировка участка вручную (согл. л.3 РД)</v>
      </c>
      <c r="D53" s="29" t="str">
        <f>Source!H34</f>
        <v>100 м2</v>
      </c>
      <c r="E53" s="26">
        <f>Source!I34</f>
        <v>1.1040000000000001</v>
      </c>
      <c r="F53" s="30">
        <f>Source!AL34+Source!AM34+Source!AO34</f>
        <v>79.56</v>
      </c>
      <c r="G53" s="31"/>
      <c r="H53" s="32"/>
      <c r="I53" s="31" t="str">
        <f>Source!BO34</f>
        <v/>
      </c>
      <c r="J53" s="31"/>
      <c r="K53" s="32"/>
      <c r="L53" s="33"/>
      <c r="S53">
        <f>ROUND((Source!FX34/100)*((ROUND(Source!AF34*Source!I34, 2)+ROUND(Source!AE34*Source!I34, 2))), 2)</f>
        <v>120.23</v>
      </c>
      <c r="T53">
        <f>Source!X34</f>
        <v>120.81</v>
      </c>
      <c r="U53">
        <f>ROUND((Source!FY34/100)*((ROUND(Source!AF34*Source!I34, 2)+ROUND(Source!AE34*Source!I34, 2))), 2)</f>
        <v>88.86</v>
      </c>
      <c r="V53">
        <f>Source!Y34</f>
        <v>89.44</v>
      </c>
    </row>
    <row r="54" spans="1:26" ht="14.25" x14ac:dyDescent="0.2">
      <c r="A54" s="47"/>
      <c r="B54" s="48"/>
      <c r="C54" s="48" t="s">
        <v>775</v>
      </c>
      <c r="D54" s="29"/>
      <c r="E54" s="26"/>
      <c r="F54" s="30">
        <f>Source!AO34</f>
        <v>79.56</v>
      </c>
      <c r="G54" s="31" t="str">
        <f>Source!DG34</f>
        <v>)*1,15)*1,15</v>
      </c>
      <c r="H54" s="32">
        <f>ROUND(Source!AF34*Source!I34, 2)</f>
        <v>116.16</v>
      </c>
      <c r="I54" s="31"/>
      <c r="J54" s="31">
        <f>IF(Source!BA34&lt;&gt; 0, Source!BA34, 1)</f>
        <v>1</v>
      </c>
      <c r="K54" s="32">
        <f>Source!S34</f>
        <v>116.16</v>
      </c>
      <c r="L54" s="33"/>
      <c r="R54">
        <f>H54</f>
        <v>116.16</v>
      </c>
    </row>
    <row r="55" spans="1:26" ht="14.25" x14ac:dyDescent="0.2">
      <c r="A55" s="47"/>
      <c r="B55" s="48"/>
      <c r="C55" s="48" t="s">
        <v>776</v>
      </c>
      <c r="D55" s="29" t="s">
        <v>777</v>
      </c>
      <c r="E55" s="26">
        <f>Source!BZ34</f>
        <v>115</v>
      </c>
      <c r="F55" s="65" t="str">
        <f>CONCATENATE(" )", Source!DL34, Source!FT34, "=", Source!FX34)</f>
        <v xml:space="preserve"> )*0,9=103,5</v>
      </c>
      <c r="G55" s="66"/>
      <c r="H55" s="32">
        <f>SUM(S53:S57)</f>
        <v>120.23</v>
      </c>
      <c r="I55" s="34"/>
      <c r="J55" s="28">
        <f>Source!AT34</f>
        <v>104</v>
      </c>
      <c r="K55" s="32">
        <f>SUM(T53:T57)</f>
        <v>120.81</v>
      </c>
      <c r="L55" s="33"/>
    </row>
    <row r="56" spans="1:26" ht="14.25" x14ac:dyDescent="0.2">
      <c r="A56" s="47"/>
      <c r="B56" s="48"/>
      <c r="C56" s="48" t="s">
        <v>778</v>
      </c>
      <c r="D56" s="29" t="s">
        <v>777</v>
      </c>
      <c r="E56" s="26">
        <f>Source!CA34</f>
        <v>90</v>
      </c>
      <c r="F56" s="65" t="str">
        <f>CONCATENATE(" )", Source!DM34, Source!FU34, "=", Source!FY34)</f>
        <v xml:space="preserve"> )*0,85=76,5</v>
      </c>
      <c r="G56" s="66"/>
      <c r="H56" s="32">
        <f>SUM(U53:U57)</f>
        <v>88.86</v>
      </c>
      <c r="I56" s="34"/>
      <c r="J56" s="28">
        <f>Source!AU34</f>
        <v>77</v>
      </c>
      <c r="K56" s="32">
        <f>SUM(V53:V57)</f>
        <v>89.44</v>
      </c>
      <c r="L56" s="33"/>
    </row>
    <row r="57" spans="1:26" ht="14.25" x14ac:dyDescent="0.2">
      <c r="A57" s="49"/>
      <c r="B57" s="50"/>
      <c r="C57" s="50" t="s">
        <v>779</v>
      </c>
      <c r="D57" s="36" t="s">
        <v>780</v>
      </c>
      <c r="E57" s="37">
        <f>Source!AQ34</f>
        <v>10.199999999999999</v>
      </c>
      <c r="F57" s="38"/>
      <c r="G57" s="41" t="str">
        <f>Source!DI34</f>
        <v>)*1,15)*1,15</v>
      </c>
      <c r="H57" s="40"/>
      <c r="I57" s="41"/>
      <c r="J57" s="41"/>
      <c r="K57" s="40"/>
      <c r="L57" s="44">
        <f>Source!U34</f>
        <v>14.892408</v>
      </c>
    </row>
    <row r="58" spans="1:26" ht="15" x14ac:dyDescent="0.25">
      <c r="G58" s="62">
        <f>H54+H55+H56</f>
        <v>325.25</v>
      </c>
      <c r="H58" s="62"/>
      <c r="J58" s="62">
        <f>K54+K55+K56</f>
        <v>326.40999999999997</v>
      </c>
      <c r="K58" s="62"/>
      <c r="L58" s="43">
        <f>Source!U34</f>
        <v>14.892408</v>
      </c>
      <c r="O58" s="21">
        <f>G58</f>
        <v>325.25</v>
      </c>
      <c r="P58" s="21">
        <f>J58</f>
        <v>326.40999999999997</v>
      </c>
      <c r="Q58" s="21">
        <f>L58</f>
        <v>14.892408</v>
      </c>
      <c r="W58">
        <f>IF(Source!BI34&lt;=1,H54+H55+H56, 0)</f>
        <v>325.25</v>
      </c>
      <c r="X58">
        <f>IF(Source!BI34=2,H54+H55+H56, 0)</f>
        <v>0</v>
      </c>
      <c r="Y58">
        <f>IF(Source!BI34=3,H54+H55+H56, 0)</f>
        <v>0</v>
      </c>
      <c r="Z58">
        <f>IF(Source!BI34=4,H54+H55+H56, 0)</f>
        <v>0</v>
      </c>
    </row>
    <row r="59" spans="1:26" ht="42.75" x14ac:dyDescent="0.2">
      <c r="A59" s="47" t="str">
        <f>Source!E35</f>
        <v>7</v>
      </c>
      <c r="B59" s="48" t="str">
        <f>Source!F35</f>
        <v>09-08-001-04</v>
      </c>
      <c r="C59" s="48" t="str">
        <f>Source!G35</f>
        <v>Установка металлических столбов высотой более 4 м с погружением в бетонное основание</v>
      </c>
      <c r="D59" s="29" t="str">
        <f>Source!H35</f>
        <v>100 ШТ</v>
      </c>
      <c r="E59" s="26">
        <f>Source!I35</f>
        <v>0.9</v>
      </c>
      <c r="F59" s="30">
        <f>Source!AL35+Source!AM35+Source!AO35</f>
        <v>4352.17</v>
      </c>
      <c r="G59" s="31"/>
      <c r="H59" s="32"/>
      <c r="I59" s="31" t="str">
        <f>Source!BO35</f>
        <v/>
      </c>
      <c r="J59" s="31"/>
      <c r="K59" s="32"/>
      <c r="L59" s="33"/>
      <c r="S59">
        <f>ROUND((Source!FX35/100)*((ROUND(Source!AF35*Source!I35, 2)+ROUND(Source!AE35*Source!I35, 2))), 2)</f>
        <v>645.36</v>
      </c>
      <c r="T59">
        <f>Source!X35</f>
        <v>645.36</v>
      </c>
      <c r="U59">
        <f>ROUND((Source!FY35/100)*((ROUND(Source!AF35*Source!I35, 2)+ROUND(Source!AE35*Source!I35, 2))), 2)</f>
        <v>575.64</v>
      </c>
      <c r="V59">
        <f>Source!Y35</f>
        <v>573.65</v>
      </c>
    </row>
    <row r="60" spans="1:26" x14ac:dyDescent="0.2">
      <c r="C60" s="20" t="str">
        <f>"Объем: "&amp;Source!I35&amp;"=90/"&amp;"100"</f>
        <v>Объем: 0,9=90/100</v>
      </c>
    </row>
    <row r="61" spans="1:26" ht="14.25" x14ac:dyDescent="0.2">
      <c r="A61" s="47"/>
      <c r="B61" s="48"/>
      <c r="C61" s="48" t="s">
        <v>775</v>
      </c>
      <c r="D61" s="29"/>
      <c r="E61" s="26"/>
      <c r="F61" s="30">
        <f>Source!AO35</f>
        <v>330.71</v>
      </c>
      <c r="G61" s="31" t="str">
        <f>Source!DG35</f>
        <v>)*1,15)*1,15</v>
      </c>
      <c r="H61" s="32">
        <f>ROUND(Source!AF35*Source!I35, 2)</f>
        <v>393.63</v>
      </c>
      <c r="I61" s="31"/>
      <c r="J61" s="31">
        <f>IF(Source!BA35&lt;&gt; 0, Source!BA35, 1)</f>
        <v>1</v>
      </c>
      <c r="K61" s="32">
        <f>Source!S35</f>
        <v>393.63</v>
      </c>
      <c r="L61" s="33"/>
      <c r="R61">
        <f>H61</f>
        <v>393.63</v>
      </c>
    </row>
    <row r="62" spans="1:26" ht="14.25" x14ac:dyDescent="0.2">
      <c r="A62" s="47"/>
      <c r="B62" s="48"/>
      <c r="C62" s="48" t="s">
        <v>227</v>
      </c>
      <c r="D62" s="29"/>
      <c r="E62" s="26"/>
      <c r="F62" s="30">
        <f>Source!AM35</f>
        <v>3788.36</v>
      </c>
      <c r="G62" s="31" t="str">
        <f>Source!DE35</f>
        <v>)*1,25)*1,15</v>
      </c>
      <c r="H62" s="32">
        <f>ROUND(Source!AD35*Source!I35, 2)</f>
        <v>4901.1899999999996</v>
      </c>
      <c r="I62" s="31"/>
      <c r="J62" s="31">
        <f>IF(Source!BB35&lt;&gt; 0, Source!BB35, 1)</f>
        <v>1</v>
      </c>
      <c r="K62" s="32">
        <f>Source!Q35</f>
        <v>4901.1899999999996</v>
      </c>
      <c r="L62" s="33"/>
    </row>
    <row r="63" spans="1:26" ht="14.25" x14ac:dyDescent="0.2">
      <c r="A63" s="47"/>
      <c r="B63" s="48"/>
      <c r="C63" s="48" t="s">
        <v>782</v>
      </c>
      <c r="D63" s="29"/>
      <c r="E63" s="26"/>
      <c r="F63" s="30">
        <f>Source!AN35</f>
        <v>311.58</v>
      </c>
      <c r="G63" s="31" t="str">
        <f>Source!DF35</f>
        <v>)*1,25)*1,15</v>
      </c>
      <c r="H63" s="45">
        <f>ROUND(Source!AE35*Source!I35, 2)</f>
        <v>403.11</v>
      </c>
      <c r="I63" s="31"/>
      <c r="J63" s="31">
        <f>IF(Source!BS35&lt;&gt; 0, Source!BS35, 1)</f>
        <v>1</v>
      </c>
      <c r="K63" s="45">
        <f>Source!R35</f>
        <v>403.11</v>
      </c>
      <c r="L63" s="33"/>
      <c r="R63">
        <f>H63</f>
        <v>403.11</v>
      </c>
    </row>
    <row r="64" spans="1:26" ht="14.25" x14ac:dyDescent="0.2">
      <c r="A64" s="47"/>
      <c r="B64" s="48"/>
      <c r="C64" s="48" t="s">
        <v>781</v>
      </c>
      <c r="D64" s="29"/>
      <c r="E64" s="26"/>
      <c r="F64" s="30">
        <f>Source!AL35</f>
        <v>233.1</v>
      </c>
      <c r="G64" s="31" t="str">
        <f>Source!DD35</f>
        <v/>
      </c>
      <c r="H64" s="32">
        <f>ROUND(Source!AC35*Source!I35, 2)</f>
        <v>209.79</v>
      </c>
      <c r="I64" s="31"/>
      <c r="J64" s="31">
        <f>IF(Source!BC35&lt;&gt; 0, Source!BC35, 1)</f>
        <v>1</v>
      </c>
      <c r="K64" s="32">
        <f>Source!P35</f>
        <v>209.79</v>
      </c>
      <c r="L64" s="33"/>
    </row>
    <row r="65" spans="1:26" ht="14.25" x14ac:dyDescent="0.2">
      <c r="A65" s="47"/>
      <c r="B65" s="48"/>
      <c r="C65" s="48" t="s">
        <v>776</v>
      </c>
      <c r="D65" s="29" t="s">
        <v>777</v>
      </c>
      <c r="E65" s="26">
        <f>Source!BZ35</f>
        <v>90</v>
      </c>
      <c r="F65" s="65" t="str">
        <f>CONCATENATE(" )", Source!DL35, Source!FT35, "=", Source!FX35)</f>
        <v xml:space="preserve"> )*0,9=81</v>
      </c>
      <c r="G65" s="66"/>
      <c r="H65" s="32">
        <f>SUM(S59:S67)</f>
        <v>645.36</v>
      </c>
      <c r="I65" s="34"/>
      <c r="J65" s="28">
        <f>Source!AT35</f>
        <v>81</v>
      </c>
      <c r="K65" s="32">
        <f>SUM(T59:T67)</f>
        <v>645.36</v>
      </c>
      <c r="L65" s="33"/>
    </row>
    <row r="66" spans="1:26" ht="14.25" x14ac:dyDescent="0.2">
      <c r="A66" s="47"/>
      <c r="B66" s="48"/>
      <c r="C66" s="48" t="s">
        <v>778</v>
      </c>
      <c r="D66" s="29" t="s">
        <v>777</v>
      </c>
      <c r="E66" s="26">
        <f>Source!CA35</f>
        <v>85</v>
      </c>
      <c r="F66" s="65" t="str">
        <f>CONCATENATE(" )", Source!DM35, Source!FU35, "=", Source!FY35)</f>
        <v xml:space="preserve"> )*0,85=72,25</v>
      </c>
      <c r="G66" s="66"/>
      <c r="H66" s="32">
        <f>SUM(U59:U67)</f>
        <v>575.64</v>
      </c>
      <c r="I66" s="34"/>
      <c r="J66" s="28">
        <f>Source!AU35</f>
        <v>72</v>
      </c>
      <c r="K66" s="32">
        <f>SUM(V59:V67)</f>
        <v>573.65</v>
      </c>
      <c r="L66" s="33"/>
    </row>
    <row r="67" spans="1:26" ht="14.25" x14ac:dyDescent="0.2">
      <c r="A67" s="49"/>
      <c r="B67" s="50"/>
      <c r="C67" s="50" t="s">
        <v>779</v>
      </c>
      <c r="D67" s="36" t="s">
        <v>780</v>
      </c>
      <c r="E67" s="37">
        <f>Source!AQ35</f>
        <v>38.770000000000003</v>
      </c>
      <c r="F67" s="38"/>
      <c r="G67" s="41" t="str">
        <f>Source!DI35</f>
        <v>)*1,15)*1,15</v>
      </c>
      <c r="H67" s="40"/>
      <c r="I67" s="41"/>
      <c r="J67" s="41"/>
      <c r="K67" s="40"/>
      <c r="L67" s="44">
        <f>Source!U35</f>
        <v>46.145992499999998</v>
      </c>
    </row>
    <row r="68" spans="1:26" ht="15" x14ac:dyDescent="0.25">
      <c r="G68" s="62">
        <f>H61+H62+H64+H65+H66</f>
        <v>6725.61</v>
      </c>
      <c r="H68" s="62"/>
      <c r="J68" s="62">
        <f>K61+K62+K64+K65+K66</f>
        <v>6723.619999999999</v>
      </c>
      <c r="K68" s="62"/>
      <c r="L68" s="43">
        <f>Source!U35</f>
        <v>46.145992499999998</v>
      </c>
      <c r="O68" s="21">
        <f>G68</f>
        <v>6725.61</v>
      </c>
      <c r="P68" s="21">
        <f>J68</f>
        <v>6723.619999999999</v>
      </c>
      <c r="Q68" s="21">
        <f>L68</f>
        <v>46.145992499999998</v>
      </c>
      <c r="W68">
        <f>IF(Source!BI35&lt;=1,H61+H62+H64+H65+H66, 0)</f>
        <v>6725.61</v>
      </c>
      <c r="X68">
        <f>IF(Source!BI35=2,H61+H62+H64+H65+H66, 0)</f>
        <v>0</v>
      </c>
      <c r="Y68">
        <f>IF(Source!BI35=3,H61+H62+H64+H65+H66, 0)</f>
        <v>0</v>
      </c>
      <c r="Z68">
        <f>IF(Source!BI35=4,H61+H62+H64+H65+H66, 0)</f>
        <v>0</v>
      </c>
    </row>
    <row r="69" spans="1:26" ht="85.5" x14ac:dyDescent="0.2">
      <c r="A69" s="102" t="str">
        <f>Source!E36</f>
        <v>8</v>
      </c>
      <c r="B69" s="103" t="str">
        <f>Source!F36</f>
        <v>м38-01-006-07</v>
      </c>
      <c r="C69" s="103" t="str">
        <f>Source!G36</f>
        <v>Сборка с помощью лебедок ручных (с установкой и снятием их в процессе работы) или вручную (мелких деталей) листовые конструкции массой до 0,5 т (бачки, течки, воронки, желоба, лотки и пр.) (Прим. заглушки стоек 94 шт)</v>
      </c>
      <c r="D69" s="104" t="str">
        <f>Source!H36</f>
        <v>т</v>
      </c>
      <c r="E69" s="105">
        <f>Source!I36</f>
        <v>0.114</v>
      </c>
      <c r="F69" s="106">
        <f>Source!AL36+Source!AM36+Source!AO36</f>
        <v>5398.12</v>
      </c>
      <c r="G69" s="107"/>
      <c r="H69" s="108"/>
      <c r="I69" s="107" t="str">
        <f>Source!BO36</f>
        <v/>
      </c>
      <c r="J69" s="107"/>
      <c r="K69" s="108"/>
      <c r="L69" s="33"/>
      <c r="S69">
        <f>ROUND((Source!FX36/100)*((ROUND(Source!AF36*Source!I36, 2)+ROUND(Source!AE36*Source!I36, 2))), 2)</f>
        <v>186.08</v>
      </c>
      <c r="T69">
        <f>Source!X36</f>
        <v>186.08</v>
      </c>
      <c r="U69">
        <f>ROUND((Source!FY36/100)*((ROUND(Source!AF36*Source!I36, 2)+ROUND(Source!AE36*Source!I36, 2))), 2)</f>
        <v>112.78</v>
      </c>
      <c r="V69">
        <f>Source!Y36</f>
        <v>112.78</v>
      </c>
    </row>
    <row r="70" spans="1:26" ht="14.25" x14ac:dyDescent="0.2">
      <c r="A70" s="47"/>
      <c r="B70" s="48"/>
      <c r="C70" s="48" t="s">
        <v>775</v>
      </c>
      <c r="D70" s="29"/>
      <c r="E70" s="26"/>
      <c r="F70" s="30">
        <f>Source!AO36</f>
        <v>1823.6</v>
      </c>
      <c r="G70" s="31" t="str">
        <f>Source!DG36</f>
        <v>)*1,15)*1,15</v>
      </c>
      <c r="H70" s="32">
        <f>ROUND(Source!AF36*Source!I36, 2)</f>
        <v>274.94</v>
      </c>
      <c r="I70" s="31"/>
      <c r="J70" s="31">
        <f>IF(Source!BA36&lt;&gt; 0, Source!BA36, 1)</f>
        <v>1</v>
      </c>
      <c r="K70" s="32">
        <f>Source!S36</f>
        <v>274.94</v>
      </c>
      <c r="L70" s="33"/>
      <c r="R70">
        <f>H70</f>
        <v>274.94</v>
      </c>
    </row>
    <row r="71" spans="1:26" ht="14.25" x14ac:dyDescent="0.2">
      <c r="A71" s="47"/>
      <c r="B71" s="48"/>
      <c r="C71" s="48" t="s">
        <v>227</v>
      </c>
      <c r="D71" s="29"/>
      <c r="E71" s="26"/>
      <c r="F71" s="30">
        <f>Source!AM36</f>
        <v>3064.57</v>
      </c>
      <c r="G71" s="31" t="str">
        <f>Source!DE36</f>
        <v>)*1,25)*1,15</v>
      </c>
      <c r="H71" s="32">
        <f>ROUND(Source!AD36*Source!I36, 2)</f>
        <v>502.21</v>
      </c>
      <c r="I71" s="31"/>
      <c r="J71" s="31">
        <f>IF(Source!BB36&lt;&gt; 0, Source!BB36, 1)</f>
        <v>1</v>
      </c>
      <c r="K71" s="32">
        <f>Source!Q36</f>
        <v>502.21</v>
      </c>
      <c r="L71" s="33"/>
    </row>
    <row r="72" spans="1:26" ht="14.25" x14ac:dyDescent="0.2">
      <c r="A72" s="47"/>
      <c r="B72" s="48"/>
      <c r="C72" s="48" t="s">
        <v>782</v>
      </c>
      <c r="D72" s="29"/>
      <c r="E72" s="26"/>
      <c r="F72" s="30">
        <f>Source!AN36</f>
        <v>42.73</v>
      </c>
      <c r="G72" s="31" t="str">
        <f>Source!DF36</f>
        <v>)*1,25)*1,15</v>
      </c>
      <c r="H72" s="45">
        <f>ROUND(Source!AE36*Source!I36, 2)</f>
        <v>7</v>
      </c>
      <c r="I72" s="31"/>
      <c r="J72" s="31">
        <f>IF(Source!BS36&lt;&gt; 0, Source!BS36, 1)</f>
        <v>1</v>
      </c>
      <c r="K72" s="45">
        <f>Source!R36</f>
        <v>7</v>
      </c>
      <c r="L72" s="33"/>
      <c r="R72">
        <f>H72</f>
        <v>7</v>
      </c>
    </row>
    <row r="73" spans="1:26" ht="14.25" x14ac:dyDescent="0.2">
      <c r="A73" s="47"/>
      <c r="B73" s="48"/>
      <c r="C73" s="48" t="s">
        <v>781</v>
      </c>
      <c r="D73" s="29"/>
      <c r="E73" s="26"/>
      <c r="F73" s="30">
        <f>Source!AL36</f>
        <v>509.95</v>
      </c>
      <c r="G73" s="31" t="str">
        <f>Source!DD36</f>
        <v/>
      </c>
      <c r="H73" s="32">
        <f>ROUND(Source!AC36*Source!I36, 2)</f>
        <v>58.13</v>
      </c>
      <c r="I73" s="31"/>
      <c r="J73" s="31">
        <f>IF(Source!BC36&lt;&gt; 0, Source!BC36, 1)</f>
        <v>1</v>
      </c>
      <c r="K73" s="32">
        <f>Source!P36</f>
        <v>58.13</v>
      </c>
      <c r="L73" s="33"/>
    </row>
    <row r="74" spans="1:26" ht="14.25" x14ac:dyDescent="0.2">
      <c r="A74" s="47"/>
      <c r="B74" s="48"/>
      <c r="C74" s="48" t="s">
        <v>776</v>
      </c>
      <c r="D74" s="29" t="s">
        <v>777</v>
      </c>
      <c r="E74" s="26">
        <f>Source!BZ36</f>
        <v>66</v>
      </c>
      <c r="F74" s="51"/>
      <c r="G74" s="31"/>
      <c r="H74" s="32">
        <f>SUM(S69:S76)</f>
        <v>186.08</v>
      </c>
      <c r="I74" s="34"/>
      <c r="J74" s="28">
        <f>Source!AT36</f>
        <v>66</v>
      </c>
      <c r="K74" s="32">
        <f>SUM(T69:T76)</f>
        <v>186.08</v>
      </c>
      <c r="L74" s="33"/>
    </row>
    <row r="75" spans="1:26" ht="14.25" x14ac:dyDescent="0.2">
      <c r="A75" s="47"/>
      <c r="B75" s="48"/>
      <c r="C75" s="48" t="s">
        <v>778</v>
      </c>
      <c r="D75" s="29" t="s">
        <v>777</v>
      </c>
      <c r="E75" s="26">
        <f>Source!CA36</f>
        <v>40</v>
      </c>
      <c r="F75" s="51"/>
      <c r="G75" s="31"/>
      <c r="H75" s="32">
        <f>SUM(U69:U76)</f>
        <v>112.78</v>
      </c>
      <c r="I75" s="34"/>
      <c r="J75" s="28">
        <f>Source!AU36</f>
        <v>40</v>
      </c>
      <c r="K75" s="32">
        <f>SUM(V69:V76)</f>
        <v>112.78</v>
      </c>
      <c r="L75" s="33"/>
    </row>
    <row r="76" spans="1:26" ht="14.25" x14ac:dyDescent="0.2">
      <c r="A76" s="49"/>
      <c r="B76" s="50"/>
      <c r="C76" s="50" t="s">
        <v>779</v>
      </c>
      <c r="D76" s="36" t="s">
        <v>780</v>
      </c>
      <c r="E76" s="37">
        <f>Source!AQ36</f>
        <v>194</v>
      </c>
      <c r="F76" s="38"/>
      <c r="G76" s="41" t="str">
        <f>Source!DI36</f>
        <v>)*1,15)*1,15</v>
      </c>
      <c r="H76" s="40"/>
      <c r="I76" s="41"/>
      <c r="J76" s="41"/>
      <c r="K76" s="40"/>
      <c r="L76" s="44">
        <f>Source!U36</f>
        <v>29.24841</v>
      </c>
    </row>
    <row r="77" spans="1:26" ht="15" x14ac:dyDescent="0.25">
      <c r="G77" s="62">
        <f>H70+H71+H73+H74+H75</f>
        <v>1134.1400000000001</v>
      </c>
      <c r="H77" s="62"/>
      <c r="J77" s="62">
        <f>K70+K71+K73+K74+K75</f>
        <v>1134.1400000000001</v>
      </c>
      <c r="K77" s="62"/>
      <c r="L77" s="43">
        <f>Source!U36</f>
        <v>29.24841</v>
      </c>
      <c r="O77" s="21">
        <f>G77</f>
        <v>1134.1400000000001</v>
      </c>
      <c r="P77" s="21">
        <f>J77</f>
        <v>1134.1400000000001</v>
      </c>
      <c r="Q77" s="21">
        <f>L77</f>
        <v>29.24841</v>
      </c>
      <c r="W77">
        <f>IF(Source!BI36&lt;=1,H70+H71+H73+H74+H75, 0)</f>
        <v>0</v>
      </c>
      <c r="X77">
        <f>IF(Source!BI36=2,H70+H71+H73+H74+H75, 0)</f>
        <v>1134.1400000000001</v>
      </c>
      <c r="Y77">
        <f>IF(Source!BI36=3,H70+H71+H73+H74+H75, 0)</f>
        <v>0</v>
      </c>
      <c r="Z77">
        <f>IF(Source!BI36=4,H70+H71+H73+H74+H75, 0)</f>
        <v>0</v>
      </c>
    </row>
    <row r="78" spans="1:26" ht="57" x14ac:dyDescent="0.2">
      <c r="A78" s="102" t="str">
        <f>Source!E37</f>
        <v>9</v>
      </c>
      <c r="B78" s="103" t="str">
        <f>Source!F37</f>
        <v>09-06-001-02</v>
      </c>
      <c r="C78" s="103" t="str">
        <f>Source!G37</f>
        <v>Монтаж лотков, решеток, затворов из полосовой и тонколистовой стали(Прим. Секция С-1 (Основная секция) - 88шт)</v>
      </c>
      <c r="D78" s="104" t="str">
        <f>Source!H37</f>
        <v>т</v>
      </c>
      <c r="E78" s="105">
        <f>Source!I37</f>
        <v>15.49803</v>
      </c>
      <c r="F78" s="106">
        <f>Source!AL37+Source!AM37+Source!AO37</f>
        <v>641</v>
      </c>
      <c r="G78" s="107"/>
      <c r="H78" s="108"/>
      <c r="I78" s="107" t="str">
        <f>Source!BO37</f>
        <v/>
      </c>
      <c r="J78" s="107"/>
      <c r="K78" s="108"/>
      <c r="L78" s="33"/>
      <c r="S78">
        <f>ROUND((Source!FX37/100)*((ROUND(Source!AF37*Source!I37, 2)+ROUND(Source!AE37*Source!I37, 2))), 2)</f>
        <v>7261.53</v>
      </c>
      <c r="T78">
        <f>Source!X37</f>
        <v>7261.53</v>
      </c>
      <c r="U78">
        <f>ROUND((Source!FY37/100)*((ROUND(Source!AF37*Source!I37, 2)+ROUND(Source!AE37*Source!I37, 2))), 2)</f>
        <v>6477.1</v>
      </c>
      <c r="V78">
        <f>Source!Y37</f>
        <v>6454.69</v>
      </c>
    </row>
    <row r="79" spans="1:26" x14ac:dyDescent="0.2">
      <c r="C79" s="20" t="str">
        <f>"Объем: "&amp;Source!I37&amp;"=15498,03/"&amp;"1000"</f>
        <v>Объем: 15,49803=15498,03/1000</v>
      </c>
    </row>
    <row r="80" spans="1:26" ht="14.25" x14ac:dyDescent="0.2">
      <c r="A80" s="47"/>
      <c r="B80" s="48"/>
      <c r="C80" s="48" t="s">
        <v>775</v>
      </c>
      <c r="D80" s="29"/>
      <c r="E80" s="26"/>
      <c r="F80" s="30">
        <f>Source!AO37</f>
        <v>433.24</v>
      </c>
      <c r="G80" s="31" t="str">
        <f>Source!DG37</f>
        <v>)*1,15)*1,15</v>
      </c>
      <c r="H80" s="32">
        <f>ROUND(Source!AF37*Source!I37, 2)</f>
        <v>8879.75</v>
      </c>
      <c r="I80" s="31"/>
      <c r="J80" s="31">
        <f>IF(Source!BA37&lt;&gt; 0, Source!BA37, 1)</f>
        <v>1</v>
      </c>
      <c r="K80" s="32">
        <f>Source!S37</f>
        <v>8879.75</v>
      </c>
      <c r="L80" s="33"/>
      <c r="R80">
        <f>H80</f>
        <v>8879.75</v>
      </c>
    </row>
    <row r="81" spans="1:26" ht="14.25" x14ac:dyDescent="0.2">
      <c r="A81" s="47"/>
      <c r="B81" s="48"/>
      <c r="C81" s="48" t="s">
        <v>227</v>
      </c>
      <c r="D81" s="29"/>
      <c r="E81" s="26"/>
      <c r="F81" s="30">
        <f>Source!AM37</f>
        <v>125.8</v>
      </c>
      <c r="G81" s="31" t="str">
        <f>Source!DE37</f>
        <v>)*1,25)*1,15</v>
      </c>
      <c r="H81" s="32">
        <f>ROUND(Source!AD37*Source!I37, 2)</f>
        <v>2802.63</v>
      </c>
      <c r="I81" s="31"/>
      <c r="J81" s="31">
        <f>IF(Source!BB37&lt;&gt; 0, Source!BB37, 1)</f>
        <v>1</v>
      </c>
      <c r="K81" s="32">
        <f>Source!Q37</f>
        <v>2802.63</v>
      </c>
      <c r="L81" s="33"/>
    </row>
    <row r="82" spans="1:26" ht="14.25" x14ac:dyDescent="0.2">
      <c r="A82" s="47"/>
      <c r="B82" s="48"/>
      <c r="C82" s="48" t="s">
        <v>782</v>
      </c>
      <c r="D82" s="29"/>
      <c r="E82" s="26"/>
      <c r="F82" s="30">
        <f>Source!AN37</f>
        <v>3.82</v>
      </c>
      <c r="G82" s="31" t="str">
        <f>Source!DF37</f>
        <v>)*1,25)*1,15</v>
      </c>
      <c r="H82" s="45">
        <f>ROUND(Source!AE37*Source!I37, 2)</f>
        <v>85.1</v>
      </c>
      <c r="I82" s="31"/>
      <c r="J82" s="31">
        <f>IF(Source!BS37&lt;&gt; 0, Source!BS37, 1)</f>
        <v>1</v>
      </c>
      <c r="K82" s="45">
        <f>Source!R37</f>
        <v>85.1</v>
      </c>
      <c r="L82" s="33"/>
      <c r="R82">
        <f>H82</f>
        <v>85.1</v>
      </c>
    </row>
    <row r="83" spans="1:26" ht="14.25" x14ac:dyDescent="0.2">
      <c r="A83" s="47"/>
      <c r="B83" s="48"/>
      <c r="C83" s="48" t="s">
        <v>781</v>
      </c>
      <c r="D83" s="29"/>
      <c r="E83" s="26"/>
      <c r="F83" s="30">
        <f>Source!AL37</f>
        <v>81.96</v>
      </c>
      <c r="G83" s="31" t="str">
        <f>Source!DD37</f>
        <v/>
      </c>
      <c r="H83" s="32">
        <f>ROUND(Source!AC37*Source!I37, 2)</f>
        <v>1270.22</v>
      </c>
      <c r="I83" s="31"/>
      <c r="J83" s="31">
        <f>IF(Source!BC37&lt;&gt; 0, Source!BC37, 1)</f>
        <v>1</v>
      </c>
      <c r="K83" s="32">
        <f>Source!P37</f>
        <v>1270.22</v>
      </c>
      <c r="L83" s="33"/>
    </row>
    <row r="84" spans="1:26" ht="14.25" x14ac:dyDescent="0.2">
      <c r="A84" s="47"/>
      <c r="B84" s="48"/>
      <c r="C84" s="48" t="s">
        <v>776</v>
      </c>
      <c r="D84" s="29" t="s">
        <v>777</v>
      </c>
      <c r="E84" s="26">
        <f>Source!BZ37</f>
        <v>90</v>
      </c>
      <c r="F84" s="65" t="str">
        <f>CONCATENATE(" )", Source!DL37, Source!FT37, "=", Source!FX37)</f>
        <v xml:space="preserve"> )*0,9=81</v>
      </c>
      <c r="G84" s="66"/>
      <c r="H84" s="32">
        <f>SUM(S78:S86)</f>
        <v>7261.53</v>
      </c>
      <c r="I84" s="34"/>
      <c r="J84" s="28">
        <f>Source!AT37</f>
        <v>81</v>
      </c>
      <c r="K84" s="32">
        <f>SUM(T78:T86)</f>
        <v>7261.53</v>
      </c>
      <c r="L84" s="33"/>
    </row>
    <row r="85" spans="1:26" ht="14.25" x14ac:dyDescent="0.2">
      <c r="A85" s="47"/>
      <c r="B85" s="48"/>
      <c r="C85" s="48" t="s">
        <v>778</v>
      </c>
      <c r="D85" s="29" t="s">
        <v>777</v>
      </c>
      <c r="E85" s="26">
        <f>Source!CA37</f>
        <v>85</v>
      </c>
      <c r="F85" s="65" t="str">
        <f>CONCATENATE(" )", Source!DM37, Source!FU37, "=", Source!FY37)</f>
        <v xml:space="preserve"> )*0,85=72,25</v>
      </c>
      <c r="G85" s="66"/>
      <c r="H85" s="32">
        <f>SUM(U78:U86)</f>
        <v>6477.1</v>
      </c>
      <c r="I85" s="34"/>
      <c r="J85" s="28">
        <f>Source!AU37</f>
        <v>72</v>
      </c>
      <c r="K85" s="32">
        <f>SUM(V78:V86)</f>
        <v>6454.69</v>
      </c>
      <c r="L85" s="33"/>
    </row>
    <row r="86" spans="1:26" ht="14.25" x14ac:dyDescent="0.2">
      <c r="A86" s="49"/>
      <c r="B86" s="50"/>
      <c r="C86" s="50" t="s">
        <v>779</v>
      </c>
      <c r="D86" s="36" t="s">
        <v>780</v>
      </c>
      <c r="E86" s="37">
        <f>Source!AQ37</f>
        <v>50.79</v>
      </c>
      <c r="F86" s="38"/>
      <c r="G86" s="41" t="str">
        <f>Source!DI37</f>
        <v>)*1,15)*1,15</v>
      </c>
      <c r="H86" s="40"/>
      <c r="I86" s="41"/>
      <c r="J86" s="41"/>
      <c r="K86" s="40"/>
      <c r="L86" s="44">
        <f>Source!U37</f>
        <v>1040.9991880432499</v>
      </c>
    </row>
    <row r="87" spans="1:26" ht="15" x14ac:dyDescent="0.25">
      <c r="G87" s="62">
        <f>H80+H81+H83+H84+H85</f>
        <v>26691.230000000003</v>
      </c>
      <c r="H87" s="62"/>
      <c r="J87" s="62">
        <f>K80+K81+K83+K84+K85</f>
        <v>26668.82</v>
      </c>
      <c r="K87" s="62"/>
      <c r="L87" s="43">
        <f>Source!U37</f>
        <v>1040.9991880432499</v>
      </c>
      <c r="O87" s="21">
        <f>G87</f>
        <v>26691.230000000003</v>
      </c>
      <c r="P87" s="21">
        <f>J87</f>
        <v>26668.82</v>
      </c>
      <c r="Q87" s="21">
        <f>L87</f>
        <v>1040.9991880432499</v>
      </c>
      <c r="W87">
        <f>IF(Source!BI37&lt;=1,H80+H81+H83+H84+H85, 0)</f>
        <v>26691.230000000003</v>
      </c>
      <c r="X87">
        <f>IF(Source!BI37=2,H80+H81+H83+H84+H85, 0)</f>
        <v>0</v>
      </c>
      <c r="Y87">
        <f>IF(Source!BI37=3,H80+H81+H83+H84+H85, 0)</f>
        <v>0</v>
      </c>
      <c r="Z87">
        <f>IF(Source!BI37=4,H80+H81+H83+H84+H85, 0)</f>
        <v>0</v>
      </c>
    </row>
    <row r="88" spans="1:26" ht="28.5" x14ac:dyDescent="0.2">
      <c r="A88" s="102" t="str">
        <f>Source!E38</f>
        <v>10</v>
      </c>
      <c r="B88" s="103" t="str">
        <f>Source!F38</f>
        <v>56-12-6</v>
      </c>
      <c r="C88" s="103" t="str">
        <f>Source!G38</f>
        <v>Установка дверных приборов замки накладные</v>
      </c>
      <c r="D88" s="104" t="str">
        <f>Source!H38</f>
        <v>100 ШТ</v>
      </c>
      <c r="E88" s="105">
        <f>Source!I38</f>
        <v>0.02</v>
      </c>
      <c r="F88" s="106">
        <f>Source!AL38+Source!AM38+Source!AO38</f>
        <v>1046.79</v>
      </c>
      <c r="G88" s="107"/>
      <c r="H88" s="108"/>
      <c r="I88" s="107" t="str">
        <f>Source!BO38</f>
        <v/>
      </c>
      <c r="J88" s="107"/>
      <c r="K88" s="108"/>
      <c r="L88" s="33"/>
      <c r="S88">
        <f>ROUND((Source!FX38/100)*((ROUND(Source!AF38*Source!I38, 2)+ROUND(Source!AE38*Source!I38, 2))), 2)</f>
        <v>19.760000000000002</v>
      </c>
      <c r="T88">
        <f>Source!X38</f>
        <v>19.760000000000002</v>
      </c>
      <c r="U88">
        <f>ROUND((Source!FY38/100)*((ROUND(Source!AF38*Source!I38, 2)+ROUND(Source!AE38*Source!I38, 2))), 2)</f>
        <v>14.94</v>
      </c>
      <c r="V88">
        <f>Source!Y38</f>
        <v>14.94</v>
      </c>
    </row>
    <row r="89" spans="1:26" x14ac:dyDescent="0.2">
      <c r="C89" s="20" t="str">
        <f>"Объем: "&amp;Source!I38&amp;"=2/"&amp;"100"</f>
        <v>Объем: 0,02=2/100</v>
      </c>
    </row>
    <row r="90" spans="1:26" ht="14.25" x14ac:dyDescent="0.2">
      <c r="A90" s="47"/>
      <c r="B90" s="48"/>
      <c r="C90" s="48" t="s">
        <v>775</v>
      </c>
      <c r="D90" s="29"/>
      <c r="E90" s="26"/>
      <c r="F90" s="30">
        <f>Source!AO38</f>
        <v>911</v>
      </c>
      <c r="G90" s="31" t="str">
        <f>Source!DG38</f>
        <v>)*1,15)*1,15</v>
      </c>
      <c r="H90" s="32">
        <f>ROUND(Source!AF38*Source!I38, 2)</f>
        <v>24.1</v>
      </c>
      <c r="I90" s="31"/>
      <c r="J90" s="31">
        <f>IF(Source!BA38&lt;&gt; 0, Source!BA38, 1)</f>
        <v>1</v>
      </c>
      <c r="K90" s="32">
        <f>Source!S38</f>
        <v>24.1</v>
      </c>
      <c r="L90" s="33"/>
      <c r="R90">
        <f>H90</f>
        <v>24.1</v>
      </c>
    </row>
    <row r="91" spans="1:26" ht="14.25" x14ac:dyDescent="0.2">
      <c r="A91" s="47"/>
      <c r="B91" s="48"/>
      <c r="C91" s="48" t="s">
        <v>781</v>
      </c>
      <c r="D91" s="29"/>
      <c r="E91" s="26"/>
      <c r="F91" s="30">
        <f>Source!AL38</f>
        <v>135.79</v>
      </c>
      <c r="G91" s="31" t="str">
        <f>Source!DD38</f>
        <v/>
      </c>
      <c r="H91" s="32">
        <f>ROUND(Source!AC38*Source!I38, 2)</f>
        <v>2.72</v>
      </c>
      <c r="I91" s="31"/>
      <c r="J91" s="31">
        <f>IF(Source!BC38&lt;&gt; 0, Source!BC38, 1)</f>
        <v>1</v>
      </c>
      <c r="K91" s="32">
        <f>Source!P38</f>
        <v>2.72</v>
      </c>
      <c r="L91" s="33"/>
    </row>
    <row r="92" spans="1:26" ht="14.25" x14ac:dyDescent="0.2">
      <c r="A92" s="47"/>
      <c r="B92" s="48"/>
      <c r="C92" s="48" t="s">
        <v>776</v>
      </c>
      <c r="D92" s="29" t="s">
        <v>777</v>
      </c>
      <c r="E92" s="26">
        <f>Source!BZ38</f>
        <v>82</v>
      </c>
      <c r="F92" s="51"/>
      <c r="G92" s="31"/>
      <c r="H92" s="32">
        <f>SUM(S88:S95)</f>
        <v>19.760000000000002</v>
      </c>
      <c r="I92" s="34"/>
      <c r="J92" s="28">
        <f>Source!AT38</f>
        <v>82</v>
      </c>
      <c r="K92" s="32">
        <f>SUM(T88:T95)</f>
        <v>19.760000000000002</v>
      </c>
      <c r="L92" s="33"/>
    </row>
    <row r="93" spans="1:26" ht="14.25" x14ac:dyDescent="0.2">
      <c r="A93" s="47"/>
      <c r="B93" s="48"/>
      <c r="C93" s="48" t="s">
        <v>778</v>
      </c>
      <c r="D93" s="29" t="s">
        <v>777</v>
      </c>
      <c r="E93" s="26">
        <f>Source!CA38</f>
        <v>62</v>
      </c>
      <c r="F93" s="51"/>
      <c r="G93" s="31"/>
      <c r="H93" s="32">
        <f>SUM(U88:U95)</f>
        <v>14.94</v>
      </c>
      <c r="I93" s="34"/>
      <c r="J93" s="28">
        <f>Source!AU38</f>
        <v>62</v>
      </c>
      <c r="K93" s="32">
        <f>SUM(V88:V95)</f>
        <v>14.94</v>
      </c>
      <c r="L93" s="33"/>
    </row>
    <row r="94" spans="1:26" ht="14.25" x14ac:dyDescent="0.2">
      <c r="A94" s="47"/>
      <c r="B94" s="48"/>
      <c r="C94" s="48" t="s">
        <v>779</v>
      </c>
      <c r="D94" s="29" t="s">
        <v>780</v>
      </c>
      <c r="E94" s="26">
        <f>Source!AQ38</f>
        <v>106.8</v>
      </c>
      <c r="F94" s="30"/>
      <c r="G94" s="31" t="str">
        <f>Source!DI38</f>
        <v>)*1,15)*1,15</v>
      </c>
      <c r="H94" s="32"/>
      <c r="I94" s="31"/>
      <c r="J94" s="31"/>
      <c r="K94" s="32"/>
      <c r="L94" s="35">
        <f>Source!U38</f>
        <v>2.8248600000000001</v>
      </c>
    </row>
    <row r="95" spans="1:26" ht="28.5" x14ac:dyDescent="0.2">
      <c r="A95" s="49" t="str">
        <f>Source!E39</f>
        <v>10,1</v>
      </c>
      <c r="B95" s="50" t="str">
        <f>Source!F39</f>
        <v>01.7.04.04-0001</v>
      </c>
      <c r="C95" s="50" t="str">
        <f>Source!G39</f>
        <v>Замки накладные с засовом и защелкой</v>
      </c>
      <c r="D95" s="36" t="str">
        <f>Source!H39</f>
        <v>компл.</v>
      </c>
      <c r="E95" s="37">
        <f>Source!I39</f>
        <v>2</v>
      </c>
      <c r="F95" s="38">
        <f>Source!AL39+Source!AM39+Source!AO39</f>
        <v>99.1</v>
      </c>
      <c r="G95" s="39" t="s">
        <v>3</v>
      </c>
      <c r="H95" s="40">
        <f>ROUND(Source!AC39*Source!I39, 2)+ROUND(Source!AD39*Source!I39, 2)+ROUND(Source!AF39*Source!I39, 2)</f>
        <v>198.2</v>
      </c>
      <c r="I95" s="41"/>
      <c r="J95" s="41">
        <f>IF(Source!BC39&lt;&gt; 0, Source!BC39, 1)</f>
        <v>1</v>
      </c>
      <c r="K95" s="40">
        <f>Source!O39</f>
        <v>198.2</v>
      </c>
      <c r="L95" s="42"/>
      <c r="S95">
        <f>ROUND((Source!FX39/100)*((ROUND(Source!AF39*Source!I39, 2)+ROUND(Source!AE39*Source!I39, 2))), 2)</f>
        <v>0</v>
      </c>
      <c r="T95">
        <f>Source!X39</f>
        <v>0</v>
      </c>
      <c r="U95">
        <f>ROUND((Source!FY39/100)*((ROUND(Source!AF39*Source!I39, 2)+ROUND(Source!AE39*Source!I39, 2))), 2)</f>
        <v>0</v>
      </c>
      <c r="V95">
        <f>Source!Y39</f>
        <v>0</v>
      </c>
      <c r="W95">
        <f>IF(Source!BI39&lt;=1,H95, 0)</f>
        <v>198.2</v>
      </c>
      <c r="X95">
        <f>IF(Source!BI39=2,H95, 0)</f>
        <v>0</v>
      </c>
      <c r="Y95">
        <f>IF(Source!BI39=3,H95, 0)</f>
        <v>0</v>
      </c>
      <c r="Z95">
        <f>IF(Source!BI39=4,H95, 0)</f>
        <v>0</v>
      </c>
    </row>
    <row r="96" spans="1:26" ht="15" x14ac:dyDescent="0.25">
      <c r="G96" s="62">
        <f>H90+H91+H92+H93+SUM(H95:H95)</f>
        <v>259.71999999999997</v>
      </c>
      <c r="H96" s="62"/>
      <c r="J96" s="62">
        <f>K90+K91+K92+K93+SUM(K95:K95)</f>
        <v>259.71999999999997</v>
      </c>
      <c r="K96" s="62"/>
      <c r="L96" s="43">
        <f>Source!U38</f>
        <v>2.8248600000000001</v>
      </c>
      <c r="O96" s="21">
        <f>G96</f>
        <v>259.71999999999997</v>
      </c>
      <c r="P96" s="21">
        <f>J96</f>
        <v>259.71999999999997</v>
      </c>
      <c r="Q96" s="21">
        <f>L96</f>
        <v>2.8248600000000001</v>
      </c>
      <c r="W96">
        <f>IF(Source!BI38&lt;=1,H90+H91+H92+H93, 0)</f>
        <v>61.519999999999996</v>
      </c>
      <c r="X96">
        <f>IF(Source!BI38=2,H90+H91+H92+H93, 0)</f>
        <v>0</v>
      </c>
      <c r="Y96">
        <f>IF(Source!BI38=3,H90+H91+H92+H93, 0)</f>
        <v>0</v>
      </c>
      <c r="Z96">
        <f>IF(Source!BI38=4,H90+H91+H92+H93, 0)</f>
        <v>0</v>
      </c>
    </row>
    <row r="97" spans="1:26" ht="28.5" x14ac:dyDescent="0.2">
      <c r="A97" s="102" t="str">
        <f>Source!E40</f>
        <v>11</v>
      </c>
      <c r="B97" s="103" t="str">
        <f>Source!F40</f>
        <v>08-01-002-01</v>
      </c>
      <c r="C97" s="103" t="str">
        <f>Source!G40</f>
        <v>Устройство основания под фундаменты песчаного</v>
      </c>
      <c r="D97" s="104" t="str">
        <f>Source!H40</f>
        <v>м3</v>
      </c>
      <c r="E97" s="105">
        <f>Source!I40</f>
        <v>0.12</v>
      </c>
      <c r="F97" s="106">
        <f>Source!AL40+Source!AM40+Source!AO40</f>
        <v>45.519999999999996</v>
      </c>
      <c r="G97" s="107"/>
      <c r="H97" s="108"/>
      <c r="I97" s="107" t="str">
        <f>Source!BO40</f>
        <v/>
      </c>
      <c r="J97" s="107"/>
      <c r="K97" s="108"/>
      <c r="L97" s="109"/>
      <c r="S97">
        <f>ROUND((Source!FX40/100)*((ROUND(Source!AF40*Source!I40, 2)+ROUND(Source!AE40*Source!I40, 2))), 2)</f>
        <v>3.84</v>
      </c>
      <c r="T97">
        <f>Source!X40</f>
        <v>3.85</v>
      </c>
      <c r="U97">
        <f>ROUND((Source!FY40/100)*((ROUND(Source!AF40*Source!I40, 2)+ROUND(Source!AE40*Source!I40, 2))), 2)</f>
        <v>2.38</v>
      </c>
      <c r="V97">
        <f>Source!Y40</f>
        <v>2.38</v>
      </c>
    </row>
    <row r="98" spans="1:26" ht="14.25" x14ac:dyDescent="0.2">
      <c r="A98" s="47"/>
      <c r="B98" s="48"/>
      <c r="C98" s="48" t="s">
        <v>775</v>
      </c>
      <c r="D98" s="29"/>
      <c r="E98" s="26"/>
      <c r="F98" s="30">
        <f>Source!AO40</f>
        <v>18.79</v>
      </c>
      <c r="G98" s="31" t="str">
        <f>Source!DG40</f>
        <v>)*1,15)*1,15</v>
      </c>
      <c r="H98" s="32">
        <f>ROUND(Source!AF40*Source!I40, 2)</f>
        <v>2.98</v>
      </c>
      <c r="I98" s="31"/>
      <c r="J98" s="31">
        <f>IF(Source!BA40&lt;&gt; 0, Source!BA40, 1)</f>
        <v>1</v>
      </c>
      <c r="K98" s="32">
        <f>Source!S40</f>
        <v>2.98</v>
      </c>
      <c r="L98" s="33"/>
      <c r="R98">
        <f>H98</f>
        <v>2.98</v>
      </c>
    </row>
    <row r="99" spans="1:26" ht="14.25" x14ac:dyDescent="0.2">
      <c r="A99" s="47"/>
      <c r="B99" s="48"/>
      <c r="C99" s="48" t="s">
        <v>227</v>
      </c>
      <c r="D99" s="29"/>
      <c r="E99" s="26"/>
      <c r="F99" s="30">
        <f>Source!AM40</f>
        <v>26.36</v>
      </c>
      <c r="G99" s="31" t="str">
        <f>Source!DE40</f>
        <v>)*1,25)*1,15</v>
      </c>
      <c r="H99" s="32">
        <f>ROUND(Source!AD40*Source!I40, 2)</f>
        <v>4.55</v>
      </c>
      <c r="I99" s="31"/>
      <c r="J99" s="31">
        <f>IF(Source!BB40&lt;&gt; 0, Source!BB40, 1)</f>
        <v>1</v>
      </c>
      <c r="K99" s="32">
        <f>Source!Q40</f>
        <v>4.55</v>
      </c>
      <c r="L99" s="33"/>
    </row>
    <row r="100" spans="1:26" ht="14.25" x14ac:dyDescent="0.2">
      <c r="A100" s="47"/>
      <c r="B100" s="48"/>
      <c r="C100" s="48" t="s">
        <v>782</v>
      </c>
      <c r="D100" s="29"/>
      <c r="E100" s="26"/>
      <c r="F100" s="30">
        <f>Source!AN40</f>
        <v>3.04</v>
      </c>
      <c r="G100" s="31" t="str">
        <f>Source!DF40</f>
        <v>)*1,25)*1,15</v>
      </c>
      <c r="H100" s="45">
        <f>ROUND(Source!AE40*Source!I40, 2)</f>
        <v>0.52</v>
      </c>
      <c r="I100" s="31"/>
      <c r="J100" s="31">
        <f>IF(Source!BS40&lt;&gt; 0, Source!BS40, 1)</f>
        <v>1</v>
      </c>
      <c r="K100" s="45">
        <f>Source!R40</f>
        <v>0.52</v>
      </c>
      <c r="L100" s="33"/>
      <c r="R100">
        <f>H100</f>
        <v>0.52</v>
      </c>
    </row>
    <row r="101" spans="1:26" ht="14.25" x14ac:dyDescent="0.2">
      <c r="A101" s="47"/>
      <c r="B101" s="48"/>
      <c r="C101" s="48" t="s">
        <v>781</v>
      </c>
      <c r="D101" s="29"/>
      <c r="E101" s="26"/>
      <c r="F101" s="30">
        <f>Source!AL40</f>
        <v>0.37</v>
      </c>
      <c r="G101" s="31" t="str">
        <f>Source!DD40</f>
        <v/>
      </c>
      <c r="H101" s="32">
        <f>ROUND(Source!AC40*Source!I40, 2)</f>
        <v>0.04</v>
      </c>
      <c r="I101" s="31"/>
      <c r="J101" s="31">
        <f>IF(Source!BC40&lt;&gt; 0, Source!BC40, 1)</f>
        <v>1</v>
      </c>
      <c r="K101" s="32">
        <f>Source!P40</f>
        <v>0.04</v>
      </c>
      <c r="L101" s="33"/>
    </row>
    <row r="102" spans="1:26" ht="14.25" x14ac:dyDescent="0.2">
      <c r="A102" s="47"/>
      <c r="B102" s="48"/>
      <c r="C102" s="48" t="s">
        <v>776</v>
      </c>
      <c r="D102" s="29" t="s">
        <v>777</v>
      </c>
      <c r="E102" s="26">
        <f>Source!BZ40</f>
        <v>122</v>
      </c>
      <c r="F102" s="65" t="str">
        <f>CONCATENATE(" )", Source!DL40, Source!FT40, "=", Source!FX40)</f>
        <v xml:space="preserve"> )*0,9=109,8</v>
      </c>
      <c r="G102" s="66"/>
      <c r="H102" s="32">
        <f>SUM(S97:S105)</f>
        <v>3.84</v>
      </c>
      <c r="I102" s="34"/>
      <c r="J102" s="28">
        <f>Source!AT40</f>
        <v>110</v>
      </c>
      <c r="K102" s="32">
        <f>SUM(T97:T105)</f>
        <v>3.85</v>
      </c>
      <c r="L102" s="33"/>
    </row>
    <row r="103" spans="1:26" ht="14.25" x14ac:dyDescent="0.2">
      <c r="A103" s="47"/>
      <c r="B103" s="48"/>
      <c r="C103" s="48" t="s">
        <v>778</v>
      </c>
      <c r="D103" s="29" t="s">
        <v>777</v>
      </c>
      <c r="E103" s="26">
        <f>Source!CA40</f>
        <v>80</v>
      </c>
      <c r="F103" s="65" t="str">
        <f>CONCATENATE(" )", Source!DM40, Source!FU40, "=", Source!FY40)</f>
        <v xml:space="preserve"> )*0,85=68</v>
      </c>
      <c r="G103" s="66"/>
      <c r="H103" s="32">
        <f>SUM(U97:U105)</f>
        <v>2.38</v>
      </c>
      <c r="I103" s="34"/>
      <c r="J103" s="28">
        <f>Source!AU40</f>
        <v>68</v>
      </c>
      <c r="K103" s="32">
        <f>SUM(V97:V105)</f>
        <v>2.38</v>
      </c>
      <c r="L103" s="33"/>
    </row>
    <row r="104" spans="1:26" ht="14.25" x14ac:dyDescent="0.2">
      <c r="A104" s="47"/>
      <c r="B104" s="48"/>
      <c r="C104" s="48" t="s">
        <v>779</v>
      </c>
      <c r="D104" s="29" t="s">
        <v>780</v>
      </c>
      <c r="E104" s="26">
        <f>Source!AQ40</f>
        <v>2.2999999999999998</v>
      </c>
      <c r="F104" s="30"/>
      <c r="G104" s="31" t="str">
        <f>Source!DI40</f>
        <v>)*1,15)*1,15</v>
      </c>
      <c r="H104" s="32"/>
      <c r="I104" s="31"/>
      <c r="J104" s="31"/>
      <c r="K104" s="32"/>
      <c r="L104" s="35">
        <f>Source!U40</f>
        <v>0.36500999999999989</v>
      </c>
    </row>
    <row r="105" spans="1:26" ht="28.5" x14ac:dyDescent="0.2">
      <c r="A105" s="49" t="str">
        <f>Source!E41</f>
        <v>11,1</v>
      </c>
      <c r="B105" s="50" t="str">
        <f>Source!F41</f>
        <v>02.3.01.02-0015</v>
      </c>
      <c r="C105" s="50" t="str">
        <f>Source!G41</f>
        <v>Песок природный для строительных работ средний</v>
      </c>
      <c r="D105" s="36" t="str">
        <f>Source!H41</f>
        <v>м3</v>
      </c>
      <c r="E105" s="37">
        <f>Source!I41</f>
        <v>0.14399999999999999</v>
      </c>
      <c r="F105" s="38">
        <f>Source!AL41+Source!AM41+Source!AO41</f>
        <v>55.26</v>
      </c>
      <c r="G105" s="39" t="s">
        <v>3</v>
      </c>
      <c r="H105" s="40">
        <f>ROUND(Source!AC41*Source!I41, 2)+ROUND(Source!AD41*Source!I41, 2)+ROUND(Source!AF41*Source!I41, 2)</f>
        <v>7.96</v>
      </c>
      <c r="I105" s="41"/>
      <c r="J105" s="41">
        <f>IF(Source!BC41&lt;&gt; 0, Source!BC41, 1)</f>
        <v>1</v>
      </c>
      <c r="K105" s="40">
        <f>Source!O41</f>
        <v>7.96</v>
      </c>
      <c r="L105" s="42"/>
      <c r="S105">
        <f>ROUND((Source!FX41/100)*((ROUND(Source!AF41*Source!I41, 2)+ROUND(Source!AE41*Source!I41, 2))), 2)</f>
        <v>0</v>
      </c>
      <c r="T105">
        <f>Source!X41</f>
        <v>0</v>
      </c>
      <c r="U105">
        <f>ROUND((Source!FY41/100)*((ROUND(Source!AF41*Source!I41, 2)+ROUND(Source!AE41*Source!I41, 2))), 2)</f>
        <v>0</v>
      </c>
      <c r="V105">
        <f>Source!Y41</f>
        <v>0</v>
      </c>
      <c r="W105">
        <f>IF(Source!BI41&lt;=1,H105, 0)</f>
        <v>7.96</v>
      </c>
      <c r="X105">
        <f>IF(Source!BI41=2,H105, 0)</f>
        <v>0</v>
      </c>
      <c r="Y105">
        <f>IF(Source!BI41=3,H105, 0)</f>
        <v>0</v>
      </c>
      <c r="Z105">
        <f>IF(Source!BI41=4,H105, 0)</f>
        <v>0</v>
      </c>
    </row>
    <row r="106" spans="1:26" ht="15" x14ac:dyDescent="0.25">
      <c r="G106" s="62">
        <f>H98+H99+H101+H102+H103+SUM(H105:H105)</f>
        <v>21.75</v>
      </c>
      <c r="H106" s="62"/>
      <c r="J106" s="62">
        <f>K98+K99+K101+K102+K103+SUM(K105:K105)</f>
        <v>21.76</v>
      </c>
      <c r="K106" s="62"/>
      <c r="L106" s="43">
        <f>Source!U40</f>
        <v>0.36500999999999989</v>
      </c>
      <c r="O106" s="21">
        <f>G106</f>
        <v>21.75</v>
      </c>
      <c r="P106" s="21">
        <f>J106</f>
        <v>21.76</v>
      </c>
      <c r="Q106" s="21">
        <f>L106</f>
        <v>0.36500999999999989</v>
      </c>
      <c r="W106">
        <f>IF(Source!BI40&lt;=1,H98+H99+H101+H102+H103, 0)</f>
        <v>13.79</v>
      </c>
      <c r="X106">
        <f>IF(Source!BI40=2,H98+H99+H101+H102+H103, 0)</f>
        <v>0</v>
      </c>
      <c r="Y106">
        <f>IF(Source!BI40=3,H98+H99+H101+H102+H103, 0)</f>
        <v>0</v>
      </c>
      <c r="Z106">
        <f>IF(Source!BI40=4,H98+H99+H101+H102+H103, 0)</f>
        <v>0</v>
      </c>
    </row>
    <row r="107" spans="1:26" ht="42.75" x14ac:dyDescent="0.2">
      <c r="A107" s="102" t="str">
        <f>Source!E42</f>
        <v>12</v>
      </c>
      <c r="B107" s="103" t="str">
        <f>Source!F42</f>
        <v>11-01-050-01</v>
      </c>
      <c r="C107" s="103" t="str">
        <f>Source!G42</f>
        <v>Устройство пароизоляции из полиэтиленовой пленки в один слой насухо</v>
      </c>
      <c r="D107" s="104" t="str">
        <f>Source!H42</f>
        <v>100 м2</v>
      </c>
      <c r="E107" s="105">
        <f>Source!I42</f>
        <v>7.4999999999999997E-3</v>
      </c>
      <c r="F107" s="106">
        <f>Source!AL42+Source!AM42+Source!AO42</f>
        <v>1522.8</v>
      </c>
      <c r="G107" s="107"/>
      <c r="H107" s="108"/>
      <c r="I107" s="107" t="str">
        <f>Source!BO42</f>
        <v/>
      </c>
      <c r="J107" s="107"/>
      <c r="K107" s="108"/>
      <c r="L107" s="109"/>
      <c r="S107">
        <f>ROUND((Source!FX42/100)*((ROUND(Source!AF42*Source!I42, 2)+ROUND(Source!AE42*Source!I42, 2))), 2)</f>
        <v>0.32</v>
      </c>
      <c r="T107">
        <f>Source!X42</f>
        <v>0.32</v>
      </c>
      <c r="U107">
        <f>ROUND((Source!FY42/100)*((ROUND(Source!AF42*Source!I42, 2)+ROUND(Source!AE42*Source!I42, 2))), 2)</f>
        <v>0.18</v>
      </c>
      <c r="V107">
        <f>Source!Y42</f>
        <v>0.19</v>
      </c>
    </row>
    <row r="108" spans="1:26" x14ac:dyDescent="0.2">
      <c r="C108" s="20" t="str">
        <f>"Объем: "&amp;Source!I42&amp;"=0,75/"&amp;"100"</f>
        <v>Объем: 0,0075=0,75/100</v>
      </c>
    </row>
    <row r="109" spans="1:26" ht="14.25" x14ac:dyDescent="0.2">
      <c r="A109" s="47"/>
      <c r="B109" s="48"/>
      <c r="C109" s="48" t="s">
        <v>775</v>
      </c>
      <c r="D109" s="29"/>
      <c r="E109" s="26"/>
      <c r="F109" s="30">
        <f>Source!AO42</f>
        <v>29.43</v>
      </c>
      <c r="G109" s="31" t="str">
        <f>Source!DG42</f>
        <v>)*1,15)*1,15</v>
      </c>
      <c r="H109" s="32">
        <f>ROUND(Source!AF42*Source!I42, 2)</f>
        <v>0.28999999999999998</v>
      </c>
      <c r="I109" s="31"/>
      <c r="J109" s="31">
        <f>IF(Source!BA42&lt;&gt; 0, Source!BA42, 1)</f>
        <v>1</v>
      </c>
      <c r="K109" s="32">
        <f>Source!S42</f>
        <v>0.28999999999999998</v>
      </c>
      <c r="L109" s="33"/>
      <c r="R109">
        <f>H109</f>
        <v>0.28999999999999998</v>
      </c>
    </row>
    <row r="110" spans="1:26" ht="14.25" x14ac:dyDescent="0.2">
      <c r="A110" s="47"/>
      <c r="B110" s="48"/>
      <c r="C110" s="48" t="s">
        <v>227</v>
      </c>
      <c r="D110" s="29"/>
      <c r="E110" s="26"/>
      <c r="F110" s="30">
        <f>Source!AM42</f>
        <v>1.31</v>
      </c>
      <c r="G110" s="31" t="str">
        <f>Source!DE42</f>
        <v>)*1,25)*1,15</v>
      </c>
      <c r="H110" s="32">
        <f>ROUND(Source!AD42*Source!I42, 2)</f>
        <v>0.01</v>
      </c>
      <c r="I110" s="31"/>
      <c r="J110" s="31">
        <f>IF(Source!BB42&lt;&gt; 0, Source!BB42, 1)</f>
        <v>1</v>
      </c>
      <c r="K110" s="32">
        <f>Source!Q42</f>
        <v>0.01</v>
      </c>
      <c r="L110" s="33"/>
    </row>
    <row r="111" spans="1:26" ht="14.25" x14ac:dyDescent="0.2">
      <c r="A111" s="47"/>
      <c r="B111" s="48"/>
      <c r="C111" s="48" t="s">
        <v>781</v>
      </c>
      <c r="D111" s="29"/>
      <c r="E111" s="26"/>
      <c r="F111" s="30">
        <f>Source!AL42</f>
        <v>1492.06</v>
      </c>
      <c r="G111" s="31" t="str">
        <f>Source!DD42</f>
        <v/>
      </c>
      <c r="H111" s="32">
        <f>ROUND(Source!AC42*Source!I42, 2)</f>
        <v>11.19</v>
      </c>
      <c r="I111" s="31"/>
      <c r="J111" s="31">
        <f>IF(Source!BC42&lt;&gt; 0, Source!BC42, 1)</f>
        <v>1</v>
      </c>
      <c r="K111" s="32">
        <f>Source!P42</f>
        <v>11.19</v>
      </c>
      <c r="L111" s="33"/>
    </row>
    <row r="112" spans="1:26" ht="14.25" x14ac:dyDescent="0.2">
      <c r="A112" s="47"/>
      <c r="B112" s="48"/>
      <c r="C112" s="48" t="s">
        <v>776</v>
      </c>
      <c r="D112" s="29" t="s">
        <v>777</v>
      </c>
      <c r="E112" s="26">
        <f>Source!BZ42</f>
        <v>123</v>
      </c>
      <c r="F112" s="65" t="str">
        <f>CONCATENATE(" )", Source!DL42, Source!FT42, "=", Source!FX42)</f>
        <v xml:space="preserve"> )*0,9=110,7</v>
      </c>
      <c r="G112" s="66"/>
      <c r="H112" s="32">
        <f>SUM(S107:S114)</f>
        <v>0.32</v>
      </c>
      <c r="I112" s="34"/>
      <c r="J112" s="28">
        <f>Source!AT42</f>
        <v>111</v>
      </c>
      <c r="K112" s="32">
        <f>SUM(T107:T114)</f>
        <v>0.32</v>
      </c>
      <c r="L112" s="33"/>
    </row>
    <row r="113" spans="1:26" ht="14.25" x14ac:dyDescent="0.2">
      <c r="A113" s="47"/>
      <c r="B113" s="48"/>
      <c r="C113" s="48" t="s">
        <v>778</v>
      </c>
      <c r="D113" s="29" t="s">
        <v>777</v>
      </c>
      <c r="E113" s="26">
        <f>Source!CA42</f>
        <v>75</v>
      </c>
      <c r="F113" s="65" t="str">
        <f>CONCATENATE(" )", Source!DM42, Source!FU42, "=", Source!FY42)</f>
        <v xml:space="preserve"> )*0,85=63,75</v>
      </c>
      <c r="G113" s="66"/>
      <c r="H113" s="32">
        <f>SUM(U107:U114)</f>
        <v>0.18</v>
      </c>
      <c r="I113" s="34"/>
      <c r="J113" s="28">
        <f>Source!AU42</f>
        <v>64</v>
      </c>
      <c r="K113" s="32">
        <f>SUM(V107:V114)</f>
        <v>0.19</v>
      </c>
      <c r="L113" s="33"/>
    </row>
    <row r="114" spans="1:26" ht="14.25" x14ac:dyDescent="0.2">
      <c r="A114" s="49"/>
      <c r="B114" s="50"/>
      <c r="C114" s="50" t="s">
        <v>779</v>
      </c>
      <c r="D114" s="36" t="s">
        <v>780</v>
      </c>
      <c r="E114" s="37">
        <f>Source!AQ42</f>
        <v>3.45</v>
      </c>
      <c r="F114" s="38"/>
      <c r="G114" s="41" t="str">
        <f>Source!DI42</f>
        <v>)*1,15)*1,15</v>
      </c>
      <c r="H114" s="40"/>
      <c r="I114" s="41"/>
      <c r="J114" s="41"/>
      <c r="K114" s="40"/>
      <c r="L114" s="44">
        <f>Source!U42</f>
        <v>3.4219687499999998E-2</v>
      </c>
    </row>
    <row r="115" spans="1:26" ht="15" x14ac:dyDescent="0.25">
      <c r="G115" s="62">
        <f>H109+H110+H111+H112+H113</f>
        <v>11.99</v>
      </c>
      <c r="H115" s="62"/>
      <c r="J115" s="62">
        <f>K109+K110+K111+K112+K113</f>
        <v>12</v>
      </c>
      <c r="K115" s="62"/>
      <c r="L115" s="43">
        <f>Source!U42</f>
        <v>3.4219687499999998E-2</v>
      </c>
      <c r="O115" s="21">
        <f>G115</f>
        <v>11.99</v>
      </c>
      <c r="P115" s="21">
        <f>J115</f>
        <v>12</v>
      </c>
      <c r="Q115" s="21">
        <f>L115</f>
        <v>3.4219687499999998E-2</v>
      </c>
      <c r="W115">
        <f>IF(Source!BI42&lt;=1,H109+H110+H111+H112+H113, 0)</f>
        <v>11.99</v>
      </c>
      <c r="X115">
        <f>IF(Source!BI42=2,H109+H110+H111+H112+H113, 0)</f>
        <v>0</v>
      </c>
      <c r="Y115">
        <f>IF(Source!BI42=3,H109+H110+H111+H112+H113, 0)</f>
        <v>0</v>
      </c>
      <c r="Z115">
        <f>IF(Source!BI42=4,H109+H110+H111+H112+H113, 0)</f>
        <v>0</v>
      </c>
    </row>
    <row r="116" spans="1:26" ht="42.75" x14ac:dyDescent="0.2">
      <c r="A116" s="47" t="str">
        <f>Source!E43</f>
        <v>13</v>
      </c>
      <c r="B116" s="48" t="str">
        <f>Source!F43</f>
        <v>07-01-055-09</v>
      </c>
      <c r="C116" s="48" t="str">
        <f>Source!G43</f>
        <v>Устройство калиток без установки столбов при металлических оградах и оградах из панелей   (Калитка К—1)</v>
      </c>
      <c r="D116" s="29" t="str">
        <f>Source!H43</f>
        <v>100 ШТ</v>
      </c>
      <c r="E116" s="26">
        <f>Source!I43</f>
        <v>0.01</v>
      </c>
      <c r="F116" s="30">
        <f>Source!AL43+Source!AM43+Source!AO43</f>
        <v>964.92</v>
      </c>
      <c r="G116" s="31"/>
      <c r="H116" s="32"/>
      <c r="I116" s="31" t="str">
        <f>Source!BO43</f>
        <v/>
      </c>
      <c r="J116" s="31"/>
      <c r="K116" s="32"/>
      <c r="L116" s="33"/>
      <c r="S116">
        <f>ROUND((Source!FX43/100)*((ROUND(Source!AF43*Source!I43, 2)+ROUND(Source!AE43*Source!I43, 2))), 2)</f>
        <v>10.28</v>
      </c>
      <c r="T116">
        <f>Source!X43</f>
        <v>10.28</v>
      </c>
      <c r="U116">
        <f>ROUND((Source!FY43/100)*((ROUND(Source!AF43*Source!I43, 2)+ROUND(Source!AE43*Source!I43, 2))), 2)</f>
        <v>6.35</v>
      </c>
      <c r="V116">
        <f>Source!Y43</f>
        <v>6.33</v>
      </c>
    </row>
    <row r="117" spans="1:26" x14ac:dyDescent="0.2">
      <c r="C117" s="20" t="str">
        <f>"Объем: "&amp;Source!I43&amp;"=1/"&amp;"100"</f>
        <v>Объем: 0,01=1/100</v>
      </c>
    </row>
    <row r="118" spans="1:26" ht="14.25" x14ac:dyDescent="0.2">
      <c r="A118" s="47"/>
      <c r="B118" s="48"/>
      <c r="C118" s="48" t="s">
        <v>775</v>
      </c>
      <c r="D118" s="29"/>
      <c r="E118" s="26"/>
      <c r="F118" s="30">
        <f>Source!AO43</f>
        <v>660.14</v>
      </c>
      <c r="G118" s="31" t="str">
        <f>Source!DG43</f>
        <v>)*1,15)*1,15</v>
      </c>
      <c r="H118" s="32">
        <f>ROUND(Source!AF43*Source!I43, 2)</f>
        <v>8.73</v>
      </c>
      <c r="I118" s="31"/>
      <c r="J118" s="31">
        <f>IF(Source!BA43&lt;&gt; 0, Source!BA43, 1)</f>
        <v>1</v>
      </c>
      <c r="K118" s="32">
        <f>Source!S43</f>
        <v>8.73</v>
      </c>
      <c r="L118" s="33"/>
      <c r="R118">
        <f>H118</f>
        <v>8.73</v>
      </c>
    </row>
    <row r="119" spans="1:26" ht="14.25" x14ac:dyDescent="0.2">
      <c r="A119" s="47"/>
      <c r="B119" s="48"/>
      <c r="C119" s="48" t="s">
        <v>227</v>
      </c>
      <c r="D119" s="29"/>
      <c r="E119" s="26"/>
      <c r="F119" s="30">
        <f>Source!AM43</f>
        <v>116.3</v>
      </c>
      <c r="G119" s="31" t="str">
        <f>Source!DE43</f>
        <v>)*1,25)*1,15</v>
      </c>
      <c r="H119" s="32">
        <f>ROUND(Source!AD43*Source!I43, 2)</f>
        <v>1.67</v>
      </c>
      <c r="I119" s="31"/>
      <c r="J119" s="31">
        <f>IF(Source!BB43&lt;&gt; 0, Source!BB43, 1)</f>
        <v>1</v>
      </c>
      <c r="K119" s="32">
        <f>Source!Q43</f>
        <v>1.67</v>
      </c>
      <c r="L119" s="33"/>
    </row>
    <row r="120" spans="1:26" ht="14.25" x14ac:dyDescent="0.2">
      <c r="A120" s="47"/>
      <c r="B120" s="48"/>
      <c r="C120" s="48" t="s">
        <v>782</v>
      </c>
      <c r="D120" s="29"/>
      <c r="E120" s="26"/>
      <c r="F120" s="30">
        <f>Source!AN43</f>
        <v>3.94</v>
      </c>
      <c r="G120" s="31" t="str">
        <f>Source!DF43</f>
        <v>)*1,25)*1,15</v>
      </c>
      <c r="H120" s="45">
        <f>ROUND(Source!AE43*Source!I43, 2)</f>
        <v>0.06</v>
      </c>
      <c r="I120" s="31"/>
      <c r="J120" s="31">
        <f>IF(Source!BS43&lt;&gt; 0, Source!BS43, 1)</f>
        <v>1</v>
      </c>
      <c r="K120" s="45">
        <f>Source!R43</f>
        <v>0.06</v>
      </c>
      <c r="L120" s="33"/>
      <c r="R120">
        <f>H120</f>
        <v>0.06</v>
      </c>
    </row>
    <row r="121" spans="1:26" ht="14.25" x14ac:dyDescent="0.2">
      <c r="A121" s="47"/>
      <c r="B121" s="48"/>
      <c r="C121" s="48" t="s">
        <v>781</v>
      </c>
      <c r="D121" s="29"/>
      <c r="E121" s="26"/>
      <c r="F121" s="30">
        <f>Source!AL43</f>
        <v>188.48</v>
      </c>
      <c r="G121" s="31" t="str">
        <f>Source!DD43</f>
        <v/>
      </c>
      <c r="H121" s="32">
        <f>ROUND(Source!AC43*Source!I43, 2)</f>
        <v>1.88</v>
      </c>
      <c r="I121" s="31"/>
      <c r="J121" s="31">
        <f>IF(Source!BC43&lt;&gt; 0, Source!BC43, 1)</f>
        <v>1</v>
      </c>
      <c r="K121" s="32">
        <f>Source!P43</f>
        <v>1.88</v>
      </c>
      <c r="L121" s="33"/>
    </row>
    <row r="122" spans="1:26" ht="14.25" x14ac:dyDescent="0.2">
      <c r="A122" s="47"/>
      <c r="B122" s="48"/>
      <c r="C122" s="48" t="s">
        <v>776</v>
      </c>
      <c r="D122" s="29" t="s">
        <v>777</v>
      </c>
      <c r="E122" s="26">
        <f>Source!BZ43</f>
        <v>130</v>
      </c>
      <c r="F122" s="65" t="str">
        <f>CONCATENATE(" )", Source!DL43, Source!FT43, "=", Source!FX43)</f>
        <v xml:space="preserve"> )*0,9=117</v>
      </c>
      <c r="G122" s="66"/>
      <c r="H122" s="32">
        <f>SUM(S116:S124)</f>
        <v>10.28</v>
      </c>
      <c r="I122" s="34"/>
      <c r="J122" s="28">
        <f>Source!AT43</f>
        <v>117</v>
      </c>
      <c r="K122" s="32">
        <f>SUM(T116:T124)</f>
        <v>10.28</v>
      </c>
      <c r="L122" s="33"/>
    </row>
    <row r="123" spans="1:26" ht="14.25" x14ac:dyDescent="0.2">
      <c r="A123" s="47"/>
      <c r="B123" s="48"/>
      <c r="C123" s="48" t="s">
        <v>778</v>
      </c>
      <c r="D123" s="29" t="s">
        <v>777</v>
      </c>
      <c r="E123" s="26">
        <f>Source!CA43</f>
        <v>85</v>
      </c>
      <c r="F123" s="65" t="str">
        <f>CONCATENATE(" )", Source!DM43, Source!FU43, "=", Source!FY43)</f>
        <v xml:space="preserve"> )*0,85=72,25</v>
      </c>
      <c r="G123" s="66"/>
      <c r="H123" s="32">
        <f>SUM(U116:U124)</f>
        <v>6.35</v>
      </c>
      <c r="I123" s="34"/>
      <c r="J123" s="28">
        <f>Source!AU43</f>
        <v>72</v>
      </c>
      <c r="K123" s="32">
        <f>SUM(V116:V124)</f>
        <v>6.33</v>
      </c>
      <c r="L123" s="33"/>
    </row>
    <row r="124" spans="1:26" ht="14.25" x14ac:dyDescent="0.2">
      <c r="A124" s="49"/>
      <c r="B124" s="50"/>
      <c r="C124" s="50" t="s">
        <v>779</v>
      </c>
      <c r="D124" s="36" t="s">
        <v>780</v>
      </c>
      <c r="E124" s="37">
        <f>Source!AQ43</f>
        <v>77.39</v>
      </c>
      <c r="F124" s="38"/>
      <c r="G124" s="41" t="str">
        <f>Source!DI43</f>
        <v>)*1,15)*1,15</v>
      </c>
      <c r="H124" s="40"/>
      <c r="I124" s="41"/>
      <c r="J124" s="41"/>
      <c r="K124" s="40"/>
      <c r="L124" s="44">
        <f>Source!U43</f>
        <v>1.0234827499999999</v>
      </c>
    </row>
    <row r="125" spans="1:26" ht="15" x14ac:dyDescent="0.25">
      <c r="G125" s="62">
        <f>H118+H119+H121+H122+H123</f>
        <v>28.910000000000004</v>
      </c>
      <c r="H125" s="62"/>
      <c r="J125" s="62">
        <f>K118+K119+K121+K122+K123</f>
        <v>28.89</v>
      </c>
      <c r="K125" s="62"/>
      <c r="L125" s="43">
        <f>Source!U43</f>
        <v>1.0234827499999999</v>
      </c>
      <c r="O125" s="21">
        <f>G125</f>
        <v>28.910000000000004</v>
      </c>
      <c r="P125" s="21">
        <f>J125</f>
        <v>28.89</v>
      </c>
      <c r="Q125" s="21">
        <f>L125</f>
        <v>1.0234827499999999</v>
      </c>
      <c r="W125">
        <f>IF(Source!BI43&lt;=1,H118+H119+H121+H122+H123, 0)</f>
        <v>28.910000000000004</v>
      </c>
      <c r="X125">
        <f>IF(Source!BI43=2,H118+H119+H121+H122+H123, 0)</f>
        <v>0</v>
      </c>
      <c r="Y125">
        <f>IF(Source!BI43=3,H118+H119+H121+H122+H123, 0)</f>
        <v>0</v>
      </c>
      <c r="Z125">
        <f>IF(Source!BI43=4,H118+H119+H121+H122+H123, 0)</f>
        <v>0</v>
      </c>
    </row>
    <row r="126" spans="1:26" ht="42.75" x14ac:dyDescent="0.2">
      <c r="A126" s="47" t="str">
        <f>Source!E44</f>
        <v>14</v>
      </c>
      <c r="B126" s="48" t="str">
        <f>Source!F44</f>
        <v>07-01-055-01</v>
      </c>
      <c r="C126" s="48" t="str">
        <f>Source!G44</f>
        <v>Устройство ворот распашных с установкой столбов металлических  (Ворота В-1)</v>
      </c>
      <c r="D126" s="29" t="str">
        <f>Source!H44</f>
        <v>100 ШТ</v>
      </c>
      <c r="E126" s="26">
        <f>Source!I44</f>
        <v>0.01</v>
      </c>
      <c r="F126" s="30">
        <f>Source!AL44+Source!AM44+Source!AO44</f>
        <v>33557.78</v>
      </c>
      <c r="G126" s="31"/>
      <c r="H126" s="32"/>
      <c r="I126" s="31" t="str">
        <f>Source!BO44</f>
        <v/>
      </c>
      <c r="J126" s="31"/>
      <c r="K126" s="32"/>
      <c r="L126" s="33"/>
      <c r="S126">
        <f>ROUND((Source!FX44/100)*((ROUND(Source!AF44*Source!I44, 2)+ROUND(Source!AE44*Source!I44, 2))), 2)</f>
        <v>319.27</v>
      </c>
      <c r="T126">
        <f>Source!X44</f>
        <v>319.27</v>
      </c>
      <c r="U126">
        <f>ROUND((Source!FY44/100)*((ROUND(Source!AF44*Source!I44, 2)+ROUND(Source!AE44*Source!I44, 2))), 2)</f>
        <v>197.16</v>
      </c>
      <c r="V126">
        <f>Source!Y44</f>
        <v>196.47</v>
      </c>
    </row>
    <row r="127" spans="1:26" x14ac:dyDescent="0.2">
      <c r="C127" s="20" t="str">
        <f>"Объем: "&amp;Source!I44&amp;"=1/"&amp;"100"</f>
        <v>Объем: 0,01=1/100</v>
      </c>
    </row>
    <row r="128" spans="1:26" ht="14.25" x14ac:dyDescent="0.2">
      <c r="A128" s="47"/>
      <c r="B128" s="48"/>
      <c r="C128" s="48" t="s">
        <v>775</v>
      </c>
      <c r="D128" s="29"/>
      <c r="E128" s="26"/>
      <c r="F128" s="30">
        <f>Source!AO44</f>
        <v>18936.349999999999</v>
      </c>
      <c r="G128" s="31" t="str">
        <f>Source!DG44</f>
        <v>)*1,15)*1,15</v>
      </c>
      <c r="H128" s="32">
        <f>ROUND(Source!AF44*Source!I44, 2)</f>
        <v>250.43</v>
      </c>
      <c r="I128" s="31"/>
      <c r="J128" s="31">
        <f>IF(Source!BA44&lt;&gt; 0, Source!BA44, 1)</f>
        <v>1</v>
      </c>
      <c r="K128" s="32">
        <f>Source!S44</f>
        <v>250.43</v>
      </c>
      <c r="L128" s="33"/>
      <c r="R128">
        <f>H128</f>
        <v>250.43</v>
      </c>
    </row>
    <row r="129" spans="1:26" ht="14.25" x14ac:dyDescent="0.2">
      <c r="A129" s="47"/>
      <c r="B129" s="48"/>
      <c r="C129" s="48" t="s">
        <v>227</v>
      </c>
      <c r="D129" s="29"/>
      <c r="E129" s="26"/>
      <c r="F129" s="30">
        <f>Source!AM44</f>
        <v>12877.95</v>
      </c>
      <c r="G129" s="31" t="str">
        <f>Source!DE44</f>
        <v>)*1,25)*1,15</v>
      </c>
      <c r="H129" s="32">
        <f>ROUND(Source!AD44*Source!I44, 2)</f>
        <v>185.12</v>
      </c>
      <c r="I129" s="31"/>
      <c r="J129" s="31">
        <f>IF(Source!BB44&lt;&gt; 0, Source!BB44, 1)</f>
        <v>1</v>
      </c>
      <c r="K129" s="32">
        <f>Source!Q44</f>
        <v>185.12</v>
      </c>
      <c r="L129" s="33"/>
    </row>
    <row r="130" spans="1:26" ht="14.25" x14ac:dyDescent="0.2">
      <c r="A130" s="47"/>
      <c r="B130" s="48"/>
      <c r="C130" s="48" t="s">
        <v>782</v>
      </c>
      <c r="D130" s="29"/>
      <c r="E130" s="26"/>
      <c r="F130" s="30">
        <f>Source!AN44</f>
        <v>1561.67</v>
      </c>
      <c r="G130" s="31" t="str">
        <f>Source!DF44</f>
        <v>)*1,25)*1,15</v>
      </c>
      <c r="H130" s="45">
        <f>ROUND(Source!AE44*Source!I44, 2)</f>
        <v>22.45</v>
      </c>
      <c r="I130" s="31"/>
      <c r="J130" s="31">
        <f>IF(Source!BS44&lt;&gt; 0, Source!BS44, 1)</f>
        <v>1</v>
      </c>
      <c r="K130" s="45">
        <f>Source!R44</f>
        <v>22.45</v>
      </c>
      <c r="L130" s="33"/>
      <c r="R130">
        <f>H130</f>
        <v>22.45</v>
      </c>
    </row>
    <row r="131" spans="1:26" ht="14.25" x14ac:dyDescent="0.2">
      <c r="A131" s="47"/>
      <c r="B131" s="48"/>
      <c r="C131" s="48" t="s">
        <v>781</v>
      </c>
      <c r="D131" s="29"/>
      <c r="E131" s="26"/>
      <c r="F131" s="30">
        <f>Source!AL44</f>
        <v>1743.48</v>
      </c>
      <c r="G131" s="31" t="str">
        <f>Source!DD44</f>
        <v/>
      </c>
      <c r="H131" s="32">
        <f>ROUND(Source!AC44*Source!I44, 2)</f>
        <v>17.43</v>
      </c>
      <c r="I131" s="31"/>
      <c r="J131" s="31">
        <f>IF(Source!BC44&lt;&gt; 0, Source!BC44, 1)</f>
        <v>1</v>
      </c>
      <c r="K131" s="32">
        <f>Source!P44</f>
        <v>17.43</v>
      </c>
      <c r="L131" s="33"/>
    </row>
    <row r="132" spans="1:26" ht="14.25" x14ac:dyDescent="0.2">
      <c r="A132" s="47"/>
      <c r="B132" s="48"/>
      <c r="C132" s="48" t="s">
        <v>776</v>
      </c>
      <c r="D132" s="29" t="s">
        <v>777</v>
      </c>
      <c r="E132" s="26">
        <f>Source!BZ44</f>
        <v>130</v>
      </c>
      <c r="F132" s="65" t="str">
        <f>CONCATENATE(" )", Source!DL44, Source!FT44, "=", Source!FX44)</f>
        <v xml:space="preserve"> )*0,9=117</v>
      </c>
      <c r="G132" s="66"/>
      <c r="H132" s="32">
        <f>SUM(S126:S134)</f>
        <v>319.27</v>
      </c>
      <c r="I132" s="34"/>
      <c r="J132" s="28">
        <f>Source!AT44</f>
        <v>117</v>
      </c>
      <c r="K132" s="32">
        <f>SUM(T126:T134)</f>
        <v>319.27</v>
      </c>
      <c r="L132" s="33"/>
    </row>
    <row r="133" spans="1:26" ht="14.25" x14ac:dyDescent="0.2">
      <c r="A133" s="47"/>
      <c r="B133" s="48"/>
      <c r="C133" s="48" t="s">
        <v>778</v>
      </c>
      <c r="D133" s="29" t="s">
        <v>777</v>
      </c>
      <c r="E133" s="26">
        <f>Source!CA44</f>
        <v>85</v>
      </c>
      <c r="F133" s="65" t="str">
        <f>CONCATENATE(" )", Source!DM44, Source!FU44, "=", Source!FY44)</f>
        <v xml:space="preserve"> )*0,85=72,25</v>
      </c>
      <c r="G133" s="66"/>
      <c r="H133" s="32">
        <f>SUM(U126:U134)</f>
        <v>197.16</v>
      </c>
      <c r="I133" s="34"/>
      <c r="J133" s="28">
        <f>Source!AU44</f>
        <v>72</v>
      </c>
      <c r="K133" s="32">
        <f>SUM(V126:V134)</f>
        <v>196.47</v>
      </c>
      <c r="L133" s="33"/>
    </row>
    <row r="134" spans="1:26" ht="14.25" x14ac:dyDescent="0.2">
      <c r="A134" s="49"/>
      <c r="B134" s="50"/>
      <c r="C134" s="50" t="s">
        <v>779</v>
      </c>
      <c r="D134" s="36" t="s">
        <v>780</v>
      </c>
      <c r="E134" s="37">
        <f>Source!AQ44</f>
        <v>1940.2</v>
      </c>
      <c r="F134" s="38"/>
      <c r="G134" s="41" t="str">
        <f>Source!DI44</f>
        <v>)*1,15)*1,15</v>
      </c>
      <c r="H134" s="40"/>
      <c r="I134" s="41"/>
      <c r="J134" s="41"/>
      <c r="K134" s="40"/>
      <c r="L134" s="44">
        <f>Source!U44</f>
        <v>25.659144999999999</v>
      </c>
    </row>
    <row r="135" spans="1:26" ht="15" x14ac:dyDescent="0.25">
      <c r="G135" s="62">
        <f>H128+H129+H131+H132+H133</f>
        <v>969.41</v>
      </c>
      <c r="H135" s="62"/>
      <c r="J135" s="62">
        <f>K128+K129+K131+K132+K133</f>
        <v>968.72</v>
      </c>
      <c r="K135" s="62"/>
      <c r="L135" s="43">
        <f>Source!U44</f>
        <v>25.659144999999999</v>
      </c>
      <c r="O135" s="21">
        <f>G135</f>
        <v>969.41</v>
      </c>
      <c r="P135" s="21">
        <f>J135</f>
        <v>968.72</v>
      </c>
      <c r="Q135" s="21">
        <f>L135</f>
        <v>25.659144999999999</v>
      </c>
      <c r="W135">
        <f>IF(Source!BI44&lt;=1,H128+H129+H131+H132+H133, 0)</f>
        <v>969.41</v>
      </c>
      <c r="X135">
        <f>IF(Source!BI44=2,H128+H129+H131+H132+H133, 0)</f>
        <v>0</v>
      </c>
      <c r="Y135">
        <f>IF(Source!BI44=3,H128+H129+H131+H132+H133, 0)</f>
        <v>0</v>
      </c>
      <c r="Z135">
        <f>IF(Source!BI44=4,H128+H129+H131+H132+H133, 0)</f>
        <v>0</v>
      </c>
    </row>
    <row r="136" spans="1:26" ht="28.5" x14ac:dyDescent="0.2">
      <c r="A136" s="47" t="str">
        <f>Source!E45</f>
        <v>15</v>
      </c>
      <c r="B136" s="48" t="str">
        <f>Source!F45</f>
        <v>07-01-055-12</v>
      </c>
      <c r="C136" s="48" t="str">
        <f>Source!G45</f>
        <v>Устройство откатных ворот с ручным управлением  (Ворота В-2)</v>
      </c>
      <c r="D136" s="29" t="str">
        <f>Source!H45</f>
        <v>100 шт.</v>
      </c>
      <c r="E136" s="26">
        <f>Source!I45</f>
        <v>0.01</v>
      </c>
      <c r="F136" s="30">
        <f>Source!AL45+Source!AM45+Source!AO45</f>
        <v>11002.76</v>
      </c>
      <c r="G136" s="31"/>
      <c r="H136" s="32"/>
      <c r="I136" s="31" t="str">
        <f>Source!BO45</f>
        <v/>
      </c>
      <c r="J136" s="31"/>
      <c r="K136" s="32"/>
      <c r="L136" s="33"/>
      <c r="S136">
        <f>ROUND((Source!FX45/100)*((ROUND(Source!AF45*Source!I45, 2)+ROUND(Source!AE45*Source!I45, 2))), 2)</f>
        <v>146.93</v>
      </c>
      <c r="T136">
        <f>Source!X45</f>
        <v>146.93</v>
      </c>
      <c r="U136">
        <f>ROUND((Source!FY45/100)*((ROUND(Source!AF45*Source!I45, 2)+ROUND(Source!AE45*Source!I45, 2))), 2)</f>
        <v>90.73</v>
      </c>
      <c r="V136">
        <f>Source!Y45</f>
        <v>90.42</v>
      </c>
    </row>
    <row r="137" spans="1:26" x14ac:dyDescent="0.2">
      <c r="C137" s="20" t="str">
        <f>"Объем: "&amp;Source!I45&amp;"=1/"&amp;"100"</f>
        <v>Объем: 0,01=1/100</v>
      </c>
    </row>
    <row r="138" spans="1:26" ht="14.25" x14ac:dyDescent="0.2">
      <c r="A138" s="47"/>
      <c r="B138" s="48"/>
      <c r="C138" s="48" t="s">
        <v>775</v>
      </c>
      <c r="D138" s="29"/>
      <c r="E138" s="26"/>
      <c r="F138" s="30">
        <f>Source!AO45</f>
        <v>9363.6</v>
      </c>
      <c r="G138" s="31" t="str">
        <f>Source!DG45</f>
        <v>)*1,15)*1,15</v>
      </c>
      <c r="H138" s="32">
        <f>ROUND(Source!AF45*Source!I45, 2)</f>
        <v>123.83</v>
      </c>
      <c r="I138" s="31"/>
      <c r="J138" s="31">
        <f>IF(Source!BA45&lt;&gt; 0, Source!BA45, 1)</f>
        <v>1</v>
      </c>
      <c r="K138" s="32">
        <f>Source!S45</f>
        <v>123.83</v>
      </c>
      <c r="L138" s="33"/>
      <c r="R138">
        <f>H138</f>
        <v>123.83</v>
      </c>
    </row>
    <row r="139" spans="1:26" ht="14.25" x14ac:dyDescent="0.2">
      <c r="A139" s="47"/>
      <c r="B139" s="48"/>
      <c r="C139" s="48" t="s">
        <v>227</v>
      </c>
      <c r="D139" s="29"/>
      <c r="E139" s="26"/>
      <c r="F139" s="30">
        <f>Source!AM45</f>
        <v>1356.44</v>
      </c>
      <c r="G139" s="31" t="str">
        <f>Source!DE45</f>
        <v>)*1,25)*1,15</v>
      </c>
      <c r="H139" s="32">
        <f>ROUND(Source!AD45*Source!I45, 2)</f>
        <v>19.5</v>
      </c>
      <c r="I139" s="31"/>
      <c r="J139" s="31">
        <f>IF(Source!BB45&lt;&gt; 0, Source!BB45, 1)</f>
        <v>1</v>
      </c>
      <c r="K139" s="32">
        <f>Source!Q45</f>
        <v>19.5</v>
      </c>
      <c r="L139" s="33"/>
    </row>
    <row r="140" spans="1:26" ht="14.25" x14ac:dyDescent="0.2">
      <c r="A140" s="47"/>
      <c r="B140" s="48"/>
      <c r="C140" s="48" t="s">
        <v>782</v>
      </c>
      <c r="D140" s="29"/>
      <c r="E140" s="26"/>
      <c r="F140" s="30">
        <f>Source!AN45</f>
        <v>121.69</v>
      </c>
      <c r="G140" s="31" t="str">
        <f>Source!DF45</f>
        <v>)*1,25)*1,15</v>
      </c>
      <c r="H140" s="45">
        <f>ROUND(Source!AE45*Source!I45, 2)</f>
        <v>1.75</v>
      </c>
      <c r="I140" s="31"/>
      <c r="J140" s="31">
        <f>IF(Source!BS45&lt;&gt; 0, Source!BS45, 1)</f>
        <v>1</v>
      </c>
      <c r="K140" s="45">
        <f>Source!R45</f>
        <v>1.75</v>
      </c>
      <c r="L140" s="33"/>
      <c r="R140">
        <f>H140</f>
        <v>1.75</v>
      </c>
    </row>
    <row r="141" spans="1:26" ht="14.25" x14ac:dyDescent="0.2">
      <c r="A141" s="47"/>
      <c r="B141" s="48"/>
      <c r="C141" s="48" t="s">
        <v>781</v>
      </c>
      <c r="D141" s="29"/>
      <c r="E141" s="26"/>
      <c r="F141" s="30">
        <f>Source!AL45</f>
        <v>282.72000000000003</v>
      </c>
      <c r="G141" s="31" t="str">
        <f>Source!DD45</f>
        <v/>
      </c>
      <c r="H141" s="32">
        <f>ROUND(Source!AC45*Source!I45, 2)</f>
        <v>2.83</v>
      </c>
      <c r="I141" s="31"/>
      <c r="J141" s="31">
        <f>IF(Source!BC45&lt;&gt; 0, Source!BC45, 1)</f>
        <v>1</v>
      </c>
      <c r="K141" s="32">
        <f>Source!P45</f>
        <v>2.83</v>
      </c>
      <c r="L141" s="33"/>
    </row>
    <row r="142" spans="1:26" ht="14.25" x14ac:dyDescent="0.2">
      <c r="A142" s="47"/>
      <c r="B142" s="48"/>
      <c r="C142" s="48" t="s">
        <v>776</v>
      </c>
      <c r="D142" s="29" t="s">
        <v>777</v>
      </c>
      <c r="E142" s="26">
        <f>Source!BZ45</f>
        <v>130</v>
      </c>
      <c r="F142" s="65" t="str">
        <f>CONCATENATE(" )", Source!DL45, Source!FT45, "=", Source!FX45)</f>
        <v xml:space="preserve"> )*0,9=117</v>
      </c>
      <c r="G142" s="66"/>
      <c r="H142" s="32">
        <f>SUM(S136:S144)</f>
        <v>146.93</v>
      </c>
      <c r="I142" s="34"/>
      <c r="J142" s="28">
        <f>Source!AT45</f>
        <v>117</v>
      </c>
      <c r="K142" s="32">
        <f>SUM(T136:T144)</f>
        <v>146.93</v>
      </c>
      <c r="L142" s="33"/>
    </row>
    <row r="143" spans="1:26" ht="14.25" x14ac:dyDescent="0.2">
      <c r="A143" s="47"/>
      <c r="B143" s="48"/>
      <c r="C143" s="48" t="s">
        <v>778</v>
      </c>
      <c r="D143" s="29" t="s">
        <v>777</v>
      </c>
      <c r="E143" s="26">
        <f>Source!CA45</f>
        <v>85</v>
      </c>
      <c r="F143" s="65" t="str">
        <f>CONCATENATE(" )", Source!DM45, Source!FU45, "=", Source!FY45)</f>
        <v xml:space="preserve"> )*0,85=72,25</v>
      </c>
      <c r="G143" s="66"/>
      <c r="H143" s="32">
        <f>SUM(U136:U144)</f>
        <v>90.73</v>
      </c>
      <c r="I143" s="34"/>
      <c r="J143" s="28">
        <f>Source!AU45</f>
        <v>72</v>
      </c>
      <c r="K143" s="32">
        <f>SUM(V136:V144)</f>
        <v>90.42</v>
      </c>
      <c r="L143" s="33"/>
    </row>
    <row r="144" spans="1:26" ht="14.25" x14ac:dyDescent="0.2">
      <c r="A144" s="49"/>
      <c r="B144" s="50"/>
      <c r="C144" s="50" t="s">
        <v>779</v>
      </c>
      <c r="D144" s="36" t="s">
        <v>780</v>
      </c>
      <c r="E144" s="37">
        <f>Source!AQ45</f>
        <v>1056.8399999999999</v>
      </c>
      <c r="F144" s="38"/>
      <c r="G144" s="41" t="str">
        <f>Source!DI45</f>
        <v>)*1,15)*1,15</v>
      </c>
      <c r="H144" s="40"/>
      <c r="I144" s="41"/>
      <c r="J144" s="41"/>
      <c r="K144" s="40"/>
      <c r="L144" s="44">
        <f>Source!U45</f>
        <v>13.976708999999996</v>
      </c>
    </row>
    <row r="145" spans="1:26" ht="15" x14ac:dyDescent="0.25">
      <c r="G145" s="62">
        <f>H138+H139+H141+H142+H143</f>
        <v>383.82000000000005</v>
      </c>
      <c r="H145" s="62"/>
      <c r="J145" s="62">
        <f>K138+K139+K141+K142+K143</f>
        <v>383.51000000000005</v>
      </c>
      <c r="K145" s="62"/>
      <c r="L145" s="43">
        <f>Source!U45</f>
        <v>13.976708999999996</v>
      </c>
      <c r="O145" s="21">
        <f>G145</f>
        <v>383.82000000000005</v>
      </c>
      <c r="P145" s="21">
        <f>J145</f>
        <v>383.51000000000005</v>
      </c>
      <c r="Q145" s="21">
        <f>L145</f>
        <v>13.976708999999996</v>
      </c>
      <c r="W145">
        <f>IF(Source!BI45&lt;=1,H138+H139+H141+H142+H143, 0)</f>
        <v>383.82000000000005</v>
      </c>
      <c r="X145">
        <f>IF(Source!BI45=2,H138+H139+H141+H142+H143, 0)</f>
        <v>0</v>
      </c>
      <c r="Y145">
        <f>IF(Source!BI45=3,H138+H139+H141+H142+H143, 0)</f>
        <v>0</v>
      </c>
      <c r="Z145">
        <f>IF(Source!BI45=4,H138+H139+H141+H142+H143, 0)</f>
        <v>0</v>
      </c>
    </row>
    <row r="146" spans="1:26" ht="57" x14ac:dyDescent="0.2">
      <c r="A146" s="47" t="str">
        <f>Source!E46</f>
        <v>16</v>
      </c>
      <c r="B146" s="103" t="s">
        <v>861</v>
      </c>
      <c r="C146" s="103" t="str">
        <f>Source!G46</f>
        <v>Огрунтовка металлических поверхностей за один раз грунтовкой ГФ-021 (Прим. Второй слой согласно РД)</v>
      </c>
      <c r="D146" s="104" t="str">
        <f>Source!H46</f>
        <v>100 м2</v>
      </c>
      <c r="E146" s="105">
        <f>Source!I46</f>
        <v>7.3979999999999997</v>
      </c>
      <c r="F146" s="106">
        <f>Source!AL46+Source!AM46+Source!AO46</f>
        <v>268.49</v>
      </c>
      <c r="G146" s="107"/>
      <c r="H146" s="108"/>
      <c r="I146" s="107" t="str">
        <f>Source!BO46</f>
        <v/>
      </c>
      <c r="J146" s="107"/>
      <c r="K146" s="108"/>
      <c r="L146" s="33"/>
      <c r="S146">
        <f>ROUND((Source!FX46/100)*((ROUND(Source!AF46*Source!I46, 2)+ROUND(Source!AE46*Source!I46, 2))), 2)</f>
        <v>495.05</v>
      </c>
      <c r="T146">
        <f>Source!X46</f>
        <v>495.05</v>
      </c>
      <c r="U146">
        <f>ROUND((Source!FY46/100)*((ROUND(Source!AF46*Source!I46, 2)+ROUND(Source!AE46*Source!I46, 2))), 2)</f>
        <v>363.65</v>
      </c>
      <c r="V146">
        <f>Source!Y46</f>
        <v>366.7</v>
      </c>
    </row>
    <row r="147" spans="1:26" x14ac:dyDescent="0.2">
      <c r="C147" s="20" t="str">
        <f>"Объем: "&amp;Source!I46&amp;"=(2,7*"&amp;"274)/"&amp;"100"</f>
        <v>Объем: 7,398=(2,7*274)/100</v>
      </c>
    </row>
    <row r="148" spans="1:26" ht="28.5" x14ac:dyDescent="0.2">
      <c r="A148" s="47"/>
      <c r="B148" s="48"/>
      <c r="C148" s="48" t="s">
        <v>775</v>
      </c>
      <c r="D148" s="29"/>
      <c r="E148" s="26"/>
      <c r="F148" s="30">
        <f>Source!AO46</f>
        <v>56.55</v>
      </c>
      <c r="G148" s="31" t="str">
        <f>Source!DG46</f>
        <v>)*1,1)*1,15)*1,15</v>
      </c>
      <c r="H148" s="32">
        <f>ROUND(Source!AF46*Source!I46, 2)</f>
        <v>608.6</v>
      </c>
      <c r="I148" s="31"/>
      <c r="J148" s="31">
        <f>IF(Source!BA46&lt;&gt; 0, Source!BA46, 1)</f>
        <v>1</v>
      </c>
      <c r="K148" s="32">
        <f>Source!S46</f>
        <v>608.6</v>
      </c>
      <c r="L148" s="33"/>
      <c r="R148">
        <f>H148</f>
        <v>608.6</v>
      </c>
    </row>
    <row r="149" spans="1:26" ht="28.5" x14ac:dyDescent="0.2">
      <c r="A149" s="47"/>
      <c r="B149" s="48"/>
      <c r="C149" s="48" t="s">
        <v>227</v>
      </c>
      <c r="D149" s="29"/>
      <c r="E149" s="26"/>
      <c r="F149" s="30">
        <f>Source!AM46</f>
        <v>9.2200000000000006</v>
      </c>
      <c r="G149" s="31" t="str">
        <f>Source!DE46</f>
        <v>)*1,1)*1,25)*1,15</v>
      </c>
      <c r="H149" s="32">
        <f>ROUND(Source!AD46*Source!I46, 2)</f>
        <v>107.86</v>
      </c>
      <c r="I149" s="31"/>
      <c r="J149" s="31">
        <f>IF(Source!BB46&lt;&gt; 0, Source!BB46, 1)</f>
        <v>1</v>
      </c>
      <c r="K149" s="32">
        <f>Source!Q46</f>
        <v>107.86</v>
      </c>
      <c r="L149" s="33"/>
    </row>
    <row r="150" spans="1:26" ht="28.5" x14ac:dyDescent="0.2">
      <c r="A150" s="47"/>
      <c r="B150" s="48"/>
      <c r="C150" s="48" t="s">
        <v>782</v>
      </c>
      <c r="D150" s="29"/>
      <c r="E150" s="26"/>
      <c r="F150" s="30">
        <f>Source!AN46</f>
        <v>0.22</v>
      </c>
      <c r="G150" s="31" t="str">
        <f>Source!DF46</f>
        <v>)*1,1)*1,25)*1,15</v>
      </c>
      <c r="H150" s="45">
        <f>ROUND(Source!AE46*Source!I46, 2)</f>
        <v>2.57</v>
      </c>
      <c r="I150" s="31"/>
      <c r="J150" s="31">
        <f>IF(Source!BS46&lt;&gt; 0, Source!BS46, 1)</f>
        <v>1</v>
      </c>
      <c r="K150" s="45">
        <f>Source!R46</f>
        <v>2.57</v>
      </c>
      <c r="L150" s="33"/>
      <c r="R150">
        <f>H150</f>
        <v>2.57</v>
      </c>
    </row>
    <row r="151" spans="1:26" ht="14.25" x14ac:dyDescent="0.2">
      <c r="A151" s="47"/>
      <c r="B151" s="48"/>
      <c r="C151" s="48" t="s">
        <v>781</v>
      </c>
      <c r="D151" s="29"/>
      <c r="E151" s="26"/>
      <c r="F151" s="30">
        <f>Source!AL46</f>
        <v>202.72</v>
      </c>
      <c r="G151" s="31" t="str">
        <f>Source!DD46</f>
        <v>)*1,1</v>
      </c>
      <c r="H151" s="32">
        <f>ROUND(Source!AC46*Source!I46, 2)</f>
        <v>1649.69</v>
      </c>
      <c r="I151" s="31"/>
      <c r="J151" s="31">
        <f>IF(Source!BC46&lt;&gt; 0, Source!BC46, 1)</f>
        <v>1</v>
      </c>
      <c r="K151" s="32">
        <f>Source!P46</f>
        <v>1649.69</v>
      </c>
      <c r="L151" s="33"/>
    </row>
    <row r="152" spans="1:26" ht="14.25" x14ac:dyDescent="0.2">
      <c r="A152" s="47"/>
      <c r="B152" s="48"/>
      <c r="C152" s="48" t="s">
        <v>776</v>
      </c>
      <c r="D152" s="29" t="s">
        <v>777</v>
      </c>
      <c r="E152" s="26">
        <f>Source!BZ46</f>
        <v>90</v>
      </c>
      <c r="F152" s="65" t="str">
        <f>CONCATENATE(" )", Source!DL46, Source!FT46, "=", Source!FX46)</f>
        <v xml:space="preserve"> )*0,9=81</v>
      </c>
      <c r="G152" s="66"/>
      <c r="H152" s="32">
        <f>SUM(S146:S154)</f>
        <v>495.05</v>
      </c>
      <c r="I152" s="34"/>
      <c r="J152" s="28">
        <f>Source!AT46</f>
        <v>81</v>
      </c>
      <c r="K152" s="32">
        <f>SUM(T146:T154)</f>
        <v>495.05</v>
      </c>
      <c r="L152" s="33"/>
    </row>
    <row r="153" spans="1:26" ht="14.25" x14ac:dyDescent="0.2">
      <c r="A153" s="47"/>
      <c r="B153" s="48"/>
      <c r="C153" s="48" t="s">
        <v>778</v>
      </c>
      <c r="D153" s="29" t="s">
        <v>777</v>
      </c>
      <c r="E153" s="26">
        <f>Source!CA46</f>
        <v>70</v>
      </c>
      <c r="F153" s="65" t="str">
        <f>CONCATENATE(" )", Source!DM46, Source!FU46, "=", Source!FY46)</f>
        <v xml:space="preserve"> )*0,85=59,5</v>
      </c>
      <c r="G153" s="66"/>
      <c r="H153" s="32">
        <f>SUM(U146:U154)</f>
        <v>363.65</v>
      </c>
      <c r="I153" s="34"/>
      <c r="J153" s="28">
        <f>Source!AU46</f>
        <v>60</v>
      </c>
      <c r="K153" s="32">
        <f>SUM(V146:V154)</f>
        <v>366.7</v>
      </c>
      <c r="L153" s="33"/>
    </row>
    <row r="154" spans="1:26" ht="28.5" x14ac:dyDescent="0.2">
      <c r="A154" s="49"/>
      <c r="B154" s="50"/>
      <c r="C154" s="50" t="s">
        <v>779</v>
      </c>
      <c r="D154" s="36" t="s">
        <v>780</v>
      </c>
      <c r="E154" s="37">
        <f>Source!AQ46</f>
        <v>5.31</v>
      </c>
      <c r="F154" s="38"/>
      <c r="G154" s="41" t="str">
        <f>Source!DI46</f>
        <v>)*1,1)*1,15)*1,15</v>
      </c>
      <c r="H154" s="40"/>
      <c r="I154" s="41"/>
      <c r="J154" s="41"/>
      <c r="K154" s="40"/>
      <c r="L154" s="44">
        <f>Source!U46</f>
        <v>57.147497054999988</v>
      </c>
    </row>
    <row r="155" spans="1:26" ht="15" x14ac:dyDescent="0.25">
      <c r="G155" s="62">
        <f>H148+H149+H151+H152+H153</f>
        <v>3224.8500000000004</v>
      </c>
      <c r="H155" s="62"/>
      <c r="J155" s="62">
        <f>K148+K149+K151+K152+K153</f>
        <v>3227.9</v>
      </c>
      <c r="K155" s="62"/>
      <c r="L155" s="43">
        <f>Source!U46</f>
        <v>57.147497054999988</v>
      </c>
      <c r="O155" s="21">
        <f>G155</f>
        <v>3224.8500000000004</v>
      </c>
      <c r="P155" s="21">
        <f>J155</f>
        <v>3227.9</v>
      </c>
      <c r="Q155" s="21">
        <f>L155</f>
        <v>57.147497054999988</v>
      </c>
      <c r="W155">
        <f>IF(Source!BI46&lt;=1,H148+H149+H151+H152+H153, 0)</f>
        <v>3224.8500000000004</v>
      </c>
      <c r="X155">
        <f>IF(Source!BI46=2,H148+H149+H151+H152+H153, 0)</f>
        <v>0</v>
      </c>
      <c r="Y155">
        <f>IF(Source!BI46=3,H148+H149+H151+H152+H153, 0)</f>
        <v>0</v>
      </c>
      <c r="Z155">
        <f>IF(Source!BI46=4,H148+H149+H151+H152+H153, 0)</f>
        <v>0</v>
      </c>
    </row>
    <row r="156" spans="1:26" ht="52.5" x14ac:dyDescent="0.2">
      <c r="A156" s="47" t="str">
        <f>Source!E47</f>
        <v>17</v>
      </c>
      <c r="B156" s="48" t="s">
        <v>783</v>
      </c>
      <c r="C156" s="48" t="str">
        <f>Source!G47</f>
        <v>Окраска металлических огрунтованных поверхностей эмалью ПФ-115 (Прим. В два слоя)</v>
      </c>
      <c r="D156" s="29" t="str">
        <f>Source!H47</f>
        <v>100 м2</v>
      </c>
      <c r="E156" s="26">
        <f>Source!I47</f>
        <v>7.3979999999999997</v>
      </c>
      <c r="F156" s="30">
        <f>Source!AL47+Source!AM47+Source!AO47</f>
        <v>322.02</v>
      </c>
      <c r="G156" s="31"/>
      <c r="H156" s="32"/>
      <c r="I156" s="31" t="str">
        <f>Source!BO47</f>
        <v/>
      </c>
      <c r="J156" s="31"/>
      <c r="K156" s="32"/>
      <c r="L156" s="33"/>
      <c r="S156">
        <f>ROUND((Source!FX47/100)*((ROUND(Source!AF47*Source!I47, 2)+ROUND(Source!AE47*Source!I47, 2))), 2)</f>
        <v>609.86</v>
      </c>
      <c r="T156">
        <f>Source!X47</f>
        <v>609.86</v>
      </c>
      <c r="U156">
        <f>ROUND((Source!FY47/100)*((ROUND(Source!AF47*Source!I47, 2)+ROUND(Source!AE47*Source!I47, 2))), 2)</f>
        <v>447.98</v>
      </c>
      <c r="V156">
        <f>Source!Y47</f>
        <v>451.75</v>
      </c>
    </row>
    <row r="157" spans="1:26" ht="28.5" x14ac:dyDescent="0.2">
      <c r="A157" s="47"/>
      <c r="B157" s="48"/>
      <c r="C157" s="48" t="s">
        <v>775</v>
      </c>
      <c r="D157" s="29"/>
      <c r="E157" s="26"/>
      <c r="F157" s="30">
        <f>Source!AO47</f>
        <v>34.74</v>
      </c>
      <c r="G157" s="31" t="str">
        <f>Source!DG47</f>
        <v>)*1,1)*2)*1,15)*1,15</v>
      </c>
      <c r="H157" s="32">
        <f>ROUND(Source!AF47*Source!I47, 2)</f>
        <v>747.76</v>
      </c>
      <c r="I157" s="31"/>
      <c r="J157" s="31">
        <f>IF(Source!BA47&lt;&gt; 0, Source!BA47, 1)</f>
        <v>1</v>
      </c>
      <c r="K157" s="32">
        <f>Source!S47</f>
        <v>747.76</v>
      </c>
      <c r="L157" s="33"/>
      <c r="R157">
        <f>H157</f>
        <v>747.76</v>
      </c>
    </row>
    <row r="158" spans="1:26" ht="28.5" x14ac:dyDescent="0.2">
      <c r="A158" s="47"/>
      <c r="B158" s="48"/>
      <c r="C158" s="48" t="s">
        <v>227</v>
      </c>
      <c r="D158" s="29"/>
      <c r="E158" s="26"/>
      <c r="F158" s="30">
        <f>Source!AM47</f>
        <v>6.01</v>
      </c>
      <c r="G158" s="31" t="str">
        <f>Source!DE47</f>
        <v>)*1,1*2)*1,25)*1,15</v>
      </c>
      <c r="H158" s="32">
        <f>ROUND(Source!AD47*Source!I47, 2)</f>
        <v>140.61000000000001</v>
      </c>
      <c r="I158" s="31"/>
      <c r="J158" s="31">
        <f>IF(Source!BB47&lt;&gt; 0, Source!BB47, 1)</f>
        <v>1</v>
      </c>
      <c r="K158" s="32">
        <f>Source!Q47</f>
        <v>140.61000000000001</v>
      </c>
      <c r="L158" s="33"/>
    </row>
    <row r="159" spans="1:26" ht="28.5" x14ac:dyDescent="0.2">
      <c r="A159" s="47"/>
      <c r="B159" s="48"/>
      <c r="C159" s="48" t="s">
        <v>782</v>
      </c>
      <c r="D159" s="29"/>
      <c r="E159" s="26"/>
      <c r="F159" s="30">
        <f>Source!AN47</f>
        <v>0.22</v>
      </c>
      <c r="G159" s="31" t="str">
        <f>Source!DF47</f>
        <v>)*1,1*2)*1,25)*1,15</v>
      </c>
      <c r="H159" s="45">
        <f>ROUND(Source!AE47*Source!I47, 2)</f>
        <v>5.15</v>
      </c>
      <c r="I159" s="31"/>
      <c r="J159" s="31">
        <f>IF(Source!BS47&lt;&gt; 0, Source!BS47, 1)</f>
        <v>1</v>
      </c>
      <c r="K159" s="45">
        <f>Source!R47</f>
        <v>5.15</v>
      </c>
      <c r="L159" s="33"/>
      <c r="R159">
        <f>H159</f>
        <v>5.15</v>
      </c>
    </row>
    <row r="160" spans="1:26" ht="14.25" x14ac:dyDescent="0.2">
      <c r="A160" s="47"/>
      <c r="B160" s="48"/>
      <c r="C160" s="48" t="s">
        <v>781</v>
      </c>
      <c r="D160" s="29"/>
      <c r="E160" s="26"/>
      <c r="F160" s="30">
        <f>Source!AL47</f>
        <v>281.27</v>
      </c>
      <c r="G160" s="31" t="str">
        <f>Source!DD47</f>
        <v>)*1,1*2</v>
      </c>
      <c r="H160" s="32">
        <f>ROUND(Source!AC47*Source!I47, 2)</f>
        <v>4577.84</v>
      </c>
      <c r="I160" s="31"/>
      <c r="J160" s="31">
        <f>IF(Source!BC47&lt;&gt; 0, Source!BC47, 1)</f>
        <v>1</v>
      </c>
      <c r="K160" s="32">
        <f>Source!P47</f>
        <v>4577.84</v>
      </c>
      <c r="L160" s="33"/>
    </row>
    <row r="161" spans="1:26" ht="14.25" x14ac:dyDescent="0.2">
      <c r="A161" s="47"/>
      <c r="B161" s="48"/>
      <c r="C161" s="48" t="s">
        <v>776</v>
      </c>
      <c r="D161" s="29" t="s">
        <v>777</v>
      </c>
      <c r="E161" s="26">
        <f>Source!BZ47</f>
        <v>90</v>
      </c>
      <c r="F161" s="65" t="str">
        <f>CONCATENATE(" )", Source!DL47, Source!FT47, "=", Source!FX47)</f>
        <v xml:space="preserve"> )*0,9=81</v>
      </c>
      <c r="G161" s="66"/>
      <c r="H161" s="32">
        <f>SUM(S156:S165)</f>
        <v>609.86</v>
      </c>
      <c r="I161" s="34"/>
      <c r="J161" s="28">
        <f>Source!AT47</f>
        <v>81</v>
      </c>
      <c r="K161" s="32">
        <f>SUM(T156:T165)</f>
        <v>609.86</v>
      </c>
      <c r="L161" s="33"/>
    </row>
    <row r="162" spans="1:26" ht="14.25" x14ac:dyDescent="0.2">
      <c r="A162" s="47"/>
      <c r="B162" s="48"/>
      <c r="C162" s="48" t="s">
        <v>778</v>
      </c>
      <c r="D162" s="29" t="s">
        <v>777</v>
      </c>
      <c r="E162" s="26">
        <f>Source!CA47</f>
        <v>70</v>
      </c>
      <c r="F162" s="65" t="str">
        <f>CONCATENATE(" )", Source!DM47, Source!FU47, "=", Source!FY47)</f>
        <v xml:space="preserve"> )*0,85=59,5</v>
      </c>
      <c r="G162" s="66"/>
      <c r="H162" s="32">
        <f>SUM(U156:U165)</f>
        <v>447.98</v>
      </c>
      <c r="I162" s="34"/>
      <c r="J162" s="28">
        <f>Source!AU47</f>
        <v>60</v>
      </c>
      <c r="K162" s="32">
        <f>SUM(V156:V165)</f>
        <v>451.75</v>
      </c>
      <c r="L162" s="33"/>
    </row>
    <row r="163" spans="1:26" ht="28.5" x14ac:dyDescent="0.2">
      <c r="A163" s="47"/>
      <c r="B163" s="48"/>
      <c r="C163" s="48" t="s">
        <v>779</v>
      </c>
      <c r="D163" s="29" t="s">
        <v>780</v>
      </c>
      <c r="E163" s="26">
        <f>Source!AQ47</f>
        <v>3.83</v>
      </c>
      <c r="F163" s="30"/>
      <c r="G163" s="31" t="str">
        <f>Source!DI47</f>
        <v>)*1,1)*2)*1,15)*1,15</v>
      </c>
      <c r="H163" s="32"/>
      <c r="I163" s="31"/>
      <c r="J163" s="31"/>
      <c r="K163" s="32"/>
      <c r="L163" s="35">
        <f>Source!U47</f>
        <v>82.43876222999998</v>
      </c>
    </row>
    <row r="164" spans="1:26" ht="66.75" x14ac:dyDescent="0.2">
      <c r="A164" s="47" t="str">
        <f>Source!E48</f>
        <v>17,1</v>
      </c>
      <c r="B164" s="48" t="s">
        <v>784</v>
      </c>
      <c r="C164" s="48" t="str">
        <f>Source!G48</f>
        <v>Эмаль ПФ-133 цветная</v>
      </c>
      <c r="D164" s="29" t="str">
        <f>Source!H48</f>
        <v>т</v>
      </c>
      <c r="E164" s="26">
        <f>Source!I48</f>
        <v>0.30923600000000001</v>
      </c>
      <c r="F164" s="30">
        <f>Source!AL48+Source!AM48+Source!AO48</f>
        <v>16303</v>
      </c>
      <c r="G164" s="46" t="s">
        <v>785</v>
      </c>
      <c r="H164" s="32">
        <f>ROUND(Source!AC48*Source!I48, 2)+ROUND(Source!AD48*Source!I48, 2)+ROUND(Source!AF48*Source!I48, 2)</f>
        <v>5041.47</v>
      </c>
      <c r="I164" s="31"/>
      <c r="J164" s="31">
        <f>IF(Source!BC48&lt;&gt; 0, Source!BC48, 1)</f>
        <v>1</v>
      </c>
      <c r="K164" s="32">
        <f>Source!O48</f>
        <v>5041.47</v>
      </c>
      <c r="L164" s="33"/>
      <c r="S164">
        <f>ROUND((Source!FX48/100)*((ROUND(Source!AF48*Source!I48, 2)+ROUND(Source!AE48*Source!I48, 2))), 2)</f>
        <v>0</v>
      </c>
      <c r="T164">
        <f>Source!X48</f>
        <v>0</v>
      </c>
      <c r="U164">
        <f>ROUND((Source!FY48/100)*((ROUND(Source!AF48*Source!I48, 2)+ROUND(Source!AE48*Source!I48, 2))), 2)</f>
        <v>0</v>
      </c>
      <c r="V164">
        <f>Source!Y48</f>
        <v>0</v>
      </c>
      <c r="W164">
        <f>IF(Source!BI48&lt;=1,H164, 0)</f>
        <v>5041.47</v>
      </c>
      <c r="X164">
        <f>IF(Source!BI48=2,H164, 0)</f>
        <v>0</v>
      </c>
      <c r="Y164">
        <f>IF(Source!BI48=3,H164, 0)</f>
        <v>0</v>
      </c>
      <c r="Z164">
        <f>IF(Source!BI48=4,H164, 0)</f>
        <v>0</v>
      </c>
    </row>
    <row r="165" spans="1:26" ht="66.75" x14ac:dyDescent="0.2">
      <c r="A165" s="49" t="str">
        <f>Source!E49</f>
        <v>17,2</v>
      </c>
      <c r="B165" s="50" t="s">
        <v>786</v>
      </c>
      <c r="C165" s="50" t="str">
        <f>Source!G49</f>
        <v>Эмаль ПФ-115 серая</v>
      </c>
      <c r="D165" s="36" t="str">
        <f>Source!H49</f>
        <v>т</v>
      </c>
      <c r="E165" s="37">
        <f>Source!I49</f>
        <v>-0.30923600000000001</v>
      </c>
      <c r="F165" s="38">
        <f>Source!AL49+Source!AM49+Source!AO49</f>
        <v>14312.87</v>
      </c>
      <c r="G165" s="39" t="s">
        <v>785</v>
      </c>
      <c r="H165" s="40">
        <f>ROUND(Source!AC49*Source!I49, 2)+ROUND(Source!AD49*Source!I49, 2)+ROUND(Source!AF49*Source!I49, 2)</f>
        <v>-4426.05</v>
      </c>
      <c r="I165" s="41"/>
      <c r="J165" s="41">
        <f>IF(Source!BC49&lt;&gt; 0, Source!BC49, 1)</f>
        <v>1</v>
      </c>
      <c r="K165" s="40">
        <f>Source!O49</f>
        <v>-4426.05</v>
      </c>
      <c r="L165" s="42"/>
      <c r="S165">
        <f>ROUND((Source!FX49/100)*((ROUND(Source!AF49*Source!I49, 2)+ROUND(Source!AE49*Source!I49, 2))), 2)</f>
        <v>0</v>
      </c>
      <c r="T165">
        <f>Source!X49</f>
        <v>0</v>
      </c>
      <c r="U165">
        <f>ROUND((Source!FY49/100)*((ROUND(Source!AF49*Source!I49, 2)+ROUND(Source!AE49*Source!I49, 2))), 2)</f>
        <v>0</v>
      </c>
      <c r="V165">
        <f>Source!Y49</f>
        <v>0</v>
      </c>
      <c r="W165">
        <f>IF(Source!BI49&lt;=1,H165, 0)</f>
        <v>-4426.05</v>
      </c>
      <c r="X165">
        <f>IF(Source!BI49=2,H165, 0)</f>
        <v>0</v>
      </c>
      <c r="Y165">
        <f>IF(Source!BI49=3,H165, 0)</f>
        <v>0</v>
      </c>
      <c r="Z165">
        <f>IF(Source!BI49=4,H165, 0)</f>
        <v>0</v>
      </c>
    </row>
    <row r="166" spans="1:26" ht="15" x14ac:dyDescent="0.25">
      <c r="G166" s="62">
        <f>H157+H158+H160+H161+H162+SUM(H164:H165)</f>
        <v>7139.4699999999993</v>
      </c>
      <c r="H166" s="62"/>
      <c r="J166" s="62">
        <f>K157+K158+K160+K161+K162+SUM(K164:K165)</f>
        <v>7143.24</v>
      </c>
      <c r="K166" s="62"/>
      <c r="L166" s="43">
        <f>Source!U47</f>
        <v>82.43876222999998</v>
      </c>
      <c r="O166" s="21">
        <f>G166</f>
        <v>7139.4699999999993</v>
      </c>
      <c r="P166" s="21">
        <f>J166</f>
        <v>7143.24</v>
      </c>
      <c r="Q166" s="21">
        <f>L166</f>
        <v>82.43876222999998</v>
      </c>
      <c r="W166">
        <f>IF(Source!BI47&lt;=1,H157+H158+H160+H161+H162, 0)</f>
        <v>6524.0499999999993</v>
      </c>
      <c r="X166">
        <f>IF(Source!BI47=2,H157+H158+H160+H161+H162, 0)</f>
        <v>0</v>
      </c>
      <c r="Y166">
        <f>IF(Source!BI47=3,H157+H158+H160+H161+H162, 0)</f>
        <v>0</v>
      </c>
      <c r="Z166">
        <f>IF(Source!BI47=4,H157+H158+H160+H161+H162, 0)</f>
        <v>0</v>
      </c>
    </row>
    <row r="167" spans="1:26" ht="99.75" x14ac:dyDescent="0.2">
      <c r="A167" s="47" t="str">
        <f>Source!E50</f>
        <v>18</v>
      </c>
      <c r="B167" s="48" t="str">
        <f>Source!F50</f>
        <v>01-02-058-07</v>
      </c>
      <c r="C167" s="48" t="str">
        <f>Source!G50</f>
        <v>Копание ям вручную без креплений для стоек и столбов с откосами глубиной до 1,5 м, группа грунтов 3 (Общий объем выемки для бетонирования столбов, фундамента ФМ1 и подушки по РД 20,39 м3.  В п.№№ 3,10,11 учтено - 10,257м3 )</v>
      </c>
      <c r="D167" s="29" t="str">
        <f>Source!H50</f>
        <v>100 м3</v>
      </c>
      <c r="E167" s="26">
        <f>Source!I50</f>
        <v>0.10133</v>
      </c>
      <c r="F167" s="30">
        <f>Source!AL50+Source!AM50+Source!AO50</f>
        <v>1934.4</v>
      </c>
      <c r="G167" s="31"/>
      <c r="H167" s="32"/>
      <c r="I167" s="31" t="str">
        <f>Source!BO50</f>
        <v/>
      </c>
      <c r="J167" s="31"/>
      <c r="K167" s="32"/>
      <c r="L167" s="33"/>
      <c r="S167">
        <f>ROUND((Source!FX50/100)*((ROUND(Source!AF50*Source!I50, 2)+ROUND(Source!AE50*Source!I50, 2))), 2)</f>
        <v>186.65</v>
      </c>
      <c r="T167">
        <f>Source!X50</f>
        <v>186.65</v>
      </c>
      <c r="U167">
        <f>ROUND((Source!FY50/100)*((ROUND(Source!AF50*Source!I50, 2)+ROUND(Source!AE50*Source!I50, 2))), 2)</f>
        <v>99.16</v>
      </c>
      <c r="V167">
        <f>Source!Y50</f>
        <v>98.51</v>
      </c>
    </row>
    <row r="168" spans="1:26" ht="25.5" x14ac:dyDescent="0.2">
      <c r="C168" s="20" t="str">
        <f>"Объем: "&amp;Source!I50&amp;"=(20,27+"&amp;"0,12-"&amp;"7,47-"&amp;"0,291-"&amp;"2,496)/"&amp;"100"</f>
        <v>Объем: 0,10133=(20,27+0,12-7,47-0,291-2,496)/100</v>
      </c>
    </row>
    <row r="169" spans="1:26" ht="14.25" x14ac:dyDescent="0.2">
      <c r="A169" s="47"/>
      <c r="B169" s="48"/>
      <c r="C169" s="48" t="s">
        <v>775</v>
      </c>
      <c r="D169" s="29"/>
      <c r="E169" s="26"/>
      <c r="F169" s="30">
        <f>Source!AO50</f>
        <v>1934.4</v>
      </c>
      <c r="G169" s="31" t="str">
        <f>Source!DG50</f>
        <v>)*1,15)*1,15</v>
      </c>
      <c r="H169" s="32">
        <f>ROUND(Source!AF50*Source!I50, 2)</f>
        <v>259.23</v>
      </c>
      <c r="I169" s="31"/>
      <c r="J169" s="31">
        <f>IF(Source!BA50&lt;&gt; 0, Source!BA50, 1)</f>
        <v>1</v>
      </c>
      <c r="K169" s="32">
        <f>Source!S50</f>
        <v>259.23</v>
      </c>
      <c r="L169" s="33"/>
      <c r="R169">
        <f>H169</f>
        <v>259.23</v>
      </c>
    </row>
    <row r="170" spans="1:26" ht="14.25" x14ac:dyDescent="0.2">
      <c r="A170" s="47"/>
      <c r="B170" s="48"/>
      <c r="C170" s="48" t="s">
        <v>776</v>
      </c>
      <c r="D170" s="29" t="s">
        <v>777</v>
      </c>
      <c r="E170" s="26">
        <f>Source!BZ50</f>
        <v>80</v>
      </c>
      <c r="F170" s="65" t="str">
        <f>CONCATENATE(" )", Source!DL50, Source!FT50, "=", Source!FX50)</f>
        <v xml:space="preserve"> )*0,9=72</v>
      </c>
      <c r="G170" s="66"/>
      <c r="H170" s="32">
        <f>SUM(S167:S172)</f>
        <v>186.65</v>
      </c>
      <c r="I170" s="34"/>
      <c r="J170" s="28">
        <f>Source!AT50</f>
        <v>72</v>
      </c>
      <c r="K170" s="32">
        <f>SUM(T167:T172)</f>
        <v>186.65</v>
      </c>
      <c r="L170" s="33"/>
    </row>
    <row r="171" spans="1:26" ht="14.25" x14ac:dyDescent="0.2">
      <c r="A171" s="47"/>
      <c r="B171" s="48"/>
      <c r="C171" s="48" t="s">
        <v>778</v>
      </c>
      <c r="D171" s="29" t="s">
        <v>777</v>
      </c>
      <c r="E171" s="26">
        <f>Source!CA50</f>
        <v>45</v>
      </c>
      <c r="F171" s="65" t="str">
        <f>CONCATENATE(" )", Source!DM50, Source!FU50, "=", Source!FY50)</f>
        <v xml:space="preserve"> )*0,85=38,25</v>
      </c>
      <c r="G171" s="66"/>
      <c r="H171" s="32">
        <f>SUM(U167:U172)</f>
        <v>99.16</v>
      </c>
      <c r="I171" s="34"/>
      <c r="J171" s="28">
        <f>Source!AU50</f>
        <v>38</v>
      </c>
      <c r="K171" s="32">
        <f>SUM(V167:V172)</f>
        <v>98.51</v>
      </c>
      <c r="L171" s="33"/>
    </row>
    <row r="172" spans="1:26" ht="14.25" x14ac:dyDescent="0.2">
      <c r="A172" s="49"/>
      <c r="B172" s="50"/>
      <c r="C172" s="50" t="s">
        <v>779</v>
      </c>
      <c r="D172" s="36" t="s">
        <v>780</v>
      </c>
      <c r="E172" s="37">
        <f>Source!AQ50</f>
        <v>248</v>
      </c>
      <c r="F172" s="38"/>
      <c r="G172" s="41" t="str">
        <f>Source!DI50</f>
        <v>)*1,15)*1,15</v>
      </c>
      <c r="H172" s="40"/>
      <c r="I172" s="41"/>
      <c r="J172" s="41"/>
      <c r="K172" s="40"/>
      <c r="L172" s="44">
        <f>Source!U50</f>
        <v>33.234213399999994</v>
      </c>
    </row>
    <row r="173" spans="1:26" ht="15" x14ac:dyDescent="0.25">
      <c r="G173" s="62">
        <f>H169+H170+H171</f>
        <v>545.04</v>
      </c>
      <c r="H173" s="62"/>
      <c r="J173" s="62">
        <f>K169+K170+K171</f>
        <v>544.39</v>
      </c>
      <c r="K173" s="62"/>
      <c r="L173" s="43">
        <f>Source!U50</f>
        <v>33.234213399999994</v>
      </c>
      <c r="O173" s="21">
        <f>G173</f>
        <v>545.04</v>
      </c>
      <c r="P173" s="21">
        <f>J173</f>
        <v>544.39</v>
      </c>
      <c r="Q173" s="21">
        <f>L173</f>
        <v>33.234213399999994</v>
      </c>
      <c r="W173">
        <f>IF(Source!BI50&lt;=1,H169+H170+H171, 0)</f>
        <v>545.04</v>
      </c>
      <c r="X173">
        <f>IF(Source!BI50=2,H169+H170+H171, 0)</f>
        <v>0</v>
      </c>
      <c r="Y173">
        <f>IF(Source!BI50=3,H169+H170+H171, 0)</f>
        <v>0</v>
      </c>
      <c r="Z173">
        <f>IF(Source!BI50=4,H169+H170+H171, 0)</f>
        <v>0</v>
      </c>
    </row>
    <row r="174" spans="1:26" ht="57" x14ac:dyDescent="0.2">
      <c r="A174" s="47" t="str">
        <f>Source!E51</f>
        <v>19</v>
      </c>
      <c r="B174" s="103" t="str">
        <f>Source!F51</f>
        <v>06-01-001-01</v>
      </c>
      <c r="C174" s="103" t="str">
        <f>Source!G51</f>
        <v>Устройство бетонной подготовки (Общий обьем бетонирования столбов и фундамента ФМ1 по РД 19,74 м3 В п.№№ 3,10,11 учтено - 10,257м3)</v>
      </c>
      <c r="D174" s="104" t="str">
        <f>Source!H51</f>
        <v>100 м3</v>
      </c>
      <c r="E174" s="105">
        <f>Source!I51</f>
        <v>0.10013</v>
      </c>
      <c r="F174" s="106">
        <f>Source!AL51+Source!AM51+Source!AO51</f>
        <v>3897.23</v>
      </c>
      <c r="G174" s="107"/>
      <c r="H174" s="108"/>
      <c r="I174" s="107" t="str">
        <f>Source!BO51</f>
        <v/>
      </c>
      <c r="J174" s="107"/>
      <c r="K174" s="108"/>
      <c r="L174" s="33"/>
      <c r="S174">
        <f>ROUND((Source!FX51/100)*((ROUND(Source!AF51*Source!I51, 2)+ROUND(Source!AE51*Source!I51, 2))), 2)</f>
        <v>208.95</v>
      </c>
      <c r="T174">
        <f>Source!X51</f>
        <v>210.05</v>
      </c>
      <c r="U174">
        <f>ROUND((Source!FY51/100)*((ROUND(Source!AF51*Source!I51, 2)+ROUND(Source!AE51*Source!I51, 2))), 2)</f>
        <v>122.16</v>
      </c>
      <c r="V174">
        <f>Source!Y51</f>
        <v>121.61</v>
      </c>
    </row>
    <row r="175" spans="1:26" x14ac:dyDescent="0.2">
      <c r="C175" s="20" t="str">
        <f>"Объем: "&amp;Source!I51&amp;"=(20,27-"&amp;"7,47-"&amp;"0,291-"&amp;"2,496)/"&amp;"100"</f>
        <v>Объем: 0,10013=(20,27-7,47-0,291-2,496)/100</v>
      </c>
    </row>
    <row r="176" spans="1:26" ht="14.25" x14ac:dyDescent="0.2">
      <c r="A176" s="47"/>
      <c r="B176" s="48"/>
      <c r="C176" s="48" t="s">
        <v>775</v>
      </c>
      <c r="D176" s="29"/>
      <c r="E176" s="26"/>
      <c r="F176" s="30">
        <f>Source!AO51</f>
        <v>1404</v>
      </c>
      <c r="G176" s="31" t="str">
        <f>Source!DG51</f>
        <v>)*1,15)*1,15</v>
      </c>
      <c r="H176" s="32">
        <f>ROUND(Source!AF51*Source!I51, 2)</f>
        <v>185.92</v>
      </c>
      <c r="I176" s="31"/>
      <c r="J176" s="31">
        <f>IF(Source!BA51&lt;&gt; 0, Source!BA51, 1)</f>
        <v>1</v>
      </c>
      <c r="K176" s="32">
        <f>Source!S51</f>
        <v>185.92</v>
      </c>
      <c r="L176" s="33"/>
      <c r="R176">
        <f>H176</f>
        <v>185.92</v>
      </c>
    </row>
    <row r="177" spans="1:26" ht="14.25" x14ac:dyDescent="0.2">
      <c r="A177" s="47"/>
      <c r="B177" s="48"/>
      <c r="C177" s="48" t="s">
        <v>227</v>
      </c>
      <c r="D177" s="29"/>
      <c r="E177" s="26"/>
      <c r="F177" s="30">
        <f>Source!AM51</f>
        <v>1587.74</v>
      </c>
      <c r="G177" s="31" t="str">
        <f>Source!DE51</f>
        <v>)*1,25)*1,15</v>
      </c>
      <c r="H177" s="32">
        <f>ROUND(Source!AD51*Source!I51, 2)</f>
        <v>228.53</v>
      </c>
      <c r="I177" s="31"/>
      <c r="J177" s="31">
        <f>IF(Source!BB51&lt;&gt; 0, Source!BB51, 1)</f>
        <v>1</v>
      </c>
      <c r="K177" s="32">
        <f>Source!Q51</f>
        <v>228.53</v>
      </c>
      <c r="L177" s="33"/>
    </row>
    <row r="178" spans="1:26" ht="14.25" x14ac:dyDescent="0.2">
      <c r="A178" s="47"/>
      <c r="B178" s="48"/>
      <c r="C178" s="48" t="s">
        <v>782</v>
      </c>
      <c r="D178" s="29"/>
      <c r="E178" s="26"/>
      <c r="F178" s="30">
        <f>Source!AN51</f>
        <v>244.51</v>
      </c>
      <c r="G178" s="31" t="str">
        <f>Source!DF51</f>
        <v>)*1,25)*1,15</v>
      </c>
      <c r="H178" s="45">
        <f>ROUND(Source!AE51*Source!I51, 2)</f>
        <v>35.19</v>
      </c>
      <c r="I178" s="31"/>
      <c r="J178" s="31">
        <f>IF(Source!BS51&lt;&gt; 0, Source!BS51, 1)</f>
        <v>1</v>
      </c>
      <c r="K178" s="45">
        <f>Source!R51</f>
        <v>35.19</v>
      </c>
      <c r="L178" s="33"/>
      <c r="R178">
        <f>H178</f>
        <v>35.19</v>
      </c>
    </row>
    <row r="179" spans="1:26" ht="14.25" x14ac:dyDescent="0.2">
      <c r="A179" s="47"/>
      <c r="B179" s="48"/>
      <c r="C179" s="48" t="s">
        <v>781</v>
      </c>
      <c r="D179" s="29"/>
      <c r="E179" s="26"/>
      <c r="F179" s="30">
        <f>Source!AL51</f>
        <v>905.49</v>
      </c>
      <c r="G179" s="31" t="str">
        <f>Source!DD51</f>
        <v/>
      </c>
      <c r="H179" s="32">
        <f>ROUND(Source!AC51*Source!I51, 2)</f>
        <v>90.67</v>
      </c>
      <c r="I179" s="31"/>
      <c r="J179" s="31">
        <f>IF(Source!BC51&lt;&gt; 0, Source!BC51, 1)</f>
        <v>1</v>
      </c>
      <c r="K179" s="32">
        <f>Source!P51</f>
        <v>90.67</v>
      </c>
      <c r="L179" s="33"/>
    </row>
    <row r="180" spans="1:26" ht="14.25" x14ac:dyDescent="0.2">
      <c r="A180" s="47"/>
      <c r="B180" s="48"/>
      <c r="C180" s="48" t="s">
        <v>776</v>
      </c>
      <c r="D180" s="29" t="s">
        <v>777</v>
      </c>
      <c r="E180" s="26">
        <f>Source!BZ51</f>
        <v>105</v>
      </c>
      <c r="F180" s="65" t="str">
        <f>CONCATENATE(" )", Source!DL51, Source!FT51, "=", Source!FX51)</f>
        <v xml:space="preserve"> )*0,9=94,5</v>
      </c>
      <c r="G180" s="66"/>
      <c r="H180" s="32">
        <f>SUM(S174:S182)</f>
        <v>208.95</v>
      </c>
      <c r="I180" s="34"/>
      <c r="J180" s="28">
        <f>Source!AT51</f>
        <v>95</v>
      </c>
      <c r="K180" s="32">
        <f>SUM(T174:T182)</f>
        <v>210.05</v>
      </c>
      <c r="L180" s="33"/>
    </row>
    <row r="181" spans="1:26" ht="14.25" x14ac:dyDescent="0.2">
      <c r="A181" s="47"/>
      <c r="B181" s="48"/>
      <c r="C181" s="48" t="s">
        <v>778</v>
      </c>
      <c r="D181" s="29" t="s">
        <v>777</v>
      </c>
      <c r="E181" s="26">
        <f>Source!CA51</f>
        <v>65</v>
      </c>
      <c r="F181" s="65" t="str">
        <f>CONCATENATE(" )", Source!DM51, Source!FU51, "=", Source!FY51)</f>
        <v xml:space="preserve"> )*0,85=55,25</v>
      </c>
      <c r="G181" s="66"/>
      <c r="H181" s="32">
        <f>SUM(U174:U182)</f>
        <v>122.16</v>
      </c>
      <c r="I181" s="34"/>
      <c r="J181" s="28">
        <f>Source!AU51</f>
        <v>55</v>
      </c>
      <c r="K181" s="32">
        <f>SUM(V174:V182)</f>
        <v>121.61</v>
      </c>
      <c r="L181" s="33"/>
    </row>
    <row r="182" spans="1:26" ht="14.25" x14ac:dyDescent="0.2">
      <c r="A182" s="49"/>
      <c r="B182" s="50"/>
      <c r="C182" s="50" t="s">
        <v>779</v>
      </c>
      <c r="D182" s="36" t="s">
        <v>780</v>
      </c>
      <c r="E182" s="37">
        <f>Source!AQ51</f>
        <v>180</v>
      </c>
      <c r="F182" s="38"/>
      <c r="G182" s="41" t="str">
        <f>Source!DI51</f>
        <v>)*1,15)*1,15</v>
      </c>
      <c r="H182" s="40"/>
      <c r="I182" s="41"/>
      <c r="J182" s="41"/>
      <c r="K182" s="40"/>
      <c r="L182" s="44">
        <f>Source!U51</f>
        <v>23.835946499999995</v>
      </c>
    </row>
    <row r="183" spans="1:26" ht="15" x14ac:dyDescent="0.25">
      <c r="G183" s="62">
        <f>H176+H177+H179+H180+H181</f>
        <v>836.2299999999999</v>
      </c>
      <c r="H183" s="62"/>
      <c r="J183" s="62">
        <f>K176+K177+K179+K180+K181</f>
        <v>836.78000000000009</v>
      </c>
      <c r="K183" s="62"/>
      <c r="L183" s="43">
        <f>Source!U51</f>
        <v>23.835946499999995</v>
      </c>
      <c r="O183" s="21">
        <f>G183</f>
        <v>836.2299999999999</v>
      </c>
      <c r="P183" s="21">
        <f>J183</f>
        <v>836.78000000000009</v>
      </c>
      <c r="Q183" s="21">
        <f>L183</f>
        <v>23.835946499999995</v>
      </c>
      <c r="W183">
        <f>IF(Source!BI51&lt;=1,H176+H177+H179+H180+H181, 0)</f>
        <v>836.2299999999999</v>
      </c>
      <c r="X183">
        <f>IF(Source!BI51=2,H176+H177+H179+H180+H181, 0)</f>
        <v>0</v>
      </c>
      <c r="Y183">
        <f>IF(Source!BI51=3,H176+H177+H179+H180+H181, 0)</f>
        <v>0</v>
      </c>
      <c r="Z183">
        <f>IF(Source!BI51=4,H176+H177+H179+H180+H181, 0)</f>
        <v>0</v>
      </c>
    </row>
    <row r="184" spans="1:26" ht="57" x14ac:dyDescent="0.2">
      <c r="A184" s="47" t="str">
        <f>Source!E52</f>
        <v>20</v>
      </c>
      <c r="B184" s="48" t="str">
        <f>Source!F52</f>
        <v>01-02-060-03</v>
      </c>
      <c r="C184" s="48" t="str">
        <f>Source!G52</f>
        <v>Погрузка вручную неуплотненного грунта из штабелей и отвалов в транспортные средства, группа грунтов 3</v>
      </c>
      <c r="D184" s="29" t="str">
        <f>Source!H52</f>
        <v>100 м3</v>
      </c>
      <c r="E184" s="26">
        <f>Source!I52</f>
        <v>0.2039</v>
      </c>
      <c r="F184" s="30">
        <f>Source!AL52+Source!AM52+Source!AO52</f>
        <v>625.73</v>
      </c>
      <c r="G184" s="31"/>
      <c r="H184" s="32"/>
      <c r="I184" s="31" t="str">
        <f>Source!BO52</f>
        <v/>
      </c>
      <c r="J184" s="31"/>
      <c r="K184" s="32"/>
      <c r="L184" s="33"/>
      <c r="S184">
        <f>ROUND((Source!FX52/100)*((ROUND(Source!AF52*Source!I52, 2)+ROUND(Source!AE52*Source!I52, 2))), 2)</f>
        <v>121.49</v>
      </c>
      <c r="T184">
        <f>Source!X52</f>
        <v>121.49</v>
      </c>
      <c r="U184">
        <f>ROUND((Source!FY52/100)*((ROUND(Source!AF52*Source!I52, 2)+ROUND(Source!AE52*Source!I52, 2))), 2)</f>
        <v>64.540000000000006</v>
      </c>
      <c r="V184">
        <f>Source!Y52</f>
        <v>64.12</v>
      </c>
    </row>
    <row r="185" spans="1:26" x14ac:dyDescent="0.2">
      <c r="C185" s="20" t="str">
        <f>"Объем: "&amp;Source!I52&amp;"=20,39/"&amp;"100"</f>
        <v>Объем: 0,2039=20,39/100</v>
      </c>
    </row>
    <row r="186" spans="1:26" ht="14.25" x14ac:dyDescent="0.2">
      <c r="A186" s="47"/>
      <c r="B186" s="48"/>
      <c r="C186" s="48" t="s">
        <v>775</v>
      </c>
      <c r="D186" s="29"/>
      <c r="E186" s="26"/>
      <c r="F186" s="30">
        <f>Source!AO52</f>
        <v>625.73</v>
      </c>
      <c r="G186" s="31" t="str">
        <f>Source!DG52</f>
        <v>)*1,15)*1,15</v>
      </c>
      <c r="H186" s="32">
        <f>ROUND(Source!AF52*Source!I52, 2)</f>
        <v>168.73</v>
      </c>
      <c r="I186" s="31"/>
      <c r="J186" s="31">
        <f>IF(Source!BA52&lt;&gt; 0, Source!BA52, 1)</f>
        <v>1</v>
      </c>
      <c r="K186" s="32">
        <f>Source!S52</f>
        <v>168.73</v>
      </c>
      <c r="L186" s="33"/>
      <c r="R186">
        <f>H186</f>
        <v>168.73</v>
      </c>
    </row>
    <row r="187" spans="1:26" ht="14.25" x14ac:dyDescent="0.2">
      <c r="A187" s="47"/>
      <c r="B187" s="48"/>
      <c r="C187" s="48" t="s">
        <v>776</v>
      </c>
      <c r="D187" s="29" t="s">
        <v>777</v>
      </c>
      <c r="E187" s="26">
        <f>Source!BZ52</f>
        <v>80</v>
      </c>
      <c r="F187" s="65" t="str">
        <f>CONCATENATE(" )", Source!DL52, Source!FT52, "=", Source!FX52)</f>
        <v xml:space="preserve"> )*0,9=72</v>
      </c>
      <c r="G187" s="66"/>
      <c r="H187" s="32">
        <f>SUM(S184:S189)</f>
        <v>121.49</v>
      </c>
      <c r="I187" s="34"/>
      <c r="J187" s="28">
        <f>Source!AT52</f>
        <v>72</v>
      </c>
      <c r="K187" s="32">
        <f>SUM(T184:T189)</f>
        <v>121.49</v>
      </c>
      <c r="L187" s="33"/>
    </row>
    <row r="188" spans="1:26" ht="14.25" x14ac:dyDescent="0.2">
      <c r="A188" s="47"/>
      <c r="B188" s="48"/>
      <c r="C188" s="48" t="s">
        <v>778</v>
      </c>
      <c r="D188" s="29" t="s">
        <v>777</v>
      </c>
      <c r="E188" s="26">
        <f>Source!CA52</f>
        <v>45</v>
      </c>
      <c r="F188" s="65" t="str">
        <f>CONCATENATE(" )", Source!DM52, Source!FU52, "=", Source!FY52)</f>
        <v xml:space="preserve"> )*0,85=38,25</v>
      </c>
      <c r="G188" s="66"/>
      <c r="H188" s="32">
        <f>SUM(U184:U189)</f>
        <v>64.540000000000006</v>
      </c>
      <c r="I188" s="34"/>
      <c r="J188" s="28">
        <f>Source!AU52</f>
        <v>38</v>
      </c>
      <c r="K188" s="32">
        <f>SUM(V184:V189)</f>
        <v>64.12</v>
      </c>
      <c r="L188" s="33"/>
    </row>
    <row r="189" spans="1:26" ht="14.25" x14ac:dyDescent="0.2">
      <c r="A189" s="49"/>
      <c r="B189" s="50"/>
      <c r="C189" s="50" t="s">
        <v>779</v>
      </c>
      <c r="D189" s="36" t="s">
        <v>780</v>
      </c>
      <c r="E189" s="37">
        <f>Source!AQ52</f>
        <v>83.43</v>
      </c>
      <c r="F189" s="38"/>
      <c r="G189" s="41" t="str">
        <f>Source!DI52</f>
        <v>)*1,15)*1,15</v>
      </c>
      <c r="H189" s="40"/>
      <c r="I189" s="41"/>
      <c r="J189" s="41"/>
      <c r="K189" s="40"/>
      <c r="L189" s="44">
        <f>Source!U52</f>
        <v>22.497546082499998</v>
      </c>
    </row>
    <row r="190" spans="1:26" ht="15" x14ac:dyDescent="0.25">
      <c r="G190" s="62">
        <f>H186+H187+H188</f>
        <v>354.76</v>
      </c>
      <c r="H190" s="62"/>
      <c r="J190" s="62">
        <f>K186+K187+K188</f>
        <v>354.34</v>
      </c>
      <c r="K190" s="62"/>
      <c r="L190" s="43">
        <f>Source!U52</f>
        <v>22.497546082499998</v>
      </c>
      <c r="O190" s="21">
        <f>G190</f>
        <v>354.76</v>
      </c>
      <c r="P190" s="21">
        <f>J190</f>
        <v>354.34</v>
      </c>
      <c r="Q190" s="21">
        <f>L190</f>
        <v>22.497546082499998</v>
      </c>
      <c r="W190">
        <f>IF(Source!BI52&lt;=1,H186+H187+H188, 0)</f>
        <v>354.76</v>
      </c>
      <c r="X190">
        <f>IF(Source!BI52=2,H186+H187+H188, 0)</f>
        <v>0</v>
      </c>
      <c r="Y190">
        <f>IF(Source!BI52=3,H186+H187+H188, 0)</f>
        <v>0</v>
      </c>
      <c r="Z190">
        <f>IF(Source!BI52=4,H186+H187+H188, 0)</f>
        <v>0</v>
      </c>
    </row>
    <row r="191" spans="1:26" ht="57" x14ac:dyDescent="0.2">
      <c r="A191" s="47" t="str">
        <f>Source!E53</f>
        <v>21</v>
      </c>
      <c r="B191" s="48" t="str">
        <f>Source!F53</f>
        <v>т03-21-01-025</v>
      </c>
      <c r="C191" s="48" t="str">
        <f>Source!G53</f>
        <v>Перевозка грузов I класса автомобилями-самосвалами грузоподъемностью 10 т работающих вне карьера на расстояние до 25 км</v>
      </c>
      <c r="D191" s="29" t="str">
        <f>Source!H53</f>
        <v>1 Т ГРУЗА</v>
      </c>
      <c r="E191" s="26">
        <f>Source!I53</f>
        <v>30.585000000000001</v>
      </c>
      <c r="F191" s="30">
        <f>Source!AK53</f>
        <v>17.32</v>
      </c>
      <c r="G191" s="31" t="str">
        <f>Source!DC53</f>
        <v/>
      </c>
      <c r="H191" s="32">
        <f>ROUND(Source!AB53*Source!I53, 2)</f>
        <v>529.73</v>
      </c>
      <c r="I191" s="31" t="str">
        <f>Source!BO53</f>
        <v/>
      </c>
      <c r="J191" s="31">
        <f>Source!AZ53</f>
        <v>1</v>
      </c>
      <c r="K191" s="32">
        <f>Source!GM53</f>
        <v>529.73</v>
      </c>
      <c r="L191" s="33"/>
      <c r="S191">
        <f>ROUND((Source!FX53/100)*((ROUND(0*Source!I53, 2)+ROUND(0*Source!I53, 2))), 2)</f>
        <v>0</v>
      </c>
      <c r="T191">
        <f>Source!X53</f>
        <v>0</v>
      </c>
      <c r="U191">
        <f>ROUND((Source!FY53/100)*((ROUND(0*Source!I53, 2)+ROUND(0*Source!I53, 2))), 2)</f>
        <v>0</v>
      </c>
      <c r="V191">
        <f>Source!Y53</f>
        <v>0</v>
      </c>
    </row>
    <row r="192" spans="1:26" x14ac:dyDescent="0.2">
      <c r="A192" s="23"/>
      <c r="B192" s="23"/>
      <c r="C192" s="24" t="str">
        <f>"Объем: "&amp;Source!I53&amp;"="&amp;Source!I52&amp;"*"&amp;"1,5*"&amp;"100"</f>
        <v>Объем: 30,585=0,2039*1,5*100</v>
      </c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1:26" ht="15" x14ac:dyDescent="0.25">
      <c r="G193" s="62">
        <f>H191</f>
        <v>529.73</v>
      </c>
      <c r="H193" s="62"/>
      <c r="J193" s="62">
        <f>K191</f>
        <v>529.73</v>
      </c>
      <c r="K193" s="62"/>
      <c r="L193" s="43">
        <f>Source!U53</f>
        <v>0</v>
      </c>
      <c r="O193" s="21">
        <f>G193</f>
        <v>529.73</v>
      </c>
      <c r="P193" s="21">
        <f>J193</f>
        <v>529.73</v>
      </c>
      <c r="Q193" s="21">
        <f>L193</f>
        <v>0</v>
      </c>
      <c r="W193">
        <f>IF(Source!BI53&lt;=1,H191, 0)</f>
        <v>529.73</v>
      </c>
      <c r="X193">
        <f>IF(Source!BI53=2,H191, 0)</f>
        <v>0</v>
      </c>
      <c r="Y193">
        <f>IF(Source!BI53=3,H191, 0)</f>
        <v>0</v>
      </c>
      <c r="Z193">
        <f>IF(Source!BI53=4,H191, 0)</f>
        <v>0</v>
      </c>
    </row>
    <row r="194" spans="1:26" ht="42.75" x14ac:dyDescent="0.2">
      <c r="A194" s="47" t="str">
        <f>Source!E54</f>
        <v>22</v>
      </c>
      <c r="B194" s="48" t="str">
        <f>Source!F54</f>
        <v>04.1.02.05-0007</v>
      </c>
      <c r="C194" s="48" t="str">
        <f>Source!G54</f>
        <v>Бетон тяжелый, класс В20 (М250) (бетонирование столбов, фундамента ФМ1 )</v>
      </c>
      <c r="D194" s="29" t="str">
        <f>Source!H54</f>
        <v>м3</v>
      </c>
      <c r="E194" s="26">
        <f>Source!I54</f>
        <v>20.27</v>
      </c>
      <c r="F194" s="30">
        <f>Source!AL54</f>
        <v>665</v>
      </c>
      <c r="G194" s="31" t="str">
        <f>Source!DD54</f>
        <v/>
      </c>
      <c r="H194" s="32">
        <f>ROUND(Source!AC54*Source!I54, 2)</f>
        <v>13479.55</v>
      </c>
      <c r="I194" s="31" t="str">
        <f>Source!BO54</f>
        <v/>
      </c>
      <c r="J194" s="31">
        <f>IF(Source!BC54&lt;&gt; 0, Source!BC54, 1)</f>
        <v>1</v>
      </c>
      <c r="K194" s="32">
        <f>Source!P54</f>
        <v>13479.55</v>
      </c>
      <c r="L194" s="33"/>
      <c r="S194">
        <f>ROUND((Source!FX54/100)*((ROUND(Source!AF54*Source!I54, 2)+ROUND(Source!AE54*Source!I54, 2))), 2)</f>
        <v>0</v>
      </c>
      <c r="T194">
        <f>Source!X54</f>
        <v>0</v>
      </c>
      <c r="U194">
        <f>ROUND((Source!FY54/100)*((ROUND(Source!AF54*Source!I54, 2)+ROUND(Source!AE54*Source!I54, 2))), 2)</f>
        <v>0</v>
      </c>
      <c r="V194">
        <f>Source!Y54</f>
        <v>0</v>
      </c>
    </row>
    <row r="195" spans="1:26" x14ac:dyDescent="0.2">
      <c r="A195" s="23"/>
      <c r="B195" s="23"/>
      <c r="C195" s="24" t="str">
        <f>"Объем: "&amp;Source!I54&amp;"=19,74+"&amp;"0,53"</f>
        <v>Объем: 20,27=19,74+0,53</v>
      </c>
      <c r="D195" s="23"/>
      <c r="E195" s="23"/>
      <c r="F195" s="23"/>
      <c r="G195" s="23"/>
      <c r="H195" s="23"/>
      <c r="I195" s="23"/>
      <c r="J195" s="23"/>
      <c r="K195" s="23"/>
      <c r="L195" s="23"/>
    </row>
    <row r="196" spans="1:26" ht="15" x14ac:dyDescent="0.25">
      <c r="G196" s="62">
        <f>H194</f>
        <v>13479.55</v>
      </c>
      <c r="H196" s="62"/>
      <c r="J196" s="62">
        <f>K194</f>
        <v>13479.55</v>
      </c>
      <c r="K196" s="62"/>
      <c r="L196" s="43">
        <f>Source!U54</f>
        <v>0</v>
      </c>
      <c r="O196" s="21">
        <f>G196</f>
        <v>13479.55</v>
      </c>
      <c r="P196" s="21">
        <f>J196</f>
        <v>13479.55</v>
      </c>
      <c r="Q196" s="21">
        <f>L196</f>
        <v>0</v>
      </c>
      <c r="W196">
        <f>IF(Source!BI54&lt;=1,H194, 0)</f>
        <v>13479.55</v>
      </c>
      <c r="X196">
        <f>IF(Source!BI54=2,H194, 0)</f>
        <v>0</v>
      </c>
      <c r="Y196">
        <f>IF(Source!BI54=3,H194, 0)</f>
        <v>0</v>
      </c>
      <c r="Z196">
        <f>IF(Source!BI54=4,H194, 0)</f>
        <v>0</v>
      </c>
    </row>
    <row r="197" spans="1:26" ht="57" x14ac:dyDescent="0.2">
      <c r="A197" s="49" t="str">
        <f>Source!E55</f>
        <v>23</v>
      </c>
      <c r="B197" s="50" t="str">
        <f>Source!F55</f>
        <v>23.3.08.01-0122</v>
      </c>
      <c r="C197" s="50" t="str">
        <f>Source!G55</f>
        <v>Трубы стальные квадратные из стали марки ст1-3сп/пс размером 100х100 мм, толщина стенки 5 мм (Столбы металлические)</v>
      </c>
      <c r="D197" s="36" t="str">
        <f>Source!H55</f>
        <v>т</v>
      </c>
      <c r="E197" s="37">
        <f>Source!I55</f>
        <v>6.5019999999999998</v>
      </c>
      <c r="F197" s="38">
        <f>Source!AL55</f>
        <v>7028.18</v>
      </c>
      <c r="G197" s="41" t="str">
        <f>Source!DD55</f>
        <v/>
      </c>
      <c r="H197" s="40">
        <f>ROUND(Source!AC55*Source!I55, 2)</f>
        <v>45697.23</v>
      </c>
      <c r="I197" s="41" t="str">
        <f>Source!BO55</f>
        <v/>
      </c>
      <c r="J197" s="41">
        <f>IF(Source!BC55&lt;&gt; 0, Source!BC55, 1)</f>
        <v>1</v>
      </c>
      <c r="K197" s="40">
        <f>Source!P55</f>
        <v>45697.23</v>
      </c>
      <c r="L197" s="42"/>
      <c r="S197">
        <f>ROUND((Source!FX55/100)*((ROUND(Source!AF55*Source!I55, 2)+ROUND(Source!AE55*Source!I55, 2))), 2)</f>
        <v>0</v>
      </c>
      <c r="T197">
        <f>Source!X55</f>
        <v>0</v>
      </c>
      <c r="U197">
        <f>ROUND((Source!FY55/100)*((ROUND(Source!AF55*Source!I55, 2)+ROUND(Source!AE55*Source!I55, 2))), 2)</f>
        <v>0</v>
      </c>
      <c r="V197">
        <f>Source!Y55</f>
        <v>0</v>
      </c>
    </row>
    <row r="198" spans="1:26" ht="15" x14ac:dyDescent="0.25">
      <c r="G198" s="62">
        <f>H197</f>
        <v>45697.23</v>
      </c>
      <c r="H198" s="62"/>
      <c r="J198" s="62">
        <f>K197</f>
        <v>45697.23</v>
      </c>
      <c r="K198" s="62"/>
      <c r="L198" s="43">
        <f>Source!U55</f>
        <v>0</v>
      </c>
      <c r="O198" s="21">
        <f>G198</f>
        <v>45697.23</v>
      </c>
      <c r="P198" s="21">
        <f>J198</f>
        <v>45697.23</v>
      </c>
      <c r="Q198" s="21">
        <f>L198</f>
        <v>0</v>
      </c>
      <c r="W198">
        <f>IF(Source!BI55&lt;=1,H197, 0)</f>
        <v>45697.23</v>
      </c>
      <c r="X198">
        <f>IF(Source!BI55=2,H197, 0)</f>
        <v>0</v>
      </c>
      <c r="Y198">
        <f>IF(Source!BI55=3,H197, 0)</f>
        <v>0</v>
      </c>
      <c r="Z198">
        <f>IF(Source!BI55=4,H197, 0)</f>
        <v>0</v>
      </c>
    </row>
    <row r="199" spans="1:26" ht="28.5" x14ac:dyDescent="0.2">
      <c r="A199" s="49" t="str">
        <f>Source!E56</f>
        <v>24</v>
      </c>
      <c r="B199" s="50" t="str">
        <f>Source!F56</f>
        <v>08.3.05.02-0061</v>
      </c>
      <c r="C199" s="50" t="str">
        <f>Source!G56</f>
        <v>Сталь листовая горячекатаная марки Ст3 толщиной 10-13 мм</v>
      </c>
      <c r="D199" s="36" t="str">
        <f>Source!H56</f>
        <v>т</v>
      </c>
      <c r="E199" s="37">
        <f>Source!I56</f>
        <v>0.114</v>
      </c>
      <c r="F199" s="38">
        <f>Source!AL56</f>
        <v>6671.97</v>
      </c>
      <c r="G199" s="41" t="str">
        <f>Source!DD56</f>
        <v/>
      </c>
      <c r="H199" s="40">
        <f>ROUND(Source!AC56*Source!I56, 2)</f>
        <v>760.6</v>
      </c>
      <c r="I199" s="41" t="str">
        <f>Source!BO56</f>
        <v/>
      </c>
      <c r="J199" s="41">
        <f>IF(Source!BC56&lt;&gt; 0, Source!BC56, 1)</f>
        <v>1</v>
      </c>
      <c r="K199" s="40">
        <f>Source!P56</f>
        <v>760.6</v>
      </c>
      <c r="L199" s="42"/>
      <c r="S199">
        <f>ROUND((Source!FX56/100)*((ROUND(Source!AF56*Source!I56, 2)+ROUND(Source!AE56*Source!I56, 2))), 2)</f>
        <v>0</v>
      </c>
      <c r="T199">
        <f>Source!X56</f>
        <v>0</v>
      </c>
      <c r="U199">
        <f>ROUND((Source!FY56/100)*((ROUND(Source!AF56*Source!I56, 2)+ROUND(Source!AE56*Source!I56, 2))), 2)</f>
        <v>0</v>
      </c>
      <c r="V199">
        <f>Source!Y56</f>
        <v>0</v>
      </c>
    </row>
    <row r="200" spans="1:26" ht="15" x14ac:dyDescent="0.25">
      <c r="G200" s="62">
        <f>H199</f>
        <v>760.6</v>
      </c>
      <c r="H200" s="62"/>
      <c r="J200" s="62">
        <f>K199</f>
        <v>760.6</v>
      </c>
      <c r="K200" s="62"/>
      <c r="L200" s="43">
        <f>Source!U56</f>
        <v>0</v>
      </c>
      <c r="O200" s="21">
        <f>G200</f>
        <v>760.6</v>
      </c>
      <c r="P200" s="21">
        <f>J200</f>
        <v>760.6</v>
      </c>
      <c r="Q200" s="21">
        <f>L200</f>
        <v>0</v>
      </c>
      <c r="W200">
        <f>IF(Source!BI56&lt;=1,H199, 0)</f>
        <v>760.6</v>
      </c>
      <c r="X200">
        <f>IF(Source!BI56=2,H199, 0)</f>
        <v>0</v>
      </c>
      <c r="Y200">
        <f>IF(Source!BI56=3,H199, 0)</f>
        <v>0</v>
      </c>
      <c r="Z200">
        <f>IF(Source!BI56=4,H199, 0)</f>
        <v>0</v>
      </c>
    </row>
    <row r="201" spans="1:26" ht="28.5" x14ac:dyDescent="0.2">
      <c r="A201" s="49" t="str">
        <f>Source!E57</f>
        <v>25</v>
      </c>
      <c r="B201" s="50" t="str">
        <f>Source!F57</f>
        <v>01.7.04.09-0012</v>
      </c>
      <c r="C201" s="50" t="str">
        <f>Source!G57</f>
        <v>Петля накладная</v>
      </c>
      <c r="D201" s="36" t="str">
        <f>Source!H57</f>
        <v>шт.</v>
      </c>
      <c r="E201" s="37">
        <f>Source!I57</f>
        <v>6</v>
      </c>
      <c r="F201" s="38">
        <f>Source!AL57</f>
        <v>12</v>
      </c>
      <c r="G201" s="41" t="str">
        <f>Source!DD57</f>
        <v/>
      </c>
      <c r="H201" s="40">
        <f>ROUND(Source!AC57*Source!I57, 2)</f>
        <v>72</v>
      </c>
      <c r="I201" s="41" t="str">
        <f>Source!BO57</f>
        <v/>
      </c>
      <c r="J201" s="41">
        <f>IF(Source!BC57&lt;&gt; 0, Source!BC57, 1)</f>
        <v>1</v>
      </c>
      <c r="K201" s="40">
        <f>Source!P57</f>
        <v>72</v>
      </c>
      <c r="L201" s="42"/>
      <c r="S201">
        <f>ROUND((Source!FX57/100)*((ROUND(Source!AF57*Source!I57, 2)+ROUND(Source!AE57*Source!I57, 2))), 2)</f>
        <v>0</v>
      </c>
      <c r="T201">
        <f>Source!X57</f>
        <v>0</v>
      </c>
      <c r="U201">
        <f>ROUND((Source!FY57/100)*((ROUND(Source!AF57*Source!I57, 2)+ROUND(Source!AE57*Source!I57, 2))), 2)</f>
        <v>0</v>
      </c>
      <c r="V201">
        <f>Source!Y57</f>
        <v>0</v>
      </c>
    </row>
    <row r="202" spans="1:26" ht="15" x14ac:dyDescent="0.25">
      <c r="G202" s="62">
        <f>H201</f>
        <v>72</v>
      </c>
      <c r="H202" s="62"/>
      <c r="J202" s="62">
        <f>K201</f>
        <v>72</v>
      </c>
      <c r="K202" s="62"/>
      <c r="L202" s="43">
        <f>Source!U57</f>
        <v>0</v>
      </c>
      <c r="O202" s="21">
        <f>G202</f>
        <v>72</v>
      </c>
      <c r="P202" s="21">
        <f>J202</f>
        <v>72</v>
      </c>
      <c r="Q202" s="21">
        <f>L202</f>
        <v>0</v>
      </c>
      <c r="W202">
        <f>IF(Source!BI57&lt;=1,H201, 0)</f>
        <v>72</v>
      </c>
      <c r="X202">
        <f>IF(Source!BI57=2,H201, 0)</f>
        <v>0</v>
      </c>
      <c r="Y202">
        <f>IF(Source!BI57=3,H201, 0)</f>
        <v>0</v>
      </c>
      <c r="Z202">
        <f>IF(Source!BI57=4,H201, 0)</f>
        <v>0</v>
      </c>
    </row>
    <row r="203" spans="1:26" ht="57" x14ac:dyDescent="0.2">
      <c r="A203" s="47" t="str">
        <f>Source!E58</f>
        <v>26</v>
      </c>
      <c r="B203" s="48" t="str">
        <f>Source!F58</f>
        <v>07.2.07.04-0014</v>
      </c>
      <c r="C203" s="48" t="str">
        <f>Source!G58</f>
        <v>Прочие индивидуальные сварные конструкции, масса сборочной единицы от 0,1 до 0,5 т (Прим. Секция С-1 (Основная секция -88шт)</v>
      </c>
      <c r="D203" s="29" t="str">
        <f>Source!H58</f>
        <v>т</v>
      </c>
      <c r="E203" s="26">
        <f>Source!I58</f>
        <v>15.49803</v>
      </c>
      <c r="F203" s="30">
        <f>Source!AL58</f>
        <v>10046</v>
      </c>
      <c r="G203" s="31" t="str">
        <f>Source!DD58</f>
        <v/>
      </c>
      <c r="H203" s="32">
        <f>ROUND(Source!AC58*Source!I58, 2)</f>
        <v>155693.21</v>
      </c>
      <c r="I203" s="31" t="str">
        <f>Source!BO58</f>
        <v/>
      </c>
      <c r="J203" s="31">
        <f>IF(Source!BC58&lt;&gt; 0, Source!BC58, 1)</f>
        <v>1</v>
      </c>
      <c r="K203" s="32">
        <f>Source!P58</f>
        <v>155693.21</v>
      </c>
      <c r="L203" s="33"/>
      <c r="S203">
        <f>ROUND((Source!FX58/100)*((ROUND(Source!AF58*Source!I58, 2)+ROUND(Source!AE58*Source!I58, 2))), 2)</f>
        <v>0</v>
      </c>
      <c r="T203">
        <f>Source!X58</f>
        <v>0</v>
      </c>
      <c r="U203">
        <f>ROUND((Source!FY58/100)*((ROUND(Source!AF58*Source!I58, 2)+ROUND(Source!AE58*Source!I58, 2))), 2)</f>
        <v>0</v>
      </c>
      <c r="V203">
        <f>Source!Y58</f>
        <v>0</v>
      </c>
    </row>
    <row r="204" spans="1:26" x14ac:dyDescent="0.2">
      <c r="A204" s="23"/>
      <c r="B204" s="23"/>
      <c r="C204" s="24" t="str">
        <f>"Объем: "&amp;Source!I58&amp;"=15498,03/"&amp;"1000"</f>
        <v>Объем: 15,49803=15498,03/1000</v>
      </c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1:26" ht="15" x14ac:dyDescent="0.25">
      <c r="G205" s="62">
        <f>H203</f>
        <v>155693.21</v>
      </c>
      <c r="H205" s="62"/>
      <c r="J205" s="62">
        <f>K203</f>
        <v>155693.21</v>
      </c>
      <c r="K205" s="62"/>
      <c r="L205" s="43">
        <f>Source!U58</f>
        <v>0</v>
      </c>
      <c r="O205" s="21">
        <f>G205</f>
        <v>155693.21</v>
      </c>
      <c r="P205" s="21">
        <f>J205</f>
        <v>155693.21</v>
      </c>
      <c r="Q205" s="21">
        <f>L205</f>
        <v>0</v>
      </c>
      <c r="W205">
        <f>IF(Source!BI58&lt;=1,H203, 0)</f>
        <v>155693.21</v>
      </c>
      <c r="X205">
        <f>IF(Source!BI58=2,H203, 0)</f>
        <v>0</v>
      </c>
      <c r="Y205">
        <f>IF(Source!BI58=3,H203, 0)</f>
        <v>0</v>
      </c>
      <c r="Z205">
        <f>IF(Source!BI58=4,H203, 0)</f>
        <v>0</v>
      </c>
    </row>
    <row r="206" spans="1:26" ht="57" x14ac:dyDescent="0.2">
      <c r="A206" s="49" t="str">
        <f>Source!E59</f>
        <v>27</v>
      </c>
      <c r="B206" s="50" t="str">
        <f>Source!F59</f>
        <v>07.2.07.04-0014</v>
      </c>
      <c r="C206" s="50" t="str">
        <f>Source!G59</f>
        <v>Прочие индивидуальные сварные конструкции, масса сборочной единицы от 0,1 до 0,5 т   (Калитка К—1)</v>
      </c>
      <c r="D206" s="36" t="str">
        <f>Source!H59</f>
        <v>т</v>
      </c>
      <c r="E206" s="37">
        <f>Source!I59</f>
        <v>8.0299999999999996E-2</v>
      </c>
      <c r="F206" s="38">
        <f>Source!AL59</f>
        <v>10046</v>
      </c>
      <c r="G206" s="41" t="str">
        <f>Source!DD59</f>
        <v/>
      </c>
      <c r="H206" s="40">
        <f>ROUND(Source!AC59*Source!I59, 2)</f>
        <v>806.69</v>
      </c>
      <c r="I206" s="41" t="str">
        <f>Source!BO59</f>
        <v/>
      </c>
      <c r="J206" s="41">
        <f>IF(Source!BC59&lt;&gt; 0, Source!BC59, 1)</f>
        <v>1</v>
      </c>
      <c r="K206" s="40">
        <f>Source!P59</f>
        <v>806.69</v>
      </c>
      <c r="L206" s="42"/>
      <c r="S206">
        <f>ROUND((Source!FX59/100)*((ROUND(Source!AF59*Source!I59, 2)+ROUND(Source!AE59*Source!I59, 2))), 2)</f>
        <v>0</v>
      </c>
      <c r="T206">
        <f>Source!X59</f>
        <v>0</v>
      </c>
      <c r="U206">
        <f>ROUND((Source!FY59/100)*((ROUND(Source!AF59*Source!I59, 2)+ROUND(Source!AE59*Source!I59, 2))), 2)</f>
        <v>0</v>
      </c>
      <c r="V206">
        <f>Source!Y59</f>
        <v>0</v>
      </c>
    </row>
    <row r="207" spans="1:26" ht="15" x14ac:dyDescent="0.25">
      <c r="G207" s="62">
        <f>H206</f>
        <v>806.69</v>
      </c>
      <c r="H207" s="62"/>
      <c r="J207" s="62">
        <f>K206</f>
        <v>806.69</v>
      </c>
      <c r="K207" s="62"/>
      <c r="L207" s="43">
        <f>Source!U59</f>
        <v>0</v>
      </c>
      <c r="O207" s="21">
        <f>G207</f>
        <v>806.69</v>
      </c>
      <c r="P207" s="21">
        <f>J207</f>
        <v>806.69</v>
      </c>
      <c r="Q207" s="21">
        <f>L207</f>
        <v>0</v>
      </c>
      <c r="W207">
        <f>IF(Source!BI59&lt;=1,H206, 0)</f>
        <v>806.69</v>
      </c>
      <c r="X207">
        <f>IF(Source!BI59=2,H206, 0)</f>
        <v>0</v>
      </c>
      <c r="Y207">
        <f>IF(Source!BI59=3,H206, 0)</f>
        <v>0</v>
      </c>
      <c r="Z207">
        <f>IF(Source!BI59=4,H206, 0)</f>
        <v>0</v>
      </c>
    </row>
    <row r="208" spans="1:26" ht="42.75" x14ac:dyDescent="0.2">
      <c r="A208" s="49" t="str">
        <f>Source!E60</f>
        <v>28</v>
      </c>
      <c r="B208" s="50" t="str">
        <f>Source!F60</f>
        <v>07.2.07.04-0014</v>
      </c>
      <c r="C208" s="50" t="str">
        <f>Source!G60</f>
        <v>Прочие индивидуальные сварные конструкции, масса сборочной единицы от 0,1 до 0,5 т   (Ворота В-1)</v>
      </c>
      <c r="D208" s="36" t="str">
        <f>Source!H60</f>
        <v>т</v>
      </c>
      <c r="E208" s="37">
        <f>Source!I60</f>
        <v>0.41536000000000001</v>
      </c>
      <c r="F208" s="38">
        <f>Source!AL60</f>
        <v>10046</v>
      </c>
      <c r="G208" s="41" t="str">
        <f>Source!DD60</f>
        <v/>
      </c>
      <c r="H208" s="40">
        <f>ROUND(Source!AC60*Source!I60, 2)</f>
        <v>4172.71</v>
      </c>
      <c r="I208" s="41" t="str">
        <f>Source!BO60</f>
        <v/>
      </c>
      <c r="J208" s="41">
        <f>IF(Source!BC60&lt;&gt; 0, Source!BC60, 1)</f>
        <v>1</v>
      </c>
      <c r="K208" s="40">
        <f>Source!P60</f>
        <v>4172.71</v>
      </c>
      <c r="L208" s="42"/>
      <c r="S208">
        <f>ROUND((Source!FX60/100)*((ROUND(Source!AF60*Source!I60, 2)+ROUND(Source!AE60*Source!I60, 2))), 2)</f>
        <v>0</v>
      </c>
      <c r="T208">
        <f>Source!X60</f>
        <v>0</v>
      </c>
      <c r="U208">
        <f>ROUND((Source!FY60/100)*((ROUND(Source!AF60*Source!I60, 2)+ROUND(Source!AE60*Source!I60, 2))), 2)</f>
        <v>0</v>
      </c>
      <c r="V208">
        <f>Source!Y60</f>
        <v>0</v>
      </c>
    </row>
    <row r="209" spans="1:26" ht="15" x14ac:dyDescent="0.25">
      <c r="G209" s="62">
        <f>H208</f>
        <v>4172.71</v>
      </c>
      <c r="H209" s="62"/>
      <c r="J209" s="62">
        <f>K208</f>
        <v>4172.71</v>
      </c>
      <c r="K209" s="62"/>
      <c r="L209" s="43">
        <f>Source!U60</f>
        <v>0</v>
      </c>
      <c r="O209" s="21">
        <f>G209</f>
        <v>4172.71</v>
      </c>
      <c r="P209" s="21">
        <f>J209</f>
        <v>4172.71</v>
      </c>
      <c r="Q209" s="21">
        <f>L209</f>
        <v>0</v>
      </c>
      <c r="W209">
        <f>IF(Source!BI60&lt;=1,H208, 0)</f>
        <v>4172.71</v>
      </c>
      <c r="X209">
        <f>IF(Source!BI60=2,H208, 0)</f>
        <v>0</v>
      </c>
      <c r="Y209">
        <f>IF(Source!BI60=3,H208, 0)</f>
        <v>0</v>
      </c>
      <c r="Z209">
        <f>IF(Source!BI60=4,H208, 0)</f>
        <v>0</v>
      </c>
    </row>
    <row r="210" spans="1:26" ht="42.75" x14ac:dyDescent="0.2">
      <c r="A210" s="49" t="str">
        <f>Source!E61</f>
        <v>29</v>
      </c>
      <c r="B210" s="50" t="str">
        <f>Source!F61</f>
        <v>07.2.07.04-0014</v>
      </c>
      <c r="C210" s="50" t="str">
        <f>Source!G61</f>
        <v>Прочие индивидуальные сварные конструкции, масса сборочной единицы от 0,1 до 0,5 т   (Ворота В-2)</v>
      </c>
      <c r="D210" s="36" t="str">
        <f>Source!H61</f>
        <v>т</v>
      </c>
      <c r="E210" s="37">
        <f>Source!I61</f>
        <v>0.35920999999999997</v>
      </c>
      <c r="F210" s="38">
        <f>Source!AL61</f>
        <v>10046</v>
      </c>
      <c r="G210" s="41" t="str">
        <f>Source!DD61</f>
        <v/>
      </c>
      <c r="H210" s="40">
        <f>ROUND(Source!AC61*Source!I61, 2)</f>
        <v>3608.62</v>
      </c>
      <c r="I210" s="41" t="str">
        <f>Source!BO61</f>
        <v/>
      </c>
      <c r="J210" s="41">
        <f>IF(Source!BC61&lt;&gt; 0, Source!BC61, 1)</f>
        <v>1</v>
      </c>
      <c r="K210" s="40">
        <f>Source!P61</f>
        <v>3608.62</v>
      </c>
      <c r="L210" s="42"/>
      <c r="S210">
        <f>ROUND((Source!FX61/100)*((ROUND(Source!AF61*Source!I61, 2)+ROUND(Source!AE61*Source!I61, 2))), 2)</f>
        <v>0</v>
      </c>
      <c r="T210">
        <f>Source!X61</f>
        <v>0</v>
      </c>
      <c r="U210">
        <f>ROUND((Source!FY61/100)*((ROUND(Source!AF61*Source!I61, 2)+ROUND(Source!AE61*Source!I61, 2))), 2)</f>
        <v>0</v>
      </c>
      <c r="V210">
        <f>Source!Y61</f>
        <v>0</v>
      </c>
    </row>
    <row r="211" spans="1:26" ht="15" x14ac:dyDescent="0.25">
      <c r="G211" s="62">
        <f>H210</f>
        <v>3608.62</v>
      </c>
      <c r="H211" s="62"/>
      <c r="J211" s="62">
        <f>K210</f>
        <v>3608.62</v>
      </c>
      <c r="K211" s="62"/>
      <c r="L211" s="43">
        <f>Source!U61</f>
        <v>0</v>
      </c>
      <c r="O211" s="21">
        <f>G211</f>
        <v>3608.62</v>
      </c>
      <c r="P211" s="21">
        <f>J211</f>
        <v>3608.62</v>
      </c>
      <c r="Q211" s="21">
        <f>L211</f>
        <v>0</v>
      </c>
      <c r="W211">
        <f>IF(Source!BI61&lt;=1,H210, 0)</f>
        <v>3608.62</v>
      </c>
      <c r="X211">
        <f>IF(Source!BI61=2,H210, 0)</f>
        <v>0</v>
      </c>
      <c r="Y211">
        <f>IF(Source!BI61=3,H210, 0)</f>
        <v>0</v>
      </c>
      <c r="Z211">
        <f>IF(Source!BI61=4,H210, 0)</f>
        <v>0</v>
      </c>
    </row>
    <row r="212" spans="1:26" ht="57" x14ac:dyDescent="0.2">
      <c r="A212" s="49" t="str">
        <f>Source!E62</f>
        <v>30</v>
      </c>
      <c r="B212" s="50" t="str">
        <f>Source!F62</f>
        <v>08.4.03.04-3066</v>
      </c>
      <c r="C212" s="50" t="str">
        <f>Source!G62</f>
        <v>Заготовки арматурные (стержни, хомуты и т.п.), не собранные в каркасы или сетки: Арматура класс A-III, диаметр 12-14 мм</v>
      </c>
      <c r="D212" s="36" t="str">
        <f>Source!H62</f>
        <v>т</v>
      </c>
      <c r="E212" s="37">
        <f>Source!I62</f>
        <v>1.362E-2</v>
      </c>
      <c r="F212" s="38">
        <f>Source!AL62</f>
        <v>6805.76</v>
      </c>
      <c r="G212" s="41" t="str">
        <f>Source!DD62</f>
        <v/>
      </c>
      <c r="H212" s="40">
        <f>ROUND(Source!AC62*Source!I62, 2)</f>
        <v>92.69</v>
      </c>
      <c r="I212" s="41" t="str">
        <f>Source!BO62</f>
        <v/>
      </c>
      <c r="J212" s="41">
        <f>IF(Source!BC62&lt;&gt; 0, Source!BC62, 1)</f>
        <v>1</v>
      </c>
      <c r="K212" s="40">
        <f>Source!P62</f>
        <v>92.69</v>
      </c>
      <c r="L212" s="42"/>
      <c r="S212">
        <f>ROUND((Source!FX62/100)*((ROUND(Source!AF62*Source!I62, 2)+ROUND(Source!AE62*Source!I62, 2))), 2)</f>
        <v>0</v>
      </c>
      <c r="T212">
        <f>Source!X62</f>
        <v>0</v>
      </c>
      <c r="U212">
        <f>ROUND((Source!FY62/100)*((ROUND(Source!AF62*Source!I62, 2)+ROUND(Source!AE62*Source!I62, 2))), 2)</f>
        <v>0</v>
      </c>
      <c r="V212">
        <f>Source!Y62</f>
        <v>0</v>
      </c>
    </row>
    <row r="213" spans="1:26" ht="15" x14ac:dyDescent="0.25">
      <c r="G213" s="62">
        <f>H212</f>
        <v>92.69</v>
      </c>
      <c r="H213" s="62"/>
      <c r="J213" s="62">
        <f>K212</f>
        <v>92.69</v>
      </c>
      <c r="K213" s="62"/>
      <c r="L213" s="43">
        <f>Source!U62</f>
        <v>0</v>
      </c>
      <c r="O213" s="21">
        <f>G213</f>
        <v>92.69</v>
      </c>
      <c r="P213" s="21">
        <f>J213</f>
        <v>92.69</v>
      </c>
      <c r="Q213" s="21">
        <f>L213</f>
        <v>0</v>
      </c>
      <c r="W213">
        <f>IF(Source!BI62&lt;=1,H212, 0)</f>
        <v>92.69</v>
      </c>
      <c r="X213">
        <f>IF(Source!BI62=2,H212, 0)</f>
        <v>0</v>
      </c>
      <c r="Y213">
        <f>IF(Source!BI62=3,H212, 0)</f>
        <v>0</v>
      </c>
      <c r="Z213">
        <f>IF(Source!BI62=4,H212, 0)</f>
        <v>0</v>
      </c>
    </row>
    <row r="214" spans="1:26" ht="28.5" x14ac:dyDescent="0.2">
      <c r="A214" s="49" t="str">
        <f>Source!E63</f>
        <v>31</v>
      </c>
      <c r="B214" s="50" t="str">
        <f>Source!F63</f>
        <v>08.4.01.02-3003</v>
      </c>
      <c r="C214" s="50" t="str">
        <f>Source!G63</f>
        <v>Детали закладные, масса свыше 5 кг</v>
      </c>
      <c r="D214" s="36" t="str">
        <f>Source!H63</f>
        <v>т</v>
      </c>
      <c r="E214" s="37">
        <f>Source!I63</f>
        <v>3.3160000000000002E-2</v>
      </c>
      <c r="F214" s="38">
        <f>Source!AL63</f>
        <v>13564.33</v>
      </c>
      <c r="G214" s="41" t="str">
        <f>Source!DD63</f>
        <v/>
      </c>
      <c r="H214" s="40">
        <f>ROUND(Source!AC63*Source!I63, 2)</f>
        <v>449.79</v>
      </c>
      <c r="I214" s="41" t="str">
        <f>Source!BO63</f>
        <v/>
      </c>
      <c r="J214" s="41">
        <f>IF(Source!BC63&lt;&gt; 0, Source!BC63, 1)</f>
        <v>1</v>
      </c>
      <c r="K214" s="40">
        <f>Source!P63</f>
        <v>449.79</v>
      </c>
      <c r="L214" s="42"/>
      <c r="S214">
        <f>ROUND((Source!FX63/100)*((ROUND(Source!AF63*Source!I63, 2)+ROUND(Source!AE63*Source!I63, 2))), 2)</f>
        <v>0</v>
      </c>
      <c r="T214">
        <f>Source!X63</f>
        <v>0</v>
      </c>
      <c r="U214">
        <f>ROUND((Source!FY63/100)*((ROUND(Source!AF63*Source!I63, 2)+ROUND(Source!AE63*Source!I63, 2))), 2)</f>
        <v>0</v>
      </c>
      <c r="V214">
        <f>Source!Y63</f>
        <v>0</v>
      </c>
    </row>
    <row r="215" spans="1:26" ht="15" x14ac:dyDescent="0.25">
      <c r="G215" s="62">
        <f>H214</f>
        <v>449.79</v>
      </c>
      <c r="H215" s="62"/>
      <c r="J215" s="62">
        <f>K214</f>
        <v>449.79</v>
      </c>
      <c r="K215" s="62"/>
      <c r="L215" s="43">
        <f>Source!U63</f>
        <v>0</v>
      </c>
      <c r="O215" s="21">
        <f>G215</f>
        <v>449.79</v>
      </c>
      <c r="P215" s="21">
        <f>J215</f>
        <v>449.79</v>
      </c>
      <c r="Q215" s="21">
        <f>L215</f>
        <v>0</v>
      </c>
      <c r="W215">
        <f>IF(Source!BI63&lt;=1,H214, 0)</f>
        <v>449.79</v>
      </c>
      <c r="X215">
        <f>IF(Source!BI63=2,H214, 0)</f>
        <v>0</v>
      </c>
      <c r="Y215">
        <f>IF(Source!BI63=3,H214, 0)</f>
        <v>0</v>
      </c>
      <c r="Z215">
        <f>IF(Source!BI63=4,H214, 0)</f>
        <v>0</v>
      </c>
    </row>
    <row r="217" spans="1:26" ht="15" x14ac:dyDescent="0.25">
      <c r="A217" s="64" t="str">
        <f>CONCATENATE("Итого по разделу: ",IF(Source!G65&lt;&gt;"Новый раздел", Source!G65, ""))</f>
        <v>Итого по разделу: Металическое ограждение</v>
      </c>
      <c r="B217" s="64"/>
      <c r="C217" s="64"/>
      <c r="D217" s="64"/>
      <c r="E217" s="64"/>
      <c r="F217" s="64"/>
      <c r="G217" s="63">
        <f>SUM(O32:O216)</f>
        <v>285412.69</v>
      </c>
      <c r="H217" s="63"/>
      <c r="I217" s="27"/>
      <c r="J217" s="63"/>
      <c r="K217" s="63"/>
      <c r="L217" s="43">
        <f>SUM(Q32:Q216)</f>
        <v>1909.8609750482503</v>
      </c>
    </row>
    <row r="221" spans="1:26" ht="16.5" x14ac:dyDescent="0.25">
      <c r="A221" s="67" t="str">
        <f>CONCATENATE("Раздел: ",IF(Source!G94&lt;&gt;"Новый раздел", Source!G94, ""))</f>
        <v>Раздел: Прочие работы</v>
      </c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</row>
    <row r="223" spans="1:26" ht="16.5" x14ac:dyDescent="0.25">
      <c r="A223" s="67" t="str">
        <f>CONCATENATE("Подраздел: ",IF(Source!G98&lt;&gt;"Новый подраздел", Source!G98, ""))</f>
        <v>Подраздел: Укладка пешеходных дорожек</v>
      </c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</row>
    <row r="224" spans="1:26" ht="57" x14ac:dyDescent="0.2">
      <c r="A224" s="47" t="str">
        <f>Source!E102</f>
        <v>32</v>
      </c>
      <c r="B224" s="48" t="s">
        <v>787</v>
      </c>
      <c r="C224" s="48" t="str">
        <f>Source!G102</f>
        <v>Разборка асфальтобетонных покрытий тротуаров толщиной до 4 см с помощью молотков отбойных пневматических</v>
      </c>
      <c r="D224" s="29" t="str">
        <f>Source!H102</f>
        <v>1000 м2</v>
      </c>
      <c r="E224" s="26">
        <f>Source!I102</f>
        <v>0.24299999999999999</v>
      </c>
      <c r="F224" s="30">
        <f>Source!AL102+Source!AM102+Source!AO102</f>
        <v>1965.05</v>
      </c>
      <c r="G224" s="31"/>
      <c r="H224" s="32"/>
      <c r="I224" s="31" t="str">
        <f>Source!BO102</f>
        <v/>
      </c>
      <c r="J224" s="31"/>
      <c r="K224" s="32"/>
      <c r="L224" s="33"/>
      <c r="S224">
        <f>ROUND((Source!FX102/100)*((ROUND(Source!AF102*Source!I102, 2)+ROUND(Source!AE102*Source!I102, 2))), 2)</f>
        <v>185.4</v>
      </c>
      <c r="T224">
        <f>Source!X102</f>
        <v>185.4</v>
      </c>
      <c r="U224">
        <f>ROUND((Source!FY102/100)*((ROUND(Source!AF102*Source!I102, 2)+ROUND(Source!AE102*Source!I102, 2))), 2)</f>
        <v>106.96</v>
      </c>
      <c r="V224">
        <f>Source!Y102</f>
        <v>106.96</v>
      </c>
    </row>
    <row r="225" spans="1:26" x14ac:dyDescent="0.2">
      <c r="C225" s="20" t="str">
        <f>"Объем: "&amp;Source!I102&amp;"=243/"&amp;"1000"</f>
        <v>Объем: 0,243=243/1000</v>
      </c>
    </row>
    <row r="226" spans="1:26" ht="14.25" x14ac:dyDescent="0.2">
      <c r="A226" s="47"/>
      <c r="B226" s="48"/>
      <c r="C226" s="48" t="s">
        <v>775</v>
      </c>
      <c r="D226" s="29"/>
      <c r="E226" s="26"/>
      <c r="F226" s="30">
        <f>Source!AO102</f>
        <v>479.99</v>
      </c>
      <c r="G226" s="31" t="str">
        <f>Source!DG102</f>
        <v>)*1,15</v>
      </c>
      <c r="H226" s="32">
        <f>ROUND(Source!AF102*Source!I102, 2)</f>
        <v>134.13</v>
      </c>
      <c r="I226" s="31"/>
      <c r="J226" s="31">
        <f>IF(Source!BA102&lt;&gt; 0, Source!BA102, 1)</f>
        <v>1</v>
      </c>
      <c r="K226" s="32">
        <f>Source!S102</f>
        <v>134.13</v>
      </c>
      <c r="L226" s="33"/>
      <c r="R226">
        <f>H226</f>
        <v>134.13</v>
      </c>
    </row>
    <row r="227" spans="1:26" ht="14.25" x14ac:dyDescent="0.2">
      <c r="A227" s="47"/>
      <c r="B227" s="48"/>
      <c r="C227" s="48" t="s">
        <v>227</v>
      </c>
      <c r="D227" s="29"/>
      <c r="E227" s="26"/>
      <c r="F227" s="30">
        <f>Source!AM102</f>
        <v>1485.06</v>
      </c>
      <c r="G227" s="31" t="str">
        <f>Source!DE102</f>
        <v>)*1,15</v>
      </c>
      <c r="H227" s="32">
        <f>ROUND(Source!AD102*Source!I102, 2)</f>
        <v>415</v>
      </c>
      <c r="I227" s="31"/>
      <c r="J227" s="31">
        <f>IF(Source!BB102&lt;&gt; 0, Source!BB102, 1)</f>
        <v>1</v>
      </c>
      <c r="K227" s="32">
        <f>Source!Q102</f>
        <v>415</v>
      </c>
      <c r="L227" s="33"/>
    </row>
    <row r="228" spans="1:26" ht="14.25" x14ac:dyDescent="0.2">
      <c r="A228" s="47"/>
      <c r="B228" s="48"/>
      <c r="C228" s="48" t="s">
        <v>782</v>
      </c>
      <c r="D228" s="29"/>
      <c r="E228" s="26"/>
      <c r="F228" s="30">
        <f>Source!AN102</f>
        <v>157.94</v>
      </c>
      <c r="G228" s="31" t="str">
        <f>Source!DF102</f>
        <v>)*1,15</v>
      </c>
      <c r="H228" s="45">
        <f>ROUND(Source!AE102*Source!I102, 2)</f>
        <v>44.14</v>
      </c>
      <c r="I228" s="31"/>
      <c r="J228" s="31">
        <f>IF(Source!BS102&lt;&gt; 0, Source!BS102, 1)</f>
        <v>1</v>
      </c>
      <c r="K228" s="45">
        <f>Source!R102</f>
        <v>44.14</v>
      </c>
      <c r="L228" s="33"/>
      <c r="R228">
        <f>H228</f>
        <v>44.14</v>
      </c>
    </row>
    <row r="229" spans="1:26" ht="14.25" x14ac:dyDescent="0.2">
      <c r="A229" s="47"/>
      <c r="B229" s="48"/>
      <c r="C229" s="48" t="s">
        <v>776</v>
      </c>
      <c r="D229" s="29" t="s">
        <v>777</v>
      </c>
      <c r="E229" s="26">
        <f>Source!BZ102</f>
        <v>104</v>
      </c>
      <c r="F229" s="51"/>
      <c r="G229" s="31"/>
      <c r="H229" s="32">
        <f>SUM(S224:S231)</f>
        <v>185.4</v>
      </c>
      <c r="I229" s="34"/>
      <c r="J229" s="28">
        <f>Source!AT102</f>
        <v>104</v>
      </c>
      <c r="K229" s="32">
        <f>SUM(T224:T231)</f>
        <v>185.4</v>
      </c>
      <c r="L229" s="33"/>
    </row>
    <row r="230" spans="1:26" ht="14.25" x14ac:dyDescent="0.2">
      <c r="A230" s="47"/>
      <c r="B230" s="48"/>
      <c r="C230" s="48" t="s">
        <v>778</v>
      </c>
      <c r="D230" s="29" t="s">
        <v>777</v>
      </c>
      <c r="E230" s="26">
        <f>Source!CA102</f>
        <v>60</v>
      </c>
      <c r="F230" s="51"/>
      <c r="G230" s="31"/>
      <c r="H230" s="32">
        <f>SUM(U224:U231)</f>
        <v>106.96</v>
      </c>
      <c r="I230" s="34"/>
      <c r="J230" s="28">
        <f>Source!AU102</f>
        <v>60</v>
      </c>
      <c r="K230" s="32">
        <f>SUM(V224:V231)</f>
        <v>106.96</v>
      </c>
      <c r="L230" s="33"/>
    </row>
    <row r="231" spans="1:26" ht="14.25" x14ac:dyDescent="0.2">
      <c r="A231" s="49"/>
      <c r="B231" s="50"/>
      <c r="C231" s="50" t="s">
        <v>779</v>
      </c>
      <c r="D231" s="36" t="s">
        <v>780</v>
      </c>
      <c r="E231" s="37">
        <f>Source!AQ102</f>
        <v>57.76</v>
      </c>
      <c r="F231" s="38"/>
      <c r="G231" s="41" t="str">
        <f>Source!DI102</f>
        <v>)*1,15</v>
      </c>
      <c r="H231" s="40"/>
      <c r="I231" s="41"/>
      <c r="J231" s="41"/>
      <c r="K231" s="40"/>
      <c r="L231" s="44">
        <f>Source!U102</f>
        <v>16.141031999999999</v>
      </c>
    </row>
    <row r="232" spans="1:26" ht="15" x14ac:dyDescent="0.25">
      <c r="G232" s="62">
        <f>H226+H227+H229+H230</f>
        <v>841.49</v>
      </c>
      <c r="H232" s="62"/>
      <c r="J232" s="62">
        <f>K226+K227+K229+K230</f>
        <v>841.49</v>
      </c>
      <c r="K232" s="62"/>
      <c r="L232" s="43">
        <f>Source!U102</f>
        <v>16.141031999999999</v>
      </c>
      <c r="O232" s="21">
        <f>G232</f>
        <v>841.49</v>
      </c>
      <c r="P232" s="21">
        <f>J232</f>
        <v>841.49</v>
      </c>
      <c r="Q232" s="21">
        <f>L232</f>
        <v>16.141031999999999</v>
      </c>
      <c r="W232">
        <f>IF(Source!BI102&lt;=1,H226+H227+H229+H230, 0)</f>
        <v>841.49</v>
      </c>
      <c r="X232">
        <f>IF(Source!BI102=2,H226+H227+H229+H230, 0)</f>
        <v>0</v>
      </c>
      <c r="Y232">
        <f>IF(Source!BI102=3,H226+H227+H229+H230, 0)</f>
        <v>0</v>
      </c>
      <c r="Z232">
        <f>IF(Source!BI102=4,H226+H227+H229+H230, 0)</f>
        <v>0</v>
      </c>
    </row>
    <row r="233" spans="1:26" ht="52.5" x14ac:dyDescent="0.2">
      <c r="A233" s="47" t="str">
        <f>Source!E103</f>
        <v>33</v>
      </c>
      <c r="B233" s="48" t="s">
        <v>788</v>
      </c>
      <c r="C233" s="48" t="str">
        <f>Source!G103</f>
        <v>Разборка покрытий и оснований щебеночных (25см)</v>
      </c>
      <c r="D233" s="29" t="str">
        <f>Source!H103</f>
        <v>100 м3</v>
      </c>
      <c r="E233" s="26">
        <f>Source!I103</f>
        <v>0.60750000000000004</v>
      </c>
      <c r="F233" s="30">
        <f>Source!AL103+Source!AM103+Source!AO103</f>
        <v>596.32999999999993</v>
      </c>
      <c r="G233" s="31"/>
      <c r="H233" s="32"/>
      <c r="I233" s="31" t="str">
        <f>Source!BO103</f>
        <v/>
      </c>
      <c r="J233" s="31"/>
      <c r="K233" s="32"/>
      <c r="L233" s="33"/>
      <c r="S233">
        <f>ROUND((Source!FX103/100)*((ROUND(Source!AF103*Source!I103, 2)+ROUND(Source!AE103*Source!I103, 2))), 2)</f>
        <v>147.91999999999999</v>
      </c>
      <c r="T233">
        <f>Source!X103</f>
        <v>147.91999999999999</v>
      </c>
      <c r="U233">
        <f>ROUND((Source!FY103/100)*((ROUND(Source!AF103*Source!I103, 2)+ROUND(Source!AE103*Source!I103, 2))), 2)</f>
        <v>85.34</v>
      </c>
      <c r="V233">
        <f>Source!Y103</f>
        <v>85.34</v>
      </c>
    </row>
    <row r="234" spans="1:26" x14ac:dyDescent="0.2">
      <c r="C234" s="20" t="str">
        <f>"Объем: "&amp;Source!I103&amp;"=("&amp;Source!I102&amp;"*"&amp;"0,25)*"&amp;"10"</f>
        <v>Объем: 0,6075=(0,243*0,25)*10</v>
      </c>
    </row>
    <row r="235" spans="1:26" ht="14.25" x14ac:dyDescent="0.2">
      <c r="A235" s="47"/>
      <c r="B235" s="48"/>
      <c r="C235" s="48" t="s">
        <v>775</v>
      </c>
      <c r="D235" s="29"/>
      <c r="E235" s="26"/>
      <c r="F235" s="30">
        <f>Source!AO103</f>
        <v>144.57</v>
      </c>
      <c r="G235" s="31" t="str">
        <f>Source!DG103</f>
        <v>)*1,15</v>
      </c>
      <c r="H235" s="32">
        <f>ROUND(Source!AF103*Source!I103, 2)</f>
        <v>101</v>
      </c>
      <c r="I235" s="31"/>
      <c r="J235" s="31">
        <f>IF(Source!BA103&lt;&gt; 0, Source!BA103, 1)</f>
        <v>1</v>
      </c>
      <c r="K235" s="32">
        <f>Source!S103</f>
        <v>101</v>
      </c>
      <c r="L235" s="33"/>
      <c r="R235">
        <f>H235</f>
        <v>101</v>
      </c>
    </row>
    <row r="236" spans="1:26" ht="14.25" x14ac:dyDescent="0.2">
      <c r="A236" s="47"/>
      <c r="B236" s="48"/>
      <c r="C236" s="48" t="s">
        <v>227</v>
      </c>
      <c r="D236" s="29"/>
      <c r="E236" s="26"/>
      <c r="F236" s="30">
        <f>Source!AM103</f>
        <v>451.76</v>
      </c>
      <c r="G236" s="31" t="str">
        <f>Source!DE103</f>
        <v>)*1,15</v>
      </c>
      <c r="H236" s="32">
        <f>ROUND(Source!AD103*Source!I103, 2)</f>
        <v>315.61</v>
      </c>
      <c r="I236" s="31"/>
      <c r="J236" s="31">
        <f>IF(Source!BB103&lt;&gt; 0, Source!BB103, 1)</f>
        <v>1</v>
      </c>
      <c r="K236" s="32">
        <f>Source!Q103</f>
        <v>315.61</v>
      </c>
      <c r="L236" s="33"/>
    </row>
    <row r="237" spans="1:26" ht="14.25" x14ac:dyDescent="0.2">
      <c r="A237" s="47"/>
      <c r="B237" s="48"/>
      <c r="C237" s="48" t="s">
        <v>782</v>
      </c>
      <c r="D237" s="29"/>
      <c r="E237" s="26"/>
      <c r="F237" s="30">
        <f>Source!AN103</f>
        <v>59.02</v>
      </c>
      <c r="G237" s="31" t="str">
        <f>Source!DF103</f>
        <v>)*1,15</v>
      </c>
      <c r="H237" s="45">
        <f>ROUND(Source!AE103*Source!I103, 2)</f>
        <v>41.23</v>
      </c>
      <c r="I237" s="31"/>
      <c r="J237" s="31">
        <f>IF(Source!BS103&lt;&gt; 0, Source!BS103, 1)</f>
        <v>1</v>
      </c>
      <c r="K237" s="45">
        <f>Source!R103</f>
        <v>41.23</v>
      </c>
      <c r="L237" s="33"/>
      <c r="R237">
        <f>H237</f>
        <v>41.23</v>
      </c>
    </row>
    <row r="238" spans="1:26" ht="14.25" x14ac:dyDescent="0.2">
      <c r="A238" s="47"/>
      <c r="B238" s="48"/>
      <c r="C238" s="48" t="s">
        <v>776</v>
      </c>
      <c r="D238" s="29" t="s">
        <v>777</v>
      </c>
      <c r="E238" s="26">
        <f>Source!BZ103</f>
        <v>104</v>
      </c>
      <c r="F238" s="51"/>
      <c r="G238" s="31"/>
      <c r="H238" s="32">
        <f>SUM(S233:S240)</f>
        <v>147.91999999999999</v>
      </c>
      <c r="I238" s="34"/>
      <c r="J238" s="28">
        <f>Source!AT103</f>
        <v>104</v>
      </c>
      <c r="K238" s="32">
        <f>SUM(T233:T240)</f>
        <v>147.91999999999999</v>
      </c>
      <c r="L238" s="33"/>
    </row>
    <row r="239" spans="1:26" ht="14.25" x14ac:dyDescent="0.2">
      <c r="A239" s="47"/>
      <c r="B239" s="48"/>
      <c r="C239" s="48" t="s">
        <v>778</v>
      </c>
      <c r="D239" s="29" t="s">
        <v>777</v>
      </c>
      <c r="E239" s="26">
        <f>Source!CA103</f>
        <v>60</v>
      </c>
      <c r="F239" s="51"/>
      <c r="G239" s="31"/>
      <c r="H239" s="32">
        <f>SUM(U233:U240)</f>
        <v>85.34</v>
      </c>
      <c r="I239" s="34"/>
      <c r="J239" s="28">
        <f>Source!AU103</f>
        <v>60</v>
      </c>
      <c r="K239" s="32">
        <f>SUM(V233:V240)</f>
        <v>85.34</v>
      </c>
      <c r="L239" s="33"/>
    </row>
    <row r="240" spans="1:26" ht="14.25" x14ac:dyDescent="0.2">
      <c r="A240" s="49"/>
      <c r="B240" s="50"/>
      <c r="C240" s="50" t="s">
        <v>779</v>
      </c>
      <c r="D240" s="36" t="s">
        <v>780</v>
      </c>
      <c r="E240" s="37">
        <f>Source!AQ103</f>
        <v>18.37</v>
      </c>
      <c r="F240" s="38"/>
      <c r="G240" s="41" t="str">
        <f>Source!DI103</f>
        <v>)*1,15</v>
      </c>
      <c r="H240" s="40"/>
      <c r="I240" s="41"/>
      <c r="J240" s="41"/>
      <c r="K240" s="40"/>
      <c r="L240" s="44">
        <f>Source!U103</f>
        <v>12.833741250000001</v>
      </c>
    </row>
    <row r="241" spans="1:26" ht="15" x14ac:dyDescent="0.25">
      <c r="G241" s="62">
        <f>H235+H236+H238+H239</f>
        <v>649.87</v>
      </c>
      <c r="H241" s="62"/>
      <c r="J241" s="62">
        <f>K235+K236+K238+K239</f>
        <v>649.87</v>
      </c>
      <c r="K241" s="62"/>
      <c r="L241" s="43">
        <f>Source!U103</f>
        <v>12.833741250000001</v>
      </c>
      <c r="O241" s="21">
        <f>G241</f>
        <v>649.87</v>
      </c>
      <c r="P241" s="21">
        <f>J241</f>
        <v>649.87</v>
      </c>
      <c r="Q241" s="21">
        <f>L241</f>
        <v>12.833741250000001</v>
      </c>
      <c r="W241">
        <f>IF(Source!BI103&lt;=1,H235+H236+H238+H239, 0)</f>
        <v>649.87</v>
      </c>
      <c r="X241">
        <f>IF(Source!BI103=2,H235+H236+H238+H239, 0)</f>
        <v>0</v>
      </c>
      <c r="Y241">
        <f>IF(Source!BI103=3,H235+H236+H238+H239, 0)</f>
        <v>0</v>
      </c>
      <c r="Z241">
        <f>IF(Source!BI103=4,H235+H236+H238+H239, 0)</f>
        <v>0</v>
      </c>
    </row>
    <row r="242" spans="1:26" ht="57" x14ac:dyDescent="0.2">
      <c r="A242" s="47" t="str">
        <f>Source!E104</f>
        <v>34</v>
      </c>
      <c r="B242" s="48" t="str">
        <f>Source!F104</f>
        <v>т01-01-01-042</v>
      </c>
      <c r="C242" s="48" t="str">
        <f>Source!G104</f>
        <v>Погрузочные работы при автомобильных перевозках мусора строительного с погрузкой транспортерами</v>
      </c>
      <c r="D242" s="29" t="str">
        <f>Source!H104</f>
        <v>1 Т ГРУЗА</v>
      </c>
      <c r="E242" s="26">
        <f>Source!I104</f>
        <v>101.4525</v>
      </c>
      <c r="F242" s="30">
        <f>Source!AK104</f>
        <v>7.96</v>
      </c>
      <c r="G242" s="31" t="str">
        <f>Source!DC104</f>
        <v/>
      </c>
      <c r="H242" s="32">
        <f>ROUND(Source!AB104*Source!I104, 2)</f>
        <v>807.56</v>
      </c>
      <c r="I242" s="31" t="str">
        <f>Source!BO104</f>
        <v/>
      </c>
      <c r="J242" s="31">
        <f>Source!AZ104</f>
        <v>1</v>
      </c>
      <c r="K242" s="32">
        <f>Source!GM104</f>
        <v>807.56</v>
      </c>
      <c r="L242" s="33"/>
      <c r="S242">
        <f>ROUND((Source!FX104/100)*((ROUND(0*Source!I104, 2)+ROUND(0*Source!I104, 2))), 2)</f>
        <v>0</v>
      </c>
      <c r="T242">
        <f>Source!X104</f>
        <v>0</v>
      </c>
      <c r="U242">
        <f>ROUND((Source!FY104/100)*((ROUND(0*Source!I104, 2)+ROUND(0*Source!I104, 2))), 2)</f>
        <v>0</v>
      </c>
      <c r="V242">
        <f>Source!Y104</f>
        <v>0</v>
      </c>
    </row>
    <row r="243" spans="1:26" ht="25.5" x14ac:dyDescent="0.2">
      <c r="A243" s="23"/>
      <c r="B243" s="23"/>
      <c r="C243" s="24" t="str">
        <f>"Объем: "&amp;Source!I104&amp;"="&amp;Source!I103&amp;"*"&amp;"1,35*"&amp;"100+"&amp;""&amp;Source!I102&amp;"*"&amp;"1000*"&amp;"0,04*"&amp;"2"</f>
        <v>Объем: 101,4525=0,6075*1,35*100+0,243*1000*0,04*2</v>
      </c>
      <c r="D243" s="23"/>
      <c r="E243" s="23"/>
      <c r="F243" s="23"/>
      <c r="G243" s="23"/>
      <c r="H243" s="23"/>
      <c r="I243" s="23"/>
      <c r="J243" s="23"/>
      <c r="K243" s="23"/>
      <c r="L243" s="23"/>
    </row>
    <row r="244" spans="1:26" ht="15" x14ac:dyDescent="0.25">
      <c r="G244" s="62">
        <f>H242</f>
        <v>807.56</v>
      </c>
      <c r="H244" s="62"/>
      <c r="J244" s="62">
        <f>K242</f>
        <v>807.56</v>
      </c>
      <c r="K244" s="62"/>
      <c r="L244" s="43">
        <f>Source!U104</f>
        <v>0</v>
      </c>
      <c r="O244" s="21">
        <f>G244</f>
        <v>807.56</v>
      </c>
      <c r="P244" s="21">
        <f>J244</f>
        <v>807.56</v>
      </c>
      <c r="Q244" s="21">
        <f>L244</f>
        <v>0</v>
      </c>
      <c r="W244">
        <f>IF(Source!BI104&lt;=1,H242, 0)</f>
        <v>807.56</v>
      </c>
      <c r="X244">
        <f>IF(Source!BI104=2,H242, 0)</f>
        <v>0</v>
      </c>
      <c r="Y244">
        <f>IF(Source!BI104=3,H242, 0)</f>
        <v>0</v>
      </c>
      <c r="Z244">
        <f>IF(Source!BI104=4,H242, 0)</f>
        <v>0</v>
      </c>
    </row>
    <row r="245" spans="1:26" ht="57" x14ac:dyDescent="0.2">
      <c r="A245" s="49" t="str">
        <f>Source!E105</f>
        <v>35</v>
      </c>
      <c r="B245" s="50" t="str">
        <f>Source!F105</f>
        <v>т03-21-01-025</v>
      </c>
      <c r="C245" s="50" t="str">
        <f>Source!G105</f>
        <v>Перевозка грузов I класса автомобилями-самосвалами грузоподъемностью 10 т работающих вне карьера на расстояние до 25 км</v>
      </c>
      <c r="D245" s="36" t="str">
        <f>Source!H105</f>
        <v>1 Т ГРУЗА</v>
      </c>
      <c r="E245" s="37">
        <f>Source!I105</f>
        <v>101.4525</v>
      </c>
      <c r="F245" s="38">
        <f>Source!AK105</f>
        <v>17.32</v>
      </c>
      <c r="G245" s="41" t="str">
        <f>Source!DC105</f>
        <v/>
      </c>
      <c r="H245" s="40">
        <f>ROUND(Source!AB105*Source!I105, 2)</f>
        <v>1757.16</v>
      </c>
      <c r="I245" s="41" t="str">
        <f>Source!BO105</f>
        <v/>
      </c>
      <c r="J245" s="41">
        <f>Source!AZ105</f>
        <v>1</v>
      </c>
      <c r="K245" s="40">
        <f>Source!GM105</f>
        <v>1757.16</v>
      </c>
      <c r="L245" s="42"/>
      <c r="S245">
        <f>ROUND((Source!FX105/100)*((ROUND(0*Source!I105, 2)+ROUND(0*Source!I105, 2))), 2)</f>
        <v>0</v>
      </c>
      <c r="T245">
        <f>Source!X105</f>
        <v>0</v>
      </c>
      <c r="U245">
        <f>ROUND((Source!FY105/100)*((ROUND(0*Source!I105, 2)+ROUND(0*Source!I105, 2))), 2)</f>
        <v>0</v>
      </c>
      <c r="V245">
        <f>Source!Y105</f>
        <v>0</v>
      </c>
    </row>
    <row r="246" spans="1:26" ht="15" x14ac:dyDescent="0.25">
      <c r="G246" s="62">
        <f>H245</f>
        <v>1757.16</v>
      </c>
      <c r="H246" s="62"/>
      <c r="J246" s="62">
        <f>K245</f>
        <v>1757.16</v>
      </c>
      <c r="K246" s="62"/>
      <c r="L246" s="43">
        <f>Source!U105</f>
        <v>0</v>
      </c>
      <c r="O246" s="21">
        <f>G246</f>
        <v>1757.16</v>
      </c>
      <c r="P246" s="21">
        <f>J246</f>
        <v>1757.16</v>
      </c>
      <c r="Q246" s="21">
        <f>L246</f>
        <v>0</v>
      </c>
      <c r="W246">
        <f>IF(Source!BI105&lt;=1,H245, 0)</f>
        <v>1757.16</v>
      </c>
      <c r="X246">
        <f>IF(Source!BI105=2,H245, 0)</f>
        <v>0</v>
      </c>
      <c r="Y246">
        <f>IF(Source!BI105=3,H245, 0)</f>
        <v>0</v>
      </c>
      <c r="Z246">
        <f>IF(Source!BI105=4,H245, 0)</f>
        <v>0</v>
      </c>
    </row>
    <row r="247" spans="1:26" ht="78" x14ac:dyDescent="0.2">
      <c r="A247" s="47" t="str">
        <f>Source!E106</f>
        <v>36</v>
      </c>
      <c r="B247" s="48" t="s">
        <v>789</v>
      </c>
      <c r="C247" s="48" t="str">
        <f>Source!G106</f>
        <v>Устройство подстилающих и выравнивающих слоев оснований из песка (10см)</v>
      </c>
      <c r="D247" s="29" t="str">
        <f>Source!H106</f>
        <v>100 м3</v>
      </c>
      <c r="E247" s="26">
        <f>Source!I106</f>
        <v>0.24299999999999999</v>
      </c>
      <c r="F247" s="30">
        <f>Source!AL106+Source!AM106+Source!AO106</f>
        <v>2281.9899999999998</v>
      </c>
      <c r="G247" s="31"/>
      <c r="H247" s="32"/>
      <c r="I247" s="31" t="str">
        <f>Source!BO106</f>
        <v/>
      </c>
      <c r="J247" s="31"/>
      <c r="K247" s="32"/>
      <c r="L247" s="33"/>
      <c r="S247">
        <f>ROUND((Source!FX106/100)*((ROUND(Source!AF106*Source!I106, 2)+ROUND(Source!AE106*Source!I106, 2))), 2)</f>
        <v>131.05000000000001</v>
      </c>
      <c r="T247">
        <f>Source!X106</f>
        <v>131.25</v>
      </c>
      <c r="U247">
        <f>ROUND((Source!FY106/100)*((ROUND(Source!AF106*Source!I106, 2)+ROUND(Source!AE106*Source!I106, 2))), 2)</f>
        <v>82.8</v>
      </c>
      <c r="V247">
        <f>Source!Y106</f>
        <v>83.06</v>
      </c>
    </row>
    <row r="248" spans="1:26" x14ac:dyDescent="0.2">
      <c r="C248" s="20" t="str">
        <f>"Объем: "&amp;Source!I106&amp;"=(243*"&amp;"0,1)/"&amp;"100"</f>
        <v>Объем: 0,243=(243*0,1)/100</v>
      </c>
    </row>
    <row r="249" spans="1:26" ht="14.25" x14ac:dyDescent="0.2">
      <c r="A249" s="47"/>
      <c r="B249" s="48"/>
      <c r="C249" s="48" t="s">
        <v>775</v>
      </c>
      <c r="D249" s="29"/>
      <c r="E249" s="26"/>
      <c r="F249" s="30">
        <f>Source!AO106</f>
        <v>126.07</v>
      </c>
      <c r="G249" s="31" t="str">
        <f>Source!DG106</f>
        <v>)*1,15)*1,15</v>
      </c>
      <c r="H249" s="32">
        <f>ROUND(Source!AF106*Source!I106, 2)</f>
        <v>40.51</v>
      </c>
      <c r="I249" s="31"/>
      <c r="J249" s="31">
        <f>IF(Source!BA106&lt;&gt; 0, Source!BA106, 1)</f>
        <v>1</v>
      </c>
      <c r="K249" s="32">
        <f>Source!S106</f>
        <v>40.51</v>
      </c>
      <c r="L249" s="33"/>
      <c r="R249">
        <f>H249</f>
        <v>40.51</v>
      </c>
    </row>
    <row r="250" spans="1:26" ht="14.25" x14ac:dyDescent="0.2">
      <c r="A250" s="47"/>
      <c r="B250" s="48"/>
      <c r="C250" s="48" t="s">
        <v>227</v>
      </c>
      <c r="D250" s="29"/>
      <c r="E250" s="26"/>
      <c r="F250" s="30">
        <f>Source!AM106</f>
        <v>2143.7199999999998</v>
      </c>
      <c r="G250" s="31" t="str">
        <f>Source!DE106</f>
        <v>)*1,15)*1,25</v>
      </c>
      <c r="H250" s="32">
        <f>ROUND(Source!AD106*Source!I106, 2)</f>
        <v>748.83</v>
      </c>
      <c r="I250" s="31"/>
      <c r="J250" s="31">
        <f>IF(Source!BB106&lt;&gt; 0, Source!BB106, 1)</f>
        <v>1</v>
      </c>
      <c r="K250" s="32">
        <f>Source!Q106</f>
        <v>748.83</v>
      </c>
      <c r="L250" s="33"/>
    </row>
    <row r="251" spans="1:26" ht="14.25" x14ac:dyDescent="0.2">
      <c r="A251" s="47"/>
      <c r="B251" s="48"/>
      <c r="C251" s="48" t="s">
        <v>782</v>
      </c>
      <c r="D251" s="29"/>
      <c r="E251" s="26"/>
      <c r="F251" s="30">
        <f>Source!AN106</f>
        <v>177.59</v>
      </c>
      <c r="G251" s="31" t="str">
        <f>Source!DF106</f>
        <v>)*1,15)*1,25</v>
      </c>
      <c r="H251" s="45">
        <f>ROUND(Source!AE106*Source!I106, 2)</f>
        <v>62.03</v>
      </c>
      <c r="I251" s="31"/>
      <c r="J251" s="31">
        <f>IF(Source!BS106&lt;&gt; 0, Source!BS106, 1)</f>
        <v>1</v>
      </c>
      <c r="K251" s="45">
        <f>Source!R106</f>
        <v>62.03</v>
      </c>
      <c r="L251" s="33"/>
      <c r="R251">
        <f>H251</f>
        <v>62.03</v>
      </c>
    </row>
    <row r="252" spans="1:26" ht="14.25" x14ac:dyDescent="0.2">
      <c r="A252" s="47"/>
      <c r="B252" s="48"/>
      <c r="C252" s="48" t="s">
        <v>781</v>
      </c>
      <c r="D252" s="29"/>
      <c r="E252" s="26"/>
      <c r="F252" s="30">
        <f>Source!AL106</f>
        <v>12.2</v>
      </c>
      <c r="G252" s="31" t="str">
        <f>Source!DD106</f>
        <v/>
      </c>
      <c r="H252" s="32">
        <f>ROUND(Source!AC106*Source!I106, 2)</f>
        <v>2.96</v>
      </c>
      <c r="I252" s="31"/>
      <c r="J252" s="31">
        <f>IF(Source!BC106&lt;&gt; 0, Source!BC106, 1)</f>
        <v>1</v>
      </c>
      <c r="K252" s="32">
        <f>Source!P106</f>
        <v>2.96</v>
      </c>
      <c r="L252" s="33"/>
    </row>
    <row r="253" spans="1:26" ht="14.25" x14ac:dyDescent="0.2">
      <c r="A253" s="47"/>
      <c r="B253" s="48"/>
      <c r="C253" s="48" t="s">
        <v>776</v>
      </c>
      <c r="D253" s="29" t="s">
        <v>777</v>
      </c>
      <c r="E253" s="26">
        <f>Source!BZ106</f>
        <v>142</v>
      </c>
      <c r="F253" s="65" t="str">
        <f>CONCATENATE(" )", Source!DL106, Source!FT106, "=", Source!FX106)</f>
        <v xml:space="preserve"> )*0,9=127,8</v>
      </c>
      <c r="G253" s="66"/>
      <c r="H253" s="32">
        <f>SUM(S247:S256)</f>
        <v>131.05000000000001</v>
      </c>
      <c r="I253" s="34"/>
      <c r="J253" s="28">
        <f>Source!AT106</f>
        <v>128</v>
      </c>
      <c r="K253" s="32">
        <f>SUM(T247:T256)</f>
        <v>131.25</v>
      </c>
      <c r="L253" s="33"/>
    </row>
    <row r="254" spans="1:26" ht="14.25" x14ac:dyDescent="0.2">
      <c r="A254" s="47"/>
      <c r="B254" s="48"/>
      <c r="C254" s="48" t="s">
        <v>778</v>
      </c>
      <c r="D254" s="29" t="s">
        <v>777</v>
      </c>
      <c r="E254" s="26">
        <f>Source!CA106</f>
        <v>95</v>
      </c>
      <c r="F254" s="65" t="str">
        <f>CONCATENATE(" )", Source!DM106, Source!FU106, "=", Source!FY106)</f>
        <v xml:space="preserve"> )*0,85=80,75</v>
      </c>
      <c r="G254" s="66"/>
      <c r="H254" s="32">
        <f>SUM(U247:U256)</f>
        <v>82.8</v>
      </c>
      <c r="I254" s="34"/>
      <c r="J254" s="28">
        <f>Source!AU106</f>
        <v>81</v>
      </c>
      <c r="K254" s="32">
        <f>SUM(V247:V256)</f>
        <v>83.06</v>
      </c>
      <c r="L254" s="33"/>
    </row>
    <row r="255" spans="1:26" ht="14.25" x14ac:dyDescent="0.2">
      <c r="A255" s="47"/>
      <c r="B255" s="48"/>
      <c r="C255" s="48" t="s">
        <v>779</v>
      </c>
      <c r="D255" s="29" t="s">
        <v>780</v>
      </c>
      <c r="E255" s="26">
        <f>Source!AQ106</f>
        <v>15.72</v>
      </c>
      <c r="F255" s="30"/>
      <c r="G255" s="31" t="str">
        <f>Source!DI106</f>
        <v>)*1,15)*1,15</v>
      </c>
      <c r="H255" s="32"/>
      <c r="I255" s="31"/>
      <c r="J255" s="31"/>
      <c r="K255" s="32"/>
      <c r="L255" s="35">
        <f>Source!U106</f>
        <v>5.0518970999999988</v>
      </c>
    </row>
    <row r="256" spans="1:26" ht="28.5" x14ac:dyDescent="0.2">
      <c r="A256" s="49" t="str">
        <f>Source!E107</f>
        <v>36,1</v>
      </c>
      <c r="B256" s="50" t="str">
        <f>Source!F107</f>
        <v>02.3.01.02-0015</v>
      </c>
      <c r="C256" s="50" t="str">
        <f>Source!G107</f>
        <v>Песок природный для строительных работ средний</v>
      </c>
      <c r="D256" s="36" t="str">
        <f>Source!H107</f>
        <v>м3</v>
      </c>
      <c r="E256" s="37">
        <f>Source!I107</f>
        <v>24.786000000000001</v>
      </c>
      <c r="F256" s="38">
        <f>Source!AL107+Source!AM107+Source!AO107</f>
        <v>55.26</v>
      </c>
      <c r="G256" s="39" t="s">
        <v>3</v>
      </c>
      <c r="H256" s="40">
        <f>ROUND(Source!AC107*Source!I107, 2)+ROUND(Source!AD107*Source!I107, 2)+ROUND(Source!AF107*Source!I107, 2)</f>
        <v>1369.67</v>
      </c>
      <c r="I256" s="41"/>
      <c r="J256" s="41">
        <f>IF(Source!BC107&lt;&gt; 0, Source!BC107, 1)</f>
        <v>1</v>
      </c>
      <c r="K256" s="40">
        <f>Source!O107</f>
        <v>1369.67</v>
      </c>
      <c r="L256" s="42"/>
      <c r="S256">
        <f>ROUND((Source!FX107/100)*((ROUND(Source!AF107*Source!I107, 2)+ROUND(Source!AE107*Source!I107, 2))), 2)</f>
        <v>0</v>
      </c>
      <c r="T256">
        <f>Source!X107</f>
        <v>0</v>
      </c>
      <c r="U256">
        <f>ROUND((Source!FY107/100)*((ROUND(Source!AF107*Source!I107, 2)+ROUND(Source!AE107*Source!I107, 2))), 2)</f>
        <v>0</v>
      </c>
      <c r="V256">
        <f>Source!Y107</f>
        <v>0</v>
      </c>
      <c r="W256">
        <f>IF(Source!BI107&lt;=1,H256, 0)</f>
        <v>1369.67</v>
      </c>
      <c r="X256">
        <f>IF(Source!BI107=2,H256, 0)</f>
        <v>0</v>
      </c>
      <c r="Y256">
        <f>IF(Source!BI107=3,H256, 0)</f>
        <v>0</v>
      </c>
      <c r="Z256">
        <f>IF(Source!BI107=4,H256, 0)</f>
        <v>0</v>
      </c>
    </row>
    <row r="257" spans="1:26" ht="15" x14ac:dyDescent="0.25">
      <c r="G257" s="62">
        <f>H249+H250+H252+H253+H254+SUM(H256:H256)</f>
        <v>2375.8200000000002</v>
      </c>
      <c r="H257" s="62"/>
      <c r="J257" s="62">
        <f>K249+K250+K252+K253+K254+SUM(K256:K256)</f>
        <v>2376.2800000000002</v>
      </c>
      <c r="K257" s="62"/>
      <c r="L257" s="43">
        <f>Source!U106</f>
        <v>5.0518970999999988</v>
      </c>
      <c r="O257" s="21">
        <f>G257</f>
        <v>2375.8200000000002</v>
      </c>
      <c r="P257" s="21">
        <f>J257</f>
        <v>2376.2800000000002</v>
      </c>
      <c r="Q257" s="21">
        <f>L257</f>
        <v>5.0518970999999988</v>
      </c>
      <c r="W257">
        <f>IF(Source!BI106&lt;=1,H249+H250+H252+H253+H254, 0)</f>
        <v>1006.1500000000001</v>
      </c>
      <c r="X257">
        <f>IF(Source!BI106=2,H249+H250+H252+H253+H254, 0)</f>
        <v>0</v>
      </c>
      <c r="Y257">
        <f>IF(Source!BI106=3,H249+H250+H252+H253+H254, 0)</f>
        <v>0</v>
      </c>
      <c r="Z257">
        <f>IF(Source!BI106=4,H249+H250+H252+H253+H254, 0)</f>
        <v>0</v>
      </c>
    </row>
    <row r="258" spans="1:26" ht="78" x14ac:dyDescent="0.2">
      <c r="A258" s="47" t="str">
        <f>Source!E108</f>
        <v>37</v>
      </c>
      <c r="B258" s="48" t="s">
        <v>790</v>
      </c>
      <c r="C258" s="48" t="str">
        <f>Source!G108</f>
        <v>Устройство оснований толщиной 12 см под тротуары из кирпичного или известнякового щебня</v>
      </c>
      <c r="D258" s="29" t="str">
        <f>Source!H108</f>
        <v>100 м2</v>
      </c>
      <c r="E258" s="26">
        <f>Source!I108</f>
        <v>2.4300000000000002</v>
      </c>
      <c r="F258" s="30">
        <f>Source!AL108+Source!AM108+Source!AO108</f>
        <v>500.76</v>
      </c>
      <c r="G258" s="31"/>
      <c r="H258" s="32"/>
      <c r="I258" s="31" t="str">
        <f>Source!BO108</f>
        <v/>
      </c>
      <c r="J258" s="31"/>
      <c r="K258" s="32"/>
      <c r="L258" s="33"/>
      <c r="S258">
        <f>ROUND((Source!FX108/100)*((ROUND(Source!AF108*Source!I108, 2)+ROUND(Source!AE108*Source!I108, 2))), 2)</f>
        <v>1067.97</v>
      </c>
      <c r="T258">
        <f>Source!X108</f>
        <v>1069.6400000000001</v>
      </c>
      <c r="U258">
        <f>ROUND((Source!FY108/100)*((ROUND(Source!AF108*Source!I108, 2)+ROUND(Source!AE108*Source!I108, 2))), 2)</f>
        <v>674.8</v>
      </c>
      <c r="V258">
        <f>Source!Y108</f>
        <v>676.88</v>
      </c>
    </row>
    <row r="259" spans="1:26" x14ac:dyDescent="0.2">
      <c r="C259" s="20" t="str">
        <f>"Объем: "&amp;Source!I108&amp;"=243/"&amp;"100"</f>
        <v>Объем: 2,43=243/100</v>
      </c>
    </row>
    <row r="260" spans="1:26" ht="14.25" x14ac:dyDescent="0.2">
      <c r="A260" s="47"/>
      <c r="B260" s="48"/>
      <c r="C260" s="48" t="s">
        <v>775</v>
      </c>
      <c r="D260" s="29"/>
      <c r="E260" s="26"/>
      <c r="F260" s="30">
        <f>Source!AO108</f>
        <v>221.99</v>
      </c>
      <c r="G260" s="31" t="str">
        <f>Source!DG108</f>
        <v>)*1,15)*1,15</v>
      </c>
      <c r="H260" s="32">
        <f>ROUND(Source!AF108*Source!I108, 2)</f>
        <v>713.4</v>
      </c>
      <c r="I260" s="31"/>
      <c r="J260" s="31">
        <f>IF(Source!BA108&lt;&gt; 0, Source!BA108, 1)</f>
        <v>1</v>
      </c>
      <c r="K260" s="32">
        <f>Source!S108</f>
        <v>713.4</v>
      </c>
      <c r="L260" s="33"/>
      <c r="R260">
        <f>H260</f>
        <v>713.4</v>
      </c>
    </row>
    <row r="261" spans="1:26" ht="14.25" x14ac:dyDescent="0.2">
      <c r="A261" s="47"/>
      <c r="B261" s="48"/>
      <c r="C261" s="48" t="s">
        <v>227</v>
      </c>
      <c r="D261" s="29"/>
      <c r="E261" s="26"/>
      <c r="F261" s="30">
        <f>Source!AM108</f>
        <v>273.89</v>
      </c>
      <c r="G261" s="31" t="str">
        <f>Source!DE108</f>
        <v>)*1,15)*1,25</v>
      </c>
      <c r="H261" s="32">
        <f>ROUND(Source!AD108*Source!I108, 2)</f>
        <v>956.73</v>
      </c>
      <c r="I261" s="31"/>
      <c r="J261" s="31">
        <f>IF(Source!BB108&lt;&gt; 0, Source!BB108, 1)</f>
        <v>1</v>
      </c>
      <c r="K261" s="32">
        <f>Source!Q108</f>
        <v>956.73</v>
      </c>
      <c r="L261" s="33"/>
    </row>
    <row r="262" spans="1:26" ht="14.25" x14ac:dyDescent="0.2">
      <c r="A262" s="47"/>
      <c r="B262" s="48"/>
      <c r="C262" s="48" t="s">
        <v>782</v>
      </c>
      <c r="D262" s="29"/>
      <c r="E262" s="26"/>
      <c r="F262" s="30">
        <f>Source!AN108</f>
        <v>35</v>
      </c>
      <c r="G262" s="31" t="str">
        <f>Source!DF108</f>
        <v>)*1,15)*1,25</v>
      </c>
      <c r="H262" s="45">
        <f>ROUND(Source!AE108*Source!I108, 2)</f>
        <v>122.26</v>
      </c>
      <c r="I262" s="31"/>
      <c r="J262" s="31">
        <f>IF(Source!BS108&lt;&gt; 0, Source!BS108, 1)</f>
        <v>1</v>
      </c>
      <c r="K262" s="45">
        <f>Source!R108</f>
        <v>122.26</v>
      </c>
      <c r="L262" s="33"/>
      <c r="R262">
        <f>H262</f>
        <v>122.26</v>
      </c>
    </row>
    <row r="263" spans="1:26" ht="14.25" x14ac:dyDescent="0.2">
      <c r="A263" s="47"/>
      <c r="B263" s="48"/>
      <c r="C263" s="48" t="s">
        <v>781</v>
      </c>
      <c r="D263" s="29"/>
      <c r="E263" s="26"/>
      <c r="F263" s="30">
        <f>Source!AL108</f>
        <v>4.88</v>
      </c>
      <c r="G263" s="31" t="str">
        <f>Source!DD108</f>
        <v/>
      </c>
      <c r="H263" s="32">
        <f>ROUND(Source!AC108*Source!I108, 2)</f>
        <v>11.86</v>
      </c>
      <c r="I263" s="31"/>
      <c r="J263" s="31">
        <f>IF(Source!BC108&lt;&gt; 0, Source!BC108, 1)</f>
        <v>1</v>
      </c>
      <c r="K263" s="32">
        <f>Source!P108</f>
        <v>11.86</v>
      </c>
      <c r="L263" s="33"/>
    </row>
    <row r="264" spans="1:26" ht="14.25" x14ac:dyDescent="0.2">
      <c r="A264" s="47"/>
      <c r="B264" s="48"/>
      <c r="C264" s="48" t="s">
        <v>776</v>
      </c>
      <c r="D264" s="29" t="s">
        <v>777</v>
      </c>
      <c r="E264" s="26">
        <f>Source!BZ108</f>
        <v>142</v>
      </c>
      <c r="F264" s="65" t="str">
        <f>CONCATENATE(" )", Source!DL108, Source!FT108, "=", Source!FX108)</f>
        <v xml:space="preserve"> )*0,9=127,8</v>
      </c>
      <c r="G264" s="66"/>
      <c r="H264" s="32">
        <f>SUM(S258:S267)</f>
        <v>1067.97</v>
      </c>
      <c r="I264" s="34"/>
      <c r="J264" s="28">
        <f>Source!AT108</f>
        <v>128</v>
      </c>
      <c r="K264" s="32">
        <f>SUM(T258:T267)</f>
        <v>1069.6400000000001</v>
      </c>
      <c r="L264" s="33"/>
    </row>
    <row r="265" spans="1:26" ht="14.25" x14ac:dyDescent="0.2">
      <c r="A265" s="47"/>
      <c r="B265" s="48"/>
      <c r="C265" s="48" t="s">
        <v>778</v>
      </c>
      <c r="D265" s="29" t="s">
        <v>777</v>
      </c>
      <c r="E265" s="26">
        <f>Source!CA108</f>
        <v>95</v>
      </c>
      <c r="F265" s="65" t="str">
        <f>CONCATENATE(" )", Source!DM108, Source!FU108, "=", Source!FY108)</f>
        <v xml:space="preserve"> )*0,85=80,75</v>
      </c>
      <c r="G265" s="66"/>
      <c r="H265" s="32">
        <f>SUM(U258:U267)</f>
        <v>674.8</v>
      </c>
      <c r="I265" s="34"/>
      <c r="J265" s="28">
        <f>Source!AU108</f>
        <v>81</v>
      </c>
      <c r="K265" s="32">
        <f>SUM(V258:V267)</f>
        <v>676.88</v>
      </c>
      <c r="L265" s="33"/>
    </row>
    <row r="266" spans="1:26" ht="14.25" x14ac:dyDescent="0.2">
      <c r="A266" s="47"/>
      <c r="B266" s="48"/>
      <c r="C266" s="48" t="s">
        <v>779</v>
      </c>
      <c r="D266" s="29" t="s">
        <v>780</v>
      </c>
      <c r="E266" s="26">
        <f>Source!AQ108</f>
        <v>26.24</v>
      </c>
      <c r="F266" s="30"/>
      <c r="G266" s="31" t="str">
        <f>Source!DI108</f>
        <v>)*1,15)*1,15</v>
      </c>
      <c r="H266" s="32"/>
      <c r="I266" s="31"/>
      <c r="J266" s="31"/>
      <c r="K266" s="32"/>
      <c r="L266" s="35">
        <f>Source!U108</f>
        <v>84.326831999999982</v>
      </c>
    </row>
    <row r="267" spans="1:26" ht="28.5" x14ac:dyDescent="0.2">
      <c r="A267" s="49" t="str">
        <f>Source!E109</f>
        <v>37,1</v>
      </c>
      <c r="B267" s="50" t="str">
        <f>Source!F109</f>
        <v>02.2.05.04-0046</v>
      </c>
      <c r="C267" s="50" t="str">
        <f>Source!G109</f>
        <v>Щебень из гравия для строительных работ марка 600, фракция 10-20 мм</v>
      </c>
      <c r="D267" s="36" t="str">
        <f>Source!H109</f>
        <v>м3</v>
      </c>
      <c r="E267" s="37">
        <f>Source!I109</f>
        <v>42.281999999999996</v>
      </c>
      <c r="F267" s="38">
        <f>Source!AL109+Source!AM109+Source!AO109</f>
        <v>139.63</v>
      </c>
      <c r="G267" s="39" t="s">
        <v>3</v>
      </c>
      <c r="H267" s="40">
        <f>ROUND(Source!AC109*Source!I109, 2)+ROUND(Source!AD109*Source!I109, 2)+ROUND(Source!AF109*Source!I109, 2)</f>
        <v>5903.84</v>
      </c>
      <c r="I267" s="41"/>
      <c r="J267" s="41">
        <f>IF(Source!BC109&lt;&gt; 0, Source!BC109, 1)</f>
        <v>1</v>
      </c>
      <c r="K267" s="40">
        <f>Source!O109</f>
        <v>5903.84</v>
      </c>
      <c r="L267" s="42"/>
      <c r="S267">
        <f>ROUND((Source!FX109/100)*((ROUND(Source!AF109*Source!I109, 2)+ROUND(Source!AE109*Source!I109, 2))), 2)</f>
        <v>0</v>
      </c>
      <c r="T267">
        <f>Source!X109</f>
        <v>0</v>
      </c>
      <c r="U267">
        <f>ROUND((Source!FY109/100)*((ROUND(Source!AF109*Source!I109, 2)+ROUND(Source!AE109*Source!I109, 2))), 2)</f>
        <v>0</v>
      </c>
      <c r="V267">
        <f>Source!Y109</f>
        <v>0</v>
      </c>
      <c r="W267">
        <f>IF(Source!BI109&lt;=1,H267, 0)</f>
        <v>5903.84</v>
      </c>
      <c r="X267">
        <f>IF(Source!BI109=2,H267, 0)</f>
        <v>0</v>
      </c>
      <c r="Y267">
        <f>IF(Source!BI109=3,H267, 0)</f>
        <v>0</v>
      </c>
      <c r="Z267">
        <f>IF(Source!BI109=4,H267, 0)</f>
        <v>0</v>
      </c>
    </row>
    <row r="268" spans="1:26" ht="15" x14ac:dyDescent="0.25">
      <c r="G268" s="62">
        <f>H260+H261+H263+H264+H265+SUM(H267:H267)</f>
        <v>9328.6</v>
      </c>
      <c r="H268" s="62"/>
      <c r="J268" s="62">
        <f>K260+K261+K263+K264+K265+SUM(K267:K267)</f>
        <v>9332.35</v>
      </c>
      <c r="K268" s="62"/>
      <c r="L268" s="43">
        <f>Source!U108</f>
        <v>84.326831999999982</v>
      </c>
      <c r="O268" s="21">
        <f>G268</f>
        <v>9328.6</v>
      </c>
      <c r="P268" s="21">
        <f>J268</f>
        <v>9332.35</v>
      </c>
      <c r="Q268" s="21">
        <f>L268</f>
        <v>84.326831999999982</v>
      </c>
      <c r="W268">
        <f>IF(Source!BI108&lt;=1,H260+H261+H263+H264+H265, 0)</f>
        <v>3424.76</v>
      </c>
      <c r="X268">
        <f>IF(Source!BI108=2,H260+H261+H263+H264+H265, 0)</f>
        <v>0</v>
      </c>
      <c r="Y268">
        <f>IF(Source!BI108=3,H260+H261+H263+H264+H265, 0)</f>
        <v>0</v>
      </c>
      <c r="Z268">
        <f>IF(Source!BI108=4,H260+H261+H263+H264+H265, 0)</f>
        <v>0</v>
      </c>
    </row>
    <row r="269" spans="1:26" ht="78" x14ac:dyDescent="0.2">
      <c r="A269" s="47" t="str">
        <f>Source!E110</f>
        <v>38</v>
      </c>
      <c r="B269" s="48" t="s">
        <v>791</v>
      </c>
      <c r="C269" s="48" t="str">
        <f>Source!G110</f>
        <v>На каждый 1 см изменения толщины оснований добавлять или исключать к расценке 27-07-002-01 (до 15см)</v>
      </c>
      <c r="D269" s="29" t="str">
        <f>Source!H110</f>
        <v>100 м2</v>
      </c>
      <c r="E269" s="26">
        <f>Source!I110</f>
        <v>2.4300000000000002</v>
      </c>
      <c r="F269" s="30">
        <f>Source!AL110+Source!AM110+Source!AO110</f>
        <v>13.57</v>
      </c>
      <c r="G269" s="31"/>
      <c r="H269" s="32"/>
      <c r="I269" s="31" t="str">
        <f>Source!BO110</f>
        <v/>
      </c>
      <c r="J269" s="31"/>
      <c r="K269" s="32"/>
      <c r="L269" s="33"/>
      <c r="S269">
        <f>ROUND((Source!FX110/100)*((ROUND(Source!AF110*Source!I110, 2)+ROUND(Source!AE110*Source!I110, 2))), 2)</f>
        <v>23.29</v>
      </c>
      <c r="T269">
        <f>Source!X110</f>
        <v>23.32</v>
      </c>
      <c r="U269">
        <f>ROUND((Source!FY110/100)*((ROUND(Source!AF110*Source!I110, 2)+ROUND(Source!AE110*Source!I110, 2))), 2)</f>
        <v>14.71</v>
      </c>
      <c r="V269">
        <f>Source!Y110</f>
        <v>14.76</v>
      </c>
    </row>
    <row r="270" spans="1:26" x14ac:dyDescent="0.2">
      <c r="C270" s="20" t="str">
        <f>"Объем: "&amp;Source!I110&amp;"=243/"&amp;"100"</f>
        <v>Объем: 2,43=243/100</v>
      </c>
    </row>
    <row r="271" spans="1:26" ht="14.25" x14ac:dyDescent="0.2">
      <c r="A271" s="47"/>
      <c r="B271" s="48"/>
      <c r="C271" s="48" t="s">
        <v>775</v>
      </c>
      <c r="D271" s="29"/>
      <c r="E271" s="26"/>
      <c r="F271" s="30">
        <f>Source!AO110</f>
        <v>4.57</v>
      </c>
      <c r="G271" s="31" t="str">
        <f>Source!DG110</f>
        <v>)*1,15)*1,15</v>
      </c>
      <c r="H271" s="32">
        <f>ROUND(Source!AF110*Source!I110, 2)</f>
        <v>14.69</v>
      </c>
      <c r="I271" s="31"/>
      <c r="J271" s="31">
        <f>IF(Source!BA110&lt;&gt; 0, Source!BA110, 1)</f>
        <v>1</v>
      </c>
      <c r="K271" s="32">
        <f>Source!S110</f>
        <v>14.69</v>
      </c>
      <c r="L271" s="33"/>
      <c r="R271">
        <f>H271</f>
        <v>14.69</v>
      </c>
    </row>
    <row r="272" spans="1:26" ht="14.25" x14ac:dyDescent="0.2">
      <c r="A272" s="47"/>
      <c r="B272" s="48"/>
      <c r="C272" s="48" t="s">
        <v>227</v>
      </c>
      <c r="D272" s="29"/>
      <c r="E272" s="26"/>
      <c r="F272" s="30">
        <f>Source!AM110</f>
        <v>9</v>
      </c>
      <c r="G272" s="31" t="str">
        <f>Source!DE110</f>
        <v>)*1,15)*1,25</v>
      </c>
      <c r="H272" s="32">
        <f>ROUND(Source!AD110*Source!I110, 2)</f>
        <v>31.44</v>
      </c>
      <c r="I272" s="31"/>
      <c r="J272" s="31">
        <f>IF(Source!BB110&lt;&gt; 0, Source!BB110, 1)</f>
        <v>1</v>
      </c>
      <c r="K272" s="32">
        <f>Source!Q110</f>
        <v>31.44</v>
      </c>
      <c r="L272" s="33"/>
    </row>
    <row r="273" spans="1:26" ht="14.25" x14ac:dyDescent="0.2">
      <c r="A273" s="47"/>
      <c r="B273" s="48"/>
      <c r="C273" s="48" t="s">
        <v>782</v>
      </c>
      <c r="D273" s="29"/>
      <c r="E273" s="26"/>
      <c r="F273" s="30">
        <f>Source!AN110</f>
        <v>1.01</v>
      </c>
      <c r="G273" s="31" t="str">
        <f>Source!DF110</f>
        <v>)*1,15)*1,25</v>
      </c>
      <c r="H273" s="45">
        <f>ROUND(Source!AE110*Source!I110, 2)</f>
        <v>3.53</v>
      </c>
      <c r="I273" s="31"/>
      <c r="J273" s="31">
        <f>IF(Source!BS110&lt;&gt; 0, Source!BS110, 1)</f>
        <v>1</v>
      </c>
      <c r="K273" s="45">
        <f>Source!R110</f>
        <v>3.53</v>
      </c>
      <c r="L273" s="33"/>
      <c r="R273">
        <f>H273</f>
        <v>3.53</v>
      </c>
    </row>
    <row r="274" spans="1:26" ht="14.25" x14ac:dyDescent="0.2">
      <c r="A274" s="47"/>
      <c r="B274" s="48"/>
      <c r="C274" s="48" t="s">
        <v>776</v>
      </c>
      <c r="D274" s="29" t="s">
        <v>777</v>
      </c>
      <c r="E274" s="26">
        <f>Source!BZ110</f>
        <v>142</v>
      </c>
      <c r="F274" s="65" t="str">
        <f>CONCATENATE(" )", Source!DL110, Source!FT110, "=", Source!FX110)</f>
        <v xml:space="preserve"> )*0,9=127,8</v>
      </c>
      <c r="G274" s="66"/>
      <c r="H274" s="32">
        <f>SUM(S269:S277)</f>
        <v>23.29</v>
      </c>
      <c r="I274" s="34"/>
      <c r="J274" s="28">
        <f>Source!AT110</f>
        <v>128</v>
      </c>
      <c r="K274" s="32">
        <f>SUM(T269:T277)</f>
        <v>23.32</v>
      </c>
      <c r="L274" s="33"/>
    </row>
    <row r="275" spans="1:26" ht="14.25" x14ac:dyDescent="0.2">
      <c r="A275" s="47"/>
      <c r="B275" s="48"/>
      <c r="C275" s="48" t="s">
        <v>778</v>
      </c>
      <c r="D275" s="29" t="s">
        <v>777</v>
      </c>
      <c r="E275" s="26">
        <f>Source!CA110</f>
        <v>95</v>
      </c>
      <c r="F275" s="65" t="str">
        <f>CONCATENATE(" )", Source!DM110, Source!FU110, "=", Source!FY110)</f>
        <v xml:space="preserve"> )*0,85=80,75</v>
      </c>
      <c r="G275" s="66"/>
      <c r="H275" s="32">
        <f>SUM(U269:U277)</f>
        <v>14.71</v>
      </c>
      <c r="I275" s="34"/>
      <c r="J275" s="28">
        <f>Source!AU110</f>
        <v>81</v>
      </c>
      <c r="K275" s="32">
        <f>SUM(V269:V277)</f>
        <v>14.76</v>
      </c>
      <c r="L275" s="33"/>
    </row>
    <row r="276" spans="1:26" ht="14.25" x14ac:dyDescent="0.2">
      <c r="A276" s="47"/>
      <c r="B276" s="48"/>
      <c r="C276" s="48" t="s">
        <v>779</v>
      </c>
      <c r="D276" s="29" t="s">
        <v>780</v>
      </c>
      <c r="E276" s="26">
        <f>Source!AQ110</f>
        <v>0.54</v>
      </c>
      <c r="F276" s="30"/>
      <c r="G276" s="31" t="str">
        <f>Source!DI110</f>
        <v>)*1,15)*1,15</v>
      </c>
      <c r="H276" s="32"/>
      <c r="I276" s="31"/>
      <c r="J276" s="31"/>
      <c r="K276" s="32"/>
      <c r="L276" s="35">
        <f>Source!U110</f>
        <v>1.7353844999999999</v>
      </c>
    </row>
    <row r="277" spans="1:26" ht="28.5" x14ac:dyDescent="0.2">
      <c r="A277" s="49" t="str">
        <f>Source!E111</f>
        <v>38,1</v>
      </c>
      <c r="B277" s="50" t="str">
        <f>Source!F111</f>
        <v>02.2.05.04-0046</v>
      </c>
      <c r="C277" s="50" t="str">
        <f>Source!G111</f>
        <v>Щебень из гравия для строительных работ марка 600, фракция 10-20 мм</v>
      </c>
      <c r="D277" s="36" t="str">
        <f>Source!H111</f>
        <v>м3</v>
      </c>
      <c r="E277" s="37">
        <f>Source!I111</f>
        <v>32.805</v>
      </c>
      <c r="F277" s="38">
        <f>Source!AL111+Source!AM111+Source!AO111</f>
        <v>139.63</v>
      </c>
      <c r="G277" s="39" t="s">
        <v>792</v>
      </c>
      <c r="H277" s="40">
        <f>ROUND(Source!AC111*Source!I111, 2)+ROUND(Source!AD111*Source!I111, 2)+ROUND(Source!AF111*Source!I111, 2)</f>
        <v>4580.5600000000004</v>
      </c>
      <c r="I277" s="41"/>
      <c r="J277" s="41">
        <f>IF(Source!BC111&lt;&gt; 0, Source!BC111, 1)</f>
        <v>1</v>
      </c>
      <c r="K277" s="40">
        <f>Source!O111</f>
        <v>4580.5600000000004</v>
      </c>
      <c r="L277" s="42"/>
      <c r="S277">
        <f>ROUND((Source!FX111/100)*((ROUND(Source!AF111*Source!I111, 2)+ROUND(Source!AE111*Source!I111, 2))), 2)</f>
        <v>0</v>
      </c>
      <c r="T277">
        <f>Source!X111</f>
        <v>0</v>
      </c>
      <c r="U277">
        <f>ROUND((Source!FY111/100)*((ROUND(Source!AF111*Source!I111, 2)+ROUND(Source!AE111*Source!I111, 2))), 2)</f>
        <v>0</v>
      </c>
      <c r="V277">
        <f>Source!Y111</f>
        <v>0</v>
      </c>
      <c r="W277">
        <f>IF(Source!BI111&lt;=1,H277, 0)</f>
        <v>4580.5600000000004</v>
      </c>
      <c r="X277">
        <f>IF(Source!BI111=2,H277, 0)</f>
        <v>0</v>
      </c>
      <c r="Y277">
        <f>IF(Source!BI111=3,H277, 0)</f>
        <v>0</v>
      </c>
      <c r="Z277">
        <f>IF(Source!BI111=4,H277, 0)</f>
        <v>0</v>
      </c>
    </row>
    <row r="278" spans="1:26" ht="15" x14ac:dyDescent="0.25">
      <c r="G278" s="62">
        <f>H271+H272+H274+H275+SUM(H277:H277)</f>
        <v>4664.6900000000005</v>
      </c>
      <c r="H278" s="62"/>
      <c r="J278" s="62">
        <f>K271+K272+K274+K275+SUM(K277:K277)</f>
        <v>4664.7700000000004</v>
      </c>
      <c r="K278" s="62"/>
      <c r="L278" s="43">
        <f>Source!U110</f>
        <v>1.7353844999999999</v>
      </c>
      <c r="O278" s="21">
        <f>G278</f>
        <v>4664.6900000000005</v>
      </c>
      <c r="P278" s="21">
        <f>J278</f>
        <v>4664.7700000000004</v>
      </c>
      <c r="Q278" s="21">
        <f>L278</f>
        <v>1.7353844999999999</v>
      </c>
      <c r="W278">
        <f>IF(Source!BI110&lt;=1,H271+H272+H274+H275, 0)</f>
        <v>84.13</v>
      </c>
      <c r="X278">
        <f>IF(Source!BI110=2,H271+H272+H274+H275, 0)</f>
        <v>0</v>
      </c>
      <c r="Y278">
        <f>IF(Source!BI110=3,H271+H272+H274+H275, 0)</f>
        <v>0</v>
      </c>
      <c r="Z278">
        <f>IF(Source!BI110=4,H271+H272+H274+H275, 0)</f>
        <v>0</v>
      </c>
    </row>
    <row r="279" spans="1:26" ht="78" x14ac:dyDescent="0.2">
      <c r="A279" s="47" t="str">
        <f>Source!E112</f>
        <v>39</v>
      </c>
      <c r="B279" s="48" t="s">
        <v>793</v>
      </c>
      <c r="C279" s="48" t="str">
        <f>Source!G112</f>
        <v>Устройство асфальтобетонных покрытий дорожек и тротуаров однослойных из литой мелкозернистой асфальто-бетонной смеси толщиной 3 см</v>
      </c>
      <c r="D279" s="29" t="str">
        <f>Source!H112</f>
        <v>100 м2</v>
      </c>
      <c r="E279" s="26">
        <f>Source!I112</f>
        <v>2.4300000000000002</v>
      </c>
      <c r="F279" s="30">
        <f>Source!AL112+Source!AM112+Source!AO112</f>
        <v>299.11</v>
      </c>
      <c r="G279" s="31"/>
      <c r="H279" s="32"/>
      <c r="I279" s="31" t="str">
        <f>Source!BO112</f>
        <v/>
      </c>
      <c r="J279" s="31"/>
      <c r="K279" s="32"/>
      <c r="L279" s="33"/>
      <c r="S279">
        <f>ROUND((Source!FX112/100)*((ROUND(Source!AF112*Source!I112, 2)+ROUND(Source!AE112*Source!I112, 2))), 2)</f>
        <v>580.44000000000005</v>
      </c>
      <c r="T279">
        <f>Source!X112</f>
        <v>581.35</v>
      </c>
      <c r="U279">
        <f>ROUND((Source!FY112/100)*((ROUND(Source!AF112*Source!I112, 2)+ROUND(Source!AE112*Source!I112, 2))), 2)</f>
        <v>366.75</v>
      </c>
      <c r="V279">
        <f>Source!Y112</f>
        <v>367.89</v>
      </c>
    </row>
    <row r="280" spans="1:26" x14ac:dyDescent="0.2">
      <c r="C280" s="20" t="str">
        <f>"Объем: "&amp;Source!I112&amp;"=243/"&amp;"100"</f>
        <v>Объем: 2,43=243/100</v>
      </c>
    </row>
    <row r="281" spans="1:26" ht="14.25" x14ac:dyDescent="0.2">
      <c r="A281" s="47"/>
      <c r="B281" s="48"/>
      <c r="C281" s="48" t="s">
        <v>775</v>
      </c>
      <c r="D281" s="29"/>
      <c r="E281" s="26"/>
      <c r="F281" s="30">
        <f>Source!AO112</f>
        <v>140.46</v>
      </c>
      <c r="G281" s="31" t="str">
        <f>Source!DG112</f>
        <v>)*1,15)*1,15</v>
      </c>
      <c r="H281" s="32">
        <f>ROUND(Source!AF112*Source!I112, 2)</f>
        <v>451.39</v>
      </c>
      <c r="I281" s="31"/>
      <c r="J281" s="31">
        <f>IF(Source!BA112&lt;&gt; 0, Source!BA112, 1)</f>
        <v>1</v>
      </c>
      <c r="K281" s="32">
        <f>Source!S112</f>
        <v>451.39</v>
      </c>
      <c r="L281" s="33"/>
      <c r="R281">
        <f>H281</f>
        <v>451.39</v>
      </c>
    </row>
    <row r="282" spans="1:26" ht="14.25" x14ac:dyDescent="0.2">
      <c r="A282" s="47"/>
      <c r="B282" s="48"/>
      <c r="C282" s="48" t="s">
        <v>227</v>
      </c>
      <c r="D282" s="29"/>
      <c r="E282" s="26"/>
      <c r="F282" s="30">
        <f>Source!AM112</f>
        <v>57.25</v>
      </c>
      <c r="G282" s="31" t="str">
        <f>Source!DE112</f>
        <v>)*1,15)*1,25</v>
      </c>
      <c r="H282" s="32">
        <f>ROUND(Source!AD112*Source!I112, 2)</f>
        <v>199.98</v>
      </c>
      <c r="I282" s="31"/>
      <c r="J282" s="31">
        <f>IF(Source!BB112&lt;&gt; 0, Source!BB112, 1)</f>
        <v>1</v>
      </c>
      <c r="K282" s="32">
        <f>Source!Q112</f>
        <v>199.98</v>
      </c>
      <c r="L282" s="33"/>
    </row>
    <row r="283" spans="1:26" ht="14.25" x14ac:dyDescent="0.2">
      <c r="A283" s="47"/>
      <c r="B283" s="48"/>
      <c r="C283" s="48" t="s">
        <v>782</v>
      </c>
      <c r="D283" s="29"/>
      <c r="E283" s="26"/>
      <c r="F283" s="30">
        <f>Source!AN112</f>
        <v>0.8</v>
      </c>
      <c r="G283" s="31" t="str">
        <f>Source!DF112</f>
        <v>)*1,15)*1,25</v>
      </c>
      <c r="H283" s="45">
        <f>ROUND(Source!AE112*Source!I112, 2)</f>
        <v>2.79</v>
      </c>
      <c r="I283" s="31"/>
      <c r="J283" s="31">
        <f>IF(Source!BS112&lt;&gt; 0, Source!BS112, 1)</f>
        <v>1</v>
      </c>
      <c r="K283" s="45">
        <f>Source!R112</f>
        <v>2.79</v>
      </c>
      <c r="L283" s="33"/>
      <c r="R283">
        <f>H283</f>
        <v>2.79</v>
      </c>
    </row>
    <row r="284" spans="1:26" ht="14.25" x14ac:dyDescent="0.2">
      <c r="A284" s="47"/>
      <c r="B284" s="48"/>
      <c r="C284" s="48" t="s">
        <v>781</v>
      </c>
      <c r="D284" s="29"/>
      <c r="E284" s="26"/>
      <c r="F284" s="30">
        <f>Source!AL112</f>
        <v>101.4</v>
      </c>
      <c r="G284" s="31" t="str">
        <f>Source!DD112</f>
        <v/>
      </c>
      <c r="H284" s="32">
        <f>ROUND(Source!AC112*Source!I112, 2)</f>
        <v>246.4</v>
      </c>
      <c r="I284" s="31"/>
      <c r="J284" s="31">
        <f>IF(Source!BC112&lt;&gt; 0, Source!BC112, 1)</f>
        <v>1</v>
      </c>
      <c r="K284" s="32">
        <f>Source!P112</f>
        <v>246.4</v>
      </c>
      <c r="L284" s="33"/>
    </row>
    <row r="285" spans="1:26" ht="14.25" x14ac:dyDescent="0.2">
      <c r="A285" s="47"/>
      <c r="B285" s="48"/>
      <c r="C285" s="48" t="s">
        <v>776</v>
      </c>
      <c r="D285" s="29" t="s">
        <v>777</v>
      </c>
      <c r="E285" s="26">
        <f>Source!BZ112</f>
        <v>142</v>
      </c>
      <c r="F285" s="65" t="str">
        <f>CONCATENATE(" )", Source!DL112, Source!FT112, "=", Source!FX112)</f>
        <v xml:space="preserve"> )*0,9=127,8</v>
      </c>
      <c r="G285" s="66"/>
      <c r="H285" s="32">
        <f>SUM(S279:S289)</f>
        <v>580.44000000000005</v>
      </c>
      <c r="I285" s="34"/>
      <c r="J285" s="28">
        <f>Source!AT112</f>
        <v>128</v>
      </c>
      <c r="K285" s="32">
        <f>SUM(T279:T289)</f>
        <v>581.35</v>
      </c>
      <c r="L285" s="33"/>
    </row>
    <row r="286" spans="1:26" ht="14.25" x14ac:dyDescent="0.2">
      <c r="A286" s="47"/>
      <c r="B286" s="48"/>
      <c r="C286" s="48" t="s">
        <v>778</v>
      </c>
      <c r="D286" s="29" t="s">
        <v>777</v>
      </c>
      <c r="E286" s="26">
        <f>Source!CA112</f>
        <v>95</v>
      </c>
      <c r="F286" s="65" t="str">
        <f>CONCATENATE(" )", Source!DM112, Source!FU112, "=", Source!FY112)</f>
        <v xml:space="preserve"> )*0,85=80,75</v>
      </c>
      <c r="G286" s="66"/>
      <c r="H286" s="32">
        <f>SUM(U279:U289)</f>
        <v>366.75</v>
      </c>
      <c r="I286" s="34"/>
      <c r="J286" s="28">
        <f>Source!AU112</f>
        <v>81</v>
      </c>
      <c r="K286" s="32">
        <f>SUM(V279:V289)</f>
        <v>367.89</v>
      </c>
      <c r="L286" s="33"/>
    </row>
    <row r="287" spans="1:26" ht="14.25" x14ac:dyDescent="0.2">
      <c r="A287" s="47"/>
      <c r="B287" s="48"/>
      <c r="C287" s="48" t="s">
        <v>779</v>
      </c>
      <c r="D287" s="29" t="s">
        <v>780</v>
      </c>
      <c r="E287" s="26">
        <f>Source!AQ112</f>
        <v>15.12</v>
      </c>
      <c r="F287" s="30"/>
      <c r="G287" s="31" t="str">
        <f>Source!DI112</f>
        <v>)*1,15)*1,15</v>
      </c>
      <c r="H287" s="32"/>
      <c r="I287" s="31"/>
      <c r="J287" s="31"/>
      <c r="K287" s="32"/>
      <c r="L287" s="35">
        <f>Source!U112</f>
        <v>48.590765999999988</v>
      </c>
    </row>
    <row r="288" spans="1:26" ht="28.5" x14ac:dyDescent="0.2">
      <c r="A288" s="47" t="str">
        <f>Source!E113</f>
        <v>39,1</v>
      </c>
      <c r="B288" s="48" t="str">
        <f>Source!F113</f>
        <v>02.3.01.02-0015</v>
      </c>
      <c r="C288" s="48" t="str">
        <f>Source!G113</f>
        <v>Песок природный для строительных работ средний</v>
      </c>
      <c r="D288" s="29" t="str">
        <f>Source!H113</f>
        <v>м3</v>
      </c>
      <c r="E288" s="26">
        <f>Source!I113</f>
        <v>1.2150000000000001</v>
      </c>
      <c r="F288" s="30">
        <f>Source!AL113+Source!AM113+Source!AO113</f>
        <v>55.26</v>
      </c>
      <c r="G288" s="46" t="s">
        <v>3</v>
      </c>
      <c r="H288" s="32">
        <f>ROUND(Source!AC113*Source!I113, 2)+ROUND(Source!AD113*Source!I113, 2)+ROUND(Source!AF113*Source!I113, 2)</f>
        <v>67.14</v>
      </c>
      <c r="I288" s="31"/>
      <c r="J288" s="31">
        <f>IF(Source!BC113&lt;&gt; 0, Source!BC113, 1)</f>
        <v>1</v>
      </c>
      <c r="K288" s="32">
        <f>Source!O113</f>
        <v>67.14</v>
      </c>
      <c r="L288" s="33"/>
      <c r="S288">
        <f>ROUND((Source!FX113/100)*((ROUND(Source!AF113*Source!I113, 2)+ROUND(Source!AE113*Source!I113, 2))), 2)</f>
        <v>0</v>
      </c>
      <c r="T288">
        <f>Source!X113</f>
        <v>0</v>
      </c>
      <c r="U288">
        <f>ROUND((Source!FY113/100)*((ROUND(Source!AF113*Source!I113, 2)+ROUND(Source!AE113*Source!I113, 2))), 2)</f>
        <v>0</v>
      </c>
      <c r="V288">
        <f>Source!Y113</f>
        <v>0</v>
      </c>
      <c r="W288">
        <f>IF(Source!BI113&lt;=1,H288, 0)</f>
        <v>67.14</v>
      </c>
      <c r="X288">
        <f>IF(Source!BI113=2,H288, 0)</f>
        <v>0</v>
      </c>
      <c r="Y288">
        <f>IF(Source!BI113=3,H288, 0)</f>
        <v>0</v>
      </c>
      <c r="Z288">
        <f>IF(Source!BI113=4,H288, 0)</f>
        <v>0</v>
      </c>
    </row>
    <row r="289" spans="1:32" ht="71.25" x14ac:dyDescent="0.2">
      <c r="A289" s="49" t="str">
        <f>Source!E114</f>
        <v>39,2</v>
      </c>
      <c r="B289" s="50" t="str">
        <f>Source!F114</f>
        <v>04.2.01.01-0031</v>
      </c>
      <c r="C289" s="50" t="str">
        <f>Source!G114</f>
        <v>Смеси асфальтобетонные дорожные, аэродромные и асфальтобетон (горячие для плотного асфальтобетона мелко и крупнозернистые, песчаные), марка I, тип А</v>
      </c>
      <c r="D289" s="36" t="str">
        <f>Source!H114</f>
        <v>т</v>
      </c>
      <c r="E289" s="37">
        <f>Source!I114</f>
        <v>17.350200000000001</v>
      </c>
      <c r="F289" s="38">
        <f>Source!AL114+Source!AM114+Source!AO114</f>
        <v>535.5</v>
      </c>
      <c r="G289" s="39" t="s">
        <v>3</v>
      </c>
      <c r="H289" s="40">
        <f>ROUND(Source!AC114*Source!I114, 2)+ROUND(Source!AD114*Source!I114, 2)+ROUND(Source!AF114*Source!I114, 2)</f>
        <v>9291.0300000000007</v>
      </c>
      <c r="I289" s="41"/>
      <c r="J289" s="41">
        <f>IF(Source!BC114&lt;&gt; 0, Source!BC114, 1)</f>
        <v>1</v>
      </c>
      <c r="K289" s="40">
        <f>Source!O114</f>
        <v>9291.0300000000007</v>
      </c>
      <c r="L289" s="42"/>
      <c r="S289">
        <f>ROUND((Source!FX114/100)*((ROUND(Source!AF114*Source!I114, 2)+ROUND(Source!AE114*Source!I114, 2))), 2)</f>
        <v>0</v>
      </c>
      <c r="T289">
        <f>Source!X114</f>
        <v>0</v>
      </c>
      <c r="U289">
        <f>ROUND((Source!FY114/100)*((ROUND(Source!AF114*Source!I114, 2)+ROUND(Source!AE114*Source!I114, 2))), 2)</f>
        <v>0</v>
      </c>
      <c r="V289">
        <f>Source!Y114</f>
        <v>0</v>
      </c>
      <c r="W289">
        <f>IF(Source!BI114&lt;=1,H289, 0)</f>
        <v>9291.0300000000007</v>
      </c>
      <c r="X289">
        <f>IF(Source!BI114=2,H289, 0)</f>
        <v>0</v>
      </c>
      <c r="Y289">
        <f>IF(Source!BI114=3,H289, 0)</f>
        <v>0</v>
      </c>
      <c r="Z289">
        <f>IF(Source!BI114=4,H289, 0)</f>
        <v>0</v>
      </c>
    </row>
    <row r="290" spans="1:32" ht="15" x14ac:dyDescent="0.25">
      <c r="G290" s="62">
        <f>H281+H282+H284+H285+H286+SUM(H288:H289)</f>
        <v>11203.130000000001</v>
      </c>
      <c r="H290" s="62"/>
      <c r="J290" s="62">
        <f>K281+K282+K284+K285+K286+SUM(K288:K289)</f>
        <v>11205.18</v>
      </c>
      <c r="K290" s="62"/>
      <c r="L290" s="43">
        <f>Source!U112</f>
        <v>48.590765999999988</v>
      </c>
      <c r="O290" s="21">
        <f>G290</f>
        <v>11203.130000000001</v>
      </c>
      <c r="P290" s="21">
        <f>J290</f>
        <v>11205.18</v>
      </c>
      <c r="Q290" s="21">
        <f>L290</f>
        <v>48.590765999999988</v>
      </c>
      <c r="W290">
        <f>IF(Source!BI112&lt;=1,H281+H282+H284+H285+H286, 0)</f>
        <v>1844.96</v>
      </c>
      <c r="X290">
        <f>IF(Source!BI112=2,H281+H282+H284+H285+H286, 0)</f>
        <v>0</v>
      </c>
      <c r="Y290">
        <f>IF(Source!BI112=3,H281+H282+H284+H285+H286, 0)</f>
        <v>0</v>
      </c>
      <c r="Z290">
        <f>IF(Source!BI112=4,H281+H282+H284+H285+H286, 0)</f>
        <v>0</v>
      </c>
    </row>
    <row r="291" spans="1:32" ht="78" x14ac:dyDescent="0.2">
      <c r="A291" s="47" t="str">
        <f>Source!E115</f>
        <v>40</v>
      </c>
      <c r="B291" s="48" t="s">
        <v>794</v>
      </c>
      <c r="C291" s="48" t="str">
        <f>Source!G115</f>
        <v>На каждые 0,5 см изменения толщины покрытия добавлять к расценке 27-07-001-01 (до 5см)</v>
      </c>
      <c r="D291" s="29" t="str">
        <f>Source!H115</f>
        <v>100 м2</v>
      </c>
      <c r="E291" s="26">
        <f>Source!I115</f>
        <v>2.4300000000000002</v>
      </c>
      <c r="F291" s="30">
        <f>Source!AL115+Source!AM115+Source!AO115</f>
        <v>29.950000000000003</v>
      </c>
      <c r="G291" s="31"/>
      <c r="H291" s="32"/>
      <c r="I291" s="31" t="str">
        <f>Source!BO115</f>
        <v/>
      </c>
      <c r="J291" s="31"/>
      <c r="K291" s="32"/>
      <c r="L291" s="33"/>
      <c r="S291">
        <f>ROUND((Source!FX115/100)*((ROUND(Source!AF115*Source!I115, 2)+ROUND(Source!AE115*Source!I115, 2))), 2)</f>
        <v>88.5</v>
      </c>
      <c r="T291">
        <f>Source!X115</f>
        <v>88.64</v>
      </c>
      <c r="U291">
        <f>ROUND((Source!FY115/100)*((ROUND(Source!AF115*Source!I115, 2)+ROUND(Source!AE115*Source!I115, 2))), 2)</f>
        <v>55.92</v>
      </c>
      <c r="V291">
        <f>Source!Y115</f>
        <v>56.09</v>
      </c>
    </row>
    <row r="292" spans="1:32" x14ac:dyDescent="0.2">
      <c r="C292" s="20" t="str">
        <f>"Объем: "&amp;Source!I115&amp;"=243/"&amp;"100"</f>
        <v>Объем: 2,43=243/100</v>
      </c>
    </row>
    <row r="293" spans="1:32" ht="14.25" x14ac:dyDescent="0.2">
      <c r="A293" s="47"/>
      <c r="B293" s="48"/>
      <c r="C293" s="48" t="s">
        <v>775</v>
      </c>
      <c r="D293" s="29"/>
      <c r="E293" s="26"/>
      <c r="F293" s="30">
        <f>Source!AO115</f>
        <v>21.55</v>
      </c>
      <c r="G293" s="31" t="str">
        <f>Source!DG115</f>
        <v>)*1,15)*1,15</v>
      </c>
      <c r="H293" s="32">
        <f>ROUND(Source!AF115*Source!I115, 2)</f>
        <v>69.25</v>
      </c>
      <c r="I293" s="31"/>
      <c r="J293" s="31">
        <f>IF(Source!BA115&lt;&gt; 0, Source!BA115, 1)</f>
        <v>1</v>
      </c>
      <c r="K293" s="32">
        <f>Source!S115</f>
        <v>69.25</v>
      </c>
      <c r="L293" s="33"/>
      <c r="R293">
        <f>H293</f>
        <v>69.25</v>
      </c>
    </row>
    <row r="294" spans="1:32" ht="14.25" x14ac:dyDescent="0.2">
      <c r="A294" s="47"/>
      <c r="B294" s="48"/>
      <c r="C294" s="48" t="s">
        <v>227</v>
      </c>
      <c r="D294" s="29"/>
      <c r="E294" s="26"/>
      <c r="F294" s="30">
        <f>Source!AM115</f>
        <v>8.4</v>
      </c>
      <c r="G294" s="31" t="str">
        <f>Source!DE115</f>
        <v>)*1,15)*1,25</v>
      </c>
      <c r="H294" s="32">
        <f>ROUND(Source!AD115*Source!I115, 2)</f>
        <v>29.34</v>
      </c>
      <c r="I294" s="31"/>
      <c r="J294" s="31">
        <f>IF(Source!BB115&lt;&gt; 0, Source!BB115, 1)</f>
        <v>1</v>
      </c>
      <c r="K294" s="32">
        <f>Source!Q115</f>
        <v>29.34</v>
      </c>
      <c r="L294" s="33"/>
    </row>
    <row r="295" spans="1:32" ht="14.25" x14ac:dyDescent="0.2">
      <c r="A295" s="47"/>
      <c r="B295" s="48"/>
      <c r="C295" s="48" t="s">
        <v>776</v>
      </c>
      <c r="D295" s="29" t="s">
        <v>777</v>
      </c>
      <c r="E295" s="26">
        <f>Source!BZ115</f>
        <v>142</v>
      </c>
      <c r="F295" s="65" t="str">
        <f>CONCATENATE(" )", Source!DL115, Source!FT115, "=", Source!FX115)</f>
        <v xml:space="preserve"> )*0,9=127,8</v>
      </c>
      <c r="G295" s="66"/>
      <c r="H295" s="32">
        <f>SUM(S291:S298)</f>
        <v>88.5</v>
      </c>
      <c r="I295" s="34"/>
      <c r="J295" s="28">
        <f>Source!AT115</f>
        <v>128</v>
      </c>
      <c r="K295" s="32">
        <f>SUM(T291:T298)</f>
        <v>88.64</v>
      </c>
      <c r="L295" s="33"/>
    </row>
    <row r="296" spans="1:32" ht="14.25" x14ac:dyDescent="0.2">
      <c r="A296" s="47"/>
      <c r="B296" s="48"/>
      <c r="C296" s="48" t="s">
        <v>778</v>
      </c>
      <c r="D296" s="29" t="s">
        <v>777</v>
      </c>
      <c r="E296" s="26">
        <f>Source!CA115</f>
        <v>95</v>
      </c>
      <c r="F296" s="65" t="str">
        <f>CONCATENATE(" )", Source!DM115, Source!FU115, "=", Source!FY115)</f>
        <v xml:space="preserve"> )*0,85=80,75</v>
      </c>
      <c r="G296" s="66"/>
      <c r="H296" s="32">
        <f>SUM(U291:U298)</f>
        <v>55.92</v>
      </c>
      <c r="I296" s="34"/>
      <c r="J296" s="28">
        <f>Source!AU115</f>
        <v>81</v>
      </c>
      <c r="K296" s="32">
        <f>SUM(V291:V298)</f>
        <v>56.09</v>
      </c>
      <c r="L296" s="33"/>
    </row>
    <row r="297" spans="1:32" ht="14.25" x14ac:dyDescent="0.2">
      <c r="A297" s="47"/>
      <c r="B297" s="48"/>
      <c r="C297" s="48" t="s">
        <v>779</v>
      </c>
      <c r="D297" s="29" t="s">
        <v>780</v>
      </c>
      <c r="E297" s="26">
        <f>Source!AQ115</f>
        <v>2.3199999999999998</v>
      </c>
      <c r="F297" s="30"/>
      <c r="G297" s="31" t="str">
        <f>Source!DI115</f>
        <v>)*1,15)*1,15</v>
      </c>
      <c r="H297" s="32"/>
      <c r="I297" s="31"/>
      <c r="J297" s="31"/>
      <c r="K297" s="32"/>
      <c r="L297" s="35">
        <f>Source!U115</f>
        <v>7.4557259999999994</v>
      </c>
    </row>
    <row r="298" spans="1:32" ht="71.25" x14ac:dyDescent="0.2">
      <c r="A298" s="49" t="str">
        <f>Source!E116</f>
        <v>40,1</v>
      </c>
      <c r="B298" s="50" t="str">
        <f>Source!F116</f>
        <v>04.2.01.01-0031</v>
      </c>
      <c r="C298" s="50" t="str">
        <f>Source!G116</f>
        <v>Смеси асфальтобетонные дорожные, аэродромные и асфальтобетон (горячие для плотного асфальтобетона мелко и крупнозернистые, песчаные), марка I, тип А</v>
      </c>
      <c r="D298" s="36" t="str">
        <f>Source!H116</f>
        <v>т</v>
      </c>
      <c r="E298" s="37">
        <f>Source!I116</f>
        <v>2.9403000000000001</v>
      </c>
      <c r="F298" s="38">
        <f>Source!AL116+Source!AM116+Source!AO116</f>
        <v>535.5</v>
      </c>
      <c r="G298" s="39" t="s">
        <v>3</v>
      </c>
      <c r="H298" s="40">
        <f>ROUND(Source!AC116*Source!I116, 2)+ROUND(Source!AD116*Source!I116, 2)+ROUND(Source!AF116*Source!I116, 2)</f>
        <v>1574.53</v>
      </c>
      <c r="I298" s="41"/>
      <c r="J298" s="41">
        <f>IF(Source!BC116&lt;&gt; 0, Source!BC116, 1)</f>
        <v>1</v>
      </c>
      <c r="K298" s="40">
        <f>Source!O116</f>
        <v>1574.53</v>
      </c>
      <c r="L298" s="42"/>
      <c r="S298">
        <f>ROUND((Source!FX116/100)*((ROUND(Source!AF116*Source!I116, 2)+ROUND(Source!AE116*Source!I116, 2))), 2)</f>
        <v>0</v>
      </c>
      <c r="T298">
        <f>Source!X116</f>
        <v>0</v>
      </c>
      <c r="U298">
        <f>ROUND((Source!FY116/100)*((ROUND(Source!AF116*Source!I116, 2)+ROUND(Source!AE116*Source!I116, 2))), 2)</f>
        <v>0</v>
      </c>
      <c r="V298">
        <f>Source!Y116</f>
        <v>0</v>
      </c>
      <c r="W298">
        <f>IF(Source!BI116&lt;=1,H298, 0)</f>
        <v>1574.53</v>
      </c>
      <c r="X298">
        <f>IF(Source!BI116=2,H298, 0)</f>
        <v>0</v>
      </c>
      <c r="Y298">
        <f>IF(Source!BI116=3,H298, 0)</f>
        <v>0</v>
      </c>
      <c r="Z298">
        <f>IF(Source!BI116=4,H298, 0)</f>
        <v>0</v>
      </c>
    </row>
    <row r="299" spans="1:32" ht="15" x14ac:dyDescent="0.25">
      <c r="G299" s="62">
        <f>H293+H294+H295+H296+SUM(H298:H298)</f>
        <v>1817.54</v>
      </c>
      <c r="H299" s="62"/>
      <c r="J299" s="62">
        <f>K293+K294+K295+K296+SUM(K298:K298)</f>
        <v>1817.85</v>
      </c>
      <c r="K299" s="62"/>
      <c r="L299" s="43">
        <f>Source!U115</f>
        <v>7.4557259999999994</v>
      </c>
      <c r="O299" s="21">
        <f>G299</f>
        <v>1817.54</v>
      </c>
      <c r="P299" s="21">
        <f>J299</f>
        <v>1817.85</v>
      </c>
      <c r="Q299" s="21">
        <f>L299</f>
        <v>7.4557259999999994</v>
      </c>
      <c r="W299">
        <f>IF(Source!BI115&lt;=1,H293+H294+H295+H296, 0)</f>
        <v>243.01</v>
      </c>
      <c r="X299">
        <f>IF(Source!BI115=2,H293+H294+H295+H296, 0)</f>
        <v>0</v>
      </c>
      <c r="Y299">
        <f>IF(Source!BI115=3,H293+H294+H295+H296, 0)</f>
        <v>0</v>
      </c>
      <c r="Z299">
        <f>IF(Source!BI115=4,H293+H294+H295+H296, 0)</f>
        <v>0</v>
      </c>
    </row>
    <row r="301" spans="1:32" ht="15" x14ac:dyDescent="0.25">
      <c r="A301" s="64" t="str">
        <f>CONCATENATE("Итого по подразделу: ",IF(Source!G118&lt;&gt;"Новый подраздел", Source!G118, ""))</f>
        <v>Итого по подразделу: Укладка пешеходных дорожек</v>
      </c>
      <c r="B301" s="64"/>
      <c r="C301" s="64"/>
      <c r="D301" s="64"/>
      <c r="E301" s="64"/>
      <c r="F301" s="64"/>
      <c r="G301" s="63">
        <f>SUM(O223:O300)</f>
        <v>33445.86</v>
      </c>
      <c r="H301" s="63"/>
      <c r="I301" s="27"/>
      <c r="J301" s="63"/>
      <c r="K301" s="63"/>
      <c r="L301" s="43">
        <f>SUM(Q223:Q300)</f>
        <v>176.13537884999997</v>
      </c>
      <c r="AF301" s="53" t="str">
        <f>CONCATENATE("Итого по подразделу: ",IF(Source!G118&lt;&gt;"Новый подраздел", Source!G118, ""))</f>
        <v>Итого по подразделу: Укладка пешеходных дорожек</v>
      </c>
    </row>
    <row r="305" spans="1:26" ht="16.5" x14ac:dyDescent="0.25">
      <c r="A305" s="67" t="str">
        <f>CONCATENATE("Подраздел: ",IF(Source!G147&lt;&gt;"Новый подраздел", Source!G147, ""))</f>
        <v>Подраздел: Востановление пожарных подъездов</v>
      </c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</row>
    <row r="306" spans="1:26" ht="57" x14ac:dyDescent="0.2">
      <c r="A306" s="47" t="str">
        <f>Source!E151</f>
        <v>41</v>
      </c>
      <c r="B306" s="48" t="s">
        <v>787</v>
      </c>
      <c r="C306" s="48" t="str">
        <f>Source!G151</f>
        <v>Разборка асфальтобетонных покрытий тротуаров толщиной до 4 см с помощью молотков отбойных пневматических Первый слой</v>
      </c>
      <c r="D306" s="29" t="str">
        <f>Source!H151</f>
        <v>1000 м2</v>
      </c>
      <c r="E306" s="26">
        <f>Source!I151</f>
        <v>0.34799999999999998</v>
      </c>
      <c r="F306" s="30">
        <f>Source!AL151+Source!AM151+Source!AO151</f>
        <v>1965.05</v>
      </c>
      <c r="G306" s="31"/>
      <c r="H306" s="32"/>
      <c r="I306" s="31" t="str">
        <f>Source!BO151</f>
        <v/>
      </c>
      <c r="J306" s="31"/>
      <c r="K306" s="32"/>
      <c r="L306" s="33"/>
      <c r="S306">
        <f>ROUND((Source!FX151/100)*((ROUND(Source!AF151*Source!I151, 2)+ROUND(Source!AE151*Source!I151, 2))), 2)</f>
        <v>265.51</v>
      </c>
      <c r="T306">
        <f>Source!X151</f>
        <v>265.51</v>
      </c>
      <c r="U306">
        <f>ROUND((Source!FY151/100)*((ROUND(Source!AF151*Source!I151, 2)+ROUND(Source!AE151*Source!I151, 2))), 2)</f>
        <v>153.18</v>
      </c>
      <c r="V306">
        <f>Source!Y151</f>
        <v>153.18</v>
      </c>
    </row>
    <row r="307" spans="1:26" x14ac:dyDescent="0.2">
      <c r="C307" s="20" t="str">
        <f>"Объем: "&amp;Source!I151&amp;"=(62*"&amp;"4+"&amp;"25*"&amp;"4)/"&amp;"1000"</f>
        <v>Объем: 0,348=(62*4+25*4)/1000</v>
      </c>
    </row>
    <row r="308" spans="1:26" ht="14.25" x14ac:dyDescent="0.2">
      <c r="A308" s="47"/>
      <c r="B308" s="48"/>
      <c r="C308" s="48" t="s">
        <v>775</v>
      </c>
      <c r="D308" s="29"/>
      <c r="E308" s="26"/>
      <c r="F308" s="30">
        <f>Source!AO151</f>
        <v>479.99</v>
      </c>
      <c r="G308" s="31" t="str">
        <f>Source!DG151</f>
        <v>)*1,15</v>
      </c>
      <c r="H308" s="32">
        <f>ROUND(Source!AF151*Source!I151, 2)</f>
        <v>192.09</v>
      </c>
      <c r="I308" s="31"/>
      <c r="J308" s="31">
        <f>IF(Source!BA151&lt;&gt; 0, Source!BA151, 1)</f>
        <v>1</v>
      </c>
      <c r="K308" s="32">
        <f>Source!S151</f>
        <v>192.09</v>
      </c>
      <c r="L308" s="33"/>
      <c r="R308">
        <f>H308</f>
        <v>192.09</v>
      </c>
    </row>
    <row r="309" spans="1:26" ht="14.25" x14ac:dyDescent="0.2">
      <c r="A309" s="47"/>
      <c r="B309" s="48"/>
      <c r="C309" s="48" t="s">
        <v>227</v>
      </c>
      <c r="D309" s="29"/>
      <c r="E309" s="26"/>
      <c r="F309" s="30">
        <f>Source!AM151</f>
        <v>1485.06</v>
      </c>
      <c r="G309" s="31" t="str">
        <f>Source!DE151</f>
        <v>)*1,15</v>
      </c>
      <c r="H309" s="32">
        <f>ROUND(Source!AD151*Source!I151, 2)</f>
        <v>594.32000000000005</v>
      </c>
      <c r="I309" s="31"/>
      <c r="J309" s="31">
        <f>IF(Source!BB151&lt;&gt; 0, Source!BB151, 1)</f>
        <v>1</v>
      </c>
      <c r="K309" s="32">
        <f>Source!Q151</f>
        <v>594.32000000000005</v>
      </c>
      <c r="L309" s="33"/>
    </row>
    <row r="310" spans="1:26" ht="14.25" x14ac:dyDescent="0.2">
      <c r="A310" s="47"/>
      <c r="B310" s="48"/>
      <c r="C310" s="48" t="s">
        <v>782</v>
      </c>
      <c r="D310" s="29"/>
      <c r="E310" s="26"/>
      <c r="F310" s="30">
        <f>Source!AN151</f>
        <v>157.94</v>
      </c>
      <c r="G310" s="31" t="str">
        <f>Source!DF151</f>
        <v>)*1,15</v>
      </c>
      <c r="H310" s="45">
        <f>ROUND(Source!AE151*Source!I151, 2)</f>
        <v>63.21</v>
      </c>
      <c r="I310" s="31"/>
      <c r="J310" s="31">
        <f>IF(Source!BS151&lt;&gt; 0, Source!BS151, 1)</f>
        <v>1</v>
      </c>
      <c r="K310" s="45">
        <f>Source!R151</f>
        <v>63.21</v>
      </c>
      <c r="L310" s="33"/>
      <c r="R310">
        <f>H310</f>
        <v>63.21</v>
      </c>
    </row>
    <row r="311" spans="1:26" ht="14.25" x14ac:dyDescent="0.2">
      <c r="A311" s="47"/>
      <c r="B311" s="48"/>
      <c r="C311" s="48" t="s">
        <v>776</v>
      </c>
      <c r="D311" s="29" t="s">
        <v>777</v>
      </c>
      <c r="E311" s="26">
        <f>Source!BZ151</f>
        <v>104</v>
      </c>
      <c r="F311" s="51"/>
      <c r="G311" s="31"/>
      <c r="H311" s="32">
        <f>SUM(S306:S313)</f>
        <v>265.51</v>
      </c>
      <c r="I311" s="34"/>
      <c r="J311" s="28">
        <f>Source!AT151</f>
        <v>104</v>
      </c>
      <c r="K311" s="32">
        <f>SUM(T306:T313)</f>
        <v>265.51</v>
      </c>
      <c r="L311" s="33"/>
    </row>
    <row r="312" spans="1:26" ht="14.25" x14ac:dyDescent="0.2">
      <c r="A312" s="47"/>
      <c r="B312" s="48"/>
      <c r="C312" s="48" t="s">
        <v>778</v>
      </c>
      <c r="D312" s="29" t="s">
        <v>777</v>
      </c>
      <c r="E312" s="26">
        <f>Source!CA151</f>
        <v>60</v>
      </c>
      <c r="F312" s="51"/>
      <c r="G312" s="31"/>
      <c r="H312" s="32">
        <f>SUM(U306:U313)</f>
        <v>153.18</v>
      </c>
      <c r="I312" s="34"/>
      <c r="J312" s="28">
        <f>Source!AU151</f>
        <v>60</v>
      </c>
      <c r="K312" s="32">
        <f>SUM(V306:V313)</f>
        <v>153.18</v>
      </c>
      <c r="L312" s="33"/>
    </row>
    <row r="313" spans="1:26" ht="14.25" x14ac:dyDescent="0.2">
      <c r="A313" s="49"/>
      <c r="B313" s="50"/>
      <c r="C313" s="50" t="s">
        <v>779</v>
      </c>
      <c r="D313" s="36" t="s">
        <v>780</v>
      </c>
      <c r="E313" s="37">
        <f>Source!AQ151</f>
        <v>57.76</v>
      </c>
      <c r="F313" s="38"/>
      <c r="G313" s="41" t="str">
        <f>Source!DI151</f>
        <v>)*1,15</v>
      </c>
      <c r="H313" s="40"/>
      <c r="I313" s="41"/>
      <c r="J313" s="41"/>
      <c r="K313" s="40"/>
      <c r="L313" s="44">
        <f>Source!U151</f>
        <v>23.115551999999997</v>
      </c>
    </row>
    <row r="314" spans="1:26" ht="15" x14ac:dyDescent="0.25">
      <c r="G314" s="62">
        <f>H308+H309+H311+H312</f>
        <v>1205.1000000000001</v>
      </c>
      <c r="H314" s="62"/>
      <c r="J314" s="62">
        <f>K308+K309+K311+K312</f>
        <v>1205.1000000000001</v>
      </c>
      <c r="K314" s="62"/>
      <c r="L314" s="43">
        <f>Source!U151</f>
        <v>23.115551999999997</v>
      </c>
      <c r="O314" s="21">
        <f>G314</f>
        <v>1205.1000000000001</v>
      </c>
      <c r="P314" s="21">
        <f>J314</f>
        <v>1205.1000000000001</v>
      </c>
      <c r="Q314" s="21">
        <f>L314</f>
        <v>23.115551999999997</v>
      </c>
      <c r="W314">
        <f>IF(Source!BI151&lt;=1,H308+H309+H311+H312, 0)</f>
        <v>1205.1000000000001</v>
      </c>
      <c r="X314">
        <f>IF(Source!BI151=2,H308+H309+H311+H312, 0)</f>
        <v>0</v>
      </c>
      <c r="Y314">
        <f>IF(Source!BI151=3,H308+H309+H311+H312, 0)</f>
        <v>0</v>
      </c>
      <c r="Z314">
        <f>IF(Source!BI151=4,H308+H309+H311+H312, 0)</f>
        <v>0</v>
      </c>
    </row>
    <row r="315" spans="1:26" ht="57" x14ac:dyDescent="0.2">
      <c r="A315" s="102" t="str">
        <f>Source!E152</f>
        <v>42</v>
      </c>
      <c r="B315" s="103" t="s">
        <v>862</v>
      </c>
      <c r="C315" s="103" t="str">
        <f>Source!G152</f>
        <v>Разборка асфальтобетонных покрытий тротуаров толщиной до 4 см с помощью молотков отбойных пневматических Второй слой</v>
      </c>
      <c r="D315" s="104" t="str">
        <f>Source!H152</f>
        <v>1000 м2</v>
      </c>
      <c r="E315" s="105">
        <f>Source!I152</f>
        <v>0.34799999999999998</v>
      </c>
      <c r="F315" s="106">
        <f>Source!AL152+Source!AM152+Source!AO152</f>
        <v>1965.05</v>
      </c>
      <c r="G315" s="107"/>
      <c r="H315" s="108"/>
      <c r="I315" s="107" t="str">
        <f>Source!BO152</f>
        <v/>
      </c>
      <c r="J315" s="107"/>
      <c r="K315" s="108"/>
      <c r="L315" s="33"/>
      <c r="S315">
        <f>ROUND((Source!FX152/100)*((ROUND(Source!AF152*Source!I152, 2)+ROUND(Source!AE152*Source!I152, 2))), 2)</f>
        <v>265.51</v>
      </c>
      <c r="T315">
        <f>Source!X152</f>
        <v>265.51</v>
      </c>
      <c r="U315">
        <f>ROUND((Source!FY152/100)*((ROUND(Source!AF152*Source!I152, 2)+ROUND(Source!AE152*Source!I152, 2))), 2)</f>
        <v>153.18</v>
      </c>
      <c r="V315">
        <f>Source!Y152</f>
        <v>153.18</v>
      </c>
    </row>
    <row r="316" spans="1:26" ht="14.25" x14ac:dyDescent="0.2">
      <c r="A316" s="47"/>
      <c r="B316" s="48"/>
      <c r="C316" s="48" t="s">
        <v>775</v>
      </c>
      <c r="D316" s="29"/>
      <c r="E316" s="26"/>
      <c r="F316" s="30">
        <f>Source!AO152</f>
        <v>479.99</v>
      </c>
      <c r="G316" s="31" t="str">
        <f>Source!DG152</f>
        <v>)*1,15</v>
      </c>
      <c r="H316" s="32">
        <f>ROUND(Source!AF152*Source!I152, 2)</f>
        <v>192.09</v>
      </c>
      <c r="I316" s="31"/>
      <c r="J316" s="31">
        <f>IF(Source!BA152&lt;&gt; 0, Source!BA152, 1)</f>
        <v>1</v>
      </c>
      <c r="K316" s="32">
        <f>Source!S152</f>
        <v>192.09</v>
      </c>
      <c r="L316" s="33"/>
      <c r="R316">
        <f>H316</f>
        <v>192.09</v>
      </c>
    </row>
    <row r="317" spans="1:26" ht="14.25" x14ac:dyDescent="0.2">
      <c r="A317" s="47"/>
      <c r="B317" s="48"/>
      <c r="C317" s="48" t="s">
        <v>227</v>
      </c>
      <c r="D317" s="29"/>
      <c r="E317" s="26"/>
      <c r="F317" s="30">
        <f>Source!AM152</f>
        <v>1485.06</v>
      </c>
      <c r="G317" s="31" t="str">
        <f>Source!DE152</f>
        <v>)*1,15</v>
      </c>
      <c r="H317" s="32">
        <f>ROUND(Source!AD152*Source!I152, 2)</f>
        <v>594.32000000000005</v>
      </c>
      <c r="I317" s="31"/>
      <c r="J317" s="31">
        <f>IF(Source!BB152&lt;&gt; 0, Source!BB152, 1)</f>
        <v>1</v>
      </c>
      <c r="K317" s="32">
        <f>Source!Q152</f>
        <v>594.32000000000005</v>
      </c>
      <c r="L317" s="33"/>
    </row>
    <row r="318" spans="1:26" ht="14.25" x14ac:dyDescent="0.2">
      <c r="A318" s="47"/>
      <c r="B318" s="48"/>
      <c r="C318" s="48" t="s">
        <v>782</v>
      </c>
      <c r="D318" s="29"/>
      <c r="E318" s="26"/>
      <c r="F318" s="30">
        <f>Source!AN152</f>
        <v>157.94</v>
      </c>
      <c r="G318" s="31" t="str">
        <f>Source!DF152</f>
        <v>)*1,15</v>
      </c>
      <c r="H318" s="45">
        <f>ROUND(Source!AE152*Source!I152, 2)</f>
        <v>63.21</v>
      </c>
      <c r="I318" s="31"/>
      <c r="J318" s="31">
        <f>IF(Source!BS152&lt;&gt; 0, Source!BS152, 1)</f>
        <v>1</v>
      </c>
      <c r="K318" s="45">
        <f>Source!R152</f>
        <v>63.21</v>
      </c>
      <c r="L318" s="33"/>
      <c r="R318">
        <f>H318</f>
        <v>63.21</v>
      </c>
    </row>
    <row r="319" spans="1:26" ht="14.25" x14ac:dyDescent="0.2">
      <c r="A319" s="47"/>
      <c r="B319" s="48"/>
      <c r="C319" s="48" t="s">
        <v>776</v>
      </c>
      <c r="D319" s="29" t="s">
        <v>777</v>
      </c>
      <c r="E319" s="26">
        <f>Source!BZ152</f>
        <v>104</v>
      </c>
      <c r="F319" s="51"/>
      <c r="G319" s="31"/>
      <c r="H319" s="32">
        <f>SUM(S315:S321)</f>
        <v>265.51</v>
      </c>
      <c r="I319" s="34"/>
      <c r="J319" s="28">
        <f>Source!AT152</f>
        <v>104</v>
      </c>
      <c r="K319" s="32">
        <f>SUM(T315:T321)</f>
        <v>265.51</v>
      </c>
      <c r="L319" s="33"/>
    </row>
    <row r="320" spans="1:26" ht="14.25" x14ac:dyDescent="0.2">
      <c r="A320" s="47"/>
      <c r="B320" s="48"/>
      <c r="C320" s="48" t="s">
        <v>778</v>
      </c>
      <c r="D320" s="29" t="s">
        <v>777</v>
      </c>
      <c r="E320" s="26">
        <f>Source!CA152</f>
        <v>60</v>
      </c>
      <c r="F320" s="51"/>
      <c r="G320" s="31"/>
      <c r="H320" s="32">
        <f>SUM(U315:U321)</f>
        <v>153.18</v>
      </c>
      <c r="I320" s="34"/>
      <c r="J320" s="28">
        <f>Source!AU152</f>
        <v>60</v>
      </c>
      <c r="K320" s="32">
        <f>SUM(V315:V321)</f>
        <v>153.18</v>
      </c>
      <c r="L320" s="33"/>
    </row>
    <row r="321" spans="1:26" ht="14.25" x14ac:dyDescent="0.2">
      <c r="A321" s="49"/>
      <c r="B321" s="50"/>
      <c r="C321" s="50" t="s">
        <v>779</v>
      </c>
      <c r="D321" s="36" t="s">
        <v>780</v>
      </c>
      <c r="E321" s="37">
        <f>Source!AQ152</f>
        <v>57.76</v>
      </c>
      <c r="F321" s="38"/>
      <c r="G321" s="41" t="str">
        <f>Source!DI152</f>
        <v>)*1,15</v>
      </c>
      <c r="H321" s="40"/>
      <c r="I321" s="41"/>
      <c r="J321" s="41"/>
      <c r="K321" s="40"/>
      <c r="L321" s="44">
        <f>Source!U152</f>
        <v>23.115551999999997</v>
      </c>
    </row>
    <row r="322" spans="1:26" ht="15" x14ac:dyDescent="0.25">
      <c r="G322" s="62">
        <f>H316+H317+H319+H320</f>
        <v>1205.1000000000001</v>
      </c>
      <c r="H322" s="62"/>
      <c r="J322" s="62">
        <f>K316+K317+K319+K320</f>
        <v>1205.1000000000001</v>
      </c>
      <c r="K322" s="62"/>
      <c r="L322" s="43">
        <f>Source!U152</f>
        <v>23.115551999999997</v>
      </c>
      <c r="O322" s="21">
        <f>G322</f>
        <v>1205.1000000000001</v>
      </c>
      <c r="P322" s="21">
        <f>J322</f>
        <v>1205.1000000000001</v>
      </c>
      <c r="Q322" s="21">
        <f>L322</f>
        <v>23.115551999999997</v>
      </c>
      <c r="W322">
        <f>IF(Source!BI152&lt;=1,H316+H317+H319+H320, 0)</f>
        <v>1205.1000000000001</v>
      </c>
      <c r="X322">
        <f>IF(Source!BI152=2,H316+H317+H319+H320, 0)</f>
        <v>0</v>
      </c>
      <c r="Y322">
        <f>IF(Source!BI152=3,H316+H317+H319+H320, 0)</f>
        <v>0</v>
      </c>
      <c r="Z322">
        <f>IF(Source!BI152=4,H316+H317+H319+H320, 0)</f>
        <v>0</v>
      </c>
    </row>
    <row r="323" spans="1:26" ht="52.5" x14ac:dyDescent="0.2">
      <c r="A323" s="47" t="str">
        <f>Source!E153</f>
        <v>43</v>
      </c>
      <c r="B323" s="48" t="s">
        <v>788</v>
      </c>
      <c r="C323" s="48" t="str">
        <f>Source!G153</f>
        <v>Разборка покрытий и оснований щебеночных (50см)</v>
      </c>
      <c r="D323" s="29" t="str">
        <f>Source!H153</f>
        <v>100 м3</v>
      </c>
      <c r="E323" s="26">
        <f>Source!I153</f>
        <v>1.74</v>
      </c>
      <c r="F323" s="30">
        <f>Source!AL153+Source!AM153+Source!AO153</f>
        <v>596.32999999999993</v>
      </c>
      <c r="G323" s="31"/>
      <c r="H323" s="32"/>
      <c r="I323" s="31" t="str">
        <f>Source!BO153</f>
        <v/>
      </c>
      <c r="J323" s="31"/>
      <c r="K323" s="32"/>
      <c r="L323" s="33"/>
      <c r="S323">
        <f>ROUND((Source!FX153/100)*((ROUND(Source!AF153*Source!I153, 2)+ROUND(Source!AE153*Source!I153, 2))), 2)</f>
        <v>423.68</v>
      </c>
      <c r="T323">
        <f>Source!X153</f>
        <v>423.68</v>
      </c>
      <c r="U323">
        <f>ROUND((Source!FY153/100)*((ROUND(Source!AF153*Source!I153, 2)+ROUND(Source!AE153*Source!I153, 2))), 2)</f>
        <v>244.43</v>
      </c>
      <c r="V323">
        <f>Source!Y153</f>
        <v>244.43</v>
      </c>
    </row>
    <row r="324" spans="1:26" x14ac:dyDescent="0.2">
      <c r="C324" s="20" t="str">
        <f>"Объем: "&amp;Source!I153&amp;"=348*"&amp;"0,5/"&amp;"100"</f>
        <v>Объем: 1,74=348*0,5/100</v>
      </c>
    </row>
    <row r="325" spans="1:26" ht="14.25" x14ac:dyDescent="0.2">
      <c r="A325" s="47"/>
      <c r="B325" s="48"/>
      <c r="C325" s="48" t="s">
        <v>775</v>
      </c>
      <c r="D325" s="29"/>
      <c r="E325" s="26"/>
      <c r="F325" s="30">
        <f>Source!AO153</f>
        <v>144.57</v>
      </c>
      <c r="G325" s="31" t="str">
        <f>Source!DG153</f>
        <v>)*1,15</v>
      </c>
      <c r="H325" s="32">
        <f>ROUND(Source!AF153*Source!I153, 2)</f>
        <v>289.27999999999997</v>
      </c>
      <c r="I325" s="31"/>
      <c r="J325" s="31">
        <f>IF(Source!BA153&lt;&gt; 0, Source!BA153, 1)</f>
        <v>1</v>
      </c>
      <c r="K325" s="32">
        <f>Source!S153</f>
        <v>289.27999999999997</v>
      </c>
      <c r="L325" s="33"/>
      <c r="R325">
        <f>H325</f>
        <v>289.27999999999997</v>
      </c>
    </row>
    <row r="326" spans="1:26" ht="14.25" x14ac:dyDescent="0.2">
      <c r="A326" s="47"/>
      <c r="B326" s="48"/>
      <c r="C326" s="48" t="s">
        <v>227</v>
      </c>
      <c r="D326" s="29"/>
      <c r="E326" s="26"/>
      <c r="F326" s="30">
        <f>Source!AM153</f>
        <v>451.76</v>
      </c>
      <c r="G326" s="31" t="str">
        <f>Source!DE153</f>
        <v>)*1,15</v>
      </c>
      <c r="H326" s="32">
        <f>ROUND(Source!AD153*Source!I153, 2)</f>
        <v>903.97</v>
      </c>
      <c r="I326" s="31"/>
      <c r="J326" s="31">
        <f>IF(Source!BB153&lt;&gt; 0, Source!BB153, 1)</f>
        <v>1</v>
      </c>
      <c r="K326" s="32">
        <f>Source!Q153</f>
        <v>903.97</v>
      </c>
      <c r="L326" s="33"/>
    </row>
    <row r="327" spans="1:26" ht="14.25" x14ac:dyDescent="0.2">
      <c r="A327" s="47"/>
      <c r="B327" s="48"/>
      <c r="C327" s="48" t="s">
        <v>782</v>
      </c>
      <c r="D327" s="29"/>
      <c r="E327" s="26"/>
      <c r="F327" s="30">
        <f>Source!AN153</f>
        <v>59.02</v>
      </c>
      <c r="G327" s="31" t="str">
        <f>Source!DF153</f>
        <v>)*1,15</v>
      </c>
      <c r="H327" s="45">
        <f>ROUND(Source!AE153*Source!I153, 2)</f>
        <v>118.1</v>
      </c>
      <c r="I327" s="31"/>
      <c r="J327" s="31">
        <f>IF(Source!BS153&lt;&gt; 0, Source!BS153, 1)</f>
        <v>1</v>
      </c>
      <c r="K327" s="45">
        <f>Source!R153</f>
        <v>118.1</v>
      </c>
      <c r="L327" s="33"/>
      <c r="R327">
        <f>H327</f>
        <v>118.1</v>
      </c>
    </row>
    <row r="328" spans="1:26" ht="14.25" x14ac:dyDescent="0.2">
      <c r="A328" s="47"/>
      <c r="B328" s="48"/>
      <c r="C328" s="48" t="s">
        <v>776</v>
      </c>
      <c r="D328" s="29" t="s">
        <v>777</v>
      </c>
      <c r="E328" s="26">
        <f>Source!BZ153</f>
        <v>104</v>
      </c>
      <c r="F328" s="51"/>
      <c r="G328" s="31"/>
      <c r="H328" s="32">
        <f>SUM(S323:S330)</f>
        <v>423.68</v>
      </c>
      <c r="I328" s="34"/>
      <c r="J328" s="28">
        <f>Source!AT153</f>
        <v>104</v>
      </c>
      <c r="K328" s="32">
        <f>SUM(T323:T330)</f>
        <v>423.68</v>
      </c>
      <c r="L328" s="33"/>
    </row>
    <row r="329" spans="1:26" ht="14.25" x14ac:dyDescent="0.2">
      <c r="A329" s="47"/>
      <c r="B329" s="48"/>
      <c r="C329" s="48" t="s">
        <v>778</v>
      </c>
      <c r="D329" s="29" t="s">
        <v>777</v>
      </c>
      <c r="E329" s="26">
        <f>Source!CA153</f>
        <v>60</v>
      </c>
      <c r="F329" s="51"/>
      <c r="G329" s="31"/>
      <c r="H329" s="32">
        <f>SUM(U323:U330)</f>
        <v>244.43</v>
      </c>
      <c r="I329" s="34"/>
      <c r="J329" s="28">
        <f>Source!AU153</f>
        <v>60</v>
      </c>
      <c r="K329" s="32">
        <f>SUM(V323:V330)</f>
        <v>244.43</v>
      </c>
      <c r="L329" s="33"/>
    </row>
    <row r="330" spans="1:26" ht="14.25" x14ac:dyDescent="0.2">
      <c r="A330" s="49"/>
      <c r="B330" s="50"/>
      <c r="C330" s="50" t="s">
        <v>779</v>
      </c>
      <c r="D330" s="36" t="s">
        <v>780</v>
      </c>
      <c r="E330" s="37">
        <f>Source!AQ153</f>
        <v>18.37</v>
      </c>
      <c r="F330" s="38"/>
      <c r="G330" s="41" t="str">
        <f>Source!DI153</f>
        <v>)*1,15</v>
      </c>
      <c r="H330" s="40"/>
      <c r="I330" s="41"/>
      <c r="J330" s="41"/>
      <c r="K330" s="40"/>
      <c r="L330" s="44">
        <f>Source!U153</f>
        <v>36.758369999999999</v>
      </c>
    </row>
    <row r="331" spans="1:26" ht="15" x14ac:dyDescent="0.25">
      <c r="G331" s="62">
        <f>H325+H326+H328+H329</f>
        <v>1861.3600000000001</v>
      </c>
      <c r="H331" s="62"/>
      <c r="J331" s="62">
        <f>K325+K326+K328+K329</f>
        <v>1861.3600000000001</v>
      </c>
      <c r="K331" s="62"/>
      <c r="L331" s="43">
        <f>Source!U153</f>
        <v>36.758369999999999</v>
      </c>
      <c r="O331" s="21">
        <f>G331</f>
        <v>1861.3600000000001</v>
      </c>
      <c r="P331" s="21">
        <f>J331</f>
        <v>1861.3600000000001</v>
      </c>
      <c r="Q331" s="21">
        <f>L331</f>
        <v>36.758369999999999</v>
      </c>
      <c r="W331">
        <f>IF(Source!BI153&lt;=1,H325+H326+H328+H329, 0)</f>
        <v>1861.3600000000001</v>
      </c>
      <c r="X331">
        <f>IF(Source!BI153=2,H325+H326+H328+H329, 0)</f>
        <v>0</v>
      </c>
      <c r="Y331">
        <f>IF(Source!BI153=3,H325+H326+H328+H329, 0)</f>
        <v>0</v>
      </c>
      <c r="Z331">
        <f>IF(Source!BI153=4,H325+H326+H328+H329, 0)</f>
        <v>0</v>
      </c>
    </row>
    <row r="332" spans="1:26" ht="57" x14ac:dyDescent="0.2">
      <c r="A332" s="47" t="str">
        <f>Source!E154</f>
        <v>44</v>
      </c>
      <c r="B332" s="48" t="str">
        <f>Source!F154</f>
        <v>т01-01-01-042</v>
      </c>
      <c r="C332" s="48" t="str">
        <f>Source!G154</f>
        <v>Погрузочные работы при автомобильных перевозках мусора строительного с погрузкой транспортерами</v>
      </c>
      <c r="D332" s="29" t="str">
        <f>Source!H154</f>
        <v>1 Т ГРУЗА</v>
      </c>
      <c r="E332" s="26">
        <f>Source!I154</f>
        <v>290.58</v>
      </c>
      <c r="F332" s="30">
        <f>Source!AK154</f>
        <v>7.96</v>
      </c>
      <c r="G332" s="31" t="str">
        <f>Source!DC154</f>
        <v/>
      </c>
      <c r="H332" s="32">
        <f>ROUND(Source!AB154*Source!I154, 2)</f>
        <v>2313.02</v>
      </c>
      <c r="I332" s="31" t="str">
        <f>Source!BO154</f>
        <v/>
      </c>
      <c r="J332" s="31">
        <f>Source!AZ154</f>
        <v>1</v>
      </c>
      <c r="K332" s="32">
        <f>Source!GM154</f>
        <v>2313.02</v>
      </c>
      <c r="L332" s="33"/>
      <c r="S332">
        <f>ROUND((Source!FX154/100)*((ROUND(0*Source!I154, 2)+ROUND(0*Source!I154, 2))), 2)</f>
        <v>0</v>
      </c>
      <c r="T332">
        <f>Source!X154</f>
        <v>0</v>
      </c>
      <c r="U332">
        <f>ROUND((Source!FY154/100)*((ROUND(0*Source!I154, 2)+ROUND(0*Source!I154, 2))), 2)</f>
        <v>0</v>
      </c>
      <c r="V332">
        <f>Source!Y154</f>
        <v>0</v>
      </c>
    </row>
    <row r="333" spans="1:26" ht="25.5" x14ac:dyDescent="0.2">
      <c r="A333" s="23"/>
      <c r="B333" s="23"/>
      <c r="C333" s="24" t="str">
        <f>"Объем: "&amp;Source!I154&amp;"="&amp;Source!I151&amp;"*"&amp;"1000*"&amp;"0,04*"&amp;"2*"&amp;"2+"&amp;""&amp;Source!I153&amp;"*"&amp;"100*"&amp;"1,35"</f>
        <v>Объем: 290,58=0,348*1000*0,04*2*2+1,74*100*1,35</v>
      </c>
      <c r="D333" s="23"/>
      <c r="E333" s="23"/>
      <c r="F333" s="23"/>
      <c r="G333" s="23"/>
      <c r="H333" s="23"/>
      <c r="I333" s="23"/>
      <c r="J333" s="23"/>
      <c r="K333" s="23"/>
      <c r="L333" s="23"/>
    </row>
    <row r="334" spans="1:26" ht="15" x14ac:dyDescent="0.25">
      <c r="G334" s="62">
        <f>H332</f>
        <v>2313.02</v>
      </c>
      <c r="H334" s="62"/>
      <c r="J334" s="62">
        <f>K332</f>
        <v>2313.02</v>
      </c>
      <c r="K334" s="62"/>
      <c r="L334" s="43">
        <f>Source!U154</f>
        <v>0</v>
      </c>
      <c r="O334" s="21">
        <f>G334</f>
        <v>2313.02</v>
      </c>
      <c r="P334" s="21">
        <f>J334</f>
        <v>2313.02</v>
      </c>
      <c r="Q334" s="21">
        <f>L334</f>
        <v>0</v>
      </c>
      <c r="W334">
        <f>IF(Source!BI154&lt;=1,H332, 0)</f>
        <v>2313.02</v>
      </c>
      <c r="X334">
        <f>IF(Source!BI154=2,H332, 0)</f>
        <v>0</v>
      </c>
      <c r="Y334">
        <f>IF(Source!BI154=3,H332, 0)</f>
        <v>0</v>
      </c>
      <c r="Z334">
        <f>IF(Source!BI154=4,H332, 0)</f>
        <v>0</v>
      </c>
    </row>
    <row r="335" spans="1:26" ht="57" x14ac:dyDescent="0.2">
      <c r="A335" s="49" t="str">
        <f>Source!E155</f>
        <v>45</v>
      </c>
      <c r="B335" s="50" t="str">
        <f>Source!F155</f>
        <v>т03-21-01-025</v>
      </c>
      <c r="C335" s="50" t="str">
        <f>Source!G155</f>
        <v>Перевозка грузов I класса автомобилями-самосвалами грузоподъемностью 10 т работающих вне карьера на расстояние до 25 км</v>
      </c>
      <c r="D335" s="36" t="str">
        <f>Source!H155</f>
        <v>1 Т ГРУЗА</v>
      </c>
      <c r="E335" s="37">
        <f>Source!I155</f>
        <v>290.58</v>
      </c>
      <c r="F335" s="38">
        <f>Source!AK155</f>
        <v>17.32</v>
      </c>
      <c r="G335" s="41" t="str">
        <f>Source!DC155</f>
        <v/>
      </c>
      <c r="H335" s="40">
        <f>ROUND(Source!AB155*Source!I155, 2)</f>
        <v>5032.8500000000004</v>
      </c>
      <c r="I335" s="41" t="str">
        <f>Source!BO155</f>
        <v/>
      </c>
      <c r="J335" s="41">
        <f>Source!AZ155</f>
        <v>1</v>
      </c>
      <c r="K335" s="40">
        <f>Source!GM155</f>
        <v>5032.8500000000004</v>
      </c>
      <c r="L335" s="42"/>
      <c r="S335">
        <f>ROUND((Source!FX155/100)*((ROUND(0*Source!I155, 2)+ROUND(0*Source!I155, 2))), 2)</f>
        <v>0</v>
      </c>
      <c r="T335">
        <f>Source!X155</f>
        <v>0</v>
      </c>
      <c r="U335">
        <f>ROUND((Source!FY155/100)*((ROUND(0*Source!I155, 2)+ROUND(0*Source!I155, 2))), 2)</f>
        <v>0</v>
      </c>
      <c r="V335">
        <f>Source!Y155</f>
        <v>0</v>
      </c>
    </row>
    <row r="336" spans="1:26" ht="15" x14ac:dyDescent="0.25">
      <c r="G336" s="62">
        <f>H335</f>
        <v>5032.8500000000004</v>
      </c>
      <c r="H336" s="62"/>
      <c r="J336" s="62">
        <f>K335</f>
        <v>5032.8500000000004</v>
      </c>
      <c r="K336" s="62"/>
      <c r="L336" s="43">
        <f>Source!U155</f>
        <v>0</v>
      </c>
      <c r="O336" s="21">
        <f>G336</f>
        <v>5032.8500000000004</v>
      </c>
      <c r="P336" s="21">
        <f>J336</f>
        <v>5032.8500000000004</v>
      </c>
      <c r="Q336" s="21">
        <f>L336</f>
        <v>0</v>
      </c>
      <c r="W336">
        <f>IF(Source!BI155&lt;=1,H335, 0)</f>
        <v>5032.8500000000004</v>
      </c>
      <c r="X336">
        <f>IF(Source!BI155=2,H335, 0)</f>
        <v>0</v>
      </c>
      <c r="Y336">
        <f>IF(Source!BI155=3,H335, 0)</f>
        <v>0</v>
      </c>
      <c r="Z336">
        <f>IF(Source!BI155=4,H335, 0)</f>
        <v>0</v>
      </c>
    </row>
    <row r="337" spans="1:26" ht="78" x14ac:dyDescent="0.2">
      <c r="A337" s="47" t="str">
        <f>Source!E156</f>
        <v>46</v>
      </c>
      <c r="B337" s="48" t="s">
        <v>789</v>
      </c>
      <c r="C337" s="48" t="str">
        <f>Source!G156</f>
        <v>Устройство подстилающих и выравнивающих слоев оснований из песка (20см)</v>
      </c>
      <c r="D337" s="29" t="str">
        <f>Source!H156</f>
        <v>100 м3</v>
      </c>
      <c r="E337" s="26">
        <f>Source!I156</f>
        <v>0.69599999999999995</v>
      </c>
      <c r="F337" s="30">
        <f>Source!AL156+Source!AM156+Source!AO156</f>
        <v>2281.9899999999998</v>
      </c>
      <c r="G337" s="31"/>
      <c r="H337" s="32"/>
      <c r="I337" s="31" t="str">
        <f>Source!BO156</f>
        <v/>
      </c>
      <c r="J337" s="31"/>
      <c r="K337" s="32"/>
      <c r="L337" s="33"/>
      <c r="S337">
        <f>ROUND((Source!FX156/100)*((ROUND(Source!AF156*Source!I156, 2)+ROUND(Source!AE156*Source!I156, 2))), 2)</f>
        <v>375.37</v>
      </c>
      <c r="T337">
        <f>Source!X156</f>
        <v>375.96</v>
      </c>
      <c r="U337">
        <f>ROUND((Source!FY156/100)*((ROUND(Source!AF156*Source!I156, 2)+ROUND(Source!AE156*Source!I156, 2))), 2)</f>
        <v>237.18</v>
      </c>
      <c r="V337">
        <f>Source!Y156</f>
        <v>237.91</v>
      </c>
    </row>
    <row r="338" spans="1:26" x14ac:dyDescent="0.2">
      <c r="C338" s="20" t="str">
        <f>"Объем: "&amp;Source!I156&amp;"=(348*"&amp;"0,2)/"&amp;"100"</f>
        <v>Объем: 0,696=(348*0,2)/100</v>
      </c>
    </row>
    <row r="339" spans="1:26" ht="14.25" x14ac:dyDescent="0.2">
      <c r="A339" s="47"/>
      <c r="B339" s="48"/>
      <c r="C339" s="48" t="s">
        <v>775</v>
      </c>
      <c r="D339" s="29"/>
      <c r="E339" s="26"/>
      <c r="F339" s="30">
        <f>Source!AO156</f>
        <v>126.07</v>
      </c>
      <c r="G339" s="31" t="str">
        <f>Source!DG156</f>
        <v>)*1,15)*1,15</v>
      </c>
      <c r="H339" s="32">
        <f>ROUND(Source!AF156*Source!I156, 2)</f>
        <v>116.04</v>
      </c>
      <c r="I339" s="31"/>
      <c r="J339" s="31">
        <f>IF(Source!BA156&lt;&gt; 0, Source!BA156, 1)</f>
        <v>1</v>
      </c>
      <c r="K339" s="32">
        <f>Source!S156</f>
        <v>116.04</v>
      </c>
      <c r="L339" s="33"/>
      <c r="R339">
        <f>H339</f>
        <v>116.04</v>
      </c>
    </row>
    <row r="340" spans="1:26" ht="14.25" x14ac:dyDescent="0.2">
      <c r="A340" s="47"/>
      <c r="B340" s="48"/>
      <c r="C340" s="48" t="s">
        <v>227</v>
      </c>
      <c r="D340" s="29"/>
      <c r="E340" s="26"/>
      <c r="F340" s="30">
        <f>Source!AM156</f>
        <v>2143.7199999999998</v>
      </c>
      <c r="G340" s="31" t="str">
        <f>Source!DE156</f>
        <v>)*1,15)*1,25</v>
      </c>
      <c r="H340" s="32">
        <f>ROUND(Source!AD156*Source!I156, 2)</f>
        <v>2144.79</v>
      </c>
      <c r="I340" s="31"/>
      <c r="J340" s="31">
        <f>IF(Source!BB156&lt;&gt; 0, Source!BB156, 1)</f>
        <v>1</v>
      </c>
      <c r="K340" s="32">
        <f>Source!Q156</f>
        <v>2144.79</v>
      </c>
      <c r="L340" s="33"/>
    </row>
    <row r="341" spans="1:26" ht="14.25" x14ac:dyDescent="0.2">
      <c r="A341" s="47"/>
      <c r="B341" s="48"/>
      <c r="C341" s="48" t="s">
        <v>782</v>
      </c>
      <c r="D341" s="29"/>
      <c r="E341" s="26"/>
      <c r="F341" s="30">
        <f>Source!AN156</f>
        <v>177.59</v>
      </c>
      <c r="G341" s="31" t="str">
        <f>Source!DF156</f>
        <v>)*1,15)*1,25</v>
      </c>
      <c r="H341" s="45">
        <f>ROUND(Source!AE156*Source!I156, 2)</f>
        <v>177.68</v>
      </c>
      <c r="I341" s="31"/>
      <c r="J341" s="31">
        <f>IF(Source!BS156&lt;&gt; 0, Source!BS156, 1)</f>
        <v>1</v>
      </c>
      <c r="K341" s="45">
        <f>Source!R156</f>
        <v>177.68</v>
      </c>
      <c r="L341" s="33"/>
      <c r="R341">
        <f>H341</f>
        <v>177.68</v>
      </c>
    </row>
    <row r="342" spans="1:26" ht="14.25" x14ac:dyDescent="0.2">
      <c r="A342" s="47"/>
      <c r="B342" s="48"/>
      <c r="C342" s="48" t="s">
        <v>781</v>
      </c>
      <c r="D342" s="29"/>
      <c r="E342" s="26"/>
      <c r="F342" s="30">
        <f>Source!AL156</f>
        <v>12.2</v>
      </c>
      <c r="G342" s="31" t="str">
        <f>Source!DD156</f>
        <v/>
      </c>
      <c r="H342" s="32">
        <f>ROUND(Source!AC156*Source!I156, 2)</f>
        <v>8.49</v>
      </c>
      <c r="I342" s="31"/>
      <c r="J342" s="31">
        <f>IF(Source!BC156&lt;&gt; 0, Source!BC156, 1)</f>
        <v>1</v>
      </c>
      <c r="K342" s="32">
        <f>Source!P156</f>
        <v>8.49</v>
      </c>
      <c r="L342" s="33"/>
    </row>
    <row r="343" spans="1:26" ht="14.25" x14ac:dyDescent="0.2">
      <c r="A343" s="47"/>
      <c r="B343" s="48"/>
      <c r="C343" s="48" t="s">
        <v>776</v>
      </c>
      <c r="D343" s="29" t="s">
        <v>777</v>
      </c>
      <c r="E343" s="26">
        <f>Source!BZ156</f>
        <v>142</v>
      </c>
      <c r="F343" s="65" t="str">
        <f>CONCATENATE(" )", Source!DL156, Source!FT156, "=", Source!FX156)</f>
        <v xml:space="preserve"> )*0,9=127,8</v>
      </c>
      <c r="G343" s="66"/>
      <c r="H343" s="32">
        <f>SUM(S337:S346)</f>
        <v>375.37</v>
      </c>
      <c r="I343" s="34"/>
      <c r="J343" s="28">
        <f>Source!AT156</f>
        <v>128</v>
      </c>
      <c r="K343" s="32">
        <f>SUM(T337:T346)</f>
        <v>375.96</v>
      </c>
      <c r="L343" s="33"/>
    </row>
    <row r="344" spans="1:26" ht="14.25" x14ac:dyDescent="0.2">
      <c r="A344" s="47"/>
      <c r="B344" s="48"/>
      <c r="C344" s="48" t="s">
        <v>778</v>
      </c>
      <c r="D344" s="29" t="s">
        <v>777</v>
      </c>
      <c r="E344" s="26">
        <f>Source!CA156</f>
        <v>95</v>
      </c>
      <c r="F344" s="65" t="str">
        <f>CONCATENATE(" )", Source!DM156, Source!FU156, "=", Source!FY156)</f>
        <v xml:space="preserve"> )*0,85=80,75</v>
      </c>
      <c r="G344" s="66"/>
      <c r="H344" s="32">
        <f>SUM(U337:U346)</f>
        <v>237.18</v>
      </c>
      <c r="I344" s="34"/>
      <c r="J344" s="28">
        <f>Source!AU156</f>
        <v>81</v>
      </c>
      <c r="K344" s="32">
        <f>SUM(V337:V346)</f>
        <v>237.91</v>
      </c>
      <c r="L344" s="33"/>
    </row>
    <row r="345" spans="1:26" ht="14.25" x14ac:dyDescent="0.2">
      <c r="A345" s="47"/>
      <c r="B345" s="48"/>
      <c r="C345" s="48" t="s">
        <v>779</v>
      </c>
      <c r="D345" s="29" t="s">
        <v>780</v>
      </c>
      <c r="E345" s="26">
        <f>Source!AQ156</f>
        <v>15.72</v>
      </c>
      <c r="F345" s="30"/>
      <c r="G345" s="31" t="str">
        <f>Source!DI156</f>
        <v>)*1,15)*1,15</v>
      </c>
      <c r="H345" s="32"/>
      <c r="I345" s="31"/>
      <c r="J345" s="31"/>
      <c r="K345" s="32"/>
      <c r="L345" s="35">
        <f>Source!U156</f>
        <v>14.469631199999997</v>
      </c>
    </row>
    <row r="346" spans="1:26" ht="28.5" x14ac:dyDescent="0.2">
      <c r="A346" s="49" t="str">
        <f>Source!E157</f>
        <v>46,1</v>
      </c>
      <c r="B346" s="50" t="str">
        <f>Source!F157</f>
        <v>02.3.01.02-0015</v>
      </c>
      <c r="C346" s="50" t="str">
        <f>Source!G157</f>
        <v>Песок природный для строительных работ средний</v>
      </c>
      <c r="D346" s="36" t="str">
        <f>Source!H157</f>
        <v>м3</v>
      </c>
      <c r="E346" s="37">
        <f>Source!I157</f>
        <v>71.34</v>
      </c>
      <c r="F346" s="38">
        <f>Source!AL157+Source!AM157+Source!AO157</f>
        <v>55.26</v>
      </c>
      <c r="G346" s="39" t="s">
        <v>3</v>
      </c>
      <c r="H346" s="40">
        <f>ROUND(Source!AC157*Source!I157, 2)+ROUND(Source!AD157*Source!I157, 2)+ROUND(Source!AF157*Source!I157, 2)</f>
        <v>3942.25</v>
      </c>
      <c r="I346" s="41"/>
      <c r="J346" s="41">
        <f>IF(Source!BC157&lt;&gt; 0, Source!BC157, 1)</f>
        <v>1</v>
      </c>
      <c r="K346" s="40">
        <f>Source!O157</f>
        <v>3942.25</v>
      </c>
      <c r="L346" s="42"/>
      <c r="S346">
        <f>ROUND((Source!FX157/100)*((ROUND(Source!AF157*Source!I157, 2)+ROUND(Source!AE157*Source!I157, 2))), 2)</f>
        <v>0</v>
      </c>
      <c r="T346">
        <f>Source!X157</f>
        <v>0</v>
      </c>
      <c r="U346">
        <f>ROUND((Source!FY157/100)*((ROUND(Source!AF157*Source!I157, 2)+ROUND(Source!AE157*Source!I157, 2))), 2)</f>
        <v>0</v>
      </c>
      <c r="V346">
        <f>Source!Y157</f>
        <v>0</v>
      </c>
      <c r="W346">
        <f>IF(Source!BI157&lt;=1,H346, 0)</f>
        <v>3942.25</v>
      </c>
      <c r="X346">
        <f>IF(Source!BI157=2,H346, 0)</f>
        <v>0</v>
      </c>
      <c r="Y346">
        <f>IF(Source!BI157=3,H346, 0)</f>
        <v>0</v>
      </c>
      <c r="Z346">
        <f>IF(Source!BI157=4,H346, 0)</f>
        <v>0</v>
      </c>
    </row>
    <row r="347" spans="1:26" ht="15" x14ac:dyDescent="0.25">
      <c r="G347" s="62">
        <f>H339+H340+H342+H343+H344+SUM(H346:H346)</f>
        <v>6824.119999999999</v>
      </c>
      <c r="H347" s="62"/>
      <c r="J347" s="62">
        <f>K339+K340+K342+K343+K344+SUM(K346:K346)</f>
        <v>6825.44</v>
      </c>
      <c r="K347" s="62"/>
      <c r="L347" s="43">
        <f>Source!U156</f>
        <v>14.469631199999997</v>
      </c>
      <c r="O347" s="21">
        <f>G347</f>
        <v>6824.119999999999</v>
      </c>
      <c r="P347" s="21">
        <f>J347</f>
        <v>6825.44</v>
      </c>
      <c r="Q347" s="21">
        <f>L347</f>
        <v>14.469631199999997</v>
      </c>
      <c r="W347">
        <f>IF(Source!BI156&lt;=1,H339+H340+H342+H343+H344, 0)</f>
        <v>2881.8699999999994</v>
      </c>
      <c r="X347">
        <f>IF(Source!BI156=2,H339+H340+H342+H343+H344, 0)</f>
        <v>0</v>
      </c>
      <c r="Y347">
        <f>IF(Source!BI156=3,H339+H340+H342+H343+H344, 0)</f>
        <v>0</v>
      </c>
      <c r="Z347">
        <f>IF(Source!BI156=4,H339+H340+H342+H343+H344, 0)</f>
        <v>0</v>
      </c>
    </row>
    <row r="348" spans="1:26" ht="78" x14ac:dyDescent="0.2">
      <c r="A348" s="47" t="str">
        <f>Source!E158</f>
        <v>47</v>
      </c>
      <c r="B348" s="48" t="s">
        <v>795</v>
      </c>
      <c r="C348" s="48" t="str">
        <f>Source!G158</f>
        <v>Устройство подстилающих и выравнивающих слоев оснований из щебня (30см)</v>
      </c>
      <c r="D348" s="29" t="str">
        <f>Source!H158</f>
        <v>100 м3</v>
      </c>
      <c r="E348" s="26">
        <f>Source!I158</f>
        <v>1.044</v>
      </c>
      <c r="F348" s="30">
        <f>Source!AL158+Source!AM158+Source!AO158</f>
        <v>3551.6299999999997</v>
      </c>
      <c r="G348" s="31"/>
      <c r="H348" s="32"/>
      <c r="I348" s="31" t="str">
        <f>Source!BO158</f>
        <v/>
      </c>
      <c r="J348" s="31"/>
      <c r="K348" s="32"/>
      <c r="L348" s="33"/>
      <c r="S348">
        <f>ROUND((Source!FX158/100)*((ROUND(Source!AF158*Source!I158, 2)+ROUND(Source!AE158*Source!I158, 2))), 2)</f>
        <v>879.75</v>
      </c>
      <c r="T348">
        <f>Source!X158</f>
        <v>881.13</v>
      </c>
      <c r="U348">
        <f>ROUND((Source!FY158/100)*((ROUND(Source!AF158*Source!I158, 2)+ROUND(Source!AE158*Source!I158, 2))), 2)</f>
        <v>555.87</v>
      </c>
      <c r="V348">
        <f>Source!Y158</f>
        <v>557.59</v>
      </c>
    </row>
    <row r="349" spans="1:26" x14ac:dyDescent="0.2">
      <c r="C349" s="20" t="str">
        <f>"Объем: "&amp;Source!I158&amp;"=348*"&amp;"0,3/"&amp;"100"</f>
        <v>Объем: 1,044=348*0,3/100</v>
      </c>
    </row>
    <row r="350" spans="1:26" ht="14.25" x14ac:dyDescent="0.2">
      <c r="A350" s="47"/>
      <c r="B350" s="48"/>
      <c r="C350" s="48" t="s">
        <v>775</v>
      </c>
      <c r="D350" s="29"/>
      <c r="E350" s="26"/>
      <c r="F350" s="30">
        <f>Source!AO158</f>
        <v>195.7</v>
      </c>
      <c r="G350" s="31" t="str">
        <f>Source!DG158</f>
        <v>)*1,15)*1,15</v>
      </c>
      <c r="H350" s="32">
        <f>ROUND(Source!AF158*Source!I158, 2)</f>
        <v>270.2</v>
      </c>
      <c r="I350" s="31"/>
      <c r="J350" s="31">
        <f>IF(Source!BA158&lt;&gt; 0, Source!BA158, 1)</f>
        <v>1</v>
      </c>
      <c r="K350" s="32">
        <f>Source!S158</f>
        <v>270.2</v>
      </c>
      <c r="L350" s="33"/>
      <c r="R350">
        <f>H350</f>
        <v>270.2</v>
      </c>
    </row>
    <row r="351" spans="1:26" ht="14.25" x14ac:dyDescent="0.2">
      <c r="A351" s="47"/>
      <c r="B351" s="48"/>
      <c r="C351" s="48" t="s">
        <v>227</v>
      </c>
      <c r="D351" s="29"/>
      <c r="E351" s="26"/>
      <c r="F351" s="30">
        <f>Source!AM158</f>
        <v>3338.85</v>
      </c>
      <c r="G351" s="31" t="str">
        <f>Source!DE158</f>
        <v>)*1,15)*1,25</v>
      </c>
      <c r="H351" s="32">
        <f>ROUND(Source!AD158*Source!I158, 2)</f>
        <v>5010.78</v>
      </c>
      <c r="I351" s="31"/>
      <c r="J351" s="31">
        <f>IF(Source!BB158&lt;&gt; 0, Source!BB158, 1)</f>
        <v>1</v>
      </c>
      <c r="K351" s="32">
        <f>Source!Q158</f>
        <v>5010.78</v>
      </c>
      <c r="L351" s="33"/>
    </row>
    <row r="352" spans="1:26" ht="14.25" x14ac:dyDescent="0.2">
      <c r="A352" s="47"/>
      <c r="B352" s="48"/>
      <c r="C352" s="48" t="s">
        <v>782</v>
      </c>
      <c r="D352" s="29"/>
      <c r="E352" s="26"/>
      <c r="F352" s="30">
        <f>Source!AN158</f>
        <v>278.64999999999998</v>
      </c>
      <c r="G352" s="31" t="str">
        <f>Source!DF158</f>
        <v>)*1,15)*1,25</v>
      </c>
      <c r="H352" s="45">
        <f>ROUND(Source!AE158*Source!I158, 2)</f>
        <v>418.18</v>
      </c>
      <c r="I352" s="31"/>
      <c r="J352" s="31">
        <f>IF(Source!BS158&lt;&gt; 0, Source!BS158, 1)</f>
        <v>1</v>
      </c>
      <c r="K352" s="45">
        <f>Source!R158</f>
        <v>418.18</v>
      </c>
      <c r="L352" s="33"/>
      <c r="R352">
        <f>H352</f>
        <v>418.18</v>
      </c>
    </row>
    <row r="353" spans="1:26" ht="14.25" x14ac:dyDescent="0.2">
      <c r="A353" s="47"/>
      <c r="B353" s="48"/>
      <c r="C353" s="48" t="s">
        <v>781</v>
      </c>
      <c r="D353" s="29"/>
      <c r="E353" s="26"/>
      <c r="F353" s="30">
        <f>Source!AL158</f>
        <v>17.079999999999998</v>
      </c>
      <c r="G353" s="31" t="str">
        <f>Source!DD158</f>
        <v/>
      </c>
      <c r="H353" s="32">
        <f>ROUND(Source!AC158*Source!I158, 2)</f>
        <v>17.829999999999998</v>
      </c>
      <c r="I353" s="31"/>
      <c r="J353" s="31">
        <f>IF(Source!BC158&lt;&gt; 0, Source!BC158, 1)</f>
        <v>1</v>
      </c>
      <c r="K353" s="32">
        <f>Source!P158</f>
        <v>17.829999999999998</v>
      </c>
      <c r="L353" s="33"/>
    </row>
    <row r="354" spans="1:26" ht="14.25" x14ac:dyDescent="0.2">
      <c r="A354" s="47"/>
      <c r="B354" s="48"/>
      <c r="C354" s="48" t="s">
        <v>776</v>
      </c>
      <c r="D354" s="29" t="s">
        <v>777</v>
      </c>
      <c r="E354" s="26">
        <f>Source!BZ158</f>
        <v>142</v>
      </c>
      <c r="F354" s="65" t="str">
        <f>CONCATENATE(" )", Source!DL158, Source!FT158, "=", Source!FX158)</f>
        <v xml:space="preserve"> )*0,9=127,8</v>
      </c>
      <c r="G354" s="66"/>
      <c r="H354" s="32">
        <f>SUM(S348:S357)</f>
        <v>879.75</v>
      </c>
      <c r="I354" s="34"/>
      <c r="J354" s="28">
        <f>Source!AT158</f>
        <v>128</v>
      </c>
      <c r="K354" s="32">
        <f>SUM(T348:T357)</f>
        <v>881.13</v>
      </c>
      <c r="L354" s="33"/>
    </row>
    <row r="355" spans="1:26" ht="14.25" x14ac:dyDescent="0.2">
      <c r="A355" s="47"/>
      <c r="B355" s="48"/>
      <c r="C355" s="48" t="s">
        <v>778</v>
      </c>
      <c r="D355" s="29" t="s">
        <v>777</v>
      </c>
      <c r="E355" s="26">
        <f>Source!CA158</f>
        <v>95</v>
      </c>
      <c r="F355" s="65" t="str">
        <f>CONCATENATE(" )", Source!DM158, Source!FU158, "=", Source!FY158)</f>
        <v xml:space="preserve"> )*0,85=80,75</v>
      </c>
      <c r="G355" s="66"/>
      <c r="H355" s="32">
        <f>SUM(U348:U357)</f>
        <v>555.87</v>
      </c>
      <c r="I355" s="34"/>
      <c r="J355" s="28">
        <f>Source!AU158</f>
        <v>81</v>
      </c>
      <c r="K355" s="32">
        <f>SUM(V348:V357)</f>
        <v>557.59</v>
      </c>
      <c r="L355" s="33"/>
    </row>
    <row r="356" spans="1:26" ht="14.25" x14ac:dyDescent="0.2">
      <c r="A356" s="47"/>
      <c r="B356" s="48"/>
      <c r="C356" s="48" t="s">
        <v>779</v>
      </c>
      <c r="D356" s="29" t="s">
        <v>780</v>
      </c>
      <c r="E356" s="26">
        <f>Source!AQ158</f>
        <v>24.19</v>
      </c>
      <c r="F356" s="30"/>
      <c r="G356" s="31" t="str">
        <f>Source!DI158</f>
        <v>)*1,15)*1,15</v>
      </c>
      <c r="H356" s="32"/>
      <c r="I356" s="31"/>
      <c r="J356" s="31"/>
      <c r="K356" s="32"/>
      <c r="L356" s="35">
        <f>Source!U158</f>
        <v>33.3988911</v>
      </c>
    </row>
    <row r="357" spans="1:26" ht="28.5" x14ac:dyDescent="0.2">
      <c r="A357" s="49" t="str">
        <f>Source!E159</f>
        <v>47,1</v>
      </c>
      <c r="B357" s="50" t="str">
        <f>Source!F159</f>
        <v>02.2.05.04-0046</v>
      </c>
      <c r="C357" s="50" t="str">
        <f>Source!G159</f>
        <v>Щебень из гравия для строительных работ марка 600, фракция 10-20 мм</v>
      </c>
      <c r="D357" s="36" t="str">
        <f>Source!H159</f>
        <v>м3</v>
      </c>
      <c r="E357" s="37">
        <f>Source!I159</f>
        <v>106.488</v>
      </c>
      <c r="F357" s="38">
        <f>Source!AL159+Source!AM159+Source!AO159</f>
        <v>139.63</v>
      </c>
      <c r="G357" s="39" t="s">
        <v>3</v>
      </c>
      <c r="H357" s="40">
        <f>ROUND(Source!AC159*Source!I159, 2)+ROUND(Source!AD159*Source!I159, 2)+ROUND(Source!AF159*Source!I159, 2)</f>
        <v>14868.92</v>
      </c>
      <c r="I357" s="41"/>
      <c r="J357" s="41">
        <f>IF(Source!BC159&lt;&gt; 0, Source!BC159, 1)</f>
        <v>1</v>
      </c>
      <c r="K357" s="40">
        <f>Source!O159</f>
        <v>14868.92</v>
      </c>
      <c r="L357" s="42"/>
      <c r="S357">
        <f>ROUND((Source!FX159/100)*((ROUND(Source!AF159*Source!I159, 2)+ROUND(Source!AE159*Source!I159, 2))), 2)</f>
        <v>0</v>
      </c>
      <c r="T357">
        <f>Source!X159</f>
        <v>0</v>
      </c>
      <c r="U357">
        <f>ROUND((Source!FY159/100)*((ROUND(Source!AF159*Source!I159, 2)+ROUND(Source!AE159*Source!I159, 2))), 2)</f>
        <v>0</v>
      </c>
      <c r="V357">
        <f>Source!Y159</f>
        <v>0</v>
      </c>
      <c r="W357">
        <f>IF(Source!BI159&lt;=1,H357, 0)</f>
        <v>14868.92</v>
      </c>
      <c r="X357">
        <f>IF(Source!BI159=2,H357, 0)</f>
        <v>0</v>
      </c>
      <c r="Y357">
        <f>IF(Source!BI159=3,H357, 0)</f>
        <v>0</v>
      </c>
      <c r="Z357">
        <f>IF(Source!BI159=4,H357, 0)</f>
        <v>0</v>
      </c>
    </row>
    <row r="358" spans="1:26" ht="15" x14ac:dyDescent="0.25">
      <c r="G358" s="62">
        <f>H350+H351+H353+H354+H355+SUM(H357:H357)</f>
        <v>21603.35</v>
      </c>
      <c r="H358" s="62"/>
      <c r="J358" s="62">
        <f>K350+K351+K353+K354+K355+SUM(K357:K357)</f>
        <v>21606.45</v>
      </c>
      <c r="K358" s="62"/>
      <c r="L358" s="43">
        <f>Source!U158</f>
        <v>33.3988911</v>
      </c>
      <c r="O358" s="21">
        <f>G358</f>
        <v>21603.35</v>
      </c>
      <c r="P358" s="21">
        <f>J358</f>
        <v>21606.45</v>
      </c>
      <c r="Q358" s="21">
        <f>L358</f>
        <v>33.3988911</v>
      </c>
      <c r="W358">
        <f>IF(Source!BI158&lt;=1,H350+H351+H353+H354+H355, 0)</f>
        <v>6734.4299999999994</v>
      </c>
      <c r="X358">
        <f>IF(Source!BI158=2,H350+H351+H353+H354+H355, 0)</f>
        <v>0</v>
      </c>
      <c r="Y358">
        <f>IF(Source!BI158=3,H350+H351+H353+H354+H355, 0)</f>
        <v>0</v>
      </c>
      <c r="Z358">
        <f>IF(Source!BI158=4,H350+H351+H353+H354+H355, 0)</f>
        <v>0</v>
      </c>
    </row>
    <row r="359" spans="1:26" ht="78" x14ac:dyDescent="0.2">
      <c r="A359" s="47" t="str">
        <f>Source!E160</f>
        <v>48</v>
      </c>
      <c r="B359" s="48" t="s">
        <v>796</v>
      </c>
      <c r="C359" s="48" t="str">
        <f>Source!G160</f>
        <v>Устройство покрытия толщиной 4 см из горячих асфальтобетонных смесей плотных крупнозернинистых типа АБ, плотность каменных материалов 2,5-2,9 т/м3 Первый слой.</v>
      </c>
      <c r="D359" s="29" t="str">
        <f>Source!H160</f>
        <v>1000 м2</v>
      </c>
      <c r="E359" s="26">
        <f>Source!I160</f>
        <v>0.34799999999999998</v>
      </c>
      <c r="F359" s="30">
        <f>Source!AL160+Source!AM160+Source!AO160</f>
        <v>2984.49</v>
      </c>
      <c r="G359" s="31"/>
      <c r="H359" s="32"/>
      <c r="I359" s="31" t="str">
        <f>Source!BO160</f>
        <v/>
      </c>
      <c r="J359" s="31"/>
      <c r="K359" s="32"/>
      <c r="L359" s="33"/>
      <c r="S359">
        <f>ROUND((Source!FX160/100)*((ROUND(Source!AF160*Source!I160, 2)+ROUND(Source!AE160*Source!I160, 2))), 2)</f>
        <v>384.86</v>
      </c>
      <c r="T359">
        <f>Source!X160</f>
        <v>385.46</v>
      </c>
      <c r="U359">
        <f>ROUND((Source!FY160/100)*((ROUND(Source!AF160*Source!I160, 2)+ROUND(Source!AE160*Source!I160, 2))), 2)</f>
        <v>243.17</v>
      </c>
      <c r="V359">
        <f>Source!Y160</f>
        <v>243.92</v>
      </c>
    </row>
    <row r="360" spans="1:26" x14ac:dyDescent="0.2">
      <c r="C360" s="20" t="str">
        <f>"Объем: "&amp;Source!I160&amp;"=348/"&amp;"1000"</f>
        <v>Объем: 0,348=348/1000</v>
      </c>
    </row>
    <row r="361" spans="1:26" ht="14.25" x14ac:dyDescent="0.2">
      <c r="A361" s="47"/>
      <c r="B361" s="48"/>
      <c r="C361" s="48" t="s">
        <v>775</v>
      </c>
      <c r="D361" s="29"/>
      <c r="E361" s="26"/>
      <c r="F361" s="30">
        <f>Source!AO160</f>
        <v>368.45</v>
      </c>
      <c r="G361" s="31" t="str">
        <f>Source!DG160</f>
        <v>)*1,15)*1,15</v>
      </c>
      <c r="H361" s="32">
        <f>ROUND(Source!AF160*Source!I160, 2)</f>
        <v>169.57</v>
      </c>
      <c r="I361" s="31"/>
      <c r="J361" s="31">
        <f>IF(Source!BA160&lt;&gt; 0, Source!BA160, 1)</f>
        <v>1</v>
      </c>
      <c r="K361" s="32">
        <f>Source!S160</f>
        <v>169.57</v>
      </c>
      <c r="L361" s="33"/>
      <c r="R361">
        <f>H361</f>
        <v>169.57</v>
      </c>
    </row>
    <row r="362" spans="1:26" ht="14.25" x14ac:dyDescent="0.2">
      <c r="A362" s="47"/>
      <c r="B362" s="48"/>
      <c r="C362" s="48" t="s">
        <v>227</v>
      </c>
      <c r="D362" s="29"/>
      <c r="E362" s="26"/>
      <c r="F362" s="30">
        <f>Source!AM160</f>
        <v>2385.37</v>
      </c>
      <c r="G362" s="31" t="str">
        <f>Source!DE160</f>
        <v>)*1,15)*1,25</v>
      </c>
      <c r="H362" s="32">
        <f>ROUND(Source!AD160*Source!I160, 2)</f>
        <v>1193.28</v>
      </c>
      <c r="I362" s="31"/>
      <c r="J362" s="31">
        <f>IF(Source!BB160&lt;&gt; 0, Source!BB160, 1)</f>
        <v>1</v>
      </c>
      <c r="K362" s="32">
        <f>Source!Q160</f>
        <v>1193.28</v>
      </c>
      <c r="L362" s="33"/>
    </row>
    <row r="363" spans="1:26" ht="14.25" x14ac:dyDescent="0.2">
      <c r="A363" s="47"/>
      <c r="B363" s="48"/>
      <c r="C363" s="48" t="s">
        <v>782</v>
      </c>
      <c r="D363" s="29"/>
      <c r="E363" s="26"/>
      <c r="F363" s="30">
        <f>Source!AN160</f>
        <v>263.01</v>
      </c>
      <c r="G363" s="31" t="str">
        <f>Source!DF160</f>
        <v>)*1,15)*1,25</v>
      </c>
      <c r="H363" s="45">
        <f>ROUND(Source!AE160*Source!I160, 2)</f>
        <v>131.57</v>
      </c>
      <c r="I363" s="31"/>
      <c r="J363" s="31">
        <f>IF(Source!BS160&lt;&gt; 0, Source!BS160, 1)</f>
        <v>1</v>
      </c>
      <c r="K363" s="45">
        <f>Source!R160</f>
        <v>131.57</v>
      </c>
      <c r="L363" s="33"/>
      <c r="R363">
        <f>H363</f>
        <v>131.57</v>
      </c>
    </row>
    <row r="364" spans="1:26" ht="14.25" x14ac:dyDescent="0.2">
      <c r="A364" s="47"/>
      <c r="B364" s="48"/>
      <c r="C364" s="48" t="s">
        <v>781</v>
      </c>
      <c r="D364" s="29"/>
      <c r="E364" s="26"/>
      <c r="F364" s="30">
        <f>Source!AL160</f>
        <v>230.67</v>
      </c>
      <c r="G364" s="31" t="str">
        <f>Source!DD160</f>
        <v/>
      </c>
      <c r="H364" s="32">
        <f>ROUND(Source!AC160*Source!I160, 2)</f>
        <v>80.27</v>
      </c>
      <c r="I364" s="31"/>
      <c r="J364" s="31">
        <f>IF(Source!BC160&lt;&gt; 0, Source!BC160, 1)</f>
        <v>1</v>
      </c>
      <c r="K364" s="32">
        <f>Source!P160</f>
        <v>80.27</v>
      </c>
      <c r="L364" s="33"/>
    </row>
    <row r="365" spans="1:26" ht="14.25" x14ac:dyDescent="0.2">
      <c r="A365" s="47"/>
      <c r="B365" s="48"/>
      <c r="C365" s="48" t="s">
        <v>776</v>
      </c>
      <c r="D365" s="29" t="s">
        <v>777</v>
      </c>
      <c r="E365" s="26">
        <f>Source!BZ160</f>
        <v>142</v>
      </c>
      <c r="F365" s="65" t="str">
        <f>CONCATENATE(" )", Source!DL160, Source!FT160, "=", Source!FX160)</f>
        <v xml:space="preserve"> )*0,9=127,8</v>
      </c>
      <c r="G365" s="66"/>
      <c r="H365" s="32">
        <f>SUM(S359:S369)</f>
        <v>384.86</v>
      </c>
      <c r="I365" s="34"/>
      <c r="J365" s="28">
        <f>Source!AT160</f>
        <v>128</v>
      </c>
      <c r="K365" s="32">
        <f>SUM(T359:T369)</f>
        <v>385.46</v>
      </c>
      <c r="L365" s="33"/>
    </row>
    <row r="366" spans="1:26" ht="14.25" x14ac:dyDescent="0.2">
      <c r="A366" s="47"/>
      <c r="B366" s="48"/>
      <c r="C366" s="48" t="s">
        <v>778</v>
      </c>
      <c r="D366" s="29" t="s">
        <v>777</v>
      </c>
      <c r="E366" s="26">
        <f>Source!CA160</f>
        <v>95</v>
      </c>
      <c r="F366" s="65" t="str">
        <f>CONCATENATE(" )", Source!DM160, Source!FU160, "=", Source!FY160)</f>
        <v xml:space="preserve"> )*0,85=80,75</v>
      </c>
      <c r="G366" s="66"/>
      <c r="H366" s="32">
        <f>SUM(U359:U369)</f>
        <v>243.17</v>
      </c>
      <c r="I366" s="34"/>
      <c r="J366" s="28">
        <f>Source!AU160</f>
        <v>81</v>
      </c>
      <c r="K366" s="32">
        <f>SUM(V359:V369)</f>
        <v>243.92</v>
      </c>
      <c r="L366" s="33"/>
    </row>
    <row r="367" spans="1:26" ht="14.25" x14ac:dyDescent="0.2">
      <c r="A367" s="47"/>
      <c r="B367" s="48"/>
      <c r="C367" s="48" t="s">
        <v>779</v>
      </c>
      <c r="D367" s="29" t="s">
        <v>780</v>
      </c>
      <c r="E367" s="26">
        <f>Source!AQ160</f>
        <v>38.299999999999997</v>
      </c>
      <c r="F367" s="30"/>
      <c r="G367" s="31" t="str">
        <f>Source!DI160</f>
        <v>)*1,15)*1,15</v>
      </c>
      <c r="H367" s="32"/>
      <c r="I367" s="31"/>
      <c r="J367" s="31"/>
      <c r="K367" s="32"/>
      <c r="L367" s="35">
        <f>Source!U160</f>
        <v>17.626808999999998</v>
      </c>
    </row>
    <row r="368" spans="1:26" ht="28.5" x14ac:dyDescent="0.2">
      <c r="A368" s="47" t="str">
        <f>Source!E161</f>
        <v>48,1</v>
      </c>
      <c r="B368" s="48" t="str">
        <f>Source!F161</f>
        <v>01.2.01.02-0001</v>
      </c>
      <c r="C368" s="48" t="str">
        <f>Source!G161</f>
        <v>Битум горячий</v>
      </c>
      <c r="D368" s="29" t="str">
        <f>Source!H161</f>
        <v>т</v>
      </c>
      <c r="E368" s="26">
        <f>Source!I161</f>
        <v>3.7580000000000001E-3</v>
      </c>
      <c r="F368" s="30">
        <f>Source!AL161+Source!AM161+Source!AO161</f>
        <v>1946.91</v>
      </c>
      <c r="G368" s="46" t="s">
        <v>3</v>
      </c>
      <c r="H368" s="32">
        <f>ROUND(Source!AC161*Source!I161, 2)+ROUND(Source!AD161*Source!I161, 2)+ROUND(Source!AF161*Source!I161, 2)</f>
        <v>7.32</v>
      </c>
      <c r="I368" s="31"/>
      <c r="J368" s="31">
        <f>IF(Source!BC161&lt;&gt; 0, Source!BC161, 1)</f>
        <v>1</v>
      </c>
      <c r="K368" s="32">
        <f>Source!O161</f>
        <v>7.32</v>
      </c>
      <c r="L368" s="33"/>
      <c r="S368">
        <f>ROUND((Source!FX161/100)*((ROUND(Source!AF161*Source!I161, 2)+ROUND(Source!AE161*Source!I161, 2))), 2)</f>
        <v>0</v>
      </c>
      <c r="T368">
        <f>Source!X161</f>
        <v>0</v>
      </c>
      <c r="U368">
        <f>ROUND((Source!FY161/100)*((ROUND(Source!AF161*Source!I161, 2)+ROUND(Source!AE161*Source!I161, 2))), 2)</f>
        <v>0</v>
      </c>
      <c r="V368">
        <f>Source!Y161</f>
        <v>0</v>
      </c>
      <c r="W368">
        <f>IF(Source!BI161&lt;=1,H368, 0)</f>
        <v>7.32</v>
      </c>
      <c r="X368">
        <f>IF(Source!BI161=2,H368, 0)</f>
        <v>0</v>
      </c>
      <c r="Y368">
        <f>IF(Source!BI161=3,H368, 0)</f>
        <v>0</v>
      </c>
      <c r="Z368">
        <f>IF(Source!BI161=4,H368, 0)</f>
        <v>0</v>
      </c>
    </row>
    <row r="369" spans="1:26" ht="28.5" x14ac:dyDescent="0.2">
      <c r="A369" s="49" t="str">
        <f>Source!E162</f>
        <v>48,2</v>
      </c>
      <c r="B369" s="50" t="str">
        <f>Source!F162</f>
        <v>04.2.03.01-0003</v>
      </c>
      <c r="C369" s="50" t="str">
        <f>Source!G162</f>
        <v>Асфальтобетон щебеночно-мастичный, вид ЩМА-20</v>
      </c>
      <c r="D369" s="36" t="str">
        <f>Source!H162</f>
        <v>т</v>
      </c>
      <c r="E369" s="37">
        <f>Source!I162</f>
        <v>33.3384</v>
      </c>
      <c r="F369" s="38">
        <f>Source!AL162+Source!AM162+Source!AO162</f>
        <v>390.88</v>
      </c>
      <c r="G369" s="39" t="s">
        <v>3</v>
      </c>
      <c r="H369" s="40">
        <f>ROUND(Source!AC162*Source!I162, 2)+ROUND(Source!AD162*Source!I162, 2)+ROUND(Source!AF162*Source!I162, 2)</f>
        <v>13031.31</v>
      </c>
      <c r="I369" s="41"/>
      <c r="J369" s="41">
        <f>IF(Source!BC162&lt;&gt; 0, Source!BC162, 1)</f>
        <v>1</v>
      </c>
      <c r="K369" s="40">
        <f>Source!O162</f>
        <v>13031.31</v>
      </c>
      <c r="L369" s="42"/>
      <c r="S369">
        <f>ROUND((Source!FX162/100)*((ROUND(Source!AF162*Source!I162, 2)+ROUND(Source!AE162*Source!I162, 2))), 2)</f>
        <v>0</v>
      </c>
      <c r="T369">
        <f>Source!X162</f>
        <v>0</v>
      </c>
      <c r="U369">
        <f>ROUND((Source!FY162/100)*((ROUND(Source!AF162*Source!I162, 2)+ROUND(Source!AE162*Source!I162, 2))), 2)</f>
        <v>0</v>
      </c>
      <c r="V369">
        <f>Source!Y162</f>
        <v>0</v>
      </c>
      <c r="W369">
        <f>IF(Source!BI162&lt;=1,H369, 0)</f>
        <v>13031.31</v>
      </c>
      <c r="X369">
        <f>IF(Source!BI162=2,H369, 0)</f>
        <v>0</v>
      </c>
      <c r="Y369">
        <f>IF(Source!BI162=3,H369, 0)</f>
        <v>0</v>
      </c>
      <c r="Z369">
        <f>IF(Source!BI162=4,H369, 0)</f>
        <v>0</v>
      </c>
    </row>
    <row r="370" spans="1:26" ht="15" x14ac:dyDescent="0.25">
      <c r="G370" s="62">
        <f>H361+H362+H364+H365+H366+SUM(H368:H369)</f>
        <v>15109.779999999999</v>
      </c>
      <c r="H370" s="62"/>
      <c r="J370" s="62">
        <f>K361+K362+K364+K365+K366+SUM(K368:K369)</f>
        <v>15111.13</v>
      </c>
      <c r="K370" s="62"/>
      <c r="L370" s="43">
        <f>Source!U160</f>
        <v>17.626808999999998</v>
      </c>
      <c r="O370" s="21">
        <f>G370</f>
        <v>15109.779999999999</v>
      </c>
      <c r="P370" s="21">
        <f>J370</f>
        <v>15111.13</v>
      </c>
      <c r="Q370" s="21">
        <f>L370</f>
        <v>17.626808999999998</v>
      </c>
      <c r="W370">
        <f>IF(Source!BI160&lt;=1,H361+H362+H364+H365+H366, 0)</f>
        <v>2071.15</v>
      </c>
      <c r="X370">
        <f>IF(Source!BI160=2,H361+H362+H364+H365+H366, 0)</f>
        <v>0</v>
      </c>
      <c r="Y370">
        <f>IF(Source!BI160=3,H361+H362+H364+H365+H366, 0)</f>
        <v>0</v>
      </c>
      <c r="Z370">
        <f>IF(Source!BI160=4,H361+H362+H364+H365+H366, 0)</f>
        <v>0</v>
      </c>
    </row>
    <row r="371" spans="1:26" ht="42.75" x14ac:dyDescent="0.2">
      <c r="A371" s="47" t="str">
        <f>Source!E163</f>
        <v>49</v>
      </c>
      <c r="B371" s="48" t="str">
        <f>Source!F163</f>
        <v>27-06-021-03</v>
      </c>
      <c r="C371" s="48" t="str">
        <f>Source!G163</f>
        <v>На каждые 0,5 см изменения толщины покрытия добавлять или исключать к расценке 27-06-020-03 До 6см</v>
      </c>
      <c r="D371" s="29" t="str">
        <f>Source!H163</f>
        <v>1000 м2</v>
      </c>
      <c r="E371" s="26">
        <f>Source!I163</f>
        <v>0.34799999999999998</v>
      </c>
      <c r="F371" s="30">
        <f>Source!AL163+Source!AM163+Source!AO163</f>
        <v>3.79</v>
      </c>
      <c r="G371" s="31"/>
      <c r="H371" s="32"/>
      <c r="I371" s="31" t="str">
        <f>Source!BO163</f>
        <v/>
      </c>
      <c r="J371" s="31"/>
      <c r="K371" s="32"/>
      <c r="L371" s="33"/>
      <c r="S371">
        <f>ROUND((Source!FX163/100)*((ROUND(Source!AF163*Source!I163, 2)+ROUND(Source!AE163*Source!I163, 2))), 2)</f>
        <v>1.55</v>
      </c>
      <c r="T371">
        <f>Source!X163</f>
        <v>1.55</v>
      </c>
      <c r="U371">
        <f>ROUND((Source!FY163/100)*((ROUND(Source!AF163*Source!I163, 2)+ROUND(Source!AE163*Source!I163, 2))), 2)</f>
        <v>0.98</v>
      </c>
      <c r="V371">
        <f>Source!Y163</f>
        <v>0.98</v>
      </c>
    </row>
    <row r="372" spans="1:26" x14ac:dyDescent="0.2">
      <c r="C372" s="20" t="str">
        <f>"Объем: "&amp;Source!I163&amp;"=348/"&amp;"1000"</f>
        <v>Объем: 0,348=348/1000</v>
      </c>
    </row>
    <row r="373" spans="1:26" ht="14.25" x14ac:dyDescent="0.2">
      <c r="A373" s="47"/>
      <c r="B373" s="48"/>
      <c r="C373" s="48" t="s">
        <v>775</v>
      </c>
      <c r="D373" s="29"/>
      <c r="E373" s="26"/>
      <c r="F373" s="30">
        <f>Source!AO163</f>
        <v>0.87</v>
      </c>
      <c r="G373" s="31" t="str">
        <f>Source!DG163</f>
        <v>*4</v>
      </c>
      <c r="H373" s="32">
        <f>ROUND(Source!AF163*Source!I163, 2)</f>
        <v>1.21</v>
      </c>
      <c r="I373" s="31"/>
      <c r="J373" s="31">
        <f>IF(Source!BA163&lt;&gt; 0, Source!BA163, 1)</f>
        <v>1</v>
      </c>
      <c r="K373" s="32">
        <f>Source!S163</f>
        <v>1.21</v>
      </c>
      <c r="L373" s="33"/>
      <c r="R373">
        <f>H373</f>
        <v>1.21</v>
      </c>
    </row>
    <row r="374" spans="1:26" ht="14.25" x14ac:dyDescent="0.2">
      <c r="A374" s="47"/>
      <c r="B374" s="48"/>
      <c r="C374" s="48" t="s">
        <v>227</v>
      </c>
      <c r="D374" s="29"/>
      <c r="E374" s="26"/>
      <c r="F374" s="30">
        <f>Source!AM163</f>
        <v>2.92</v>
      </c>
      <c r="G374" s="31" t="str">
        <f>Source!DE163</f>
        <v>*4</v>
      </c>
      <c r="H374" s="32">
        <f>ROUND(Source!AD163*Source!I163, 2)</f>
        <v>4.0599999999999996</v>
      </c>
      <c r="I374" s="31"/>
      <c r="J374" s="31">
        <f>IF(Source!BB163&lt;&gt; 0, Source!BB163, 1)</f>
        <v>1</v>
      </c>
      <c r="K374" s="32">
        <f>Source!Q163</f>
        <v>4.0599999999999996</v>
      </c>
      <c r="L374" s="33"/>
    </row>
    <row r="375" spans="1:26" ht="14.25" x14ac:dyDescent="0.2">
      <c r="A375" s="47"/>
      <c r="B375" s="48"/>
      <c r="C375" s="48" t="s">
        <v>776</v>
      </c>
      <c r="D375" s="29" t="s">
        <v>777</v>
      </c>
      <c r="E375" s="26">
        <f>Source!BZ163</f>
        <v>142</v>
      </c>
      <c r="F375" s="65" t="str">
        <f>CONCATENATE(" )", Source!DL163, Source!FT163, "=", Source!FX163)</f>
        <v xml:space="preserve"> )*0,9=127,8</v>
      </c>
      <c r="G375" s="66"/>
      <c r="H375" s="32">
        <f>SUM(S371:S379)</f>
        <v>1.55</v>
      </c>
      <c r="I375" s="34"/>
      <c r="J375" s="28">
        <f>Source!AT163</f>
        <v>128</v>
      </c>
      <c r="K375" s="32">
        <f>SUM(T371:T379)</f>
        <v>1.55</v>
      </c>
      <c r="L375" s="33"/>
    </row>
    <row r="376" spans="1:26" ht="14.25" x14ac:dyDescent="0.2">
      <c r="A376" s="47"/>
      <c r="B376" s="48"/>
      <c r="C376" s="48" t="s">
        <v>778</v>
      </c>
      <c r="D376" s="29" t="s">
        <v>777</v>
      </c>
      <c r="E376" s="26">
        <f>Source!CA163</f>
        <v>95</v>
      </c>
      <c r="F376" s="65" t="str">
        <f>CONCATENATE(" )", Source!DM163, Source!FU163, "=", Source!FY163)</f>
        <v xml:space="preserve"> )*0,85=80,75</v>
      </c>
      <c r="G376" s="66"/>
      <c r="H376" s="32">
        <f>SUM(U371:U379)</f>
        <v>0.98</v>
      </c>
      <c r="I376" s="34"/>
      <c r="J376" s="28">
        <f>Source!AU163</f>
        <v>81</v>
      </c>
      <c r="K376" s="32">
        <f>SUM(V371:V379)</f>
        <v>0.98</v>
      </c>
      <c r="L376" s="33"/>
    </row>
    <row r="377" spans="1:26" ht="14.25" x14ac:dyDescent="0.2">
      <c r="A377" s="47"/>
      <c r="B377" s="48"/>
      <c r="C377" s="48" t="s">
        <v>779</v>
      </c>
      <c r="D377" s="29" t="s">
        <v>780</v>
      </c>
      <c r="E377" s="26">
        <f>Source!AQ163</f>
        <v>0.09</v>
      </c>
      <c r="F377" s="30"/>
      <c r="G377" s="31" t="str">
        <f>Source!DI163</f>
        <v>*4</v>
      </c>
      <c r="H377" s="32"/>
      <c r="I377" s="31"/>
      <c r="J377" s="31"/>
      <c r="K377" s="32"/>
      <c r="L377" s="35">
        <f>Source!U163</f>
        <v>0.12527999999999997</v>
      </c>
    </row>
    <row r="378" spans="1:26" ht="28.5" x14ac:dyDescent="0.2">
      <c r="A378" s="47" t="str">
        <f>Source!E164</f>
        <v>49,1</v>
      </c>
      <c r="B378" s="48" t="str">
        <f>Source!F164</f>
        <v>01.2.01.02-0001</v>
      </c>
      <c r="C378" s="48" t="str">
        <f>Source!G164</f>
        <v>Битум горячий</v>
      </c>
      <c r="D378" s="29" t="str">
        <f>Source!H164</f>
        <v>т</v>
      </c>
      <c r="E378" s="26">
        <f>Source!I164</f>
        <v>7.7949999999999998E-3</v>
      </c>
      <c r="F378" s="30">
        <f>Source!AL164+Source!AM164+Source!AO164</f>
        <v>1946.91</v>
      </c>
      <c r="G378" s="46" t="s">
        <v>797</v>
      </c>
      <c r="H378" s="32">
        <f>ROUND(Source!AC164*Source!I164, 2)+ROUND(Source!AD164*Source!I164, 2)+ROUND(Source!AF164*Source!I164, 2)</f>
        <v>15.18</v>
      </c>
      <c r="I378" s="31"/>
      <c r="J378" s="31">
        <f>IF(Source!BC164&lt;&gt; 0, Source!BC164, 1)</f>
        <v>1</v>
      </c>
      <c r="K378" s="32">
        <f>Source!O164</f>
        <v>15.18</v>
      </c>
      <c r="L378" s="33"/>
      <c r="S378">
        <f>ROUND((Source!FX164/100)*((ROUND(Source!AF164*Source!I164, 2)+ROUND(Source!AE164*Source!I164, 2))), 2)</f>
        <v>0</v>
      </c>
      <c r="T378">
        <f>Source!X164</f>
        <v>0</v>
      </c>
      <c r="U378">
        <f>ROUND((Source!FY164/100)*((ROUND(Source!AF164*Source!I164, 2)+ROUND(Source!AE164*Source!I164, 2))), 2)</f>
        <v>0</v>
      </c>
      <c r="V378">
        <f>Source!Y164</f>
        <v>0</v>
      </c>
      <c r="W378">
        <f>IF(Source!BI164&lt;=1,H378, 0)</f>
        <v>15.18</v>
      </c>
      <c r="X378">
        <f>IF(Source!BI164=2,H378, 0)</f>
        <v>0</v>
      </c>
      <c r="Y378">
        <f>IF(Source!BI164=3,H378, 0)</f>
        <v>0</v>
      </c>
      <c r="Z378">
        <f>IF(Source!BI164=4,H378, 0)</f>
        <v>0</v>
      </c>
    </row>
    <row r="379" spans="1:26" ht="28.5" x14ac:dyDescent="0.2">
      <c r="A379" s="49" t="str">
        <f>Source!E165</f>
        <v>49,2</v>
      </c>
      <c r="B379" s="50" t="str">
        <f>Source!F165</f>
        <v>04.2.03.01-0003</v>
      </c>
      <c r="C379" s="50" t="str">
        <f>Source!G165</f>
        <v>Асфальтобетон щебеночно-мастичный, вид ЩМА-20</v>
      </c>
      <c r="D379" s="36" t="str">
        <f>Source!H165</f>
        <v>т</v>
      </c>
      <c r="E379" s="37">
        <f>Source!I165</f>
        <v>16.704000000000001</v>
      </c>
      <c r="F379" s="38">
        <f>Source!AL165+Source!AM165+Source!AO165</f>
        <v>390.88</v>
      </c>
      <c r="G379" s="39" t="s">
        <v>797</v>
      </c>
      <c r="H379" s="40">
        <f>ROUND(Source!AC165*Source!I165, 2)+ROUND(Source!AD165*Source!I165, 2)+ROUND(Source!AF165*Source!I165, 2)</f>
        <v>6529.26</v>
      </c>
      <c r="I379" s="41"/>
      <c r="J379" s="41">
        <f>IF(Source!BC165&lt;&gt; 0, Source!BC165, 1)</f>
        <v>1</v>
      </c>
      <c r="K379" s="40">
        <f>Source!O165</f>
        <v>6529.26</v>
      </c>
      <c r="L379" s="42"/>
      <c r="S379">
        <f>ROUND((Source!FX165/100)*((ROUND(Source!AF165*Source!I165, 2)+ROUND(Source!AE165*Source!I165, 2))), 2)</f>
        <v>0</v>
      </c>
      <c r="T379">
        <f>Source!X165</f>
        <v>0</v>
      </c>
      <c r="U379">
        <f>ROUND((Source!FY165/100)*((ROUND(Source!AF165*Source!I165, 2)+ROUND(Source!AE165*Source!I165, 2))), 2)</f>
        <v>0</v>
      </c>
      <c r="V379">
        <f>Source!Y165</f>
        <v>0</v>
      </c>
      <c r="W379">
        <f>IF(Source!BI165&lt;=1,H379, 0)</f>
        <v>6529.26</v>
      </c>
      <c r="X379">
        <f>IF(Source!BI165=2,H379, 0)</f>
        <v>0</v>
      </c>
      <c r="Y379">
        <f>IF(Source!BI165=3,H379, 0)</f>
        <v>0</v>
      </c>
      <c r="Z379">
        <f>IF(Source!BI165=4,H379, 0)</f>
        <v>0</v>
      </c>
    </row>
    <row r="380" spans="1:26" ht="15" x14ac:dyDescent="0.25">
      <c r="G380" s="62">
        <f>H373+H374+H375+H376+SUM(H378:H379)</f>
        <v>6552.2400000000007</v>
      </c>
      <c r="H380" s="62"/>
      <c r="J380" s="62">
        <f>K373+K374+K375+K376+SUM(K378:K379)</f>
        <v>6552.2400000000007</v>
      </c>
      <c r="K380" s="62"/>
      <c r="L380" s="43">
        <f>Source!U163</f>
        <v>0.12527999999999997</v>
      </c>
      <c r="O380" s="21">
        <f>G380</f>
        <v>6552.2400000000007</v>
      </c>
      <c r="P380" s="21">
        <f>J380</f>
        <v>6552.2400000000007</v>
      </c>
      <c r="Q380" s="21">
        <f>L380</f>
        <v>0.12527999999999997</v>
      </c>
      <c r="W380">
        <f>IF(Source!BI163&lt;=1,H373+H374+H375+H376, 0)</f>
        <v>7.7999999999999989</v>
      </c>
      <c r="X380">
        <f>IF(Source!BI163=2,H373+H374+H375+H376, 0)</f>
        <v>0</v>
      </c>
      <c r="Y380">
        <f>IF(Source!BI163=3,H373+H374+H375+H376, 0)</f>
        <v>0</v>
      </c>
      <c r="Z380">
        <f>IF(Source!BI163=4,H373+H374+H375+H376, 0)</f>
        <v>0</v>
      </c>
    </row>
    <row r="381" spans="1:26" ht="78" x14ac:dyDescent="0.2">
      <c r="A381" s="47" t="str">
        <f>Source!E166</f>
        <v>50</v>
      </c>
      <c r="B381" s="48" t="s">
        <v>798</v>
      </c>
      <c r="C381" s="48" t="str">
        <f>Source!G166</f>
        <v>Устройство покрытия толщиной 4 см из горячих асфальтобетонных смесей плотных мелкозернистых типа АБВ, плотность каменных материалов 2,5-2,9 т/м3 Второй слой.</v>
      </c>
      <c r="D381" s="29" t="str">
        <f>Source!H166</f>
        <v>1000 м2</v>
      </c>
      <c r="E381" s="26">
        <f>Source!I166</f>
        <v>0.34799999999999998</v>
      </c>
      <c r="F381" s="30">
        <f>Source!AL166+Source!AM166+Source!AO166</f>
        <v>2984.49</v>
      </c>
      <c r="G381" s="31"/>
      <c r="H381" s="32"/>
      <c r="I381" s="31" t="str">
        <f>Source!BO166</f>
        <v/>
      </c>
      <c r="J381" s="31"/>
      <c r="K381" s="32"/>
      <c r="L381" s="33"/>
      <c r="S381">
        <f>ROUND((Source!FX166/100)*((ROUND(Source!AF166*Source!I166, 2)+ROUND(Source!AE166*Source!I166, 2))), 2)</f>
        <v>384.86</v>
      </c>
      <c r="T381">
        <f>Source!X166</f>
        <v>385.46</v>
      </c>
      <c r="U381">
        <f>ROUND((Source!FY166/100)*((ROUND(Source!AF166*Source!I166, 2)+ROUND(Source!AE166*Source!I166, 2))), 2)</f>
        <v>243.17</v>
      </c>
      <c r="V381">
        <f>Source!Y166</f>
        <v>243.92</v>
      </c>
    </row>
    <row r="382" spans="1:26" x14ac:dyDescent="0.2">
      <c r="C382" s="20" t="str">
        <f>"Объем: "&amp;Source!I166&amp;"=348/"&amp;"1000"</f>
        <v>Объем: 0,348=348/1000</v>
      </c>
    </row>
    <row r="383" spans="1:26" ht="14.25" x14ac:dyDescent="0.2">
      <c r="A383" s="47"/>
      <c r="B383" s="48"/>
      <c r="C383" s="48" t="s">
        <v>775</v>
      </c>
      <c r="D383" s="29"/>
      <c r="E383" s="26"/>
      <c r="F383" s="30">
        <f>Source!AO166</f>
        <v>368.45</v>
      </c>
      <c r="G383" s="31" t="str">
        <f>Source!DG166</f>
        <v>)*1,15)*1,15</v>
      </c>
      <c r="H383" s="32">
        <f>ROUND(Source!AF166*Source!I166, 2)</f>
        <v>169.57</v>
      </c>
      <c r="I383" s="31"/>
      <c r="J383" s="31">
        <f>IF(Source!BA166&lt;&gt; 0, Source!BA166, 1)</f>
        <v>1</v>
      </c>
      <c r="K383" s="32">
        <f>Source!S166</f>
        <v>169.57</v>
      </c>
      <c r="L383" s="33"/>
      <c r="R383">
        <f>H383</f>
        <v>169.57</v>
      </c>
    </row>
    <row r="384" spans="1:26" ht="14.25" x14ac:dyDescent="0.2">
      <c r="A384" s="47"/>
      <c r="B384" s="48"/>
      <c r="C384" s="48" t="s">
        <v>227</v>
      </c>
      <c r="D384" s="29"/>
      <c r="E384" s="26"/>
      <c r="F384" s="30">
        <f>Source!AM166</f>
        <v>2385.37</v>
      </c>
      <c r="G384" s="31" t="str">
        <f>Source!DE166</f>
        <v>)*1,15)*1,25</v>
      </c>
      <c r="H384" s="32">
        <f>ROUND(Source!AD166*Source!I166, 2)</f>
        <v>1193.28</v>
      </c>
      <c r="I384" s="31"/>
      <c r="J384" s="31">
        <f>IF(Source!BB166&lt;&gt; 0, Source!BB166, 1)</f>
        <v>1</v>
      </c>
      <c r="K384" s="32">
        <f>Source!Q166</f>
        <v>1193.28</v>
      </c>
      <c r="L384" s="33"/>
    </row>
    <row r="385" spans="1:32" ht="14.25" x14ac:dyDescent="0.2">
      <c r="A385" s="47"/>
      <c r="B385" s="48"/>
      <c r="C385" s="48" t="s">
        <v>782</v>
      </c>
      <c r="D385" s="29"/>
      <c r="E385" s="26"/>
      <c r="F385" s="30">
        <f>Source!AN166</f>
        <v>263.01</v>
      </c>
      <c r="G385" s="31" t="str">
        <f>Source!DF166</f>
        <v>)*1,15)*1,25</v>
      </c>
      <c r="H385" s="45">
        <f>ROUND(Source!AE166*Source!I166, 2)</f>
        <v>131.57</v>
      </c>
      <c r="I385" s="31"/>
      <c r="J385" s="31">
        <f>IF(Source!BS166&lt;&gt; 0, Source!BS166, 1)</f>
        <v>1</v>
      </c>
      <c r="K385" s="45">
        <f>Source!R166</f>
        <v>131.57</v>
      </c>
      <c r="L385" s="33"/>
      <c r="R385">
        <f>H385</f>
        <v>131.57</v>
      </c>
    </row>
    <row r="386" spans="1:32" ht="14.25" x14ac:dyDescent="0.2">
      <c r="A386" s="47"/>
      <c r="B386" s="48"/>
      <c r="C386" s="48" t="s">
        <v>781</v>
      </c>
      <c r="D386" s="29"/>
      <c r="E386" s="26"/>
      <c r="F386" s="30">
        <f>Source!AL166</f>
        <v>230.67</v>
      </c>
      <c r="G386" s="31" t="str">
        <f>Source!DD166</f>
        <v/>
      </c>
      <c r="H386" s="32">
        <f>ROUND(Source!AC166*Source!I166, 2)</f>
        <v>80.27</v>
      </c>
      <c r="I386" s="31"/>
      <c r="J386" s="31">
        <f>IF(Source!BC166&lt;&gt; 0, Source!BC166, 1)</f>
        <v>1</v>
      </c>
      <c r="K386" s="32">
        <f>Source!P166</f>
        <v>80.27</v>
      </c>
      <c r="L386" s="33"/>
    </row>
    <row r="387" spans="1:32" ht="14.25" x14ac:dyDescent="0.2">
      <c r="A387" s="47"/>
      <c r="B387" s="48"/>
      <c r="C387" s="48" t="s">
        <v>776</v>
      </c>
      <c r="D387" s="29" t="s">
        <v>777</v>
      </c>
      <c r="E387" s="26">
        <f>Source!BZ166</f>
        <v>142</v>
      </c>
      <c r="F387" s="65" t="str">
        <f>CONCATENATE(" )", Source!DL166, Source!FT166, "=", Source!FX166)</f>
        <v xml:space="preserve"> )*0,9=127,8</v>
      </c>
      <c r="G387" s="66"/>
      <c r="H387" s="32">
        <f>SUM(S381:S391)</f>
        <v>384.86</v>
      </c>
      <c r="I387" s="34"/>
      <c r="J387" s="28">
        <f>Source!AT166</f>
        <v>128</v>
      </c>
      <c r="K387" s="32">
        <f>SUM(T381:T391)</f>
        <v>385.46</v>
      </c>
      <c r="L387" s="33"/>
    </row>
    <row r="388" spans="1:32" ht="14.25" x14ac:dyDescent="0.2">
      <c r="A388" s="47"/>
      <c r="B388" s="48"/>
      <c r="C388" s="48" t="s">
        <v>778</v>
      </c>
      <c r="D388" s="29" t="s">
        <v>777</v>
      </c>
      <c r="E388" s="26">
        <f>Source!CA166</f>
        <v>95</v>
      </c>
      <c r="F388" s="65" t="str">
        <f>CONCATENATE(" )", Source!DM166, Source!FU166, "=", Source!FY166)</f>
        <v xml:space="preserve"> )*0,85=80,75</v>
      </c>
      <c r="G388" s="66"/>
      <c r="H388" s="32">
        <f>SUM(U381:U391)</f>
        <v>243.17</v>
      </c>
      <c r="I388" s="34"/>
      <c r="J388" s="28">
        <f>Source!AU166</f>
        <v>81</v>
      </c>
      <c r="K388" s="32">
        <f>SUM(V381:V391)</f>
        <v>243.92</v>
      </c>
      <c r="L388" s="33"/>
    </row>
    <row r="389" spans="1:32" ht="14.25" x14ac:dyDescent="0.2">
      <c r="A389" s="47"/>
      <c r="B389" s="48"/>
      <c r="C389" s="48" t="s">
        <v>779</v>
      </c>
      <c r="D389" s="29" t="s">
        <v>780</v>
      </c>
      <c r="E389" s="26">
        <f>Source!AQ166</f>
        <v>38.299999999999997</v>
      </c>
      <c r="F389" s="30"/>
      <c r="G389" s="31" t="str">
        <f>Source!DI166</f>
        <v>)*1,15)*1,15</v>
      </c>
      <c r="H389" s="32"/>
      <c r="I389" s="31"/>
      <c r="J389" s="31"/>
      <c r="K389" s="32"/>
      <c r="L389" s="35">
        <f>Source!U166</f>
        <v>17.626808999999998</v>
      </c>
    </row>
    <row r="390" spans="1:32" ht="28.5" x14ac:dyDescent="0.2">
      <c r="A390" s="47" t="str">
        <f>Source!E167</f>
        <v>50,1</v>
      </c>
      <c r="B390" s="48" t="str">
        <f>Source!F167</f>
        <v>01.2.01.02-0001</v>
      </c>
      <c r="C390" s="48" t="str">
        <f>Source!G167</f>
        <v>Битум горячий</v>
      </c>
      <c r="D390" s="29" t="str">
        <f>Source!H167</f>
        <v>т</v>
      </c>
      <c r="E390" s="26">
        <f>Source!I167</f>
        <v>3.7580000000000001E-3</v>
      </c>
      <c r="F390" s="30">
        <f>Source!AL167+Source!AM167+Source!AO167</f>
        <v>1946.91</v>
      </c>
      <c r="G390" s="46" t="s">
        <v>3</v>
      </c>
      <c r="H390" s="32">
        <f>ROUND(Source!AC167*Source!I167, 2)+ROUND(Source!AD167*Source!I167, 2)+ROUND(Source!AF167*Source!I167, 2)</f>
        <v>7.32</v>
      </c>
      <c r="I390" s="31"/>
      <c r="J390" s="31">
        <f>IF(Source!BC167&lt;&gt; 0, Source!BC167, 1)</f>
        <v>1</v>
      </c>
      <c r="K390" s="32">
        <f>Source!O167</f>
        <v>7.32</v>
      </c>
      <c r="L390" s="33"/>
      <c r="S390">
        <f>ROUND((Source!FX167/100)*((ROUND(Source!AF167*Source!I167, 2)+ROUND(Source!AE167*Source!I167, 2))), 2)</f>
        <v>0</v>
      </c>
      <c r="T390">
        <f>Source!X167</f>
        <v>0</v>
      </c>
      <c r="U390">
        <f>ROUND((Source!FY167/100)*((ROUND(Source!AF167*Source!I167, 2)+ROUND(Source!AE167*Source!I167, 2))), 2)</f>
        <v>0</v>
      </c>
      <c r="V390">
        <f>Source!Y167</f>
        <v>0</v>
      </c>
      <c r="W390">
        <f>IF(Source!BI167&lt;=1,H390, 0)</f>
        <v>7.32</v>
      </c>
      <c r="X390">
        <f>IF(Source!BI167=2,H390, 0)</f>
        <v>0</v>
      </c>
      <c r="Y390">
        <f>IF(Source!BI167=3,H390, 0)</f>
        <v>0</v>
      </c>
      <c r="Z390">
        <f>IF(Source!BI167=4,H390, 0)</f>
        <v>0</v>
      </c>
    </row>
    <row r="391" spans="1:32" ht="42.75" x14ac:dyDescent="0.2">
      <c r="A391" s="49" t="str">
        <f>Source!E168</f>
        <v>50,2</v>
      </c>
      <c r="B391" s="50" t="str">
        <f>Source!F168</f>
        <v>04.2.01.04-0001</v>
      </c>
      <c r="C391" s="50" t="str">
        <f>Source!G168</f>
        <v>Смеси асфальтобетонные дорожные мелкозернистые щебеночные типа Б марки 1</v>
      </c>
      <c r="D391" s="36" t="str">
        <f>Source!H168</f>
        <v>т</v>
      </c>
      <c r="E391" s="37">
        <f>Source!I168</f>
        <v>33.616799999999998</v>
      </c>
      <c r="F391" s="38">
        <f>Source!AL168+Source!AM168+Source!AO168</f>
        <v>460</v>
      </c>
      <c r="G391" s="39" t="s">
        <v>3</v>
      </c>
      <c r="H391" s="40">
        <f>ROUND(Source!AC168*Source!I168, 2)+ROUND(Source!AD168*Source!I168, 2)+ROUND(Source!AF168*Source!I168, 2)</f>
        <v>15463.73</v>
      </c>
      <c r="I391" s="41"/>
      <c r="J391" s="41">
        <f>IF(Source!BC168&lt;&gt; 0, Source!BC168, 1)</f>
        <v>1</v>
      </c>
      <c r="K391" s="40">
        <f>Source!O168</f>
        <v>15463.73</v>
      </c>
      <c r="L391" s="42"/>
      <c r="S391">
        <f>ROUND((Source!FX168/100)*((ROUND(Source!AF168*Source!I168, 2)+ROUND(Source!AE168*Source!I168, 2))), 2)</f>
        <v>0</v>
      </c>
      <c r="T391">
        <f>Source!X168</f>
        <v>0</v>
      </c>
      <c r="U391">
        <f>ROUND((Source!FY168/100)*((ROUND(Source!AF168*Source!I168, 2)+ROUND(Source!AE168*Source!I168, 2))), 2)</f>
        <v>0</v>
      </c>
      <c r="V391">
        <f>Source!Y168</f>
        <v>0</v>
      </c>
      <c r="W391">
        <f>IF(Source!BI168&lt;=1,H391, 0)</f>
        <v>15463.73</v>
      </c>
      <c r="X391">
        <f>IF(Source!BI168=2,H391, 0)</f>
        <v>0</v>
      </c>
      <c r="Y391">
        <f>IF(Source!BI168=3,H391, 0)</f>
        <v>0</v>
      </c>
      <c r="Z391">
        <f>IF(Source!BI168=4,H391, 0)</f>
        <v>0</v>
      </c>
    </row>
    <row r="392" spans="1:32" ht="15" x14ac:dyDescent="0.25">
      <c r="G392" s="62">
        <f>H383+H384+H386+H387+H388+SUM(H390:H391)</f>
        <v>17542.2</v>
      </c>
      <c r="H392" s="62"/>
      <c r="J392" s="62">
        <f>K383+K384+K386+K387+K388+SUM(K390:K391)</f>
        <v>17543.55</v>
      </c>
      <c r="K392" s="62"/>
      <c r="L392" s="43">
        <f>Source!U166</f>
        <v>17.626808999999998</v>
      </c>
      <c r="O392" s="21">
        <f>G392</f>
        <v>17542.2</v>
      </c>
      <c r="P392" s="21">
        <f>J392</f>
        <v>17543.55</v>
      </c>
      <c r="Q392" s="21">
        <f>L392</f>
        <v>17.626808999999998</v>
      </c>
      <c r="W392">
        <f>IF(Source!BI166&lt;=1,H383+H384+H386+H387+H388, 0)</f>
        <v>2071.15</v>
      </c>
      <c r="X392">
        <f>IF(Source!BI166=2,H383+H384+H386+H387+H388, 0)</f>
        <v>0</v>
      </c>
      <c r="Y392">
        <f>IF(Source!BI166=3,H383+H384+H386+H387+H388, 0)</f>
        <v>0</v>
      </c>
      <c r="Z392">
        <f>IF(Source!BI166=4,H383+H384+H386+H387+H388, 0)</f>
        <v>0</v>
      </c>
    </row>
    <row r="394" spans="1:32" ht="15" x14ac:dyDescent="0.25">
      <c r="A394" s="64" t="str">
        <f>CONCATENATE("Итого по подразделу: ",IF(Source!G170&lt;&gt;"Новый подраздел", Source!G170, ""))</f>
        <v>Итого по подразделу: Востановление пожарных подъездов</v>
      </c>
      <c r="B394" s="64"/>
      <c r="C394" s="64"/>
      <c r="D394" s="64"/>
      <c r="E394" s="64"/>
      <c r="F394" s="64"/>
      <c r="G394" s="63">
        <f>SUM(O305:O393)</f>
        <v>79249.119999999995</v>
      </c>
      <c r="H394" s="63"/>
      <c r="I394" s="27"/>
      <c r="J394" s="63"/>
      <c r="K394" s="63"/>
      <c r="L394" s="43">
        <f>SUM(Q305:Q393)</f>
        <v>166.23689430000002</v>
      </c>
      <c r="AF394" s="53" t="str">
        <f>CONCATENATE("Итого по подразделу: ",IF(Source!G170&lt;&gt;"Новый подраздел", Source!G170, ""))</f>
        <v>Итого по подразделу: Востановление пожарных подъездов</v>
      </c>
    </row>
    <row r="398" spans="1:32" ht="16.5" x14ac:dyDescent="0.25">
      <c r="A398" s="67" t="str">
        <f>CONCATENATE("Подраздел: ",IF(Source!G199&lt;&gt;"Новый подраздел", Source!G199, ""))</f>
        <v>Подраздел: Востановление общественной зоны</v>
      </c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</row>
    <row r="399" spans="1:32" ht="57" x14ac:dyDescent="0.2">
      <c r="A399" s="47" t="str">
        <f>Source!E203</f>
        <v>51</v>
      </c>
      <c r="B399" s="48" t="s">
        <v>787</v>
      </c>
      <c r="C399" s="48" t="str">
        <f>Source!G203</f>
        <v>Разборка асфальтобетонных покрытий тротуаров толщиной до 4 см с помощью молотков отбойных пневматических Первый слой</v>
      </c>
      <c r="D399" s="29" t="str">
        <f>Source!H203</f>
        <v>1000 м2</v>
      </c>
      <c r="E399" s="26">
        <f>Source!I203</f>
        <v>0.36799999999999999</v>
      </c>
      <c r="F399" s="30">
        <f>Source!AL203+Source!AM203+Source!AO203</f>
        <v>1965.05</v>
      </c>
      <c r="G399" s="31"/>
      <c r="H399" s="32"/>
      <c r="I399" s="31" t="str">
        <f>Source!BO203</f>
        <v/>
      </c>
      <c r="J399" s="31"/>
      <c r="K399" s="32"/>
      <c r="L399" s="33"/>
      <c r="S399">
        <f>ROUND((Source!FX203/100)*((ROUND(Source!AF203*Source!I203, 2)+ROUND(Source!AE203*Source!I203, 2))), 2)</f>
        <v>280.77</v>
      </c>
      <c r="T399">
        <f>Source!X203</f>
        <v>280.77</v>
      </c>
      <c r="U399">
        <f>ROUND((Source!FY203/100)*((ROUND(Source!AF203*Source!I203, 2)+ROUND(Source!AE203*Source!I203, 2))), 2)</f>
        <v>161.97999999999999</v>
      </c>
      <c r="V399">
        <f>Source!Y203</f>
        <v>161.97999999999999</v>
      </c>
    </row>
    <row r="400" spans="1:32" x14ac:dyDescent="0.2">
      <c r="C400" s="20" t="str">
        <f>"Объем: "&amp;Source!I203&amp;"=(46*"&amp;"4*"&amp;"2)/"&amp;"1000"</f>
        <v>Объем: 0,368=(46*4*2)/1000</v>
      </c>
    </row>
    <row r="401" spans="1:26" ht="14.25" x14ac:dyDescent="0.2">
      <c r="A401" s="47"/>
      <c r="B401" s="48"/>
      <c r="C401" s="48" t="s">
        <v>775</v>
      </c>
      <c r="D401" s="29"/>
      <c r="E401" s="26"/>
      <c r="F401" s="30">
        <f>Source!AO203</f>
        <v>479.99</v>
      </c>
      <c r="G401" s="31" t="str">
        <f>Source!DG203</f>
        <v>)*1,15</v>
      </c>
      <c r="H401" s="32">
        <f>ROUND(Source!AF203*Source!I203, 2)</f>
        <v>203.13</v>
      </c>
      <c r="I401" s="31"/>
      <c r="J401" s="31">
        <f>IF(Source!BA203&lt;&gt; 0, Source!BA203, 1)</f>
        <v>1</v>
      </c>
      <c r="K401" s="32">
        <f>Source!S203</f>
        <v>203.13</v>
      </c>
      <c r="L401" s="33"/>
      <c r="R401">
        <f>H401</f>
        <v>203.13</v>
      </c>
    </row>
    <row r="402" spans="1:26" ht="14.25" x14ac:dyDescent="0.2">
      <c r="A402" s="47"/>
      <c r="B402" s="48"/>
      <c r="C402" s="48" t="s">
        <v>227</v>
      </c>
      <c r="D402" s="29"/>
      <c r="E402" s="26"/>
      <c r="F402" s="30">
        <f>Source!AM203</f>
        <v>1485.06</v>
      </c>
      <c r="G402" s="31" t="str">
        <f>Source!DE203</f>
        <v>)*1,15</v>
      </c>
      <c r="H402" s="32">
        <f>ROUND(Source!AD203*Source!I203, 2)</f>
        <v>628.48</v>
      </c>
      <c r="I402" s="31"/>
      <c r="J402" s="31">
        <f>IF(Source!BB203&lt;&gt; 0, Source!BB203, 1)</f>
        <v>1</v>
      </c>
      <c r="K402" s="32">
        <f>Source!Q203</f>
        <v>628.48</v>
      </c>
      <c r="L402" s="33"/>
    </row>
    <row r="403" spans="1:26" ht="14.25" x14ac:dyDescent="0.2">
      <c r="A403" s="47"/>
      <c r="B403" s="48"/>
      <c r="C403" s="48" t="s">
        <v>782</v>
      </c>
      <c r="D403" s="29"/>
      <c r="E403" s="26"/>
      <c r="F403" s="30">
        <f>Source!AN203</f>
        <v>157.94</v>
      </c>
      <c r="G403" s="31" t="str">
        <f>Source!DF203</f>
        <v>)*1,15</v>
      </c>
      <c r="H403" s="45">
        <f>ROUND(Source!AE203*Source!I203, 2)</f>
        <v>66.84</v>
      </c>
      <c r="I403" s="31"/>
      <c r="J403" s="31">
        <f>IF(Source!BS203&lt;&gt; 0, Source!BS203, 1)</f>
        <v>1</v>
      </c>
      <c r="K403" s="45">
        <f>Source!R203</f>
        <v>66.84</v>
      </c>
      <c r="L403" s="33"/>
      <c r="R403">
        <f>H403</f>
        <v>66.84</v>
      </c>
    </row>
    <row r="404" spans="1:26" ht="14.25" x14ac:dyDescent="0.2">
      <c r="A404" s="47"/>
      <c r="B404" s="48"/>
      <c r="C404" s="48" t="s">
        <v>776</v>
      </c>
      <c r="D404" s="29" t="s">
        <v>777</v>
      </c>
      <c r="E404" s="26">
        <f>Source!BZ203</f>
        <v>104</v>
      </c>
      <c r="F404" s="51"/>
      <c r="G404" s="31"/>
      <c r="H404" s="32">
        <f>SUM(S399:S406)</f>
        <v>280.77</v>
      </c>
      <c r="I404" s="34"/>
      <c r="J404" s="28">
        <f>Source!AT203</f>
        <v>104</v>
      </c>
      <c r="K404" s="32">
        <f>SUM(T399:T406)</f>
        <v>280.77</v>
      </c>
      <c r="L404" s="33"/>
    </row>
    <row r="405" spans="1:26" ht="14.25" x14ac:dyDescent="0.2">
      <c r="A405" s="47"/>
      <c r="B405" s="48"/>
      <c r="C405" s="48" t="s">
        <v>778</v>
      </c>
      <c r="D405" s="29" t="s">
        <v>777</v>
      </c>
      <c r="E405" s="26">
        <f>Source!CA203</f>
        <v>60</v>
      </c>
      <c r="F405" s="51"/>
      <c r="G405" s="31"/>
      <c r="H405" s="32">
        <f>SUM(U399:U406)</f>
        <v>161.97999999999999</v>
      </c>
      <c r="I405" s="34"/>
      <c r="J405" s="28">
        <f>Source!AU203</f>
        <v>60</v>
      </c>
      <c r="K405" s="32">
        <f>SUM(V399:V406)</f>
        <v>161.97999999999999</v>
      </c>
      <c r="L405" s="33"/>
    </row>
    <row r="406" spans="1:26" ht="14.25" x14ac:dyDescent="0.2">
      <c r="A406" s="49"/>
      <c r="B406" s="50"/>
      <c r="C406" s="50" t="s">
        <v>779</v>
      </c>
      <c r="D406" s="36" t="s">
        <v>780</v>
      </c>
      <c r="E406" s="37">
        <f>Source!AQ203</f>
        <v>57.76</v>
      </c>
      <c r="F406" s="38"/>
      <c r="G406" s="41" t="str">
        <f>Source!DI203</f>
        <v>)*1,15</v>
      </c>
      <c r="H406" s="40"/>
      <c r="I406" s="41"/>
      <c r="J406" s="41"/>
      <c r="K406" s="40"/>
      <c r="L406" s="44">
        <f>Source!U203</f>
        <v>24.444031999999996</v>
      </c>
    </row>
    <row r="407" spans="1:26" ht="15" x14ac:dyDescent="0.25">
      <c r="G407" s="62">
        <f>H401+H402+H404+H405</f>
        <v>1274.3600000000001</v>
      </c>
      <c r="H407" s="62"/>
      <c r="J407" s="62">
        <f>K401+K402+K404+K405</f>
        <v>1274.3600000000001</v>
      </c>
      <c r="K407" s="62"/>
      <c r="L407" s="43">
        <f>Source!U203</f>
        <v>24.444031999999996</v>
      </c>
      <c r="O407" s="21">
        <f>G407</f>
        <v>1274.3600000000001</v>
      </c>
      <c r="P407" s="21">
        <f>J407</f>
        <v>1274.3600000000001</v>
      </c>
      <c r="Q407" s="21">
        <f>L407</f>
        <v>24.444031999999996</v>
      </c>
      <c r="W407">
        <f>IF(Source!BI203&lt;=1,H401+H402+H404+H405, 0)</f>
        <v>1274.3600000000001</v>
      </c>
      <c r="X407">
        <f>IF(Source!BI203=2,H401+H402+H404+H405, 0)</f>
        <v>0</v>
      </c>
      <c r="Y407">
        <f>IF(Source!BI203=3,H401+H402+H404+H405, 0)</f>
        <v>0</v>
      </c>
      <c r="Z407">
        <f>IF(Source!BI203=4,H401+H402+H404+H405, 0)</f>
        <v>0</v>
      </c>
    </row>
    <row r="408" spans="1:26" ht="57" x14ac:dyDescent="0.2">
      <c r="A408" s="47" t="str">
        <f>Source!E204</f>
        <v>52</v>
      </c>
      <c r="B408" s="48" t="s">
        <v>787</v>
      </c>
      <c r="C408" s="48" t="str">
        <f>Source!G204</f>
        <v>Разборка асфальтобетонных покрытий тротуаров толщиной до 4 см с помощью молотков отбойных пневматических Второй слой</v>
      </c>
      <c r="D408" s="29" t="str">
        <f>Source!H204</f>
        <v>1000 м2</v>
      </c>
      <c r="E408" s="26">
        <f>Source!I204</f>
        <v>0.184</v>
      </c>
      <c r="F408" s="30">
        <f>Source!AL204+Source!AM204+Source!AO204</f>
        <v>1965.05</v>
      </c>
      <c r="G408" s="31"/>
      <c r="H408" s="32"/>
      <c r="I408" s="31" t="str">
        <f>Source!BO204</f>
        <v/>
      </c>
      <c r="J408" s="31"/>
      <c r="K408" s="32"/>
      <c r="L408" s="33"/>
      <c r="S408">
        <f>ROUND((Source!FX204/100)*((ROUND(Source!AF204*Source!I204, 2)+ROUND(Source!AE204*Source!I204, 2))), 2)</f>
        <v>140.38999999999999</v>
      </c>
      <c r="T408">
        <f>Source!X204</f>
        <v>140.38999999999999</v>
      </c>
      <c r="U408">
        <f>ROUND((Source!FY204/100)*((ROUND(Source!AF204*Source!I204, 2)+ROUND(Source!AE204*Source!I204, 2))), 2)</f>
        <v>80.989999999999995</v>
      </c>
      <c r="V408">
        <f>Source!Y204</f>
        <v>80.989999999999995</v>
      </c>
    </row>
    <row r="409" spans="1:26" x14ac:dyDescent="0.2">
      <c r="C409" s="20" t="str">
        <f>"Объем: "&amp;Source!I204&amp;"=(46*"&amp;"4)/"&amp;"1000"</f>
        <v>Объем: 0,184=(46*4)/1000</v>
      </c>
    </row>
    <row r="410" spans="1:26" ht="14.25" x14ac:dyDescent="0.2">
      <c r="A410" s="47"/>
      <c r="B410" s="48"/>
      <c r="C410" s="48" t="s">
        <v>775</v>
      </c>
      <c r="D410" s="29"/>
      <c r="E410" s="26"/>
      <c r="F410" s="30">
        <f>Source!AO204</f>
        <v>479.99</v>
      </c>
      <c r="G410" s="31" t="str">
        <f>Source!DG204</f>
        <v>)*1,15</v>
      </c>
      <c r="H410" s="32">
        <f>ROUND(Source!AF204*Source!I204, 2)</f>
        <v>101.57</v>
      </c>
      <c r="I410" s="31"/>
      <c r="J410" s="31">
        <f>IF(Source!BA204&lt;&gt; 0, Source!BA204, 1)</f>
        <v>1</v>
      </c>
      <c r="K410" s="32">
        <f>Source!S204</f>
        <v>101.57</v>
      </c>
      <c r="L410" s="33"/>
      <c r="R410">
        <f>H410</f>
        <v>101.57</v>
      </c>
    </row>
    <row r="411" spans="1:26" ht="14.25" x14ac:dyDescent="0.2">
      <c r="A411" s="47"/>
      <c r="B411" s="48"/>
      <c r="C411" s="48" t="s">
        <v>227</v>
      </c>
      <c r="D411" s="29"/>
      <c r="E411" s="26"/>
      <c r="F411" s="30">
        <f>Source!AM204</f>
        <v>1485.06</v>
      </c>
      <c r="G411" s="31" t="str">
        <f>Source!DE204</f>
        <v>)*1,15</v>
      </c>
      <c r="H411" s="32">
        <f>ROUND(Source!AD204*Source!I204, 2)</f>
        <v>314.24</v>
      </c>
      <c r="I411" s="31"/>
      <c r="J411" s="31">
        <f>IF(Source!BB204&lt;&gt; 0, Source!BB204, 1)</f>
        <v>1</v>
      </c>
      <c r="K411" s="32">
        <f>Source!Q204</f>
        <v>314.24</v>
      </c>
      <c r="L411" s="33"/>
    </row>
    <row r="412" spans="1:26" ht="14.25" x14ac:dyDescent="0.2">
      <c r="A412" s="47"/>
      <c r="B412" s="48"/>
      <c r="C412" s="48" t="s">
        <v>782</v>
      </c>
      <c r="D412" s="29"/>
      <c r="E412" s="26"/>
      <c r="F412" s="30">
        <f>Source!AN204</f>
        <v>157.94</v>
      </c>
      <c r="G412" s="31" t="str">
        <f>Source!DF204</f>
        <v>)*1,15</v>
      </c>
      <c r="H412" s="45">
        <f>ROUND(Source!AE204*Source!I204, 2)</f>
        <v>33.42</v>
      </c>
      <c r="I412" s="31"/>
      <c r="J412" s="31">
        <f>IF(Source!BS204&lt;&gt; 0, Source!BS204, 1)</f>
        <v>1</v>
      </c>
      <c r="K412" s="45">
        <f>Source!R204</f>
        <v>33.42</v>
      </c>
      <c r="L412" s="33"/>
      <c r="R412">
        <f>H412</f>
        <v>33.42</v>
      </c>
    </row>
    <row r="413" spans="1:26" ht="14.25" x14ac:dyDescent="0.2">
      <c r="A413" s="47"/>
      <c r="B413" s="48"/>
      <c r="C413" s="48" t="s">
        <v>776</v>
      </c>
      <c r="D413" s="29" t="s">
        <v>777</v>
      </c>
      <c r="E413" s="26">
        <f>Source!BZ204</f>
        <v>104</v>
      </c>
      <c r="F413" s="51"/>
      <c r="G413" s="31"/>
      <c r="H413" s="32">
        <f>SUM(S408:S415)</f>
        <v>140.38999999999999</v>
      </c>
      <c r="I413" s="34"/>
      <c r="J413" s="28">
        <f>Source!AT204</f>
        <v>104</v>
      </c>
      <c r="K413" s="32">
        <f>SUM(T408:T415)</f>
        <v>140.38999999999999</v>
      </c>
      <c r="L413" s="33"/>
    </row>
    <row r="414" spans="1:26" ht="14.25" x14ac:dyDescent="0.2">
      <c r="A414" s="47"/>
      <c r="B414" s="48"/>
      <c r="C414" s="48" t="s">
        <v>778</v>
      </c>
      <c r="D414" s="29" t="s">
        <v>777</v>
      </c>
      <c r="E414" s="26">
        <f>Source!CA204</f>
        <v>60</v>
      </c>
      <c r="F414" s="51"/>
      <c r="G414" s="31"/>
      <c r="H414" s="32">
        <f>SUM(U408:U415)</f>
        <v>80.989999999999995</v>
      </c>
      <c r="I414" s="34"/>
      <c r="J414" s="28">
        <f>Source!AU204</f>
        <v>60</v>
      </c>
      <c r="K414" s="32">
        <f>SUM(V408:V415)</f>
        <v>80.989999999999995</v>
      </c>
      <c r="L414" s="33"/>
    </row>
    <row r="415" spans="1:26" ht="14.25" x14ac:dyDescent="0.2">
      <c r="A415" s="49"/>
      <c r="B415" s="50"/>
      <c r="C415" s="50" t="s">
        <v>779</v>
      </c>
      <c r="D415" s="36" t="s">
        <v>780</v>
      </c>
      <c r="E415" s="37">
        <f>Source!AQ204</f>
        <v>57.76</v>
      </c>
      <c r="F415" s="38"/>
      <c r="G415" s="41" t="str">
        <f>Source!DI204</f>
        <v>)*1,15</v>
      </c>
      <c r="H415" s="40"/>
      <c r="I415" s="41"/>
      <c r="J415" s="41"/>
      <c r="K415" s="40"/>
      <c r="L415" s="44">
        <f>Source!U204</f>
        <v>12.222015999999998</v>
      </c>
    </row>
    <row r="416" spans="1:26" ht="15" x14ac:dyDescent="0.25">
      <c r="G416" s="62">
        <f>H410+H411+H413+H414</f>
        <v>637.19000000000005</v>
      </c>
      <c r="H416" s="62"/>
      <c r="J416" s="62">
        <f>K410+K411+K413+K414</f>
        <v>637.19000000000005</v>
      </c>
      <c r="K416" s="62"/>
      <c r="L416" s="43">
        <f>Source!U204</f>
        <v>12.222015999999998</v>
      </c>
      <c r="O416" s="21">
        <f>G416</f>
        <v>637.19000000000005</v>
      </c>
      <c r="P416" s="21">
        <f>J416</f>
        <v>637.19000000000005</v>
      </c>
      <c r="Q416" s="21">
        <f>L416</f>
        <v>12.222015999999998</v>
      </c>
      <c r="W416">
        <f>IF(Source!BI204&lt;=1,H410+H411+H413+H414, 0)</f>
        <v>637.19000000000005</v>
      </c>
      <c r="X416">
        <f>IF(Source!BI204=2,H410+H411+H413+H414, 0)</f>
        <v>0</v>
      </c>
      <c r="Y416">
        <f>IF(Source!BI204=3,H410+H411+H413+H414, 0)</f>
        <v>0</v>
      </c>
      <c r="Z416">
        <f>IF(Source!BI204=4,H410+H411+H413+H414, 0)</f>
        <v>0</v>
      </c>
    </row>
    <row r="417" spans="1:26" ht="52.5" x14ac:dyDescent="0.2">
      <c r="A417" s="47" t="str">
        <f>Source!E205</f>
        <v>53</v>
      </c>
      <c r="B417" s="48" t="s">
        <v>788</v>
      </c>
      <c r="C417" s="48" t="str">
        <f>Source!G205</f>
        <v>Разборка покрытий и оснований щебеночных (50см)</v>
      </c>
      <c r="D417" s="29" t="str">
        <f>Source!H205</f>
        <v>100 м3</v>
      </c>
      <c r="E417" s="26">
        <f>Source!I205</f>
        <v>1.84</v>
      </c>
      <c r="F417" s="30">
        <f>Source!AL205+Source!AM205+Source!AO205</f>
        <v>596.32999999999993</v>
      </c>
      <c r="G417" s="31"/>
      <c r="H417" s="32"/>
      <c r="I417" s="31" t="str">
        <f>Source!BO205</f>
        <v/>
      </c>
      <c r="J417" s="31"/>
      <c r="K417" s="32"/>
      <c r="L417" s="33"/>
      <c r="S417">
        <f>ROUND((Source!FX205/100)*((ROUND(Source!AF205*Source!I205, 2)+ROUND(Source!AE205*Source!I205, 2))), 2)</f>
        <v>448.03</v>
      </c>
      <c r="T417">
        <f>Source!X205</f>
        <v>448.03</v>
      </c>
      <c r="U417">
        <f>ROUND((Source!FY205/100)*((ROUND(Source!AF205*Source!I205, 2)+ROUND(Source!AE205*Source!I205, 2))), 2)</f>
        <v>258.48</v>
      </c>
      <c r="V417">
        <f>Source!Y205</f>
        <v>258.48</v>
      </c>
    </row>
    <row r="418" spans="1:26" x14ac:dyDescent="0.2">
      <c r="C418" s="20" t="str">
        <f>"Объем: "&amp;Source!I205&amp;"=368*"&amp;"0,5/"&amp;"100"</f>
        <v>Объем: 1,84=368*0,5/100</v>
      </c>
    </row>
    <row r="419" spans="1:26" ht="14.25" x14ac:dyDescent="0.2">
      <c r="A419" s="47"/>
      <c r="B419" s="48"/>
      <c r="C419" s="48" t="s">
        <v>775</v>
      </c>
      <c r="D419" s="29"/>
      <c r="E419" s="26"/>
      <c r="F419" s="30">
        <f>Source!AO205</f>
        <v>144.57</v>
      </c>
      <c r="G419" s="31" t="str">
        <f>Source!DG205</f>
        <v>)*1,15</v>
      </c>
      <c r="H419" s="32">
        <f>ROUND(Source!AF205*Source!I205, 2)</f>
        <v>305.91000000000003</v>
      </c>
      <c r="I419" s="31"/>
      <c r="J419" s="31">
        <f>IF(Source!BA205&lt;&gt; 0, Source!BA205, 1)</f>
        <v>1</v>
      </c>
      <c r="K419" s="32">
        <f>Source!S205</f>
        <v>305.91000000000003</v>
      </c>
      <c r="L419" s="33"/>
      <c r="R419">
        <f>H419</f>
        <v>305.91000000000003</v>
      </c>
    </row>
    <row r="420" spans="1:26" ht="14.25" x14ac:dyDescent="0.2">
      <c r="A420" s="47"/>
      <c r="B420" s="48"/>
      <c r="C420" s="48" t="s">
        <v>227</v>
      </c>
      <c r="D420" s="29"/>
      <c r="E420" s="26"/>
      <c r="F420" s="30">
        <f>Source!AM205</f>
        <v>451.76</v>
      </c>
      <c r="G420" s="31" t="str">
        <f>Source!DE205</f>
        <v>)*1,15</v>
      </c>
      <c r="H420" s="32">
        <f>ROUND(Source!AD205*Source!I205, 2)</f>
        <v>955.92</v>
      </c>
      <c r="I420" s="31"/>
      <c r="J420" s="31">
        <f>IF(Source!BB205&lt;&gt; 0, Source!BB205, 1)</f>
        <v>1</v>
      </c>
      <c r="K420" s="32">
        <f>Source!Q205</f>
        <v>955.92</v>
      </c>
      <c r="L420" s="33"/>
    </row>
    <row r="421" spans="1:26" ht="14.25" x14ac:dyDescent="0.2">
      <c r="A421" s="47"/>
      <c r="B421" s="48"/>
      <c r="C421" s="48" t="s">
        <v>782</v>
      </c>
      <c r="D421" s="29"/>
      <c r="E421" s="26"/>
      <c r="F421" s="30">
        <f>Source!AN205</f>
        <v>59.02</v>
      </c>
      <c r="G421" s="31" t="str">
        <f>Source!DF205</f>
        <v>)*1,15</v>
      </c>
      <c r="H421" s="45">
        <f>ROUND(Source!AE205*Source!I205, 2)</f>
        <v>124.89</v>
      </c>
      <c r="I421" s="31"/>
      <c r="J421" s="31">
        <f>IF(Source!BS205&lt;&gt; 0, Source!BS205, 1)</f>
        <v>1</v>
      </c>
      <c r="K421" s="45">
        <f>Source!R205</f>
        <v>124.89</v>
      </c>
      <c r="L421" s="33"/>
      <c r="R421">
        <f>H421</f>
        <v>124.89</v>
      </c>
    </row>
    <row r="422" spans="1:26" ht="14.25" x14ac:dyDescent="0.2">
      <c r="A422" s="47"/>
      <c r="B422" s="48"/>
      <c r="C422" s="48" t="s">
        <v>776</v>
      </c>
      <c r="D422" s="29" t="s">
        <v>777</v>
      </c>
      <c r="E422" s="26">
        <f>Source!BZ205</f>
        <v>104</v>
      </c>
      <c r="F422" s="51"/>
      <c r="G422" s="31"/>
      <c r="H422" s="32">
        <f>SUM(S417:S424)</f>
        <v>448.03</v>
      </c>
      <c r="I422" s="34"/>
      <c r="J422" s="28">
        <f>Source!AT205</f>
        <v>104</v>
      </c>
      <c r="K422" s="32">
        <f>SUM(T417:T424)</f>
        <v>448.03</v>
      </c>
      <c r="L422" s="33"/>
    </row>
    <row r="423" spans="1:26" ht="14.25" x14ac:dyDescent="0.2">
      <c r="A423" s="47"/>
      <c r="B423" s="48"/>
      <c r="C423" s="48" t="s">
        <v>778</v>
      </c>
      <c r="D423" s="29" t="s">
        <v>777</v>
      </c>
      <c r="E423" s="26">
        <f>Source!CA205</f>
        <v>60</v>
      </c>
      <c r="F423" s="51"/>
      <c r="G423" s="31"/>
      <c r="H423" s="32">
        <f>SUM(U417:U424)</f>
        <v>258.48</v>
      </c>
      <c r="I423" s="34"/>
      <c r="J423" s="28">
        <f>Source!AU205</f>
        <v>60</v>
      </c>
      <c r="K423" s="32">
        <f>SUM(V417:V424)</f>
        <v>258.48</v>
      </c>
      <c r="L423" s="33"/>
    </row>
    <row r="424" spans="1:26" ht="14.25" x14ac:dyDescent="0.2">
      <c r="A424" s="49"/>
      <c r="B424" s="50"/>
      <c r="C424" s="50" t="s">
        <v>779</v>
      </c>
      <c r="D424" s="36" t="s">
        <v>780</v>
      </c>
      <c r="E424" s="37">
        <f>Source!AQ205</f>
        <v>18.37</v>
      </c>
      <c r="F424" s="38"/>
      <c r="G424" s="41" t="str">
        <f>Source!DI205</f>
        <v>)*1,15</v>
      </c>
      <c r="H424" s="40"/>
      <c r="I424" s="41"/>
      <c r="J424" s="41"/>
      <c r="K424" s="40"/>
      <c r="L424" s="44">
        <f>Source!U205</f>
        <v>38.870919999999998</v>
      </c>
    </row>
    <row r="425" spans="1:26" ht="15" x14ac:dyDescent="0.25">
      <c r="G425" s="62">
        <f>H419+H420+H422+H423</f>
        <v>1968.34</v>
      </c>
      <c r="H425" s="62"/>
      <c r="J425" s="62">
        <f>K419+K420+K422+K423</f>
        <v>1968.34</v>
      </c>
      <c r="K425" s="62"/>
      <c r="L425" s="43">
        <f>Source!U205</f>
        <v>38.870919999999998</v>
      </c>
      <c r="O425" s="21">
        <f>G425</f>
        <v>1968.34</v>
      </c>
      <c r="P425" s="21">
        <f>J425</f>
        <v>1968.34</v>
      </c>
      <c r="Q425" s="21">
        <f>L425</f>
        <v>38.870919999999998</v>
      </c>
      <c r="W425">
        <f>IF(Source!BI205&lt;=1,H419+H420+H422+H423, 0)</f>
        <v>1968.34</v>
      </c>
      <c r="X425">
        <f>IF(Source!BI205=2,H419+H420+H422+H423, 0)</f>
        <v>0</v>
      </c>
      <c r="Y425">
        <f>IF(Source!BI205=3,H419+H420+H422+H423, 0)</f>
        <v>0</v>
      </c>
      <c r="Z425">
        <f>IF(Source!BI205=4,H419+H420+H422+H423, 0)</f>
        <v>0</v>
      </c>
    </row>
    <row r="426" spans="1:26" ht="57" x14ac:dyDescent="0.2">
      <c r="A426" s="47" t="str">
        <f>Source!E206</f>
        <v>54</v>
      </c>
      <c r="B426" s="48" t="str">
        <f>Source!F206</f>
        <v>т01-01-01-042</v>
      </c>
      <c r="C426" s="48" t="str">
        <f>Source!G206</f>
        <v>Погрузочные работы при автомобильных перевозках мусора строительного с погрузкой транспортерами</v>
      </c>
      <c r="D426" s="29" t="str">
        <f>Source!H206</f>
        <v>1 Т ГРУЗА</v>
      </c>
      <c r="E426" s="26">
        <f>Source!I206</f>
        <v>263.12</v>
      </c>
      <c r="F426" s="30">
        <f>Source!AK206</f>
        <v>7.96</v>
      </c>
      <c r="G426" s="31" t="str">
        <f>Source!DC206</f>
        <v/>
      </c>
      <c r="H426" s="32">
        <f>ROUND(Source!AB206*Source!I206, 2)</f>
        <v>2094.44</v>
      </c>
      <c r="I426" s="31" t="str">
        <f>Source!BO206</f>
        <v/>
      </c>
      <c r="J426" s="31">
        <f>Source!AZ206</f>
        <v>1</v>
      </c>
      <c r="K426" s="32">
        <f>Source!GM206</f>
        <v>2094.44</v>
      </c>
      <c r="L426" s="33"/>
      <c r="S426">
        <f>ROUND((Source!FX206/100)*((ROUND(0*Source!I206, 2)+ROUND(0*Source!I206, 2))), 2)</f>
        <v>0</v>
      </c>
      <c r="T426">
        <f>Source!X206</f>
        <v>0</v>
      </c>
      <c r="U426">
        <f>ROUND((Source!FY206/100)*((ROUND(0*Source!I206, 2)+ROUND(0*Source!I206, 2))), 2)</f>
        <v>0</v>
      </c>
      <c r="V426">
        <f>Source!Y206</f>
        <v>0</v>
      </c>
    </row>
    <row r="427" spans="1:26" ht="25.5" x14ac:dyDescent="0.2">
      <c r="A427" s="23"/>
      <c r="B427" s="23"/>
      <c r="C427" s="24" t="str">
        <f>"Объем: "&amp;Source!I206&amp;"="&amp;Source!I204&amp;"*"&amp;"1000*"&amp;"0,04*"&amp;"2+"&amp;""&amp;Source!I205&amp;"*"&amp;"100*"&amp;"1,35"</f>
        <v>Объем: 263,12=0,184*1000*0,04*2+1,84*100*1,35</v>
      </c>
      <c r="D427" s="23"/>
      <c r="E427" s="23"/>
      <c r="F427" s="23"/>
      <c r="G427" s="23"/>
      <c r="H427" s="23"/>
      <c r="I427" s="23"/>
      <c r="J427" s="23"/>
      <c r="K427" s="23"/>
      <c r="L427" s="23"/>
    </row>
    <row r="428" spans="1:26" ht="15" x14ac:dyDescent="0.25">
      <c r="G428" s="62">
        <f>H426</f>
        <v>2094.44</v>
      </c>
      <c r="H428" s="62"/>
      <c r="J428" s="62">
        <f>K426</f>
        <v>2094.44</v>
      </c>
      <c r="K428" s="62"/>
      <c r="L428" s="43">
        <f>Source!U206</f>
        <v>0</v>
      </c>
      <c r="O428" s="21">
        <f>G428</f>
        <v>2094.44</v>
      </c>
      <c r="P428" s="21">
        <f>J428</f>
        <v>2094.44</v>
      </c>
      <c r="Q428" s="21">
        <f>L428</f>
        <v>0</v>
      </c>
      <c r="W428">
        <f>IF(Source!BI206&lt;=1,H426, 0)</f>
        <v>2094.44</v>
      </c>
      <c r="X428">
        <f>IF(Source!BI206=2,H426, 0)</f>
        <v>0</v>
      </c>
      <c r="Y428">
        <f>IF(Source!BI206=3,H426, 0)</f>
        <v>0</v>
      </c>
      <c r="Z428">
        <f>IF(Source!BI206=4,H426, 0)</f>
        <v>0</v>
      </c>
    </row>
    <row r="429" spans="1:26" ht="57" x14ac:dyDescent="0.2">
      <c r="A429" s="49" t="str">
        <f>Source!E207</f>
        <v>55</v>
      </c>
      <c r="B429" s="50" t="str">
        <f>Source!F207</f>
        <v>т03-21-01-025</v>
      </c>
      <c r="C429" s="50" t="str">
        <f>Source!G207</f>
        <v>Перевозка грузов I класса автомобилями-самосвалами грузоподъемностью 10 т работающих вне карьера на расстояние до 25 км</v>
      </c>
      <c r="D429" s="36" t="str">
        <f>Source!H207</f>
        <v>1 Т ГРУЗА</v>
      </c>
      <c r="E429" s="37">
        <f>Source!I207</f>
        <v>263.12</v>
      </c>
      <c r="F429" s="38">
        <f>Source!AK207</f>
        <v>17.32</v>
      </c>
      <c r="G429" s="41" t="str">
        <f>Source!DC207</f>
        <v/>
      </c>
      <c r="H429" s="40">
        <f>ROUND(Source!AB207*Source!I207, 2)</f>
        <v>4557.24</v>
      </c>
      <c r="I429" s="41" t="str">
        <f>Source!BO207</f>
        <v/>
      </c>
      <c r="J429" s="41">
        <f>Source!AZ207</f>
        <v>1</v>
      </c>
      <c r="K429" s="40">
        <f>Source!GM207</f>
        <v>4557.24</v>
      </c>
      <c r="L429" s="42"/>
      <c r="S429">
        <f>ROUND((Source!FX207/100)*((ROUND(0*Source!I207, 2)+ROUND(0*Source!I207, 2))), 2)</f>
        <v>0</v>
      </c>
      <c r="T429">
        <f>Source!X207</f>
        <v>0</v>
      </c>
      <c r="U429">
        <f>ROUND((Source!FY207/100)*((ROUND(0*Source!I207, 2)+ROUND(0*Source!I207, 2))), 2)</f>
        <v>0</v>
      </c>
      <c r="V429">
        <f>Source!Y207</f>
        <v>0</v>
      </c>
    </row>
    <row r="430" spans="1:26" ht="15" x14ac:dyDescent="0.25">
      <c r="G430" s="62">
        <f>H429</f>
        <v>4557.24</v>
      </c>
      <c r="H430" s="62"/>
      <c r="J430" s="62">
        <f>K429</f>
        <v>4557.24</v>
      </c>
      <c r="K430" s="62"/>
      <c r="L430" s="43">
        <f>Source!U207</f>
        <v>0</v>
      </c>
      <c r="O430" s="21">
        <f>G430</f>
        <v>4557.24</v>
      </c>
      <c r="P430" s="21">
        <f>J430</f>
        <v>4557.24</v>
      </c>
      <c r="Q430" s="21">
        <f>L430</f>
        <v>0</v>
      </c>
      <c r="W430">
        <f>IF(Source!BI207&lt;=1,H429, 0)</f>
        <v>4557.24</v>
      </c>
      <c r="X430">
        <f>IF(Source!BI207=2,H429, 0)</f>
        <v>0</v>
      </c>
      <c r="Y430">
        <f>IF(Source!BI207=3,H429, 0)</f>
        <v>0</v>
      </c>
      <c r="Z430">
        <f>IF(Source!BI207=4,H429, 0)</f>
        <v>0</v>
      </c>
    </row>
    <row r="432" spans="1:26" ht="15" x14ac:dyDescent="0.25">
      <c r="B432" s="68" t="str">
        <f>Source!G208</f>
        <v>УСТРОЙСТВО ПРОЕЗДА 46*4м</v>
      </c>
      <c r="C432" s="68"/>
      <c r="D432" s="68"/>
      <c r="E432" s="68"/>
      <c r="F432" s="68"/>
      <c r="G432" s="68"/>
      <c r="H432" s="68"/>
      <c r="I432" s="68"/>
      <c r="J432" s="68"/>
      <c r="K432" s="68"/>
    </row>
    <row r="433" spans="1:26" ht="78" x14ac:dyDescent="0.2">
      <c r="A433" s="47" t="str">
        <f>Source!E209</f>
        <v>56</v>
      </c>
      <c r="B433" s="48" t="s">
        <v>789</v>
      </c>
      <c r="C433" s="48" t="str">
        <f>Source!G209</f>
        <v>Устройство подстилающих и выравнивающих слоев оснований из песка (20см)</v>
      </c>
      <c r="D433" s="29" t="str">
        <f>Source!H209</f>
        <v>100 м3</v>
      </c>
      <c r="E433" s="26">
        <f>Source!I209</f>
        <v>0.36799999999999999</v>
      </c>
      <c r="F433" s="30">
        <f>Source!AL209+Source!AM209+Source!AO209</f>
        <v>2281.9899999999998</v>
      </c>
      <c r="G433" s="31"/>
      <c r="H433" s="32"/>
      <c r="I433" s="31" t="str">
        <f>Source!BO209</f>
        <v/>
      </c>
      <c r="J433" s="31"/>
      <c r="K433" s="32"/>
      <c r="L433" s="33"/>
      <c r="S433">
        <f>ROUND((Source!FX209/100)*((ROUND(Source!AF209*Source!I209, 2)+ROUND(Source!AE209*Source!I209, 2))), 2)</f>
        <v>198.49</v>
      </c>
      <c r="T433">
        <f>Source!X209</f>
        <v>198.8</v>
      </c>
      <c r="U433">
        <f>ROUND((Source!FY209/100)*((ROUND(Source!AF209*Source!I209, 2)+ROUND(Source!AE209*Source!I209, 2))), 2)</f>
        <v>125.41</v>
      </c>
      <c r="V433">
        <f>Source!Y209</f>
        <v>125.8</v>
      </c>
    </row>
    <row r="434" spans="1:26" x14ac:dyDescent="0.2">
      <c r="C434" s="20" t="str">
        <f>"Объем: "&amp;Source!I209&amp;"=(46*"&amp;"4*"&amp;"0,2)/"&amp;"100"</f>
        <v>Объем: 0,368=(46*4*0,2)/100</v>
      </c>
    </row>
    <row r="435" spans="1:26" ht="14.25" x14ac:dyDescent="0.2">
      <c r="A435" s="47"/>
      <c r="B435" s="48"/>
      <c r="C435" s="48" t="s">
        <v>775</v>
      </c>
      <c r="D435" s="29"/>
      <c r="E435" s="26"/>
      <c r="F435" s="30">
        <f>Source!AO209</f>
        <v>126.07</v>
      </c>
      <c r="G435" s="31" t="str">
        <f>Source!DG209</f>
        <v>)*1,15)*1,15</v>
      </c>
      <c r="H435" s="32">
        <f>ROUND(Source!AF209*Source!I209, 2)</f>
        <v>61.36</v>
      </c>
      <c r="I435" s="31"/>
      <c r="J435" s="31">
        <f>IF(Source!BA209&lt;&gt; 0, Source!BA209, 1)</f>
        <v>1</v>
      </c>
      <c r="K435" s="32">
        <f>Source!S209</f>
        <v>61.36</v>
      </c>
      <c r="L435" s="33"/>
      <c r="R435">
        <f>H435</f>
        <v>61.36</v>
      </c>
    </row>
    <row r="436" spans="1:26" ht="14.25" x14ac:dyDescent="0.2">
      <c r="A436" s="47"/>
      <c r="B436" s="48"/>
      <c r="C436" s="48" t="s">
        <v>227</v>
      </c>
      <c r="D436" s="29"/>
      <c r="E436" s="26"/>
      <c r="F436" s="30">
        <f>Source!AM209</f>
        <v>2143.7199999999998</v>
      </c>
      <c r="G436" s="31" t="str">
        <f>Source!DE209</f>
        <v>)*1,15)*1,25</v>
      </c>
      <c r="H436" s="32">
        <f>ROUND(Source!AD209*Source!I209, 2)</f>
        <v>1134.03</v>
      </c>
      <c r="I436" s="31"/>
      <c r="J436" s="31">
        <f>IF(Source!BB209&lt;&gt; 0, Source!BB209, 1)</f>
        <v>1</v>
      </c>
      <c r="K436" s="32">
        <f>Source!Q209</f>
        <v>1134.03</v>
      </c>
      <c r="L436" s="33"/>
    </row>
    <row r="437" spans="1:26" ht="14.25" x14ac:dyDescent="0.2">
      <c r="A437" s="47"/>
      <c r="B437" s="48"/>
      <c r="C437" s="48" t="s">
        <v>782</v>
      </c>
      <c r="D437" s="29"/>
      <c r="E437" s="26"/>
      <c r="F437" s="30">
        <f>Source!AN209</f>
        <v>177.59</v>
      </c>
      <c r="G437" s="31" t="str">
        <f>Source!DF209</f>
        <v>)*1,15)*1,25</v>
      </c>
      <c r="H437" s="45">
        <f>ROUND(Source!AE209*Source!I209, 2)</f>
        <v>93.95</v>
      </c>
      <c r="I437" s="31"/>
      <c r="J437" s="31">
        <f>IF(Source!BS209&lt;&gt; 0, Source!BS209, 1)</f>
        <v>1</v>
      </c>
      <c r="K437" s="45">
        <f>Source!R209</f>
        <v>93.95</v>
      </c>
      <c r="L437" s="33"/>
      <c r="R437">
        <f>H437</f>
        <v>93.95</v>
      </c>
    </row>
    <row r="438" spans="1:26" ht="14.25" x14ac:dyDescent="0.2">
      <c r="A438" s="47"/>
      <c r="B438" s="48"/>
      <c r="C438" s="48" t="s">
        <v>781</v>
      </c>
      <c r="D438" s="29"/>
      <c r="E438" s="26"/>
      <c r="F438" s="30">
        <f>Source!AL209</f>
        <v>12.2</v>
      </c>
      <c r="G438" s="31" t="str">
        <f>Source!DD209</f>
        <v/>
      </c>
      <c r="H438" s="32">
        <f>ROUND(Source!AC209*Source!I209, 2)</f>
        <v>4.49</v>
      </c>
      <c r="I438" s="31"/>
      <c r="J438" s="31">
        <f>IF(Source!BC209&lt;&gt; 0, Source!BC209, 1)</f>
        <v>1</v>
      </c>
      <c r="K438" s="32">
        <f>Source!P209</f>
        <v>4.49</v>
      </c>
      <c r="L438" s="33"/>
    </row>
    <row r="439" spans="1:26" ht="14.25" x14ac:dyDescent="0.2">
      <c r="A439" s="47"/>
      <c r="B439" s="48"/>
      <c r="C439" s="48" t="s">
        <v>776</v>
      </c>
      <c r="D439" s="29" t="s">
        <v>777</v>
      </c>
      <c r="E439" s="26">
        <f>Source!BZ209</f>
        <v>142</v>
      </c>
      <c r="F439" s="65" t="str">
        <f>CONCATENATE(" )", Source!DL209, Source!FT209, "=", Source!FX209)</f>
        <v xml:space="preserve"> )*0,9=127,8</v>
      </c>
      <c r="G439" s="66"/>
      <c r="H439" s="32">
        <f>SUM(S433:S442)</f>
        <v>198.49</v>
      </c>
      <c r="I439" s="34"/>
      <c r="J439" s="28">
        <f>Source!AT209</f>
        <v>128</v>
      </c>
      <c r="K439" s="32">
        <f>SUM(T433:T442)</f>
        <v>198.8</v>
      </c>
      <c r="L439" s="33"/>
    </row>
    <row r="440" spans="1:26" ht="14.25" x14ac:dyDescent="0.2">
      <c r="A440" s="47"/>
      <c r="B440" s="48"/>
      <c r="C440" s="48" t="s">
        <v>778</v>
      </c>
      <c r="D440" s="29" t="s">
        <v>777</v>
      </c>
      <c r="E440" s="26">
        <f>Source!CA209</f>
        <v>95</v>
      </c>
      <c r="F440" s="65" t="str">
        <f>CONCATENATE(" )", Source!DM209, Source!FU209, "=", Source!FY209)</f>
        <v xml:space="preserve"> )*0,85=80,75</v>
      </c>
      <c r="G440" s="66"/>
      <c r="H440" s="32">
        <f>SUM(U433:U442)</f>
        <v>125.41</v>
      </c>
      <c r="I440" s="34"/>
      <c r="J440" s="28">
        <f>Source!AU209</f>
        <v>81</v>
      </c>
      <c r="K440" s="32">
        <f>SUM(V433:V442)</f>
        <v>125.8</v>
      </c>
      <c r="L440" s="33"/>
    </row>
    <row r="441" spans="1:26" ht="14.25" x14ac:dyDescent="0.2">
      <c r="A441" s="47"/>
      <c r="B441" s="48"/>
      <c r="C441" s="48" t="s">
        <v>779</v>
      </c>
      <c r="D441" s="29" t="s">
        <v>780</v>
      </c>
      <c r="E441" s="26">
        <f>Source!AQ209</f>
        <v>15.72</v>
      </c>
      <c r="F441" s="30"/>
      <c r="G441" s="31" t="str">
        <f>Source!DI209</f>
        <v>)*1,15)*1,15</v>
      </c>
      <c r="H441" s="32"/>
      <c r="I441" s="31"/>
      <c r="J441" s="31"/>
      <c r="K441" s="32"/>
      <c r="L441" s="35">
        <f>Source!U209</f>
        <v>7.6506095999999983</v>
      </c>
    </row>
    <row r="442" spans="1:26" ht="28.5" x14ac:dyDescent="0.2">
      <c r="A442" s="49" t="str">
        <f>Source!E210</f>
        <v>56,1</v>
      </c>
      <c r="B442" s="50" t="str">
        <f>Source!F210</f>
        <v>02.3.01.02-0015</v>
      </c>
      <c r="C442" s="50" t="str">
        <f>Source!G210</f>
        <v>Песок природный для строительных работ средний</v>
      </c>
      <c r="D442" s="36" t="str">
        <f>Source!H210</f>
        <v>м3</v>
      </c>
      <c r="E442" s="37">
        <f>Source!I210</f>
        <v>37.72</v>
      </c>
      <c r="F442" s="38">
        <f>Source!AL210+Source!AM210+Source!AO210</f>
        <v>55.26</v>
      </c>
      <c r="G442" s="39" t="s">
        <v>3</v>
      </c>
      <c r="H442" s="40">
        <f>ROUND(Source!AC210*Source!I210, 2)+ROUND(Source!AD210*Source!I210, 2)+ROUND(Source!AF210*Source!I210, 2)</f>
        <v>2084.41</v>
      </c>
      <c r="I442" s="41"/>
      <c r="J442" s="41">
        <f>IF(Source!BC210&lt;&gt; 0, Source!BC210, 1)</f>
        <v>1</v>
      </c>
      <c r="K442" s="40">
        <f>Source!O210</f>
        <v>2084.41</v>
      </c>
      <c r="L442" s="42"/>
      <c r="S442">
        <f>ROUND((Source!FX210/100)*((ROUND(Source!AF210*Source!I210, 2)+ROUND(Source!AE210*Source!I210, 2))), 2)</f>
        <v>0</v>
      </c>
      <c r="T442">
        <f>Source!X210</f>
        <v>0</v>
      </c>
      <c r="U442">
        <f>ROUND((Source!FY210/100)*((ROUND(Source!AF210*Source!I210, 2)+ROUND(Source!AE210*Source!I210, 2))), 2)</f>
        <v>0</v>
      </c>
      <c r="V442">
        <f>Source!Y210</f>
        <v>0</v>
      </c>
      <c r="W442">
        <f>IF(Source!BI210&lt;=1,H442, 0)</f>
        <v>2084.41</v>
      </c>
      <c r="X442">
        <f>IF(Source!BI210=2,H442, 0)</f>
        <v>0</v>
      </c>
      <c r="Y442">
        <f>IF(Source!BI210=3,H442, 0)</f>
        <v>0</v>
      </c>
      <c r="Z442">
        <f>IF(Source!BI210=4,H442, 0)</f>
        <v>0</v>
      </c>
    </row>
    <row r="443" spans="1:26" ht="15" x14ac:dyDescent="0.25">
      <c r="G443" s="62">
        <f>H435+H436+H438+H439+H440+SUM(H442:H442)</f>
        <v>3608.1899999999996</v>
      </c>
      <c r="H443" s="62"/>
      <c r="J443" s="62">
        <f>K435+K436+K438+K439+K440+SUM(K442:K442)</f>
        <v>3608.8899999999994</v>
      </c>
      <c r="K443" s="62"/>
      <c r="L443" s="43">
        <f>Source!U209</f>
        <v>7.6506095999999983</v>
      </c>
      <c r="O443" s="21">
        <f>G443</f>
        <v>3608.1899999999996</v>
      </c>
      <c r="P443" s="21">
        <f>J443</f>
        <v>3608.8899999999994</v>
      </c>
      <c r="Q443" s="21">
        <f>L443</f>
        <v>7.6506095999999983</v>
      </c>
      <c r="W443">
        <f>IF(Source!BI209&lt;=1,H435+H436+H438+H439+H440, 0)</f>
        <v>1523.78</v>
      </c>
      <c r="X443">
        <f>IF(Source!BI209=2,H435+H436+H438+H439+H440, 0)</f>
        <v>0</v>
      </c>
      <c r="Y443">
        <f>IF(Source!BI209=3,H435+H436+H438+H439+H440, 0)</f>
        <v>0</v>
      </c>
      <c r="Z443">
        <f>IF(Source!BI209=4,H435+H436+H438+H439+H440, 0)</f>
        <v>0</v>
      </c>
    </row>
    <row r="444" spans="1:26" ht="78" x14ac:dyDescent="0.2">
      <c r="A444" s="47" t="str">
        <f>Source!E211</f>
        <v>57</v>
      </c>
      <c r="B444" s="48" t="s">
        <v>795</v>
      </c>
      <c r="C444" s="48" t="str">
        <f>Source!G211</f>
        <v>Устройство подстилающих и выравнивающих слоев оснований из щебня (30см)</v>
      </c>
      <c r="D444" s="29" t="str">
        <f>Source!H211</f>
        <v>100 м3</v>
      </c>
      <c r="E444" s="26">
        <f>Source!I211</f>
        <v>1.1040000000000001</v>
      </c>
      <c r="F444" s="30">
        <f>Source!AL211+Source!AM211+Source!AO211</f>
        <v>3551.6299999999997</v>
      </c>
      <c r="G444" s="31"/>
      <c r="H444" s="32"/>
      <c r="I444" s="31" t="str">
        <f>Source!BO211</f>
        <v/>
      </c>
      <c r="J444" s="31"/>
      <c r="K444" s="32"/>
      <c r="L444" s="33"/>
      <c r="S444">
        <f>ROUND((Source!FX211/100)*((ROUND(Source!AF211*Source!I211, 2)+ROUND(Source!AE211*Source!I211, 2))), 2)</f>
        <v>930.32</v>
      </c>
      <c r="T444">
        <f>Source!X211</f>
        <v>931.78</v>
      </c>
      <c r="U444">
        <f>ROUND((Source!FY211/100)*((ROUND(Source!AF211*Source!I211, 2)+ROUND(Source!AE211*Source!I211, 2))), 2)</f>
        <v>587.82000000000005</v>
      </c>
      <c r="V444">
        <f>Source!Y211</f>
        <v>589.64</v>
      </c>
    </row>
    <row r="445" spans="1:26" x14ac:dyDescent="0.2">
      <c r="C445" s="20" t="str">
        <f>"Объем: "&amp;Source!I211&amp;"=368*"&amp;"0,3/"&amp;"100"</f>
        <v>Объем: 1,104=368*0,3/100</v>
      </c>
    </row>
    <row r="446" spans="1:26" ht="14.25" x14ac:dyDescent="0.2">
      <c r="A446" s="47"/>
      <c r="B446" s="48"/>
      <c r="C446" s="48" t="s">
        <v>775</v>
      </c>
      <c r="D446" s="29"/>
      <c r="E446" s="26"/>
      <c r="F446" s="30">
        <f>Source!AO211</f>
        <v>195.7</v>
      </c>
      <c r="G446" s="31" t="str">
        <f>Source!DG211</f>
        <v>)*1,15)*1,15</v>
      </c>
      <c r="H446" s="32">
        <f>ROUND(Source!AF211*Source!I211, 2)</f>
        <v>285.73</v>
      </c>
      <c r="I446" s="31"/>
      <c r="J446" s="31">
        <f>IF(Source!BA211&lt;&gt; 0, Source!BA211, 1)</f>
        <v>1</v>
      </c>
      <c r="K446" s="32">
        <f>Source!S211</f>
        <v>285.73</v>
      </c>
      <c r="L446" s="33"/>
      <c r="R446">
        <f>H446</f>
        <v>285.73</v>
      </c>
    </row>
    <row r="447" spans="1:26" ht="14.25" x14ac:dyDescent="0.2">
      <c r="A447" s="47"/>
      <c r="B447" s="48"/>
      <c r="C447" s="48" t="s">
        <v>227</v>
      </c>
      <c r="D447" s="29"/>
      <c r="E447" s="26"/>
      <c r="F447" s="30">
        <f>Source!AM211</f>
        <v>3338.85</v>
      </c>
      <c r="G447" s="31" t="str">
        <f>Source!DE211</f>
        <v>)*1,15)*1,25</v>
      </c>
      <c r="H447" s="32">
        <f>ROUND(Source!AD211*Source!I211, 2)</f>
        <v>5298.75</v>
      </c>
      <c r="I447" s="31"/>
      <c r="J447" s="31">
        <f>IF(Source!BB211&lt;&gt; 0, Source!BB211, 1)</f>
        <v>1</v>
      </c>
      <c r="K447" s="32">
        <f>Source!Q211</f>
        <v>5298.75</v>
      </c>
      <c r="L447" s="33"/>
    </row>
    <row r="448" spans="1:26" ht="14.25" x14ac:dyDescent="0.2">
      <c r="A448" s="47"/>
      <c r="B448" s="48"/>
      <c r="C448" s="48" t="s">
        <v>782</v>
      </c>
      <c r="D448" s="29"/>
      <c r="E448" s="26"/>
      <c r="F448" s="30">
        <f>Source!AN211</f>
        <v>278.64999999999998</v>
      </c>
      <c r="G448" s="31" t="str">
        <f>Source!DF211</f>
        <v>)*1,15)*1,25</v>
      </c>
      <c r="H448" s="45">
        <f>ROUND(Source!AE211*Source!I211, 2)</f>
        <v>442.22</v>
      </c>
      <c r="I448" s="31"/>
      <c r="J448" s="31">
        <f>IF(Source!BS211&lt;&gt; 0, Source!BS211, 1)</f>
        <v>1</v>
      </c>
      <c r="K448" s="45">
        <f>Source!R211</f>
        <v>442.22</v>
      </c>
      <c r="L448" s="33"/>
      <c r="R448">
        <f>H448</f>
        <v>442.22</v>
      </c>
    </row>
    <row r="449" spans="1:26" ht="14.25" x14ac:dyDescent="0.2">
      <c r="A449" s="47"/>
      <c r="B449" s="48"/>
      <c r="C449" s="48" t="s">
        <v>781</v>
      </c>
      <c r="D449" s="29"/>
      <c r="E449" s="26"/>
      <c r="F449" s="30">
        <f>Source!AL211</f>
        <v>17.079999999999998</v>
      </c>
      <c r="G449" s="31" t="str">
        <f>Source!DD211</f>
        <v/>
      </c>
      <c r="H449" s="32">
        <f>ROUND(Source!AC211*Source!I211, 2)</f>
        <v>18.86</v>
      </c>
      <c r="I449" s="31"/>
      <c r="J449" s="31">
        <f>IF(Source!BC211&lt;&gt; 0, Source!BC211, 1)</f>
        <v>1</v>
      </c>
      <c r="K449" s="32">
        <f>Source!P211</f>
        <v>18.86</v>
      </c>
      <c r="L449" s="33"/>
    </row>
    <row r="450" spans="1:26" ht="14.25" x14ac:dyDescent="0.2">
      <c r="A450" s="47"/>
      <c r="B450" s="48"/>
      <c r="C450" s="48" t="s">
        <v>776</v>
      </c>
      <c r="D450" s="29" t="s">
        <v>777</v>
      </c>
      <c r="E450" s="26">
        <f>Source!BZ211</f>
        <v>142</v>
      </c>
      <c r="F450" s="65" t="str">
        <f>CONCATENATE(" )", Source!DL211, Source!FT211, "=", Source!FX211)</f>
        <v xml:space="preserve"> )*0,9=127,8</v>
      </c>
      <c r="G450" s="66"/>
      <c r="H450" s="32">
        <f>SUM(S444:S453)</f>
        <v>930.32</v>
      </c>
      <c r="I450" s="34"/>
      <c r="J450" s="28">
        <f>Source!AT211</f>
        <v>128</v>
      </c>
      <c r="K450" s="32">
        <f>SUM(T444:T453)</f>
        <v>931.78</v>
      </c>
      <c r="L450" s="33"/>
    </row>
    <row r="451" spans="1:26" ht="14.25" x14ac:dyDescent="0.2">
      <c r="A451" s="47"/>
      <c r="B451" s="48"/>
      <c r="C451" s="48" t="s">
        <v>778</v>
      </c>
      <c r="D451" s="29" t="s">
        <v>777</v>
      </c>
      <c r="E451" s="26">
        <f>Source!CA211</f>
        <v>95</v>
      </c>
      <c r="F451" s="65" t="str">
        <f>CONCATENATE(" )", Source!DM211, Source!FU211, "=", Source!FY211)</f>
        <v xml:space="preserve"> )*0,85=80,75</v>
      </c>
      <c r="G451" s="66"/>
      <c r="H451" s="32">
        <f>SUM(U444:U453)</f>
        <v>587.82000000000005</v>
      </c>
      <c r="I451" s="34"/>
      <c r="J451" s="28">
        <f>Source!AU211</f>
        <v>81</v>
      </c>
      <c r="K451" s="32">
        <f>SUM(V444:V453)</f>
        <v>589.64</v>
      </c>
      <c r="L451" s="33"/>
    </row>
    <row r="452" spans="1:26" ht="14.25" x14ac:dyDescent="0.2">
      <c r="A452" s="47"/>
      <c r="B452" s="48"/>
      <c r="C452" s="48" t="s">
        <v>779</v>
      </c>
      <c r="D452" s="29" t="s">
        <v>780</v>
      </c>
      <c r="E452" s="26">
        <f>Source!AQ211</f>
        <v>24.19</v>
      </c>
      <c r="F452" s="30"/>
      <c r="G452" s="31" t="str">
        <f>Source!DI211</f>
        <v>)*1,15)*1,15</v>
      </c>
      <c r="H452" s="32"/>
      <c r="I452" s="31"/>
      <c r="J452" s="31"/>
      <c r="K452" s="32"/>
      <c r="L452" s="35">
        <f>Source!U211</f>
        <v>35.318367600000002</v>
      </c>
    </row>
    <row r="453" spans="1:26" ht="28.5" x14ac:dyDescent="0.2">
      <c r="A453" s="49" t="str">
        <f>Source!E212</f>
        <v>57,1</v>
      </c>
      <c r="B453" s="50" t="str">
        <f>Source!F212</f>
        <v>02.2.05.04-0046</v>
      </c>
      <c r="C453" s="50" t="str">
        <f>Source!G212</f>
        <v>Щебень из гравия для строительных работ марка 600, фракция 10-20 мм</v>
      </c>
      <c r="D453" s="36" t="str">
        <f>Source!H212</f>
        <v>м3</v>
      </c>
      <c r="E453" s="37">
        <f>Source!I212</f>
        <v>112.608</v>
      </c>
      <c r="F453" s="38">
        <f>Source!AL212+Source!AM212+Source!AO212</f>
        <v>139.63</v>
      </c>
      <c r="G453" s="39" t="s">
        <v>3</v>
      </c>
      <c r="H453" s="40">
        <f>ROUND(Source!AC212*Source!I212, 2)+ROUND(Source!AD212*Source!I212, 2)+ROUND(Source!AF212*Source!I212, 2)</f>
        <v>15723.46</v>
      </c>
      <c r="I453" s="41"/>
      <c r="J453" s="41">
        <f>IF(Source!BC212&lt;&gt; 0, Source!BC212, 1)</f>
        <v>1</v>
      </c>
      <c r="K453" s="40">
        <f>Source!O212</f>
        <v>15723.46</v>
      </c>
      <c r="L453" s="42"/>
      <c r="S453">
        <f>ROUND((Source!FX212/100)*((ROUND(Source!AF212*Source!I212, 2)+ROUND(Source!AE212*Source!I212, 2))), 2)</f>
        <v>0</v>
      </c>
      <c r="T453">
        <f>Source!X212</f>
        <v>0</v>
      </c>
      <c r="U453">
        <f>ROUND((Source!FY212/100)*((ROUND(Source!AF212*Source!I212, 2)+ROUND(Source!AE212*Source!I212, 2))), 2)</f>
        <v>0</v>
      </c>
      <c r="V453">
        <f>Source!Y212</f>
        <v>0</v>
      </c>
      <c r="W453">
        <f>IF(Source!BI212&lt;=1,H453, 0)</f>
        <v>15723.46</v>
      </c>
      <c r="X453">
        <f>IF(Source!BI212=2,H453, 0)</f>
        <v>0</v>
      </c>
      <c r="Y453">
        <f>IF(Source!BI212=3,H453, 0)</f>
        <v>0</v>
      </c>
      <c r="Z453">
        <f>IF(Source!BI212=4,H453, 0)</f>
        <v>0</v>
      </c>
    </row>
    <row r="454" spans="1:26" ht="15" x14ac:dyDescent="0.25">
      <c r="G454" s="62">
        <f>H446+H447+H449+H450+H451+SUM(H453:H453)</f>
        <v>22844.94</v>
      </c>
      <c r="H454" s="62"/>
      <c r="J454" s="62">
        <f>K446+K447+K449+K450+K451+SUM(K453:K453)</f>
        <v>22848.219999999998</v>
      </c>
      <c r="K454" s="62"/>
      <c r="L454" s="43">
        <f>Source!U211</f>
        <v>35.318367600000002</v>
      </c>
      <c r="O454" s="21">
        <f>G454</f>
        <v>22844.94</v>
      </c>
      <c r="P454" s="21">
        <f>J454</f>
        <v>22848.219999999998</v>
      </c>
      <c r="Q454" s="21">
        <f>L454</f>
        <v>35.318367600000002</v>
      </c>
      <c r="W454">
        <f>IF(Source!BI211&lt;=1,H446+H447+H449+H450+H451, 0)</f>
        <v>7121.4799999999987</v>
      </c>
      <c r="X454">
        <f>IF(Source!BI211=2,H446+H447+H449+H450+H451, 0)</f>
        <v>0</v>
      </c>
      <c r="Y454">
        <f>IF(Source!BI211=3,H446+H447+H449+H450+H451, 0)</f>
        <v>0</v>
      </c>
      <c r="Z454">
        <f>IF(Source!BI211=4,H446+H447+H449+H450+H451, 0)</f>
        <v>0</v>
      </c>
    </row>
    <row r="455" spans="1:26" ht="78" x14ac:dyDescent="0.2">
      <c r="A455" s="47" t="str">
        <f>Source!E213</f>
        <v>58</v>
      </c>
      <c r="B455" s="48" t="s">
        <v>796</v>
      </c>
      <c r="C455" s="48" t="str">
        <f>Source!G213</f>
        <v>Устройство покрытия толщиной 4 см из горячих асфальтобетонных смесей плотных крупнозернинистых типа АБ, плотность каменных материалов 2,5-2,9 т/м3 Первый слой.</v>
      </c>
      <c r="D455" s="29" t="str">
        <f>Source!H213</f>
        <v>1000 м2</v>
      </c>
      <c r="E455" s="26">
        <f>Source!I213</f>
        <v>0.184</v>
      </c>
      <c r="F455" s="30">
        <f>Source!AL213+Source!AM213+Source!AO213</f>
        <v>2984.49</v>
      </c>
      <c r="G455" s="31"/>
      <c r="H455" s="32"/>
      <c r="I455" s="31" t="str">
        <f>Source!BO213</f>
        <v/>
      </c>
      <c r="J455" s="31"/>
      <c r="K455" s="32"/>
      <c r="L455" s="33"/>
      <c r="S455">
        <f>ROUND((Source!FX213/100)*((ROUND(Source!AF213*Source!I213, 2)+ROUND(Source!AE213*Source!I213, 2))), 2)</f>
        <v>203.5</v>
      </c>
      <c r="T455">
        <f>Source!X213</f>
        <v>203.81</v>
      </c>
      <c r="U455">
        <f>ROUND((Source!FY213/100)*((ROUND(Source!AF213*Source!I213, 2)+ROUND(Source!AE213*Source!I213, 2))), 2)</f>
        <v>128.58000000000001</v>
      </c>
      <c r="V455">
        <f>Source!Y213</f>
        <v>128.97999999999999</v>
      </c>
    </row>
    <row r="456" spans="1:26" x14ac:dyDescent="0.2">
      <c r="C456" s="20" t="str">
        <f>"Объем: "&amp;Source!I213&amp;"=46*"&amp;"4/"&amp;"1000"</f>
        <v>Объем: 0,184=46*4/1000</v>
      </c>
    </row>
    <row r="457" spans="1:26" ht="14.25" x14ac:dyDescent="0.2">
      <c r="A457" s="47"/>
      <c r="B457" s="48"/>
      <c r="C457" s="48" t="s">
        <v>775</v>
      </c>
      <c r="D457" s="29"/>
      <c r="E457" s="26"/>
      <c r="F457" s="30">
        <f>Source!AO213</f>
        <v>368.45</v>
      </c>
      <c r="G457" s="31" t="str">
        <f>Source!DG213</f>
        <v>)*1,15)*1,15</v>
      </c>
      <c r="H457" s="32">
        <f>ROUND(Source!AF213*Source!I213, 2)</f>
        <v>89.66</v>
      </c>
      <c r="I457" s="31"/>
      <c r="J457" s="31">
        <f>IF(Source!BA213&lt;&gt; 0, Source!BA213, 1)</f>
        <v>1</v>
      </c>
      <c r="K457" s="32">
        <f>Source!S213</f>
        <v>89.66</v>
      </c>
      <c r="L457" s="33"/>
      <c r="R457">
        <f>H457</f>
        <v>89.66</v>
      </c>
    </row>
    <row r="458" spans="1:26" ht="14.25" x14ac:dyDescent="0.2">
      <c r="A458" s="47"/>
      <c r="B458" s="48"/>
      <c r="C458" s="48" t="s">
        <v>227</v>
      </c>
      <c r="D458" s="29"/>
      <c r="E458" s="26"/>
      <c r="F458" s="30">
        <f>Source!AM213</f>
        <v>2385.37</v>
      </c>
      <c r="G458" s="31" t="str">
        <f>Source!DE213</f>
        <v>)*1,15)*1,25</v>
      </c>
      <c r="H458" s="32">
        <f>ROUND(Source!AD213*Source!I213, 2)</f>
        <v>630.92999999999995</v>
      </c>
      <c r="I458" s="31"/>
      <c r="J458" s="31">
        <f>IF(Source!BB213&lt;&gt; 0, Source!BB213, 1)</f>
        <v>1</v>
      </c>
      <c r="K458" s="32">
        <f>Source!Q213</f>
        <v>630.92999999999995</v>
      </c>
      <c r="L458" s="33"/>
    </row>
    <row r="459" spans="1:26" ht="14.25" x14ac:dyDescent="0.2">
      <c r="A459" s="47"/>
      <c r="B459" s="48"/>
      <c r="C459" s="48" t="s">
        <v>782</v>
      </c>
      <c r="D459" s="29"/>
      <c r="E459" s="26"/>
      <c r="F459" s="30">
        <f>Source!AN213</f>
        <v>263.01</v>
      </c>
      <c r="G459" s="31" t="str">
        <f>Source!DF213</f>
        <v>)*1,15)*1,25</v>
      </c>
      <c r="H459" s="45">
        <f>ROUND(Source!AE213*Source!I213, 2)</f>
        <v>69.569999999999993</v>
      </c>
      <c r="I459" s="31"/>
      <c r="J459" s="31">
        <f>IF(Source!BS213&lt;&gt; 0, Source!BS213, 1)</f>
        <v>1</v>
      </c>
      <c r="K459" s="45">
        <f>Source!R213</f>
        <v>69.569999999999993</v>
      </c>
      <c r="L459" s="33"/>
      <c r="R459">
        <f>H459</f>
        <v>69.569999999999993</v>
      </c>
    </row>
    <row r="460" spans="1:26" ht="14.25" x14ac:dyDescent="0.2">
      <c r="A460" s="47"/>
      <c r="B460" s="48"/>
      <c r="C460" s="48" t="s">
        <v>781</v>
      </c>
      <c r="D460" s="29"/>
      <c r="E460" s="26"/>
      <c r="F460" s="30">
        <f>Source!AL213</f>
        <v>230.67</v>
      </c>
      <c r="G460" s="31" t="str">
        <f>Source!DD213</f>
        <v/>
      </c>
      <c r="H460" s="32">
        <f>ROUND(Source!AC213*Source!I213, 2)</f>
        <v>42.44</v>
      </c>
      <c r="I460" s="31"/>
      <c r="J460" s="31">
        <f>IF(Source!BC213&lt;&gt; 0, Source!BC213, 1)</f>
        <v>1</v>
      </c>
      <c r="K460" s="32">
        <f>Source!P213</f>
        <v>42.44</v>
      </c>
      <c r="L460" s="33"/>
    </row>
    <row r="461" spans="1:26" ht="14.25" x14ac:dyDescent="0.2">
      <c r="A461" s="47"/>
      <c r="B461" s="48"/>
      <c r="C461" s="48" t="s">
        <v>776</v>
      </c>
      <c r="D461" s="29" t="s">
        <v>777</v>
      </c>
      <c r="E461" s="26">
        <f>Source!BZ213</f>
        <v>142</v>
      </c>
      <c r="F461" s="65" t="str">
        <f>CONCATENATE(" )", Source!DL213, Source!FT213, "=", Source!FX213)</f>
        <v xml:space="preserve"> )*0,9=127,8</v>
      </c>
      <c r="G461" s="66"/>
      <c r="H461" s="32">
        <f>SUM(S455:S465)</f>
        <v>203.5</v>
      </c>
      <c r="I461" s="34"/>
      <c r="J461" s="28">
        <f>Source!AT213</f>
        <v>128</v>
      </c>
      <c r="K461" s="32">
        <f>SUM(T455:T465)</f>
        <v>203.81</v>
      </c>
      <c r="L461" s="33"/>
    </row>
    <row r="462" spans="1:26" ht="14.25" x14ac:dyDescent="0.2">
      <c r="A462" s="47"/>
      <c r="B462" s="48"/>
      <c r="C462" s="48" t="s">
        <v>778</v>
      </c>
      <c r="D462" s="29" t="s">
        <v>777</v>
      </c>
      <c r="E462" s="26">
        <f>Source!CA213</f>
        <v>95</v>
      </c>
      <c r="F462" s="65" t="str">
        <f>CONCATENATE(" )", Source!DM213, Source!FU213, "=", Source!FY213)</f>
        <v xml:space="preserve"> )*0,85=80,75</v>
      </c>
      <c r="G462" s="66"/>
      <c r="H462" s="32">
        <f>SUM(U455:U465)</f>
        <v>128.58000000000001</v>
      </c>
      <c r="I462" s="34"/>
      <c r="J462" s="28">
        <f>Source!AU213</f>
        <v>81</v>
      </c>
      <c r="K462" s="32">
        <f>SUM(V455:V465)</f>
        <v>128.97999999999999</v>
      </c>
      <c r="L462" s="33"/>
    </row>
    <row r="463" spans="1:26" ht="14.25" x14ac:dyDescent="0.2">
      <c r="A463" s="47"/>
      <c r="B463" s="48"/>
      <c r="C463" s="48" t="s">
        <v>779</v>
      </c>
      <c r="D463" s="29" t="s">
        <v>780</v>
      </c>
      <c r="E463" s="26">
        <f>Source!AQ213</f>
        <v>38.299999999999997</v>
      </c>
      <c r="F463" s="30"/>
      <c r="G463" s="31" t="str">
        <f>Source!DI213</f>
        <v>)*1,15)*1,15</v>
      </c>
      <c r="H463" s="32"/>
      <c r="I463" s="31"/>
      <c r="J463" s="31"/>
      <c r="K463" s="32"/>
      <c r="L463" s="35">
        <f>Source!U213</f>
        <v>9.3199219999999983</v>
      </c>
    </row>
    <row r="464" spans="1:26" ht="28.5" x14ac:dyDescent="0.2">
      <c r="A464" s="47" t="str">
        <f>Source!E214</f>
        <v>58,1</v>
      </c>
      <c r="B464" s="48" t="str">
        <f>Source!F214</f>
        <v>01.2.01.02-0001</v>
      </c>
      <c r="C464" s="48" t="str">
        <f>Source!G214</f>
        <v>Битум горячий</v>
      </c>
      <c r="D464" s="29" t="str">
        <f>Source!H214</f>
        <v>т</v>
      </c>
      <c r="E464" s="26">
        <f>Source!I214</f>
        <v>1.9870000000000001E-3</v>
      </c>
      <c r="F464" s="30">
        <f>Source!AL214+Source!AM214+Source!AO214</f>
        <v>1946.91</v>
      </c>
      <c r="G464" s="46" t="s">
        <v>3</v>
      </c>
      <c r="H464" s="32">
        <f>ROUND(Source!AC214*Source!I214, 2)+ROUND(Source!AD214*Source!I214, 2)+ROUND(Source!AF214*Source!I214, 2)</f>
        <v>3.87</v>
      </c>
      <c r="I464" s="31"/>
      <c r="J464" s="31">
        <f>IF(Source!BC214&lt;&gt; 0, Source!BC214, 1)</f>
        <v>1</v>
      </c>
      <c r="K464" s="32">
        <f>Source!O214</f>
        <v>3.87</v>
      </c>
      <c r="L464" s="33"/>
      <c r="S464">
        <f>ROUND((Source!FX214/100)*((ROUND(Source!AF214*Source!I214, 2)+ROUND(Source!AE214*Source!I214, 2))), 2)</f>
        <v>0</v>
      </c>
      <c r="T464">
        <f>Source!X214</f>
        <v>0</v>
      </c>
      <c r="U464">
        <f>ROUND((Source!FY214/100)*((ROUND(Source!AF214*Source!I214, 2)+ROUND(Source!AE214*Source!I214, 2))), 2)</f>
        <v>0</v>
      </c>
      <c r="V464">
        <f>Source!Y214</f>
        <v>0</v>
      </c>
      <c r="W464">
        <f>IF(Source!BI214&lt;=1,H464, 0)</f>
        <v>3.87</v>
      </c>
      <c r="X464">
        <f>IF(Source!BI214=2,H464, 0)</f>
        <v>0</v>
      </c>
      <c r="Y464">
        <f>IF(Source!BI214=3,H464, 0)</f>
        <v>0</v>
      </c>
      <c r="Z464">
        <f>IF(Source!BI214=4,H464, 0)</f>
        <v>0</v>
      </c>
    </row>
    <row r="465" spans="1:26" ht="28.5" x14ac:dyDescent="0.2">
      <c r="A465" s="49" t="str">
        <f>Source!E215</f>
        <v>58,2</v>
      </c>
      <c r="B465" s="50" t="str">
        <f>Source!F215</f>
        <v>04.2.03.01-0003</v>
      </c>
      <c r="C465" s="50" t="str">
        <f>Source!G215</f>
        <v>Асфальтобетон щебеночно-мастичный, вид ЩМА-20</v>
      </c>
      <c r="D465" s="36" t="str">
        <f>Source!H215</f>
        <v>т</v>
      </c>
      <c r="E465" s="37">
        <f>Source!I215</f>
        <v>17.627199999999998</v>
      </c>
      <c r="F465" s="38">
        <f>Source!AL215+Source!AM215+Source!AO215</f>
        <v>390.88</v>
      </c>
      <c r="G465" s="39" t="s">
        <v>3</v>
      </c>
      <c r="H465" s="40">
        <f>ROUND(Source!AC215*Source!I215, 2)+ROUND(Source!AD215*Source!I215, 2)+ROUND(Source!AF215*Source!I215, 2)</f>
        <v>6890.12</v>
      </c>
      <c r="I465" s="41"/>
      <c r="J465" s="41">
        <f>IF(Source!BC215&lt;&gt; 0, Source!BC215, 1)</f>
        <v>1</v>
      </c>
      <c r="K465" s="40">
        <f>Source!O215</f>
        <v>6890.12</v>
      </c>
      <c r="L465" s="42"/>
      <c r="S465">
        <f>ROUND((Source!FX215/100)*((ROUND(Source!AF215*Source!I215, 2)+ROUND(Source!AE215*Source!I215, 2))), 2)</f>
        <v>0</v>
      </c>
      <c r="T465">
        <f>Source!X215</f>
        <v>0</v>
      </c>
      <c r="U465">
        <f>ROUND((Source!FY215/100)*((ROUND(Source!AF215*Source!I215, 2)+ROUND(Source!AE215*Source!I215, 2))), 2)</f>
        <v>0</v>
      </c>
      <c r="V465">
        <f>Source!Y215</f>
        <v>0</v>
      </c>
      <c r="W465">
        <f>IF(Source!BI215&lt;=1,H465, 0)</f>
        <v>6890.12</v>
      </c>
      <c r="X465">
        <f>IF(Source!BI215=2,H465, 0)</f>
        <v>0</v>
      </c>
      <c r="Y465">
        <f>IF(Source!BI215=3,H465, 0)</f>
        <v>0</v>
      </c>
      <c r="Z465">
        <f>IF(Source!BI215=4,H465, 0)</f>
        <v>0</v>
      </c>
    </row>
    <row r="466" spans="1:26" ht="15" x14ac:dyDescent="0.25">
      <c r="G466" s="62">
        <f>H457+H458+H460+H461+H462+SUM(H464:H465)</f>
        <v>7989.0999999999995</v>
      </c>
      <c r="H466" s="62"/>
      <c r="J466" s="62">
        <f>K457+K458+K460+K461+K462+SUM(K464:K465)</f>
        <v>7989.8099999999995</v>
      </c>
      <c r="K466" s="62"/>
      <c r="L466" s="43">
        <f>Source!U213</f>
        <v>9.3199219999999983</v>
      </c>
      <c r="O466" s="21">
        <f>G466</f>
        <v>7989.0999999999995</v>
      </c>
      <c r="P466" s="21">
        <f>J466</f>
        <v>7989.8099999999995</v>
      </c>
      <c r="Q466" s="21">
        <f>L466</f>
        <v>9.3199219999999983</v>
      </c>
      <c r="W466">
        <f>IF(Source!BI213&lt;=1,H457+H458+H460+H461+H462, 0)</f>
        <v>1095.1099999999999</v>
      </c>
      <c r="X466">
        <f>IF(Source!BI213=2,H457+H458+H460+H461+H462, 0)</f>
        <v>0</v>
      </c>
      <c r="Y466">
        <f>IF(Source!BI213=3,H457+H458+H460+H461+H462, 0)</f>
        <v>0</v>
      </c>
      <c r="Z466">
        <f>IF(Source!BI213=4,H457+H458+H460+H461+H462, 0)</f>
        <v>0</v>
      </c>
    </row>
    <row r="467" spans="1:26" ht="42.75" x14ac:dyDescent="0.2">
      <c r="A467" s="47" t="str">
        <f>Source!E216</f>
        <v>59</v>
      </c>
      <c r="B467" s="48" t="str">
        <f>Source!F216</f>
        <v>27-06-021-03</v>
      </c>
      <c r="C467" s="48" t="str">
        <f>Source!G216</f>
        <v>На каждые 0,5 см изменения толщины покрытия добавлять или исключать к расценке 27-06-020-03 До 6см</v>
      </c>
      <c r="D467" s="29" t="str">
        <f>Source!H216</f>
        <v>1000 м2</v>
      </c>
      <c r="E467" s="26">
        <f>Source!I216</f>
        <v>0.184</v>
      </c>
      <c r="F467" s="30">
        <f>Source!AL216+Source!AM216+Source!AO216</f>
        <v>3.79</v>
      </c>
      <c r="G467" s="31"/>
      <c r="H467" s="32"/>
      <c r="I467" s="31" t="str">
        <f>Source!BO216</f>
        <v/>
      </c>
      <c r="J467" s="31"/>
      <c r="K467" s="32"/>
      <c r="L467" s="33"/>
      <c r="S467">
        <f>ROUND((Source!FX216/100)*((ROUND(Source!AF216*Source!I216, 2)+ROUND(Source!AE216*Source!I216, 2))), 2)</f>
        <v>0.82</v>
      </c>
      <c r="T467">
        <f>Source!X216</f>
        <v>0.82</v>
      </c>
      <c r="U467">
        <f>ROUND((Source!FY216/100)*((ROUND(Source!AF216*Source!I216, 2)+ROUND(Source!AE216*Source!I216, 2))), 2)</f>
        <v>0.52</v>
      </c>
      <c r="V467">
        <f>Source!Y216</f>
        <v>0.52</v>
      </c>
    </row>
    <row r="468" spans="1:26" x14ac:dyDescent="0.2">
      <c r="C468" s="20" t="str">
        <f>"Объем: "&amp;Source!I216&amp;"=46*"&amp;"4/"&amp;"1000"</f>
        <v>Объем: 0,184=46*4/1000</v>
      </c>
    </row>
    <row r="469" spans="1:26" ht="14.25" x14ac:dyDescent="0.2">
      <c r="A469" s="47"/>
      <c r="B469" s="48"/>
      <c r="C469" s="48" t="s">
        <v>775</v>
      </c>
      <c r="D469" s="29"/>
      <c r="E469" s="26"/>
      <c r="F469" s="30">
        <f>Source!AO216</f>
        <v>0.87</v>
      </c>
      <c r="G469" s="31" t="str">
        <f>Source!DG216</f>
        <v>*4</v>
      </c>
      <c r="H469" s="32">
        <f>ROUND(Source!AF216*Source!I216, 2)</f>
        <v>0.64</v>
      </c>
      <c r="I469" s="31"/>
      <c r="J469" s="31">
        <f>IF(Source!BA216&lt;&gt; 0, Source!BA216, 1)</f>
        <v>1</v>
      </c>
      <c r="K469" s="32">
        <f>Source!S216</f>
        <v>0.64</v>
      </c>
      <c r="L469" s="33"/>
      <c r="R469">
        <f>H469</f>
        <v>0.64</v>
      </c>
    </row>
    <row r="470" spans="1:26" ht="14.25" x14ac:dyDescent="0.2">
      <c r="A470" s="47"/>
      <c r="B470" s="48"/>
      <c r="C470" s="48" t="s">
        <v>227</v>
      </c>
      <c r="D470" s="29"/>
      <c r="E470" s="26"/>
      <c r="F470" s="30">
        <f>Source!AM216</f>
        <v>2.92</v>
      </c>
      <c r="G470" s="31" t="str">
        <f>Source!DE216</f>
        <v>*4</v>
      </c>
      <c r="H470" s="32">
        <f>ROUND(Source!AD216*Source!I216, 2)</f>
        <v>2.15</v>
      </c>
      <c r="I470" s="31"/>
      <c r="J470" s="31">
        <f>IF(Source!BB216&lt;&gt; 0, Source!BB216, 1)</f>
        <v>1</v>
      </c>
      <c r="K470" s="32">
        <f>Source!Q216</f>
        <v>2.15</v>
      </c>
      <c r="L470" s="33"/>
    </row>
    <row r="471" spans="1:26" ht="14.25" x14ac:dyDescent="0.2">
      <c r="A471" s="47"/>
      <c r="B471" s="48"/>
      <c r="C471" s="48" t="s">
        <v>776</v>
      </c>
      <c r="D471" s="29" t="s">
        <v>777</v>
      </c>
      <c r="E471" s="26">
        <f>Source!BZ216</f>
        <v>142</v>
      </c>
      <c r="F471" s="65" t="str">
        <f>CONCATENATE(" )", Source!DL216, Source!FT216, "=", Source!FX216)</f>
        <v xml:space="preserve"> )*0,9=127,8</v>
      </c>
      <c r="G471" s="66"/>
      <c r="H471" s="32">
        <f>SUM(S467:S475)</f>
        <v>0.82</v>
      </c>
      <c r="I471" s="34"/>
      <c r="J471" s="28">
        <f>Source!AT216</f>
        <v>128</v>
      </c>
      <c r="K471" s="32">
        <f>SUM(T467:T475)</f>
        <v>0.82</v>
      </c>
      <c r="L471" s="33"/>
    </row>
    <row r="472" spans="1:26" ht="14.25" x14ac:dyDescent="0.2">
      <c r="A472" s="47"/>
      <c r="B472" s="48"/>
      <c r="C472" s="48" t="s">
        <v>778</v>
      </c>
      <c r="D472" s="29" t="s">
        <v>777</v>
      </c>
      <c r="E472" s="26">
        <f>Source!CA216</f>
        <v>95</v>
      </c>
      <c r="F472" s="65" t="str">
        <f>CONCATENATE(" )", Source!DM216, Source!FU216, "=", Source!FY216)</f>
        <v xml:space="preserve"> )*0,85=80,75</v>
      </c>
      <c r="G472" s="66"/>
      <c r="H472" s="32">
        <f>SUM(U467:U475)</f>
        <v>0.52</v>
      </c>
      <c r="I472" s="34"/>
      <c r="J472" s="28">
        <f>Source!AU216</f>
        <v>81</v>
      </c>
      <c r="K472" s="32">
        <f>SUM(V467:V475)</f>
        <v>0.52</v>
      </c>
      <c r="L472" s="33"/>
    </row>
    <row r="473" spans="1:26" ht="14.25" x14ac:dyDescent="0.2">
      <c r="A473" s="47"/>
      <c r="B473" s="48"/>
      <c r="C473" s="48" t="s">
        <v>779</v>
      </c>
      <c r="D473" s="29" t="s">
        <v>780</v>
      </c>
      <c r="E473" s="26">
        <f>Source!AQ216</f>
        <v>0.09</v>
      </c>
      <c r="F473" s="30"/>
      <c r="G473" s="31" t="str">
        <f>Source!DI216</f>
        <v>*4</v>
      </c>
      <c r="H473" s="32"/>
      <c r="I473" s="31"/>
      <c r="J473" s="31"/>
      <c r="K473" s="32"/>
      <c r="L473" s="35">
        <f>Source!U216</f>
        <v>6.6239999999999993E-2</v>
      </c>
    </row>
    <row r="474" spans="1:26" ht="28.5" x14ac:dyDescent="0.2">
      <c r="A474" s="47" t="str">
        <f>Source!E217</f>
        <v>59,1</v>
      </c>
      <c r="B474" s="48" t="str">
        <f>Source!F217</f>
        <v>01.2.01.02-0001</v>
      </c>
      <c r="C474" s="48" t="str">
        <f>Source!G217</f>
        <v>Битум горячий</v>
      </c>
      <c r="D474" s="29" t="str">
        <f>Source!H217</f>
        <v>т</v>
      </c>
      <c r="E474" s="26">
        <f>Source!I217</f>
        <v>4.1219999999999998E-3</v>
      </c>
      <c r="F474" s="30">
        <f>Source!AL217+Source!AM217+Source!AO217</f>
        <v>1946.91</v>
      </c>
      <c r="G474" s="46" t="s">
        <v>797</v>
      </c>
      <c r="H474" s="32">
        <f>ROUND(Source!AC217*Source!I217, 2)+ROUND(Source!AD217*Source!I217, 2)+ROUND(Source!AF217*Source!I217, 2)</f>
        <v>8.0299999999999994</v>
      </c>
      <c r="I474" s="31"/>
      <c r="J474" s="31">
        <f>IF(Source!BC217&lt;&gt; 0, Source!BC217, 1)</f>
        <v>1</v>
      </c>
      <c r="K474" s="32">
        <f>Source!O217</f>
        <v>8.0299999999999994</v>
      </c>
      <c r="L474" s="33"/>
      <c r="S474">
        <f>ROUND((Source!FX217/100)*((ROUND(Source!AF217*Source!I217, 2)+ROUND(Source!AE217*Source!I217, 2))), 2)</f>
        <v>0</v>
      </c>
      <c r="T474">
        <f>Source!X217</f>
        <v>0</v>
      </c>
      <c r="U474">
        <f>ROUND((Source!FY217/100)*((ROUND(Source!AF217*Source!I217, 2)+ROUND(Source!AE217*Source!I217, 2))), 2)</f>
        <v>0</v>
      </c>
      <c r="V474">
        <f>Source!Y217</f>
        <v>0</v>
      </c>
      <c r="W474">
        <f>IF(Source!BI217&lt;=1,H474, 0)</f>
        <v>8.0299999999999994</v>
      </c>
      <c r="X474">
        <f>IF(Source!BI217=2,H474, 0)</f>
        <v>0</v>
      </c>
      <c r="Y474">
        <f>IF(Source!BI217=3,H474, 0)</f>
        <v>0</v>
      </c>
      <c r="Z474">
        <f>IF(Source!BI217=4,H474, 0)</f>
        <v>0</v>
      </c>
    </row>
    <row r="475" spans="1:26" ht="28.5" x14ac:dyDescent="0.2">
      <c r="A475" s="49" t="str">
        <f>Source!E218</f>
        <v>59,2</v>
      </c>
      <c r="B475" s="50" t="str">
        <f>Source!F218</f>
        <v>04.2.03.01-0003</v>
      </c>
      <c r="C475" s="50" t="str">
        <f>Source!G218</f>
        <v>Асфальтобетон щебеночно-мастичный, вид ЩМА-20</v>
      </c>
      <c r="D475" s="36" t="str">
        <f>Source!H218</f>
        <v>т</v>
      </c>
      <c r="E475" s="37">
        <f>Source!I218</f>
        <v>8.8320000000000007</v>
      </c>
      <c r="F475" s="38">
        <f>Source!AL218+Source!AM218+Source!AO218</f>
        <v>390.88</v>
      </c>
      <c r="G475" s="39" t="s">
        <v>797</v>
      </c>
      <c r="H475" s="40">
        <f>ROUND(Source!AC218*Source!I218, 2)+ROUND(Source!AD218*Source!I218, 2)+ROUND(Source!AF218*Source!I218, 2)</f>
        <v>3452.25</v>
      </c>
      <c r="I475" s="41"/>
      <c r="J475" s="41">
        <f>IF(Source!BC218&lt;&gt; 0, Source!BC218, 1)</f>
        <v>1</v>
      </c>
      <c r="K475" s="40">
        <f>Source!O218</f>
        <v>3452.25</v>
      </c>
      <c r="L475" s="42"/>
      <c r="S475">
        <f>ROUND((Source!FX218/100)*((ROUND(Source!AF218*Source!I218, 2)+ROUND(Source!AE218*Source!I218, 2))), 2)</f>
        <v>0</v>
      </c>
      <c r="T475">
        <f>Source!X218</f>
        <v>0</v>
      </c>
      <c r="U475">
        <f>ROUND((Source!FY218/100)*((ROUND(Source!AF218*Source!I218, 2)+ROUND(Source!AE218*Source!I218, 2))), 2)</f>
        <v>0</v>
      </c>
      <c r="V475">
        <f>Source!Y218</f>
        <v>0</v>
      </c>
      <c r="W475">
        <f>IF(Source!BI218&lt;=1,H475, 0)</f>
        <v>3452.25</v>
      </c>
      <c r="X475">
        <f>IF(Source!BI218=2,H475, 0)</f>
        <v>0</v>
      </c>
      <c r="Y475">
        <f>IF(Source!BI218=3,H475, 0)</f>
        <v>0</v>
      </c>
      <c r="Z475">
        <f>IF(Source!BI218=4,H475, 0)</f>
        <v>0</v>
      </c>
    </row>
    <row r="476" spans="1:26" ht="15" x14ac:dyDescent="0.25">
      <c r="G476" s="62">
        <f>H469+H470+H471+H472+SUM(H474:H475)</f>
        <v>3464.4100000000003</v>
      </c>
      <c r="H476" s="62"/>
      <c r="J476" s="62">
        <f>K469+K470+K471+K472+SUM(K474:K475)</f>
        <v>3464.4100000000003</v>
      </c>
      <c r="K476" s="62"/>
      <c r="L476" s="43">
        <f>Source!U216</f>
        <v>6.6239999999999993E-2</v>
      </c>
      <c r="O476" s="21">
        <f>G476</f>
        <v>3464.4100000000003</v>
      </c>
      <c r="P476" s="21">
        <f>J476</f>
        <v>3464.4100000000003</v>
      </c>
      <c r="Q476" s="21">
        <f>L476</f>
        <v>6.6239999999999993E-2</v>
      </c>
      <c r="W476">
        <f>IF(Source!BI216&lt;=1,H469+H470+H471+H472, 0)</f>
        <v>4.13</v>
      </c>
      <c r="X476">
        <f>IF(Source!BI216=2,H469+H470+H471+H472, 0)</f>
        <v>0</v>
      </c>
      <c r="Y476">
        <f>IF(Source!BI216=3,H469+H470+H471+H472, 0)</f>
        <v>0</v>
      </c>
      <c r="Z476">
        <f>IF(Source!BI216=4,H469+H470+H471+H472, 0)</f>
        <v>0</v>
      </c>
    </row>
    <row r="477" spans="1:26" ht="78" x14ac:dyDescent="0.2">
      <c r="A477" s="47" t="str">
        <f>Source!E219</f>
        <v>60</v>
      </c>
      <c r="B477" s="48" t="s">
        <v>798</v>
      </c>
      <c r="C477" s="48" t="str">
        <f>Source!G219</f>
        <v>Устройство покрытия толщиной 4 см из горячих асфальтобетонных смесей плотных мелкозернистых типа АБВ, плотность каменных материалов 2,5-2,9 т/м3 Второй слой.</v>
      </c>
      <c r="D477" s="29" t="str">
        <f>Source!H219</f>
        <v>1000 м2</v>
      </c>
      <c r="E477" s="26">
        <f>Source!I219</f>
        <v>0.184</v>
      </c>
      <c r="F477" s="30">
        <f>Source!AL219+Source!AM219+Source!AO219</f>
        <v>2984.49</v>
      </c>
      <c r="G477" s="31"/>
      <c r="H477" s="32"/>
      <c r="I477" s="31" t="str">
        <f>Source!BO219</f>
        <v/>
      </c>
      <c r="J477" s="31"/>
      <c r="K477" s="32"/>
      <c r="L477" s="33"/>
      <c r="S477">
        <f>ROUND((Source!FX219/100)*((ROUND(Source!AF219*Source!I219, 2)+ROUND(Source!AE219*Source!I219, 2))), 2)</f>
        <v>203.5</v>
      </c>
      <c r="T477">
        <f>Source!X219</f>
        <v>203.81</v>
      </c>
      <c r="U477">
        <f>ROUND((Source!FY219/100)*((ROUND(Source!AF219*Source!I219, 2)+ROUND(Source!AE219*Source!I219, 2))), 2)</f>
        <v>128.58000000000001</v>
      </c>
      <c r="V477">
        <f>Source!Y219</f>
        <v>128.97999999999999</v>
      </c>
    </row>
    <row r="478" spans="1:26" x14ac:dyDescent="0.2">
      <c r="C478" s="20" t="str">
        <f>"Объем: "&amp;Source!I219&amp;"=46*"&amp;"4/"&amp;"1000"</f>
        <v>Объем: 0,184=46*4/1000</v>
      </c>
    </row>
    <row r="479" spans="1:26" ht="14.25" x14ac:dyDescent="0.2">
      <c r="A479" s="47"/>
      <c r="B479" s="48"/>
      <c r="C479" s="48" t="s">
        <v>775</v>
      </c>
      <c r="D479" s="29"/>
      <c r="E479" s="26"/>
      <c r="F479" s="30">
        <f>Source!AO219</f>
        <v>368.45</v>
      </c>
      <c r="G479" s="31" t="str">
        <f>Source!DG219</f>
        <v>)*1,15)*1,15</v>
      </c>
      <c r="H479" s="32">
        <f>ROUND(Source!AF219*Source!I219, 2)</f>
        <v>89.66</v>
      </c>
      <c r="I479" s="31"/>
      <c r="J479" s="31">
        <f>IF(Source!BA219&lt;&gt; 0, Source!BA219, 1)</f>
        <v>1</v>
      </c>
      <c r="K479" s="32">
        <f>Source!S219</f>
        <v>89.66</v>
      </c>
      <c r="L479" s="33"/>
      <c r="R479">
        <f>H479</f>
        <v>89.66</v>
      </c>
    </row>
    <row r="480" spans="1:26" ht="14.25" x14ac:dyDescent="0.2">
      <c r="A480" s="47"/>
      <c r="B480" s="48"/>
      <c r="C480" s="48" t="s">
        <v>227</v>
      </c>
      <c r="D480" s="29"/>
      <c r="E480" s="26"/>
      <c r="F480" s="30">
        <f>Source!AM219</f>
        <v>2385.37</v>
      </c>
      <c r="G480" s="31" t="str">
        <f>Source!DE219</f>
        <v>)*1,15)*1,25</v>
      </c>
      <c r="H480" s="32">
        <f>ROUND(Source!AD219*Source!I219, 2)</f>
        <v>630.92999999999995</v>
      </c>
      <c r="I480" s="31"/>
      <c r="J480" s="31">
        <f>IF(Source!BB219&lt;&gt; 0, Source!BB219, 1)</f>
        <v>1</v>
      </c>
      <c r="K480" s="32">
        <f>Source!Q219</f>
        <v>630.92999999999995</v>
      </c>
      <c r="L480" s="33"/>
    </row>
    <row r="481" spans="1:26" ht="14.25" x14ac:dyDescent="0.2">
      <c r="A481" s="47"/>
      <c r="B481" s="48"/>
      <c r="C481" s="48" t="s">
        <v>782</v>
      </c>
      <c r="D481" s="29"/>
      <c r="E481" s="26"/>
      <c r="F481" s="30">
        <f>Source!AN219</f>
        <v>263.01</v>
      </c>
      <c r="G481" s="31" t="str">
        <f>Source!DF219</f>
        <v>)*1,15)*1,25</v>
      </c>
      <c r="H481" s="45">
        <f>ROUND(Source!AE219*Source!I219, 2)</f>
        <v>69.569999999999993</v>
      </c>
      <c r="I481" s="31"/>
      <c r="J481" s="31">
        <f>IF(Source!BS219&lt;&gt; 0, Source!BS219, 1)</f>
        <v>1</v>
      </c>
      <c r="K481" s="45">
        <f>Source!R219</f>
        <v>69.569999999999993</v>
      </c>
      <c r="L481" s="33"/>
      <c r="R481">
        <f>H481</f>
        <v>69.569999999999993</v>
      </c>
    </row>
    <row r="482" spans="1:26" ht="14.25" x14ac:dyDescent="0.2">
      <c r="A482" s="47"/>
      <c r="B482" s="48"/>
      <c r="C482" s="48" t="s">
        <v>781</v>
      </c>
      <c r="D482" s="29"/>
      <c r="E482" s="26"/>
      <c r="F482" s="30">
        <f>Source!AL219</f>
        <v>230.67</v>
      </c>
      <c r="G482" s="31" t="str">
        <f>Source!DD219</f>
        <v/>
      </c>
      <c r="H482" s="32">
        <f>ROUND(Source!AC219*Source!I219, 2)</f>
        <v>42.44</v>
      </c>
      <c r="I482" s="31"/>
      <c r="J482" s="31">
        <f>IF(Source!BC219&lt;&gt; 0, Source!BC219, 1)</f>
        <v>1</v>
      </c>
      <c r="K482" s="32">
        <f>Source!P219</f>
        <v>42.44</v>
      </c>
      <c r="L482" s="33"/>
    </row>
    <row r="483" spans="1:26" ht="14.25" x14ac:dyDescent="0.2">
      <c r="A483" s="47"/>
      <c r="B483" s="48"/>
      <c r="C483" s="48" t="s">
        <v>776</v>
      </c>
      <c r="D483" s="29" t="s">
        <v>777</v>
      </c>
      <c r="E483" s="26">
        <f>Source!BZ219</f>
        <v>142</v>
      </c>
      <c r="F483" s="65" t="str">
        <f>CONCATENATE(" )", Source!DL219, Source!FT219, "=", Source!FX219)</f>
        <v xml:space="preserve"> )*0,9=127,8</v>
      </c>
      <c r="G483" s="66"/>
      <c r="H483" s="32">
        <f>SUM(S477:S487)</f>
        <v>203.5</v>
      </c>
      <c r="I483" s="34"/>
      <c r="J483" s="28">
        <f>Source!AT219</f>
        <v>128</v>
      </c>
      <c r="K483" s="32">
        <f>SUM(T477:T487)</f>
        <v>203.81</v>
      </c>
      <c r="L483" s="33"/>
    </row>
    <row r="484" spans="1:26" ht="14.25" x14ac:dyDescent="0.2">
      <c r="A484" s="47"/>
      <c r="B484" s="48"/>
      <c r="C484" s="48" t="s">
        <v>778</v>
      </c>
      <c r="D484" s="29" t="s">
        <v>777</v>
      </c>
      <c r="E484" s="26">
        <f>Source!CA219</f>
        <v>95</v>
      </c>
      <c r="F484" s="65" t="str">
        <f>CONCATENATE(" )", Source!DM219, Source!FU219, "=", Source!FY219)</f>
        <v xml:space="preserve"> )*0,85=80,75</v>
      </c>
      <c r="G484" s="66"/>
      <c r="H484" s="32">
        <f>SUM(U477:U487)</f>
        <v>128.58000000000001</v>
      </c>
      <c r="I484" s="34"/>
      <c r="J484" s="28">
        <f>Source!AU219</f>
        <v>81</v>
      </c>
      <c r="K484" s="32">
        <f>SUM(V477:V487)</f>
        <v>128.97999999999999</v>
      </c>
      <c r="L484" s="33"/>
    </row>
    <row r="485" spans="1:26" ht="14.25" x14ac:dyDescent="0.2">
      <c r="A485" s="47"/>
      <c r="B485" s="48"/>
      <c r="C485" s="48" t="s">
        <v>779</v>
      </c>
      <c r="D485" s="29" t="s">
        <v>780</v>
      </c>
      <c r="E485" s="26">
        <f>Source!AQ219</f>
        <v>38.299999999999997</v>
      </c>
      <c r="F485" s="30"/>
      <c r="G485" s="31" t="str">
        <f>Source!DI219</f>
        <v>)*1,15)*1,15</v>
      </c>
      <c r="H485" s="32"/>
      <c r="I485" s="31"/>
      <c r="J485" s="31"/>
      <c r="K485" s="32"/>
      <c r="L485" s="35">
        <f>Source!U219</f>
        <v>9.3199219999999983</v>
      </c>
    </row>
    <row r="486" spans="1:26" ht="28.5" x14ac:dyDescent="0.2">
      <c r="A486" s="47" t="str">
        <f>Source!E220</f>
        <v>60,1</v>
      </c>
      <c r="B486" s="48" t="str">
        <f>Source!F220</f>
        <v>01.2.01.02-0001</v>
      </c>
      <c r="C486" s="48" t="str">
        <f>Source!G220</f>
        <v>Битум горячий</v>
      </c>
      <c r="D486" s="29" t="str">
        <f>Source!H220</f>
        <v>т</v>
      </c>
      <c r="E486" s="26">
        <f>Source!I220</f>
        <v>1.9870000000000001E-3</v>
      </c>
      <c r="F486" s="30">
        <f>Source!AL220+Source!AM220+Source!AO220</f>
        <v>1946.91</v>
      </c>
      <c r="G486" s="46" t="s">
        <v>3</v>
      </c>
      <c r="H486" s="32">
        <f>ROUND(Source!AC220*Source!I220, 2)+ROUND(Source!AD220*Source!I220, 2)+ROUND(Source!AF220*Source!I220, 2)</f>
        <v>3.87</v>
      </c>
      <c r="I486" s="31"/>
      <c r="J486" s="31">
        <f>IF(Source!BC220&lt;&gt; 0, Source!BC220, 1)</f>
        <v>1</v>
      </c>
      <c r="K486" s="32">
        <f>Source!O220</f>
        <v>3.87</v>
      </c>
      <c r="L486" s="33"/>
      <c r="S486">
        <f>ROUND((Source!FX220/100)*((ROUND(Source!AF220*Source!I220, 2)+ROUND(Source!AE220*Source!I220, 2))), 2)</f>
        <v>0</v>
      </c>
      <c r="T486">
        <f>Source!X220</f>
        <v>0</v>
      </c>
      <c r="U486">
        <f>ROUND((Source!FY220/100)*((ROUND(Source!AF220*Source!I220, 2)+ROUND(Source!AE220*Source!I220, 2))), 2)</f>
        <v>0</v>
      </c>
      <c r="V486">
        <f>Source!Y220</f>
        <v>0</v>
      </c>
      <c r="W486">
        <f>IF(Source!BI220&lt;=1,H486, 0)</f>
        <v>3.87</v>
      </c>
      <c r="X486">
        <f>IF(Source!BI220=2,H486, 0)</f>
        <v>0</v>
      </c>
      <c r="Y486">
        <f>IF(Source!BI220=3,H486, 0)</f>
        <v>0</v>
      </c>
      <c r="Z486">
        <f>IF(Source!BI220=4,H486, 0)</f>
        <v>0</v>
      </c>
    </row>
    <row r="487" spans="1:26" ht="42.75" x14ac:dyDescent="0.2">
      <c r="A487" s="49" t="str">
        <f>Source!E221</f>
        <v>60,2</v>
      </c>
      <c r="B487" s="50" t="str">
        <f>Source!F221</f>
        <v>04.2.01.04-0001</v>
      </c>
      <c r="C487" s="50" t="str">
        <f>Source!G221</f>
        <v>Смеси асфальтобетонные дорожные мелкозернистые щебеночные типа Б марки 1</v>
      </c>
      <c r="D487" s="36" t="str">
        <f>Source!H221</f>
        <v>т</v>
      </c>
      <c r="E487" s="37">
        <f>Source!I221</f>
        <v>17.7744</v>
      </c>
      <c r="F487" s="38">
        <f>Source!AL221+Source!AM221+Source!AO221</f>
        <v>460</v>
      </c>
      <c r="G487" s="39" t="s">
        <v>3</v>
      </c>
      <c r="H487" s="40">
        <f>ROUND(Source!AC221*Source!I221, 2)+ROUND(Source!AD221*Source!I221, 2)+ROUND(Source!AF221*Source!I221, 2)</f>
        <v>8176.22</v>
      </c>
      <c r="I487" s="41"/>
      <c r="J487" s="41">
        <f>IF(Source!BC221&lt;&gt; 0, Source!BC221, 1)</f>
        <v>1</v>
      </c>
      <c r="K487" s="40">
        <f>Source!O221</f>
        <v>8176.22</v>
      </c>
      <c r="L487" s="42"/>
      <c r="S487">
        <f>ROUND((Source!FX221/100)*((ROUND(Source!AF221*Source!I221, 2)+ROUND(Source!AE221*Source!I221, 2))), 2)</f>
        <v>0</v>
      </c>
      <c r="T487">
        <f>Source!X221</f>
        <v>0</v>
      </c>
      <c r="U487">
        <f>ROUND((Source!FY221/100)*((ROUND(Source!AF221*Source!I221, 2)+ROUND(Source!AE221*Source!I221, 2))), 2)</f>
        <v>0</v>
      </c>
      <c r="V487">
        <f>Source!Y221</f>
        <v>0</v>
      </c>
      <c r="W487">
        <f>IF(Source!BI221&lt;=1,H487, 0)</f>
        <v>8176.22</v>
      </c>
      <c r="X487">
        <f>IF(Source!BI221=2,H487, 0)</f>
        <v>0</v>
      </c>
      <c r="Y487">
        <f>IF(Source!BI221=3,H487, 0)</f>
        <v>0</v>
      </c>
      <c r="Z487">
        <f>IF(Source!BI221=4,H487, 0)</f>
        <v>0</v>
      </c>
    </row>
    <row r="488" spans="1:26" ht="15" x14ac:dyDescent="0.25">
      <c r="G488" s="62">
        <f>H479+H480+H482+H483+H484+SUM(H486:H487)</f>
        <v>9275.2000000000007</v>
      </c>
      <c r="H488" s="62"/>
      <c r="J488" s="62">
        <f>K479+K480+K482+K483+K484+SUM(K486:K487)</f>
        <v>9275.91</v>
      </c>
      <c r="K488" s="62"/>
      <c r="L488" s="43">
        <f>Source!U219</f>
        <v>9.3199219999999983</v>
      </c>
      <c r="O488" s="21">
        <f>G488</f>
        <v>9275.2000000000007</v>
      </c>
      <c r="P488" s="21">
        <f>J488</f>
        <v>9275.91</v>
      </c>
      <c r="Q488" s="21">
        <f>L488</f>
        <v>9.3199219999999983</v>
      </c>
      <c r="W488">
        <f>IF(Source!BI219&lt;=1,H479+H480+H482+H483+H484, 0)</f>
        <v>1095.1099999999999</v>
      </c>
      <c r="X488">
        <f>IF(Source!BI219=2,H479+H480+H482+H483+H484, 0)</f>
        <v>0</v>
      </c>
      <c r="Y488">
        <f>IF(Source!BI219=3,H479+H480+H482+H483+H484, 0)</f>
        <v>0</v>
      </c>
      <c r="Z488">
        <f>IF(Source!BI219=4,H479+H480+H482+H483+H484, 0)</f>
        <v>0</v>
      </c>
    </row>
    <row r="490" spans="1:26" ht="15" x14ac:dyDescent="0.25">
      <c r="B490" s="68" t="str">
        <f>Source!G222</f>
        <v>УСТРОЙСТВО ТРОТУАРА  46*4м</v>
      </c>
      <c r="C490" s="68"/>
      <c r="D490" s="68"/>
      <c r="E490" s="68"/>
      <c r="F490" s="68"/>
      <c r="G490" s="68"/>
      <c r="H490" s="68"/>
      <c r="I490" s="68"/>
      <c r="J490" s="68"/>
      <c r="K490" s="68"/>
    </row>
    <row r="491" spans="1:26" ht="78" x14ac:dyDescent="0.2">
      <c r="A491" s="47" t="str">
        <f>Source!E223</f>
        <v>61</v>
      </c>
      <c r="B491" s="48" t="s">
        <v>789</v>
      </c>
      <c r="C491" s="48" t="str">
        <f>Source!G223</f>
        <v>Устройство подстилающих и выравнивающих слоев оснований из песка (10см)</v>
      </c>
      <c r="D491" s="29" t="str">
        <f>Source!H223</f>
        <v>100 м3</v>
      </c>
      <c r="E491" s="26">
        <f>Source!I223</f>
        <v>0.184</v>
      </c>
      <c r="F491" s="30">
        <f>Source!AL223+Source!AM223+Source!AO223</f>
        <v>2281.9899999999998</v>
      </c>
      <c r="G491" s="31"/>
      <c r="H491" s="32"/>
      <c r="I491" s="31" t="str">
        <f>Source!BO223</f>
        <v/>
      </c>
      <c r="J491" s="31"/>
      <c r="K491" s="32"/>
      <c r="L491" s="33"/>
      <c r="S491">
        <f>ROUND((Source!FX223/100)*((ROUND(Source!AF223*Source!I223, 2)+ROUND(Source!AE223*Source!I223, 2))), 2)</f>
        <v>99.24</v>
      </c>
      <c r="T491">
        <f>Source!X223</f>
        <v>99.39</v>
      </c>
      <c r="U491">
        <f>ROUND((Source!FY223/100)*((ROUND(Source!AF223*Source!I223, 2)+ROUND(Source!AE223*Source!I223, 2))), 2)</f>
        <v>62.7</v>
      </c>
      <c r="V491">
        <f>Source!Y223</f>
        <v>62.9</v>
      </c>
    </row>
    <row r="492" spans="1:26" x14ac:dyDescent="0.2">
      <c r="C492" s="20" t="str">
        <f>"Объем: "&amp;Source!I223&amp;"=(46*"&amp;"4*"&amp;"0,1)/"&amp;"100"</f>
        <v>Объем: 0,184=(46*4*0,1)/100</v>
      </c>
    </row>
    <row r="493" spans="1:26" ht="14.25" x14ac:dyDescent="0.2">
      <c r="A493" s="47"/>
      <c r="B493" s="48"/>
      <c r="C493" s="48" t="s">
        <v>775</v>
      </c>
      <c r="D493" s="29"/>
      <c r="E493" s="26"/>
      <c r="F493" s="30">
        <f>Source!AO223</f>
        <v>126.07</v>
      </c>
      <c r="G493" s="31" t="str">
        <f>Source!DG223</f>
        <v>)*1,15)*1,15</v>
      </c>
      <c r="H493" s="32">
        <f>ROUND(Source!AF223*Source!I223, 2)</f>
        <v>30.68</v>
      </c>
      <c r="I493" s="31"/>
      <c r="J493" s="31">
        <f>IF(Source!BA223&lt;&gt; 0, Source!BA223, 1)</f>
        <v>1</v>
      </c>
      <c r="K493" s="32">
        <f>Source!S223</f>
        <v>30.68</v>
      </c>
      <c r="L493" s="33"/>
      <c r="R493">
        <f>H493</f>
        <v>30.68</v>
      </c>
    </row>
    <row r="494" spans="1:26" ht="14.25" x14ac:dyDescent="0.2">
      <c r="A494" s="47"/>
      <c r="B494" s="48"/>
      <c r="C494" s="48" t="s">
        <v>227</v>
      </c>
      <c r="D494" s="29"/>
      <c r="E494" s="26"/>
      <c r="F494" s="30">
        <f>Source!AM223</f>
        <v>2143.7199999999998</v>
      </c>
      <c r="G494" s="31" t="str">
        <f>Source!DE223</f>
        <v>)*1,15)*1,25</v>
      </c>
      <c r="H494" s="32">
        <f>ROUND(Source!AD223*Source!I223, 2)</f>
        <v>567.01</v>
      </c>
      <c r="I494" s="31"/>
      <c r="J494" s="31">
        <f>IF(Source!BB223&lt;&gt; 0, Source!BB223, 1)</f>
        <v>1</v>
      </c>
      <c r="K494" s="32">
        <f>Source!Q223</f>
        <v>567.01</v>
      </c>
      <c r="L494" s="33"/>
    </row>
    <row r="495" spans="1:26" ht="14.25" x14ac:dyDescent="0.2">
      <c r="A495" s="47"/>
      <c r="B495" s="48"/>
      <c r="C495" s="48" t="s">
        <v>782</v>
      </c>
      <c r="D495" s="29"/>
      <c r="E495" s="26"/>
      <c r="F495" s="30">
        <f>Source!AN223</f>
        <v>177.59</v>
      </c>
      <c r="G495" s="31" t="str">
        <f>Source!DF223</f>
        <v>)*1,15)*1,25</v>
      </c>
      <c r="H495" s="45">
        <f>ROUND(Source!AE223*Source!I223, 2)</f>
        <v>46.97</v>
      </c>
      <c r="I495" s="31"/>
      <c r="J495" s="31">
        <f>IF(Source!BS223&lt;&gt; 0, Source!BS223, 1)</f>
        <v>1</v>
      </c>
      <c r="K495" s="45">
        <f>Source!R223</f>
        <v>46.97</v>
      </c>
      <c r="L495" s="33"/>
      <c r="R495">
        <f>H495</f>
        <v>46.97</v>
      </c>
    </row>
    <row r="496" spans="1:26" ht="14.25" x14ac:dyDescent="0.2">
      <c r="A496" s="47"/>
      <c r="B496" s="48"/>
      <c r="C496" s="48" t="s">
        <v>781</v>
      </c>
      <c r="D496" s="29"/>
      <c r="E496" s="26"/>
      <c r="F496" s="30">
        <f>Source!AL223</f>
        <v>12.2</v>
      </c>
      <c r="G496" s="31" t="str">
        <f>Source!DD223</f>
        <v/>
      </c>
      <c r="H496" s="32">
        <f>ROUND(Source!AC223*Source!I223, 2)</f>
        <v>2.2400000000000002</v>
      </c>
      <c r="I496" s="31"/>
      <c r="J496" s="31">
        <f>IF(Source!BC223&lt;&gt; 0, Source!BC223, 1)</f>
        <v>1</v>
      </c>
      <c r="K496" s="32">
        <f>Source!P223</f>
        <v>2.2400000000000002</v>
      </c>
      <c r="L496" s="33"/>
    </row>
    <row r="497" spans="1:26" ht="14.25" x14ac:dyDescent="0.2">
      <c r="A497" s="47"/>
      <c r="B497" s="48"/>
      <c r="C497" s="48" t="s">
        <v>776</v>
      </c>
      <c r="D497" s="29" t="s">
        <v>777</v>
      </c>
      <c r="E497" s="26">
        <f>Source!BZ223</f>
        <v>142</v>
      </c>
      <c r="F497" s="65" t="str">
        <f>CONCATENATE(" )", Source!DL223, Source!FT223, "=", Source!FX223)</f>
        <v xml:space="preserve"> )*0,9=127,8</v>
      </c>
      <c r="G497" s="66"/>
      <c r="H497" s="32">
        <f>SUM(S491:S500)</f>
        <v>99.24</v>
      </c>
      <c r="I497" s="34"/>
      <c r="J497" s="28">
        <f>Source!AT223</f>
        <v>128</v>
      </c>
      <c r="K497" s="32">
        <f>SUM(T491:T500)</f>
        <v>99.39</v>
      </c>
      <c r="L497" s="33"/>
    </row>
    <row r="498" spans="1:26" ht="14.25" x14ac:dyDescent="0.2">
      <c r="A498" s="47"/>
      <c r="B498" s="48"/>
      <c r="C498" s="48" t="s">
        <v>778</v>
      </c>
      <c r="D498" s="29" t="s">
        <v>777</v>
      </c>
      <c r="E498" s="26">
        <f>Source!CA223</f>
        <v>95</v>
      </c>
      <c r="F498" s="65" t="str">
        <f>CONCATENATE(" )", Source!DM223, Source!FU223, "=", Source!FY223)</f>
        <v xml:space="preserve"> )*0,85=80,75</v>
      </c>
      <c r="G498" s="66"/>
      <c r="H498" s="32">
        <f>SUM(U491:U500)</f>
        <v>62.7</v>
      </c>
      <c r="I498" s="34"/>
      <c r="J498" s="28">
        <f>Source!AU223</f>
        <v>81</v>
      </c>
      <c r="K498" s="32">
        <f>SUM(V491:V500)</f>
        <v>62.9</v>
      </c>
      <c r="L498" s="33"/>
    </row>
    <row r="499" spans="1:26" ht="14.25" x14ac:dyDescent="0.2">
      <c r="A499" s="47"/>
      <c r="B499" s="48"/>
      <c r="C499" s="48" t="s">
        <v>779</v>
      </c>
      <c r="D499" s="29" t="s">
        <v>780</v>
      </c>
      <c r="E499" s="26">
        <f>Source!AQ223</f>
        <v>15.72</v>
      </c>
      <c r="F499" s="30"/>
      <c r="G499" s="31" t="str">
        <f>Source!DI223</f>
        <v>)*1,15)*1,15</v>
      </c>
      <c r="H499" s="32"/>
      <c r="I499" s="31"/>
      <c r="J499" s="31"/>
      <c r="K499" s="32"/>
      <c r="L499" s="35">
        <f>Source!U223</f>
        <v>3.8253047999999992</v>
      </c>
    </row>
    <row r="500" spans="1:26" ht="28.5" x14ac:dyDescent="0.2">
      <c r="A500" s="49" t="str">
        <f>Source!E224</f>
        <v>61,1</v>
      </c>
      <c r="B500" s="50" t="str">
        <f>Source!F224</f>
        <v>02.3.01.02-0015</v>
      </c>
      <c r="C500" s="50" t="str">
        <f>Source!G224</f>
        <v>Песок природный для строительных работ средний</v>
      </c>
      <c r="D500" s="36" t="str">
        <f>Source!H224</f>
        <v>м3</v>
      </c>
      <c r="E500" s="37">
        <f>Source!I224</f>
        <v>18.768000000000001</v>
      </c>
      <c r="F500" s="38">
        <f>Source!AL224+Source!AM224+Source!AO224</f>
        <v>55.26</v>
      </c>
      <c r="G500" s="39" t="s">
        <v>3</v>
      </c>
      <c r="H500" s="40">
        <f>ROUND(Source!AC224*Source!I224, 2)+ROUND(Source!AD224*Source!I224, 2)+ROUND(Source!AF224*Source!I224, 2)</f>
        <v>1037.1199999999999</v>
      </c>
      <c r="I500" s="41"/>
      <c r="J500" s="41">
        <f>IF(Source!BC224&lt;&gt; 0, Source!BC224, 1)</f>
        <v>1</v>
      </c>
      <c r="K500" s="40">
        <f>Source!O224</f>
        <v>1037.1199999999999</v>
      </c>
      <c r="L500" s="42"/>
      <c r="S500">
        <f>ROUND((Source!FX224/100)*((ROUND(Source!AF224*Source!I224, 2)+ROUND(Source!AE224*Source!I224, 2))), 2)</f>
        <v>0</v>
      </c>
      <c r="T500">
        <f>Source!X224</f>
        <v>0</v>
      </c>
      <c r="U500">
        <f>ROUND((Source!FY224/100)*((ROUND(Source!AF224*Source!I224, 2)+ROUND(Source!AE224*Source!I224, 2))), 2)</f>
        <v>0</v>
      </c>
      <c r="V500">
        <f>Source!Y224</f>
        <v>0</v>
      </c>
      <c r="W500">
        <f>IF(Source!BI224&lt;=1,H500, 0)</f>
        <v>1037.1199999999999</v>
      </c>
      <c r="X500">
        <f>IF(Source!BI224=2,H500, 0)</f>
        <v>0</v>
      </c>
      <c r="Y500">
        <f>IF(Source!BI224=3,H500, 0)</f>
        <v>0</v>
      </c>
      <c r="Z500">
        <f>IF(Source!BI224=4,H500, 0)</f>
        <v>0</v>
      </c>
    </row>
    <row r="501" spans="1:26" ht="15" x14ac:dyDescent="0.25">
      <c r="G501" s="62">
        <f>H493+H494+H496+H497+H498+SUM(H500:H500)</f>
        <v>1798.9899999999998</v>
      </c>
      <c r="H501" s="62"/>
      <c r="J501" s="62">
        <f>K493+K494+K496+K497+K498+SUM(K500:K500)</f>
        <v>1799.3399999999997</v>
      </c>
      <c r="K501" s="62"/>
      <c r="L501" s="43">
        <f>Source!U223</f>
        <v>3.8253047999999992</v>
      </c>
      <c r="O501" s="21">
        <f>G501</f>
        <v>1798.9899999999998</v>
      </c>
      <c r="P501" s="21">
        <f>J501</f>
        <v>1799.3399999999997</v>
      </c>
      <c r="Q501" s="21">
        <f>L501</f>
        <v>3.8253047999999992</v>
      </c>
      <c r="W501">
        <f>IF(Source!BI223&lt;=1,H493+H494+H496+H497+H498, 0)</f>
        <v>761.87</v>
      </c>
      <c r="X501">
        <f>IF(Source!BI223=2,H493+H494+H496+H497+H498, 0)</f>
        <v>0</v>
      </c>
      <c r="Y501">
        <f>IF(Source!BI223=3,H493+H494+H496+H497+H498, 0)</f>
        <v>0</v>
      </c>
      <c r="Z501">
        <f>IF(Source!BI223=4,H493+H494+H496+H497+H498, 0)</f>
        <v>0</v>
      </c>
    </row>
    <row r="502" spans="1:26" ht="78" x14ac:dyDescent="0.2">
      <c r="A502" s="47" t="str">
        <f>Source!E225</f>
        <v>62</v>
      </c>
      <c r="B502" s="48" t="s">
        <v>790</v>
      </c>
      <c r="C502" s="48" t="str">
        <f>Source!G225</f>
        <v>Устройство оснований толщиной 12 см под тротуары из кирпичного или известнякового щебня</v>
      </c>
      <c r="D502" s="29" t="str">
        <f>Source!H225</f>
        <v>100 м2</v>
      </c>
      <c r="E502" s="26">
        <f>Source!I225</f>
        <v>1.84</v>
      </c>
      <c r="F502" s="30">
        <f>Source!AL225+Source!AM225+Source!AO225</f>
        <v>500.76</v>
      </c>
      <c r="G502" s="31"/>
      <c r="H502" s="32"/>
      <c r="I502" s="31" t="str">
        <f>Source!BO225</f>
        <v/>
      </c>
      <c r="J502" s="31"/>
      <c r="K502" s="32"/>
      <c r="L502" s="33"/>
      <c r="S502">
        <f>ROUND((Source!FX225/100)*((ROUND(Source!AF225*Source!I225, 2)+ROUND(Source!AE225*Source!I225, 2))), 2)</f>
        <v>808.68</v>
      </c>
      <c r="T502">
        <f>Source!X225</f>
        <v>809.95</v>
      </c>
      <c r="U502">
        <f>ROUND((Source!FY225/100)*((ROUND(Source!AF225*Source!I225, 2)+ROUND(Source!AE225*Source!I225, 2))), 2)</f>
        <v>510.96</v>
      </c>
      <c r="V502">
        <f>Source!Y225</f>
        <v>512.54</v>
      </c>
    </row>
    <row r="503" spans="1:26" x14ac:dyDescent="0.2">
      <c r="C503" s="20" t="str">
        <f>"Объем: "&amp;Source!I225&amp;"=46*"&amp;"4/"&amp;"100"</f>
        <v>Объем: 1,84=46*4/100</v>
      </c>
    </row>
    <row r="504" spans="1:26" ht="14.25" x14ac:dyDescent="0.2">
      <c r="A504" s="47"/>
      <c r="B504" s="48"/>
      <c r="C504" s="48" t="s">
        <v>775</v>
      </c>
      <c r="D504" s="29"/>
      <c r="E504" s="26"/>
      <c r="F504" s="30">
        <f>Source!AO225</f>
        <v>221.99</v>
      </c>
      <c r="G504" s="31" t="str">
        <f>Source!DG225</f>
        <v>)*1,15)*1,15</v>
      </c>
      <c r="H504" s="32">
        <f>ROUND(Source!AF225*Source!I225, 2)</f>
        <v>540.19000000000005</v>
      </c>
      <c r="I504" s="31"/>
      <c r="J504" s="31">
        <f>IF(Source!BA225&lt;&gt; 0, Source!BA225, 1)</f>
        <v>1</v>
      </c>
      <c r="K504" s="32">
        <f>Source!S225</f>
        <v>540.19000000000005</v>
      </c>
      <c r="L504" s="33"/>
      <c r="R504">
        <f>H504</f>
        <v>540.19000000000005</v>
      </c>
    </row>
    <row r="505" spans="1:26" ht="14.25" x14ac:dyDescent="0.2">
      <c r="A505" s="47"/>
      <c r="B505" s="48"/>
      <c r="C505" s="48" t="s">
        <v>227</v>
      </c>
      <c r="D505" s="29"/>
      <c r="E505" s="26"/>
      <c r="F505" s="30">
        <f>Source!AM225</f>
        <v>273.89</v>
      </c>
      <c r="G505" s="31" t="str">
        <f>Source!DE225</f>
        <v>)*1,15)*1,25</v>
      </c>
      <c r="H505" s="32">
        <f>ROUND(Source!AD225*Source!I225, 2)</f>
        <v>724.44</v>
      </c>
      <c r="I505" s="31"/>
      <c r="J505" s="31">
        <f>IF(Source!BB225&lt;&gt; 0, Source!BB225, 1)</f>
        <v>1</v>
      </c>
      <c r="K505" s="32">
        <f>Source!Q225</f>
        <v>724.44</v>
      </c>
      <c r="L505" s="33"/>
    </row>
    <row r="506" spans="1:26" ht="14.25" x14ac:dyDescent="0.2">
      <c r="A506" s="47"/>
      <c r="B506" s="48"/>
      <c r="C506" s="48" t="s">
        <v>782</v>
      </c>
      <c r="D506" s="29"/>
      <c r="E506" s="26"/>
      <c r="F506" s="30">
        <f>Source!AN225</f>
        <v>35</v>
      </c>
      <c r="G506" s="31" t="str">
        <f>Source!DF225</f>
        <v>)*1,15)*1,25</v>
      </c>
      <c r="H506" s="45">
        <f>ROUND(Source!AE225*Source!I225, 2)</f>
        <v>92.58</v>
      </c>
      <c r="I506" s="31"/>
      <c r="J506" s="31">
        <f>IF(Source!BS225&lt;&gt; 0, Source!BS225, 1)</f>
        <v>1</v>
      </c>
      <c r="K506" s="45">
        <f>Source!R225</f>
        <v>92.58</v>
      </c>
      <c r="L506" s="33"/>
      <c r="R506">
        <f>H506</f>
        <v>92.58</v>
      </c>
    </row>
    <row r="507" spans="1:26" ht="14.25" x14ac:dyDescent="0.2">
      <c r="A507" s="47"/>
      <c r="B507" s="48"/>
      <c r="C507" s="48" t="s">
        <v>781</v>
      </c>
      <c r="D507" s="29"/>
      <c r="E507" s="26"/>
      <c r="F507" s="30">
        <f>Source!AL225</f>
        <v>4.88</v>
      </c>
      <c r="G507" s="31" t="str">
        <f>Source!DD225</f>
        <v/>
      </c>
      <c r="H507" s="32">
        <f>ROUND(Source!AC225*Source!I225, 2)</f>
        <v>8.98</v>
      </c>
      <c r="I507" s="31"/>
      <c r="J507" s="31">
        <f>IF(Source!BC225&lt;&gt; 0, Source!BC225, 1)</f>
        <v>1</v>
      </c>
      <c r="K507" s="32">
        <f>Source!P225</f>
        <v>8.98</v>
      </c>
      <c r="L507" s="33"/>
    </row>
    <row r="508" spans="1:26" ht="14.25" x14ac:dyDescent="0.2">
      <c r="A508" s="47"/>
      <c r="B508" s="48"/>
      <c r="C508" s="48" t="s">
        <v>776</v>
      </c>
      <c r="D508" s="29" t="s">
        <v>777</v>
      </c>
      <c r="E508" s="26">
        <f>Source!BZ225</f>
        <v>142</v>
      </c>
      <c r="F508" s="65" t="str">
        <f>CONCATENATE(" )", Source!DL225, Source!FT225, "=", Source!FX225)</f>
        <v xml:space="preserve"> )*0,9=127,8</v>
      </c>
      <c r="G508" s="66"/>
      <c r="H508" s="32">
        <f>SUM(S502:S511)</f>
        <v>808.68</v>
      </c>
      <c r="I508" s="34"/>
      <c r="J508" s="28">
        <f>Source!AT225</f>
        <v>128</v>
      </c>
      <c r="K508" s="32">
        <f>SUM(T502:T511)</f>
        <v>809.95</v>
      </c>
      <c r="L508" s="33"/>
    </row>
    <row r="509" spans="1:26" ht="14.25" x14ac:dyDescent="0.2">
      <c r="A509" s="47"/>
      <c r="B509" s="48"/>
      <c r="C509" s="48" t="s">
        <v>778</v>
      </c>
      <c r="D509" s="29" t="s">
        <v>777</v>
      </c>
      <c r="E509" s="26">
        <f>Source!CA225</f>
        <v>95</v>
      </c>
      <c r="F509" s="65" t="str">
        <f>CONCATENATE(" )", Source!DM225, Source!FU225, "=", Source!FY225)</f>
        <v xml:space="preserve"> )*0,85=80,75</v>
      </c>
      <c r="G509" s="66"/>
      <c r="H509" s="32">
        <f>SUM(U502:U511)</f>
        <v>510.96</v>
      </c>
      <c r="I509" s="34"/>
      <c r="J509" s="28">
        <f>Source!AU225</f>
        <v>81</v>
      </c>
      <c r="K509" s="32">
        <f>SUM(V502:V511)</f>
        <v>512.54</v>
      </c>
      <c r="L509" s="33"/>
    </row>
    <row r="510" spans="1:26" ht="14.25" x14ac:dyDescent="0.2">
      <c r="A510" s="47"/>
      <c r="B510" s="48"/>
      <c r="C510" s="48" t="s">
        <v>779</v>
      </c>
      <c r="D510" s="29" t="s">
        <v>780</v>
      </c>
      <c r="E510" s="26">
        <f>Source!AQ225</f>
        <v>26.24</v>
      </c>
      <c r="F510" s="30"/>
      <c r="G510" s="31" t="str">
        <f>Source!DI225</f>
        <v>)*1,15)*1,15</v>
      </c>
      <c r="H510" s="32"/>
      <c r="I510" s="31"/>
      <c r="J510" s="31"/>
      <c r="K510" s="32"/>
      <c r="L510" s="35">
        <f>Source!U225</f>
        <v>63.852415999999984</v>
      </c>
    </row>
    <row r="511" spans="1:26" ht="28.5" x14ac:dyDescent="0.2">
      <c r="A511" s="49" t="str">
        <f>Source!E226</f>
        <v>62,1</v>
      </c>
      <c r="B511" s="50" t="str">
        <f>Source!F226</f>
        <v>02.2.05.04-0046</v>
      </c>
      <c r="C511" s="50" t="str">
        <f>Source!G226</f>
        <v>Щебень из гравия для строительных работ марка 600, фракция 10-20 мм</v>
      </c>
      <c r="D511" s="36" t="str">
        <f>Source!H226</f>
        <v>м3</v>
      </c>
      <c r="E511" s="37">
        <f>Source!I226</f>
        <v>32.015999999999998</v>
      </c>
      <c r="F511" s="38">
        <f>Source!AL226+Source!AM226+Source!AO226</f>
        <v>139.63</v>
      </c>
      <c r="G511" s="39" t="s">
        <v>3</v>
      </c>
      <c r="H511" s="40">
        <f>ROUND(Source!AC226*Source!I226, 2)+ROUND(Source!AD226*Source!I226, 2)+ROUND(Source!AF226*Source!I226, 2)</f>
        <v>4470.3900000000003</v>
      </c>
      <c r="I511" s="41"/>
      <c r="J511" s="41">
        <f>IF(Source!BC226&lt;&gt; 0, Source!BC226, 1)</f>
        <v>1</v>
      </c>
      <c r="K511" s="40">
        <f>Source!O226</f>
        <v>4470.3900000000003</v>
      </c>
      <c r="L511" s="42"/>
      <c r="S511">
        <f>ROUND((Source!FX226/100)*((ROUND(Source!AF226*Source!I226, 2)+ROUND(Source!AE226*Source!I226, 2))), 2)</f>
        <v>0</v>
      </c>
      <c r="T511">
        <f>Source!X226</f>
        <v>0</v>
      </c>
      <c r="U511">
        <f>ROUND((Source!FY226/100)*((ROUND(Source!AF226*Source!I226, 2)+ROUND(Source!AE226*Source!I226, 2))), 2)</f>
        <v>0</v>
      </c>
      <c r="V511">
        <f>Source!Y226</f>
        <v>0</v>
      </c>
      <c r="W511">
        <f>IF(Source!BI226&lt;=1,H511, 0)</f>
        <v>4470.3900000000003</v>
      </c>
      <c r="X511">
        <f>IF(Source!BI226=2,H511, 0)</f>
        <v>0</v>
      </c>
      <c r="Y511">
        <f>IF(Source!BI226=3,H511, 0)</f>
        <v>0</v>
      </c>
      <c r="Z511">
        <f>IF(Source!BI226=4,H511, 0)</f>
        <v>0</v>
      </c>
    </row>
    <row r="512" spans="1:26" ht="15" x14ac:dyDescent="0.25">
      <c r="G512" s="62">
        <f>H504+H505+H507+H508+H509+SUM(H511:H511)</f>
        <v>7063.64</v>
      </c>
      <c r="H512" s="62"/>
      <c r="J512" s="62">
        <f>K504+K505+K507+K508+K509+SUM(K511:K511)</f>
        <v>7066.4900000000007</v>
      </c>
      <c r="K512" s="62"/>
      <c r="L512" s="43">
        <f>Source!U225</f>
        <v>63.852415999999984</v>
      </c>
      <c r="O512" s="21">
        <f>G512</f>
        <v>7063.64</v>
      </c>
      <c r="P512" s="21">
        <f>J512</f>
        <v>7066.4900000000007</v>
      </c>
      <c r="Q512" s="21">
        <f>L512</f>
        <v>63.852415999999984</v>
      </c>
      <c r="W512">
        <f>IF(Source!BI225&lt;=1,H504+H505+H507+H508+H509, 0)</f>
        <v>2593.25</v>
      </c>
      <c r="X512">
        <f>IF(Source!BI225=2,H504+H505+H507+H508+H509, 0)</f>
        <v>0</v>
      </c>
      <c r="Y512">
        <f>IF(Source!BI225=3,H504+H505+H507+H508+H509, 0)</f>
        <v>0</v>
      </c>
      <c r="Z512">
        <f>IF(Source!BI225=4,H504+H505+H507+H508+H509, 0)</f>
        <v>0</v>
      </c>
    </row>
    <row r="513" spans="1:26" ht="78" x14ac:dyDescent="0.2">
      <c r="A513" s="47" t="str">
        <f>Source!E227</f>
        <v>63</v>
      </c>
      <c r="B513" s="48" t="s">
        <v>791</v>
      </c>
      <c r="C513" s="48" t="str">
        <f>Source!G227</f>
        <v>На каждый 1 см изменения толщины оснований добавлять или исключать к расценке 27-07-002-01 (до 15см)</v>
      </c>
      <c r="D513" s="29" t="str">
        <f>Source!H227</f>
        <v>100 м2</v>
      </c>
      <c r="E513" s="26">
        <f>Source!I227</f>
        <v>1.84</v>
      </c>
      <c r="F513" s="30">
        <f>Source!AL227+Source!AM227+Source!AO227</f>
        <v>13.57</v>
      </c>
      <c r="G513" s="31"/>
      <c r="H513" s="32"/>
      <c r="I513" s="31" t="str">
        <f>Source!BO227</f>
        <v/>
      </c>
      <c r="J513" s="31"/>
      <c r="K513" s="32"/>
      <c r="L513" s="33"/>
      <c r="S513">
        <f>ROUND((Source!FX227/100)*((ROUND(Source!AF227*Source!I227, 2)+ROUND(Source!AE227*Source!I227, 2))), 2)</f>
        <v>52.87</v>
      </c>
      <c r="T513">
        <f>Source!X227</f>
        <v>52.95</v>
      </c>
      <c r="U513">
        <f>ROUND((Source!FY227/100)*((ROUND(Source!AF227*Source!I227, 2)+ROUND(Source!AE227*Source!I227, 2))), 2)</f>
        <v>33.409999999999997</v>
      </c>
      <c r="V513">
        <f>Source!Y227</f>
        <v>33.51</v>
      </c>
    </row>
    <row r="514" spans="1:26" x14ac:dyDescent="0.2">
      <c r="C514" s="20" t="str">
        <f>"Объем: "&amp;Source!I227&amp;"=184/"&amp;"100"</f>
        <v>Объем: 1,84=184/100</v>
      </c>
    </row>
    <row r="515" spans="1:26" ht="28.5" x14ac:dyDescent="0.2">
      <c r="A515" s="47"/>
      <c r="B515" s="48"/>
      <c r="C515" s="48" t="s">
        <v>775</v>
      </c>
      <c r="D515" s="29"/>
      <c r="E515" s="26"/>
      <c r="F515" s="30">
        <f>Source!AO227</f>
        <v>4.57</v>
      </c>
      <c r="G515" s="31" t="str">
        <f>Source!DG227</f>
        <v>*3)*1,15)*1,15</v>
      </c>
      <c r="H515" s="32">
        <f>ROUND(Source!AF227*Source!I227, 2)</f>
        <v>33.36</v>
      </c>
      <c r="I515" s="31"/>
      <c r="J515" s="31">
        <f>IF(Source!BA227&lt;&gt; 0, Source!BA227, 1)</f>
        <v>1</v>
      </c>
      <c r="K515" s="32">
        <f>Source!S227</f>
        <v>33.36</v>
      </c>
      <c r="L515" s="33"/>
      <c r="R515">
        <f>H515</f>
        <v>33.36</v>
      </c>
    </row>
    <row r="516" spans="1:26" ht="28.5" x14ac:dyDescent="0.2">
      <c r="A516" s="47"/>
      <c r="B516" s="48"/>
      <c r="C516" s="48" t="s">
        <v>227</v>
      </c>
      <c r="D516" s="29"/>
      <c r="E516" s="26"/>
      <c r="F516" s="30">
        <f>Source!AM227</f>
        <v>9</v>
      </c>
      <c r="G516" s="31" t="str">
        <f>Source!DE227</f>
        <v>*3)*1,15)*1,25</v>
      </c>
      <c r="H516" s="32">
        <f>ROUND(Source!AD227*Source!I227, 2)</f>
        <v>71.42</v>
      </c>
      <c r="I516" s="31"/>
      <c r="J516" s="31">
        <f>IF(Source!BB227&lt;&gt; 0, Source!BB227, 1)</f>
        <v>1</v>
      </c>
      <c r="K516" s="32">
        <f>Source!Q227</f>
        <v>71.42</v>
      </c>
      <c r="L516" s="33"/>
    </row>
    <row r="517" spans="1:26" ht="28.5" x14ac:dyDescent="0.2">
      <c r="A517" s="47"/>
      <c r="B517" s="48"/>
      <c r="C517" s="48" t="s">
        <v>782</v>
      </c>
      <c r="D517" s="29"/>
      <c r="E517" s="26"/>
      <c r="F517" s="30">
        <f>Source!AN227</f>
        <v>1.01</v>
      </c>
      <c r="G517" s="31" t="str">
        <f>Source!DF227</f>
        <v>*3)*1,15)*1,25</v>
      </c>
      <c r="H517" s="45">
        <f>ROUND(Source!AE227*Source!I227, 2)</f>
        <v>8.01</v>
      </c>
      <c r="I517" s="31"/>
      <c r="J517" s="31">
        <f>IF(Source!BS227&lt;&gt; 0, Source!BS227, 1)</f>
        <v>1</v>
      </c>
      <c r="K517" s="45">
        <f>Source!R227</f>
        <v>8.01</v>
      </c>
      <c r="L517" s="33"/>
      <c r="R517">
        <f>H517</f>
        <v>8.01</v>
      </c>
    </row>
    <row r="518" spans="1:26" ht="14.25" x14ac:dyDescent="0.2">
      <c r="A518" s="47"/>
      <c r="B518" s="48"/>
      <c r="C518" s="48" t="s">
        <v>776</v>
      </c>
      <c r="D518" s="29" t="s">
        <v>777</v>
      </c>
      <c r="E518" s="26">
        <f>Source!BZ227</f>
        <v>142</v>
      </c>
      <c r="F518" s="65" t="str">
        <f>CONCATENATE(" )", Source!DL227, Source!FT227, "=", Source!FX227)</f>
        <v xml:space="preserve"> )*0,9=127,8</v>
      </c>
      <c r="G518" s="66"/>
      <c r="H518" s="32">
        <f>SUM(S513:S521)</f>
        <v>52.87</v>
      </c>
      <c r="I518" s="34"/>
      <c r="J518" s="28">
        <f>Source!AT227</f>
        <v>128</v>
      </c>
      <c r="K518" s="32">
        <f>SUM(T513:T521)</f>
        <v>52.95</v>
      </c>
      <c r="L518" s="33"/>
    </row>
    <row r="519" spans="1:26" ht="14.25" x14ac:dyDescent="0.2">
      <c r="A519" s="47"/>
      <c r="B519" s="48"/>
      <c r="C519" s="48" t="s">
        <v>778</v>
      </c>
      <c r="D519" s="29" t="s">
        <v>777</v>
      </c>
      <c r="E519" s="26">
        <f>Source!CA227</f>
        <v>95</v>
      </c>
      <c r="F519" s="65" t="str">
        <f>CONCATENATE(" )", Source!DM227, Source!FU227, "=", Source!FY227)</f>
        <v xml:space="preserve"> )*0,85=80,75</v>
      </c>
      <c r="G519" s="66"/>
      <c r="H519" s="32">
        <f>SUM(U513:U521)</f>
        <v>33.409999999999997</v>
      </c>
      <c r="I519" s="34"/>
      <c r="J519" s="28">
        <f>Source!AU227</f>
        <v>81</v>
      </c>
      <c r="K519" s="32">
        <f>SUM(V513:V521)</f>
        <v>33.51</v>
      </c>
      <c r="L519" s="33"/>
    </row>
    <row r="520" spans="1:26" ht="28.5" x14ac:dyDescent="0.2">
      <c r="A520" s="47"/>
      <c r="B520" s="48"/>
      <c r="C520" s="48" t="s">
        <v>779</v>
      </c>
      <c r="D520" s="29" t="s">
        <v>780</v>
      </c>
      <c r="E520" s="26">
        <f>Source!AQ227</f>
        <v>0.54</v>
      </c>
      <c r="F520" s="30"/>
      <c r="G520" s="31" t="str">
        <f>Source!DI227</f>
        <v>*3)*1,15)*1,15</v>
      </c>
      <c r="H520" s="32"/>
      <c r="I520" s="31"/>
      <c r="J520" s="31"/>
      <c r="K520" s="32"/>
      <c r="L520" s="35">
        <f>Source!U227</f>
        <v>3.9421079999999997</v>
      </c>
    </row>
    <row r="521" spans="1:26" ht="28.5" x14ac:dyDescent="0.2">
      <c r="A521" s="49" t="str">
        <f>Source!E228</f>
        <v>63,1</v>
      </c>
      <c r="B521" s="50" t="str">
        <f>Source!F228</f>
        <v>02.2.05.04-0046</v>
      </c>
      <c r="C521" s="50" t="str">
        <f>Source!G228</f>
        <v>Щебень из гравия для строительных работ марка 600, фракция 10-20 мм</v>
      </c>
      <c r="D521" s="36" t="str">
        <f>Source!H228</f>
        <v>м3</v>
      </c>
      <c r="E521" s="37">
        <f>Source!I228</f>
        <v>24.84</v>
      </c>
      <c r="F521" s="38">
        <f>Source!AL228+Source!AM228+Source!AO228</f>
        <v>139.63</v>
      </c>
      <c r="G521" s="39" t="s">
        <v>792</v>
      </c>
      <c r="H521" s="40">
        <f>ROUND(Source!AC228*Source!I228, 2)+ROUND(Source!AD228*Source!I228, 2)+ROUND(Source!AF228*Source!I228, 2)</f>
        <v>3468.41</v>
      </c>
      <c r="I521" s="41"/>
      <c r="J521" s="41">
        <f>IF(Source!BC228&lt;&gt; 0, Source!BC228, 1)</f>
        <v>1</v>
      </c>
      <c r="K521" s="40">
        <f>Source!O228</f>
        <v>3468.41</v>
      </c>
      <c r="L521" s="42"/>
      <c r="S521">
        <f>ROUND((Source!FX228/100)*((ROUND(Source!AF228*Source!I228, 2)+ROUND(Source!AE228*Source!I228, 2))), 2)</f>
        <v>0</v>
      </c>
      <c r="T521">
        <f>Source!X228</f>
        <v>0</v>
      </c>
      <c r="U521">
        <f>ROUND((Source!FY228/100)*((ROUND(Source!AF228*Source!I228, 2)+ROUND(Source!AE228*Source!I228, 2))), 2)</f>
        <v>0</v>
      </c>
      <c r="V521">
        <f>Source!Y228</f>
        <v>0</v>
      </c>
      <c r="W521">
        <f>IF(Source!BI228&lt;=1,H521, 0)</f>
        <v>3468.41</v>
      </c>
      <c r="X521">
        <f>IF(Source!BI228=2,H521, 0)</f>
        <v>0</v>
      </c>
      <c r="Y521">
        <f>IF(Source!BI228=3,H521, 0)</f>
        <v>0</v>
      </c>
      <c r="Z521">
        <f>IF(Source!BI228=4,H521, 0)</f>
        <v>0</v>
      </c>
    </row>
    <row r="522" spans="1:26" ht="15" x14ac:dyDescent="0.25">
      <c r="G522" s="62">
        <f>H515+H516+H518+H519+SUM(H521:H521)</f>
        <v>3659.47</v>
      </c>
      <c r="H522" s="62"/>
      <c r="J522" s="62">
        <f>K515+K516+K518+K519+SUM(K521:K521)</f>
        <v>3659.6499999999996</v>
      </c>
      <c r="K522" s="62"/>
      <c r="L522" s="43">
        <f>Source!U227</f>
        <v>3.9421079999999997</v>
      </c>
      <c r="O522" s="21">
        <f>G522</f>
        <v>3659.47</v>
      </c>
      <c r="P522" s="21">
        <f>J522</f>
        <v>3659.6499999999996</v>
      </c>
      <c r="Q522" s="21">
        <f>L522</f>
        <v>3.9421079999999997</v>
      </c>
      <c r="W522">
        <f>IF(Source!BI227&lt;=1,H515+H516+H518+H519, 0)</f>
        <v>191.06</v>
      </c>
      <c r="X522">
        <f>IF(Source!BI227=2,H515+H516+H518+H519, 0)</f>
        <v>0</v>
      </c>
      <c r="Y522">
        <f>IF(Source!BI227=3,H515+H516+H518+H519, 0)</f>
        <v>0</v>
      </c>
      <c r="Z522">
        <f>IF(Source!BI227=4,H515+H516+H518+H519, 0)</f>
        <v>0</v>
      </c>
    </row>
    <row r="523" spans="1:26" ht="78" x14ac:dyDescent="0.2">
      <c r="A523" s="47" t="str">
        <f>Source!E229</f>
        <v>64</v>
      </c>
      <c r="B523" s="48" t="s">
        <v>793</v>
      </c>
      <c r="C523" s="48" t="str">
        <f>Source!G229</f>
        <v>Устройство асфальтобетонных покрытий дорожек и тротуаров однослойных из литой мелкозернистой асфальто-бетонной смеси толщиной 3 см</v>
      </c>
      <c r="D523" s="29" t="str">
        <f>Source!H229</f>
        <v>100 м2</v>
      </c>
      <c r="E523" s="26">
        <f>Source!I229</f>
        <v>1.84</v>
      </c>
      <c r="F523" s="30">
        <f>Source!AL229+Source!AM229+Source!AO229</f>
        <v>299.11</v>
      </c>
      <c r="G523" s="31"/>
      <c r="H523" s="32"/>
      <c r="I523" s="31" t="str">
        <f>Source!BO229</f>
        <v/>
      </c>
      <c r="J523" s="31"/>
      <c r="K523" s="32"/>
      <c r="L523" s="33"/>
      <c r="S523">
        <f>ROUND((Source!FX229/100)*((ROUND(Source!AF229*Source!I229, 2)+ROUND(Source!AE229*Source!I229, 2))), 2)</f>
        <v>439.53</v>
      </c>
      <c r="T523">
        <f>Source!X229</f>
        <v>440.22</v>
      </c>
      <c r="U523">
        <f>ROUND((Source!FY229/100)*((ROUND(Source!AF229*Source!I229, 2)+ROUND(Source!AE229*Source!I229, 2))), 2)</f>
        <v>277.72000000000003</v>
      </c>
      <c r="V523">
        <f>Source!Y229</f>
        <v>278.58</v>
      </c>
    </row>
    <row r="524" spans="1:26" x14ac:dyDescent="0.2">
      <c r="C524" s="20" t="str">
        <f>"Объем: "&amp;Source!I229&amp;"=184/"&amp;"100"</f>
        <v>Объем: 1,84=184/100</v>
      </c>
    </row>
    <row r="525" spans="1:26" ht="14.25" x14ac:dyDescent="0.2">
      <c r="A525" s="47"/>
      <c r="B525" s="48"/>
      <c r="C525" s="48" t="s">
        <v>775</v>
      </c>
      <c r="D525" s="29"/>
      <c r="E525" s="26"/>
      <c r="F525" s="30">
        <f>Source!AO229</f>
        <v>140.46</v>
      </c>
      <c r="G525" s="31" t="str">
        <f>Source!DG229</f>
        <v>)*1,15)*1,15</v>
      </c>
      <c r="H525" s="32">
        <f>ROUND(Source!AF229*Source!I229, 2)</f>
        <v>341.8</v>
      </c>
      <c r="I525" s="31"/>
      <c r="J525" s="31">
        <f>IF(Source!BA229&lt;&gt; 0, Source!BA229, 1)</f>
        <v>1</v>
      </c>
      <c r="K525" s="32">
        <f>Source!S229</f>
        <v>341.8</v>
      </c>
      <c r="L525" s="33"/>
      <c r="R525">
        <f>H525</f>
        <v>341.8</v>
      </c>
    </row>
    <row r="526" spans="1:26" ht="14.25" x14ac:dyDescent="0.2">
      <c r="A526" s="47"/>
      <c r="B526" s="48"/>
      <c r="C526" s="48" t="s">
        <v>227</v>
      </c>
      <c r="D526" s="29"/>
      <c r="E526" s="26"/>
      <c r="F526" s="30">
        <f>Source!AM229</f>
        <v>57.25</v>
      </c>
      <c r="G526" s="31" t="str">
        <f>Source!DE229</f>
        <v>)*1,15)*1,25</v>
      </c>
      <c r="H526" s="32">
        <f>ROUND(Source!AD229*Source!I229, 2)</f>
        <v>151.43</v>
      </c>
      <c r="I526" s="31"/>
      <c r="J526" s="31">
        <f>IF(Source!BB229&lt;&gt; 0, Source!BB229, 1)</f>
        <v>1</v>
      </c>
      <c r="K526" s="32">
        <f>Source!Q229</f>
        <v>151.43</v>
      </c>
      <c r="L526" s="33"/>
    </row>
    <row r="527" spans="1:26" ht="14.25" x14ac:dyDescent="0.2">
      <c r="A527" s="47"/>
      <c r="B527" s="48"/>
      <c r="C527" s="48" t="s">
        <v>782</v>
      </c>
      <c r="D527" s="29"/>
      <c r="E527" s="26"/>
      <c r="F527" s="30">
        <f>Source!AN229</f>
        <v>0.8</v>
      </c>
      <c r="G527" s="31" t="str">
        <f>Source!DF229</f>
        <v>)*1,15)*1,25</v>
      </c>
      <c r="H527" s="45">
        <f>ROUND(Source!AE229*Source!I229, 2)</f>
        <v>2.12</v>
      </c>
      <c r="I527" s="31"/>
      <c r="J527" s="31">
        <f>IF(Source!BS229&lt;&gt; 0, Source!BS229, 1)</f>
        <v>1</v>
      </c>
      <c r="K527" s="45">
        <f>Source!R229</f>
        <v>2.12</v>
      </c>
      <c r="L527" s="33"/>
      <c r="R527">
        <f>H527</f>
        <v>2.12</v>
      </c>
    </row>
    <row r="528" spans="1:26" ht="14.25" x14ac:dyDescent="0.2">
      <c r="A528" s="47"/>
      <c r="B528" s="48"/>
      <c r="C528" s="48" t="s">
        <v>781</v>
      </c>
      <c r="D528" s="29"/>
      <c r="E528" s="26"/>
      <c r="F528" s="30">
        <f>Source!AL229</f>
        <v>101.4</v>
      </c>
      <c r="G528" s="31" t="str">
        <f>Source!DD229</f>
        <v/>
      </c>
      <c r="H528" s="32">
        <f>ROUND(Source!AC229*Source!I229, 2)</f>
        <v>186.58</v>
      </c>
      <c r="I528" s="31"/>
      <c r="J528" s="31">
        <f>IF(Source!BC229&lt;&gt; 0, Source!BC229, 1)</f>
        <v>1</v>
      </c>
      <c r="K528" s="32">
        <f>Source!P229</f>
        <v>186.58</v>
      </c>
      <c r="L528" s="33"/>
    </row>
    <row r="529" spans="1:26" ht="14.25" x14ac:dyDescent="0.2">
      <c r="A529" s="47"/>
      <c r="B529" s="48"/>
      <c r="C529" s="48" t="s">
        <v>776</v>
      </c>
      <c r="D529" s="29" t="s">
        <v>777</v>
      </c>
      <c r="E529" s="26">
        <f>Source!BZ229</f>
        <v>142</v>
      </c>
      <c r="F529" s="65" t="str">
        <f>CONCATENATE(" )", Source!DL229, Source!FT229, "=", Source!FX229)</f>
        <v xml:space="preserve"> )*0,9=127,8</v>
      </c>
      <c r="G529" s="66"/>
      <c r="H529" s="32">
        <f>SUM(S523:S533)</f>
        <v>439.53</v>
      </c>
      <c r="I529" s="34"/>
      <c r="J529" s="28">
        <f>Source!AT229</f>
        <v>128</v>
      </c>
      <c r="K529" s="32">
        <f>SUM(T523:T533)</f>
        <v>440.22</v>
      </c>
      <c r="L529" s="33"/>
    </row>
    <row r="530" spans="1:26" ht="14.25" x14ac:dyDescent="0.2">
      <c r="A530" s="47"/>
      <c r="B530" s="48"/>
      <c r="C530" s="48" t="s">
        <v>778</v>
      </c>
      <c r="D530" s="29" t="s">
        <v>777</v>
      </c>
      <c r="E530" s="26">
        <f>Source!CA229</f>
        <v>95</v>
      </c>
      <c r="F530" s="65" t="str">
        <f>CONCATENATE(" )", Source!DM229, Source!FU229, "=", Source!FY229)</f>
        <v xml:space="preserve"> )*0,85=80,75</v>
      </c>
      <c r="G530" s="66"/>
      <c r="H530" s="32">
        <f>SUM(U523:U533)</f>
        <v>277.72000000000003</v>
      </c>
      <c r="I530" s="34"/>
      <c r="J530" s="28">
        <f>Source!AU229</f>
        <v>81</v>
      </c>
      <c r="K530" s="32">
        <f>SUM(V523:V533)</f>
        <v>278.58</v>
      </c>
      <c r="L530" s="33"/>
    </row>
    <row r="531" spans="1:26" ht="14.25" x14ac:dyDescent="0.2">
      <c r="A531" s="47"/>
      <c r="B531" s="48"/>
      <c r="C531" s="48" t="s">
        <v>779</v>
      </c>
      <c r="D531" s="29" t="s">
        <v>780</v>
      </c>
      <c r="E531" s="26">
        <f>Source!AQ229</f>
        <v>15.12</v>
      </c>
      <c r="F531" s="30"/>
      <c r="G531" s="31" t="str">
        <f>Source!DI229</f>
        <v>)*1,15)*1,15</v>
      </c>
      <c r="H531" s="32"/>
      <c r="I531" s="31"/>
      <c r="J531" s="31"/>
      <c r="K531" s="32"/>
      <c r="L531" s="35">
        <f>Source!U229</f>
        <v>36.793007999999993</v>
      </c>
    </row>
    <row r="532" spans="1:26" ht="28.5" x14ac:dyDescent="0.2">
      <c r="A532" s="47" t="str">
        <f>Source!E230</f>
        <v>64,1</v>
      </c>
      <c r="B532" s="48" t="str">
        <f>Source!F230</f>
        <v>02.3.01.02-0015</v>
      </c>
      <c r="C532" s="48" t="str">
        <f>Source!G230</f>
        <v>Песок природный для строительных работ средний</v>
      </c>
      <c r="D532" s="29" t="str">
        <f>Source!H230</f>
        <v>м3</v>
      </c>
      <c r="E532" s="26">
        <f>Source!I230</f>
        <v>0.92</v>
      </c>
      <c r="F532" s="30">
        <f>Source!AL230+Source!AM230+Source!AO230</f>
        <v>55.26</v>
      </c>
      <c r="G532" s="46" t="s">
        <v>3</v>
      </c>
      <c r="H532" s="32">
        <f>ROUND(Source!AC230*Source!I230, 2)+ROUND(Source!AD230*Source!I230, 2)+ROUND(Source!AF230*Source!I230, 2)</f>
        <v>50.84</v>
      </c>
      <c r="I532" s="31"/>
      <c r="J532" s="31">
        <f>IF(Source!BC230&lt;&gt; 0, Source!BC230, 1)</f>
        <v>1</v>
      </c>
      <c r="K532" s="32">
        <f>Source!O230</f>
        <v>50.84</v>
      </c>
      <c r="L532" s="33"/>
      <c r="S532">
        <f>ROUND((Source!FX230/100)*((ROUND(Source!AF230*Source!I230, 2)+ROUND(Source!AE230*Source!I230, 2))), 2)</f>
        <v>0</v>
      </c>
      <c r="T532">
        <f>Source!X230</f>
        <v>0</v>
      </c>
      <c r="U532">
        <f>ROUND((Source!FY230/100)*((ROUND(Source!AF230*Source!I230, 2)+ROUND(Source!AE230*Source!I230, 2))), 2)</f>
        <v>0</v>
      </c>
      <c r="V532">
        <f>Source!Y230</f>
        <v>0</v>
      </c>
      <c r="W532">
        <f>IF(Source!BI230&lt;=1,H532, 0)</f>
        <v>50.84</v>
      </c>
      <c r="X532">
        <f>IF(Source!BI230=2,H532, 0)</f>
        <v>0</v>
      </c>
      <c r="Y532">
        <f>IF(Source!BI230=3,H532, 0)</f>
        <v>0</v>
      </c>
      <c r="Z532">
        <f>IF(Source!BI230=4,H532, 0)</f>
        <v>0</v>
      </c>
    </row>
    <row r="533" spans="1:26" ht="71.25" x14ac:dyDescent="0.2">
      <c r="A533" s="49" t="str">
        <f>Source!E231</f>
        <v>64,2</v>
      </c>
      <c r="B533" s="50" t="str">
        <f>Source!F231</f>
        <v>04.2.01.01-0031</v>
      </c>
      <c r="C533" s="50" t="str">
        <f>Source!G231</f>
        <v>Смеси асфальтобетонные дорожные, аэродромные и асфальтобетон (горячие для плотного асфальтобетона мелко и крупнозернистые, песчаные), марка I, тип А</v>
      </c>
      <c r="D533" s="36" t="str">
        <f>Source!H231</f>
        <v>т</v>
      </c>
      <c r="E533" s="37">
        <f>Source!I231</f>
        <v>13.137600000000001</v>
      </c>
      <c r="F533" s="38">
        <f>Source!AL231+Source!AM231+Source!AO231</f>
        <v>535.5</v>
      </c>
      <c r="G533" s="39" t="s">
        <v>3</v>
      </c>
      <c r="H533" s="40">
        <f>ROUND(Source!AC231*Source!I231, 2)+ROUND(Source!AD231*Source!I231, 2)+ROUND(Source!AF231*Source!I231, 2)</f>
        <v>7035.18</v>
      </c>
      <c r="I533" s="41"/>
      <c r="J533" s="41">
        <f>IF(Source!BC231&lt;&gt; 0, Source!BC231, 1)</f>
        <v>1</v>
      </c>
      <c r="K533" s="40">
        <f>Source!O231</f>
        <v>7035.18</v>
      </c>
      <c r="L533" s="42"/>
      <c r="S533">
        <f>ROUND((Source!FX231/100)*((ROUND(Source!AF231*Source!I231, 2)+ROUND(Source!AE231*Source!I231, 2))), 2)</f>
        <v>0</v>
      </c>
      <c r="T533">
        <f>Source!X231</f>
        <v>0</v>
      </c>
      <c r="U533">
        <f>ROUND((Source!FY231/100)*((ROUND(Source!AF231*Source!I231, 2)+ROUND(Source!AE231*Source!I231, 2))), 2)</f>
        <v>0</v>
      </c>
      <c r="V533">
        <f>Source!Y231</f>
        <v>0</v>
      </c>
      <c r="W533">
        <f>IF(Source!BI231&lt;=1,H533, 0)</f>
        <v>7035.18</v>
      </c>
      <c r="X533">
        <f>IF(Source!BI231=2,H533, 0)</f>
        <v>0</v>
      </c>
      <c r="Y533">
        <f>IF(Source!BI231=3,H533, 0)</f>
        <v>0</v>
      </c>
      <c r="Z533">
        <f>IF(Source!BI231=4,H533, 0)</f>
        <v>0</v>
      </c>
    </row>
    <row r="534" spans="1:26" ht="15" x14ac:dyDescent="0.25">
      <c r="G534" s="62">
        <f>H525+H526+H528+H529+H530+SUM(H532:H533)</f>
        <v>8483.08</v>
      </c>
      <c r="H534" s="62"/>
      <c r="J534" s="62">
        <f>K525+K526+K528+K529+K530+SUM(K532:K533)</f>
        <v>8484.630000000001</v>
      </c>
      <c r="K534" s="62"/>
      <c r="L534" s="43">
        <f>Source!U229</f>
        <v>36.793007999999993</v>
      </c>
      <c r="O534" s="21">
        <f>G534</f>
        <v>8483.08</v>
      </c>
      <c r="P534" s="21">
        <f>J534</f>
        <v>8484.630000000001</v>
      </c>
      <c r="Q534" s="21">
        <f>L534</f>
        <v>36.793007999999993</v>
      </c>
      <c r="W534">
        <f>IF(Source!BI229&lt;=1,H525+H526+H528+H529+H530, 0)</f>
        <v>1397.0600000000002</v>
      </c>
      <c r="X534">
        <f>IF(Source!BI229=2,H525+H526+H528+H529+H530, 0)</f>
        <v>0</v>
      </c>
      <c r="Y534">
        <f>IF(Source!BI229=3,H525+H526+H528+H529+H530, 0)</f>
        <v>0</v>
      </c>
      <c r="Z534">
        <f>IF(Source!BI229=4,H525+H526+H528+H529+H530, 0)</f>
        <v>0</v>
      </c>
    </row>
    <row r="535" spans="1:26" ht="78" x14ac:dyDescent="0.2">
      <c r="A535" s="47" t="str">
        <f>Source!E232</f>
        <v>65</v>
      </c>
      <c r="B535" s="48" t="s">
        <v>794</v>
      </c>
      <c r="C535" s="48" t="str">
        <f>Source!G232</f>
        <v>На каждые 0,5 см изменения толщины покрытия добавлять к расценке 27-07-001-01 (до 5см)</v>
      </c>
      <c r="D535" s="29" t="str">
        <f>Source!H232</f>
        <v>100 м2</v>
      </c>
      <c r="E535" s="26">
        <f>Source!I232</f>
        <v>1.84</v>
      </c>
      <c r="F535" s="30">
        <f>Source!AL232+Source!AM232+Source!AO232</f>
        <v>29.950000000000003</v>
      </c>
      <c r="G535" s="31"/>
      <c r="H535" s="32"/>
      <c r="I535" s="31" t="str">
        <f>Source!BO232</f>
        <v/>
      </c>
      <c r="J535" s="31"/>
      <c r="K535" s="32"/>
      <c r="L535" s="33"/>
      <c r="S535">
        <f>ROUND((Source!FX232/100)*((ROUND(Source!AF232*Source!I232, 2)+ROUND(Source!AE232*Source!I232, 2))), 2)</f>
        <v>67.02</v>
      </c>
      <c r="T535">
        <f>Source!X232</f>
        <v>67.12</v>
      </c>
      <c r="U535">
        <f>ROUND((Source!FY232/100)*((ROUND(Source!AF232*Source!I232, 2)+ROUND(Source!AE232*Source!I232, 2))), 2)</f>
        <v>42.35</v>
      </c>
      <c r="V535">
        <f>Source!Y232</f>
        <v>42.48</v>
      </c>
    </row>
    <row r="536" spans="1:26" x14ac:dyDescent="0.2">
      <c r="C536" s="20" t="str">
        <f>"Объем: "&amp;Source!I232&amp;"=184/"&amp;"100"</f>
        <v>Объем: 1,84=184/100</v>
      </c>
    </row>
    <row r="537" spans="1:26" ht="14.25" x14ac:dyDescent="0.2">
      <c r="A537" s="47"/>
      <c r="B537" s="48"/>
      <c r="C537" s="48" t="s">
        <v>775</v>
      </c>
      <c r="D537" s="29"/>
      <c r="E537" s="26"/>
      <c r="F537" s="30">
        <f>Source!AO232</f>
        <v>21.55</v>
      </c>
      <c r="G537" s="31" t="str">
        <f>Source!DG232</f>
        <v>)*1,15)*1,15</v>
      </c>
      <c r="H537" s="32">
        <f>ROUND(Source!AF232*Source!I232, 2)</f>
        <v>52.44</v>
      </c>
      <c r="I537" s="31"/>
      <c r="J537" s="31">
        <f>IF(Source!BA232&lt;&gt; 0, Source!BA232, 1)</f>
        <v>1</v>
      </c>
      <c r="K537" s="32">
        <f>Source!S232</f>
        <v>52.44</v>
      </c>
      <c r="L537" s="33"/>
      <c r="R537">
        <f>H537</f>
        <v>52.44</v>
      </c>
    </row>
    <row r="538" spans="1:26" ht="14.25" x14ac:dyDescent="0.2">
      <c r="A538" s="47"/>
      <c r="B538" s="48"/>
      <c r="C538" s="48" t="s">
        <v>227</v>
      </c>
      <c r="D538" s="29"/>
      <c r="E538" s="26"/>
      <c r="F538" s="30">
        <f>Source!AM232</f>
        <v>8.4</v>
      </c>
      <c r="G538" s="31" t="str">
        <f>Source!DE232</f>
        <v>)*1,15)*1,25</v>
      </c>
      <c r="H538" s="32">
        <f>ROUND(Source!AD232*Source!I232, 2)</f>
        <v>22.22</v>
      </c>
      <c r="I538" s="31"/>
      <c r="J538" s="31">
        <f>IF(Source!BB232&lt;&gt; 0, Source!BB232, 1)</f>
        <v>1</v>
      </c>
      <c r="K538" s="32">
        <f>Source!Q232</f>
        <v>22.22</v>
      </c>
      <c r="L538" s="33"/>
    </row>
    <row r="539" spans="1:26" ht="14.25" x14ac:dyDescent="0.2">
      <c r="A539" s="47"/>
      <c r="B539" s="48"/>
      <c r="C539" s="48" t="s">
        <v>776</v>
      </c>
      <c r="D539" s="29" t="s">
        <v>777</v>
      </c>
      <c r="E539" s="26">
        <f>Source!BZ232</f>
        <v>142</v>
      </c>
      <c r="F539" s="65" t="str">
        <f>CONCATENATE(" )", Source!DL232, Source!FT232, "=", Source!FX232)</f>
        <v xml:space="preserve"> )*0,9=127,8</v>
      </c>
      <c r="G539" s="66"/>
      <c r="H539" s="32">
        <f>SUM(S535:S542)</f>
        <v>67.02</v>
      </c>
      <c r="I539" s="34"/>
      <c r="J539" s="28">
        <f>Source!AT232</f>
        <v>128</v>
      </c>
      <c r="K539" s="32">
        <f>SUM(T535:T542)</f>
        <v>67.12</v>
      </c>
      <c r="L539" s="33"/>
    </row>
    <row r="540" spans="1:26" ht="14.25" x14ac:dyDescent="0.2">
      <c r="A540" s="47"/>
      <c r="B540" s="48"/>
      <c r="C540" s="48" t="s">
        <v>778</v>
      </c>
      <c r="D540" s="29" t="s">
        <v>777</v>
      </c>
      <c r="E540" s="26">
        <f>Source!CA232</f>
        <v>95</v>
      </c>
      <c r="F540" s="65" t="str">
        <f>CONCATENATE(" )", Source!DM232, Source!FU232, "=", Source!FY232)</f>
        <v xml:space="preserve"> )*0,85=80,75</v>
      </c>
      <c r="G540" s="66"/>
      <c r="H540" s="32">
        <f>SUM(U535:U542)</f>
        <v>42.35</v>
      </c>
      <c r="I540" s="34"/>
      <c r="J540" s="28">
        <f>Source!AU232</f>
        <v>81</v>
      </c>
      <c r="K540" s="32">
        <f>SUM(V535:V542)</f>
        <v>42.48</v>
      </c>
      <c r="L540" s="33"/>
    </row>
    <row r="541" spans="1:26" ht="14.25" x14ac:dyDescent="0.2">
      <c r="A541" s="47"/>
      <c r="B541" s="48"/>
      <c r="C541" s="48" t="s">
        <v>779</v>
      </c>
      <c r="D541" s="29" t="s">
        <v>780</v>
      </c>
      <c r="E541" s="26">
        <f>Source!AQ232</f>
        <v>2.3199999999999998</v>
      </c>
      <c r="F541" s="30"/>
      <c r="G541" s="31" t="str">
        <f>Source!DI232</f>
        <v>)*1,15)*1,15</v>
      </c>
      <c r="H541" s="32"/>
      <c r="I541" s="31"/>
      <c r="J541" s="31"/>
      <c r="K541" s="32"/>
      <c r="L541" s="35">
        <f>Source!U232</f>
        <v>5.6454879999999994</v>
      </c>
    </row>
    <row r="542" spans="1:26" ht="71.25" x14ac:dyDescent="0.2">
      <c r="A542" s="49" t="str">
        <f>Source!E233</f>
        <v>65,1</v>
      </c>
      <c r="B542" s="50" t="str">
        <f>Source!F233</f>
        <v>04.2.01.01-0031</v>
      </c>
      <c r="C542" s="50" t="str">
        <f>Source!G233</f>
        <v>Смеси асфальтобетонные дорожные, аэродромные и асфальтобетон (горячие для плотного асфальтобетона мелко и крупнозернистые, песчаные), марка I, тип А</v>
      </c>
      <c r="D542" s="36" t="str">
        <f>Source!H233</f>
        <v>т</v>
      </c>
      <c r="E542" s="37">
        <f>Source!I233</f>
        <v>2.2263999999999999</v>
      </c>
      <c r="F542" s="38">
        <f>Source!AL233+Source!AM233+Source!AO233</f>
        <v>535.5</v>
      </c>
      <c r="G542" s="39" t="s">
        <v>3</v>
      </c>
      <c r="H542" s="40">
        <f>ROUND(Source!AC233*Source!I233, 2)+ROUND(Source!AD233*Source!I233, 2)+ROUND(Source!AF233*Source!I233, 2)</f>
        <v>1192.24</v>
      </c>
      <c r="I542" s="41"/>
      <c r="J542" s="41">
        <f>IF(Source!BC233&lt;&gt; 0, Source!BC233, 1)</f>
        <v>1</v>
      </c>
      <c r="K542" s="40">
        <f>Source!O233</f>
        <v>1192.24</v>
      </c>
      <c r="L542" s="42"/>
      <c r="S542">
        <f>ROUND((Source!FX233/100)*((ROUND(Source!AF233*Source!I233, 2)+ROUND(Source!AE233*Source!I233, 2))), 2)</f>
        <v>0</v>
      </c>
      <c r="T542">
        <f>Source!X233</f>
        <v>0</v>
      </c>
      <c r="U542">
        <f>ROUND((Source!FY233/100)*((ROUND(Source!AF233*Source!I233, 2)+ROUND(Source!AE233*Source!I233, 2))), 2)</f>
        <v>0</v>
      </c>
      <c r="V542">
        <f>Source!Y233</f>
        <v>0</v>
      </c>
      <c r="W542">
        <f>IF(Source!BI233&lt;=1,H542, 0)</f>
        <v>1192.24</v>
      </c>
      <c r="X542">
        <f>IF(Source!BI233=2,H542, 0)</f>
        <v>0</v>
      </c>
      <c r="Y542">
        <f>IF(Source!BI233=3,H542, 0)</f>
        <v>0</v>
      </c>
      <c r="Z542">
        <f>IF(Source!BI233=4,H542, 0)</f>
        <v>0</v>
      </c>
    </row>
    <row r="543" spans="1:26" ht="15" x14ac:dyDescent="0.25">
      <c r="G543" s="62">
        <f>H537+H538+H539+H540+SUM(H542:H542)</f>
        <v>1376.27</v>
      </c>
      <c r="H543" s="62"/>
      <c r="J543" s="62">
        <f>K537+K538+K539+K540+SUM(K542:K542)</f>
        <v>1376.5</v>
      </c>
      <c r="K543" s="62"/>
      <c r="L543" s="43">
        <f>Source!U232</f>
        <v>5.6454879999999994</v>
      </c>
      <c r="O543" s="21">
        <f>G543</f>
        <v>1376.27</v>
      </c>
      <c r="P543" s="21">
        <f>J543</f>
        <v>1376.5</v>
      </c>
      <c r="Q543" s="21">
        <f>L543</f>
        <v>5.6454879999999994</v>
      </c>
      <c r="W543">
        <f>IF(Source!BI232&lt;=1,H537+H538+H539+H540, 0)</f>
        <v>184.03</v>
      </c>
      <c r="X543">
        <f>IF(Source!BI232=2,H537+H538+H539+H540, 0)</f>
        <v>0</v>
      </c>
      <c r="Y543">
        <f>IF(Source!BI232=3,H537+H538+H539+H540, 0)</f>
        <v>0</v>
      </c>
      <c r="Z543">
        <f>IF(Source!BI232=4,H537+H538+H539+H540, 0)</f>
        <v>0</v>
      </c>
    </row>
    <row r="545" spans="1:32" ht="15" x14ac:dyDescent="0.25">
      <c r="A545" s="64" t="str">
        <f>CONCATENATE("Итого по подразделу: ",IF(Source!G235&lt;&gt;"Новый подраздел", Source!G235, ""))</f>
        <v>Итого по подразделу: Востановление общественной зоны</v>
      </c>
      <c r="B545" s="64"/>
      <c r="C545" s="64"/>
      <c r="D545" s="64"/>
      <c r="E545" s="64"/>
      <c r="F545" s="64"/>
      <c r="G545" s="63">
        <f>SUM(O398:O544)</f>
        <v>80094.860000000015</v>
      </c>
      <c r="H545" s="63"/>
      <c r="I545" s="27"/>
      <c r="J545" s="63">
        <f>SUM(P398:P544)</f>
        <v>80105.42</v>
      </c>
      <c r="K545" s="63"/>
      <c r="L545" s="43">
        <f>SUM(Q398:Q544)</f>
        <v>251.27035399999994</v>
      </c>
      <c r="AF545" s="53" t="str">
        <f>CONCATENATE("Итого по подразделу: ",IF(Source!G235&lt;&gt;"Новый подраздел", Source!G235, ""))</f>
        <v>Итого по подразделу: Востановление общественной зоны</v>
      </c>
    </row>
    <row r="549" spans="1:32" ht="16.5" x14ac:dyDescent="0.25">
      <c r="A549" s="67" t="str">
        <f>CONCATENATE("Подраздел: ",IF(Source!G264&lt;&gt;"Новый подраздел", Source!G264, ""))</f>
        <v>Подраздел: Газоны</v>
      </c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</row>
    <row r="550" spans="1:32" ht="42.75" x14ac:dyDescent="0.2">
      <c r="A550" s="47" t="str">
        <f>Source!E268</f>
        <v>66</v>
      </c>
      <c r="B550" s="48" t="str">
        <f>Source!F268</f>
        <v>47-01-046-06</v>
      </c>
      <c r="C550" s="48" t="str">
        <f>Source!G268</f>
        <v>Посев газонов партерных, мавританских и обыкновенных вручную</v>
      </c>
      <c r="D550" s="29" t="str">
        <f>Source!H268</f>
        <v>100 м2</v>
      </c>
      <c r="E550" s="26">
        <f>Source!I268</f>
        <v>3.72</v>
      </c>
      <c r="F550" s="30">
        <f>Source!AL268+Source!AM268+Source!AO268</f>
        <v>376.47999999999996</v>
      </c>
      <c r="G550" s="31"/>
      <c r="H550" s="32"/>
      <c r="I550" s="31" t="str">
        <f>Source!BO268</f>
        <v/>
      </c>
      <c r="J550" s="31"/>
      <c r="K550" s="32"/>
      <c r="L550" s="33"/>
      <c r="S550">
        <f>ROUND((Source!FX268/100)*((ROUND(Source!AF268*Source!I268, 2)+ROUND(Source!AE268*Source!I268, 2))), 2)</f>
        <v>317.49</v>
      </c>
      <c r="T550">
        <f>Source!X268</f>
        <v>319.02</v>
      </c>
      <c r="U550">
        <f>ROUND((Source!FY268/100)*((ROUND(Source!AF268*Source!I268, 2)+ROUND(Source!AE268*Source!I268, 2))), 2)</f>
        <v>234.66</v>
      </c>
      <c r="V550">
        <f>Source!Y268</f>
        <v>236.2</v>
      </c>
    </row>
    <row r="551" spans="1:32" x14ac:dyDescent="0.2">
      <c r="C551" s="20" t="str">
        <f>"Объем: "&amp;Source!I268&amp;"=372/"&amp;"100"</f>
        <v>Объем: 3,72=372/100</v>
      </c>
    </row>
    <row r="552" spans="1:32" ht="14.25" x14ac:dyDescent="0.2">
      <c r="A552" s="47"/>
      <c r="B552" s="48"/>
      <c r="C552" s="48" t="s">
        <v>775</v>
      </c>
      <c r="D552" s="29"/>
      <c r="E552" s="26"/>
      <c r="F552" s="30">
        <f>Source!AO268</f>
        <v>50.68</v>
      </c>
      <c r="G552" s="31" t="str">
        <f>Source!DG268</f>
        <v/>
      </c>
      <c r="H552" s="32">
        <f>ROUND(Source!AF268*Source!I268, 2)</f>
        <v>188.53</v>
      </c>
      <c r="I552" s="31"/>
      <c r="J552" s="31">
        <f>IF(Source!BA268&lt;&gt; 0, Source!BA268, 1)</f>
        <v>1</v>
      </c>
      <c r="K552" s="32">
        <f>Source!S268</f>
        <v>188.53</v>
      </c>
      <c r="L552" s="33"/>
      <c r="R552">
        <f>H552</f>
        <v>188.53</v>
      </c>
    </row>
    <row r="553" spans="1:32" ht="14.25" x14ac:dyDescent="0.2">
      <c r="A553" s="47"/>
      <c r="B553" s="48"/>
      <c r="C553" s="48" t="s">
        <v>227</v>
      </c>
      <c r="D553" s="29"/>
      <c r="E553" s="26"/>
      <c r="F553" s="30">
        <f>Source!AM268</f>
        <v>301.39999999999998</v>
      </c>
      <c r="G553" s="31" t="str">
        <f>Source!DE268</f>
        <v/>
      </c>
      <c r="H553" s="32">
        <f>ROUND(Source!AD268*Source!I268, 2)</f>
        <v>1121.21</v>
      </c>
      <c r="I553" s="31"/>
      <c r="J553" s="31">
        <f>IF(Source!BB268&lt;&gt; 0, Source!BB268, 1)</f>
        <v>1</v>
      </c>
      <c r="K553" s="32">
        <f>Source!Q268</f>
        <v>1121.21</v>
      </c>
      <c r="L553" s="33"/>
    </row>
    <row r="554" spans="1:32" ht="14.25" x14ac:dyDescent="0.2">
      <c r="A554" s="47"/>
      <c r="B554" s="48"/>
      <c r="C554" s="48" t="s">
        <v>782</v>
      </c>
      <c r="D554" s="29"/>
      <c r="E554" s="26"/>
      <c r="F554" s="30">
        <f>Source!AN268</f>
        <v>31.78</v>
      </c>
      <c r="G554" s="31" t="str">
        <f>Source!DF268</f>
        <v/>
      </c>
      <c r="H554" s="45">
        <f>ROUND(Source!AE268*Source!I268, 2)</f>
        <v>118.22</v>
      </c>
      <c r="I554" s="31"/>
      <c r="J554" s="31">
        <f>IF(Source!BS268&lt;&gt; 0, Source!BS268, 1)</f>
        <v>1</v>
      </c>
      <c r="K554" s="45">
        <f>Source!R268</f>
        <v>118.22</v>
      </c>
      <c r="L554" s="33"/>
      <c r="R554">
        <f>H554</f>
        <v>118.22</v>
      </c>
    </row>
    <row r="555" spans="1:32" ht="14.25" x14ac:dyDescent="0.2">
      <c r="A555" s="47"/>
      <c r="B555" s="48"/>
      <c r="C555" s="48" t="s">
        <v>781</v>
      </c>
      <c r="D555" s="29"/>
      <c r="E555" s="26"/>
      <c r="F555" s="30">
        <f>Source!AL268</f>
        <v>24.4</v>
      </c>
      <c r="G555" s="31" t="str">
        <f>Source!DD268</f>
        <v/>
      </c>
      <c r="H555" s="32">
        <f>ROUND(Source!AC268*Source!I268, 2)</f>
        <v>90.77</v>
      </c>
      <c r="I555" s="31"/>
      <c r="J555" s="31">
        <f>IF(Source!BC268&lt;&gt; 0, Source!BC268, 1)</f>
        <v>1</v>
      </c>
      <c r="K555" s="32">
        <f>Source!P268</f>
        <v>90.77</v>
      </c>
      <c r="L555" s="33"/>
    </row>
    <row r="556" spans="1:32" ht="14.25" x14ac:dyDescent="0.2">
      <c r="A556" s="47"/>
      <c r="B556" s="48"/>
      <c r="C556" s="48" t="s">
        <v>776</v>
      </c>
      <c r="D556" s="29" t="s">
        <v>777</v>
      </c>
      <c r="E556" s="26">
        <f>Source!BZ268</f>
        <v>115</v>
      </c>
      <c r="F556" s="65" t="str">
        <f>CONCATENATE(" )", Source!DL268, Source!FT268, "=", Source!FX268)</f>
        <v xml:space="preserve"> )*0,9=103,5</v>
      </c>
      <c r="G556" s="66"/>
      <c r="H556" s="32">
        <f>SUM(S550:S559)</f>
        <v>317.49</v>
      </c>
      <c r="I556" s="34"/>
      <c r="J556" s="28">
        <f>Source!AT268</f>
        <v>104</v>
      </c>
      <c r="K556" s="32">
        <f>SUM(T550:T559)</f>
        <v>319.02</v>
      </c>
      <c r="L556" s="33"/>
    </row>
    <row r="557" spans="1:32" ht="14.25" x14ac:dyDescent="0.2">
      <c r="A557" s="47"/>
      <c r="B557" s="48"/>
      <c r="C557" s="48" t="s">
        <v>778</v>
      </c>
      <c r="D557" s="29" t="s">
        <v>777</v>
      </c>
      <c r="E557" s="26">
        <f>Source!CA268</f>
        <v>90</v>
      </c>
      <c r="F557" s="65" t="str">
        <f>CONCATENATE(" )", Source!DM268, Source!FU268, "=", Source!FY268)</f>
        <v xml:space="preserve"> )*0,85=76,5</v>
      </c>
      <c r="G557" s="66"/>
      <c r="H557" s="32">
        <f>SUM(U550:U559)</f>
        <v>234.66</v>
      </c>
      <c r="I557" s="34"/>
      <c r="J557" s="28">
        <f>Source!AU268</f>
        <v>77</v>
      </c>
      <c r="K557" s="32">
        <f>SUM(V550:V559)</f>
        <v>236.2</v>
      </c>
      <c r="L557" s="33"/>
    </row>
    <row r="558" spans="1:32" ht="14.25" x14ac:dyDescent="0.2">
      <c r="A558" s="47"/>
      <c r="B558" s="48"/>
      <c r="C558" s="48" t="s">
        <v>779</v>
      </c>
      <c r="D558" s="29" t="s">
        <v>780</v>
      </c>
      <c r="E558" s="26">
        <f>Source!AQ268</f>
        <v>5.99</v>
      </c>
      <c r="F558" s="30"/>
      <c r="G558" s="31" t="str">
        <f>Source!DI268</f>
        <v/>
      </c>
      <c r="H558" s="32"/>
      <c r="I558" s="31"/>
      <c r="J558" s="31"/>
      <c r="K558" s="32"/>
      <c r="L558" s="35">
        <f>Source!U268</f>
        <v>22.282800000000002</v>
      </c>
    </row>
    <row r="559" spans="1:32" ht="28.5" x14ac:dyDescent="0.2">
      <c r="A559" s="49" t="str">
        <f>Source!E269</f>
        <v>66,1</v>
      </c>
      <c r="B559" s="50" t="str">
        <f>Source!F269</f>
        <v>16.2.02.07-0161</v>
      </c>
      <c r="C559" s="50" t="str">
        <f>Source!G269</f>
        <v>Семена газонных трав (смесь)</v>
      </c>
      <c r="D559" s="36" t="str">
        <f>Source!H269</f>
        <v>кг</v>
      </c>
      <c r="E559" s="37">
        <f>Source!I269</f>
        <v>7.44</v>
      </c>
      <c r="F559" s="38">
        <f>Source!AL269+Source!AM269+Source!AO269</f>
        <v>146.25</v>
      </c>
      <c r="G559" s="39" t="s">
        <v>3</v>
      </c>
      <c r="H559" s="40">
        <f>ROUND(Source!AC269*Source!I269, 2)+ROUND(Source!AD269*Source!I269, 2)+ROUND(Source!AF269*Source!I269, 2)</f>
        <v>1088.0999999999999</v>
      </c>
      <c r="I559" s="41"/>
      <c r="J559" s="41">
        <f>IF(Source!BC269&lt;&gt; 0, Source!BC269, 1)</f>
        <v>1</v>
      </c>
      <c r="K559" s="40">
        <f>Source!O269</f>
        <v>1088.0999999999999</v>
      </c>
      <c r="L559" s="42"/>
      <c r="S559">
        <f>ROUND((Source!FX269/100)*((ROUND(Source!AF269*Source!I269, 2)+ROUND(Source!AE269*Source!I269, 2))), 2)</f>
        <v>0</v>
      </c>
      <c r="T559">
        <f>Source!X269</f>
        <v>0</v>
      </c>
      <c r="U559">
        <f>ROUND((Source!FY269/100)*((ROUND(Source!AF269*Source!I269, 2)+ROUND(Source!AE269*Source!I269, 2))), 2)</f>
        <v>0</v>
      </c>
      <c r="V559">
        <f>Source!Y269</f>
        <v>0</v>
      </c>
      <c r="W559">
        <f>IF(Source!BI269&lt;=1,H559, 0)</f>
        <v>1088.0999999999999</v>
      </c>
      <c r="X559">
        <f>IF(Source!BI269=2,H559, 0)</f>
        <v>0</v>
      </c>
      <c r="Y559">
        <f>IF(Source!BI269=3,H559, 0)</f>
        <v>0</v>
      </c>
      <c r="Z559">
        <f>IF(Source!BI269=4,H559, 0)</f>
        <v>0</v>
      </c>
    </row>
    <row r="560" spans="1:32" ht="15" x14ac:dyDescent="0.25">
      <c r="G560" s="62">
        <f>H552+H553+H555+H556+H557+SUM(H559:H559)</f>
        <v>3040.76</v>
      </c>
      <c r="H560" s="62"/>
      <c r="J560" s="62">
        <f>K552+K553+K555+K556+K557+SUM(K559:K559)</f>
        <v>3043.83</v>
      </c>
      <c r="K560" s="62"/>
      <c r="L560" s="43">
        <f>Source!U268</f>
        <v>22.282800000000002</v>
      </c>
      <c r="O560" s="21">
        <f>G560</f>
        <v>3040.76</v>
      </c>
      <c r="P560" s="21">
        <f>J560</f>
        <v>3043.83</v>
      </c>
      <c r="Q560" s="21">
        <f>L560</f>
        <v>22.282800000000002</v>
      </c>
      <c r="W560">
        <f>IF(Source!BI268&lt;=1,H552+H553+H555+H556+H557, 0)</f>
        <v>1952.66</v>
      </c>
      <c r="X560">
        <f>IF(Source!BI268=2,H552+H553+H555+H556+H557, 0)</f>
        <v>0</v>
      </c>
      <c r="Y560">
        <f>IF(Source!BI268=3,H552+H553+H555+H556+H557, 0)</f>
        <v>0</v>
      </c>
      <c r="Z560">
        <f>IF(Source!BI268=4,H552+H553+H555+H556+H557, 0)</f>
        <v>0</v>
      </c>
    </row>
    <row r="561" spans="1:26" ht="14.25" x14ac:dyDescent="0.2">
      <c r="A561" s="47" t="str">
        <f>Source!E270</f>
        <v>67</v>
      </c>
      <c r="B561" s="48" t="str">
        <f>Source!F270</f>
        <v>47-01-070-03</v>
      </c>
      <c r="C561" s="48" t="str">
        <f>Source!G270</f>
        <v>Уход за газонами обыкновенными</v>
      </c>
      <c r="D561" s="29" t="str">
        <f>Source!H270</f>
        <v>100 м2</v>
      </c>
      <c r="E561" s="26">
        <f>Source!I270</f>
        <v>3.72</v>
      </c>
      <c r="F561" s="30">
        <f>Source!AL270+Source!AM270+Source!AO270</f>
        <v>641.32999999999993</v>
      </c>
      <c r="G561" s="31"/>
      <c r="H561" s="32"/>
      <c r="I561" s="31" t="str">
        <f>Source!BO270</f>
        <v/>
      </c>
      <c r="J561" s="31"/>
      <c r="K561" s="32"/>
      <c r="L561" s="33"/>
      <c r="S561">
        <f>ROUND((Source!FX270/100)*((ROUND(Source!AF270*Source!I270, 2)+ROUND(Source!AE270*Source!I270, 2))), 2)</f>
        <v>1337.21</v>
      </c>
      <c r="T561">
        <f>Source!X270</f>
        <v>1343.67</v>
      </c>
      <c r="U561">
        <f>ROUND((Source!FY270/100)*((ROUND(Source!AF270*Source!I270, 2)+ROUND(Source!AE270*Source!I270, 2))), 2)</f>
        <v>988.37</v>
      </c>
      <c r="V561">
        <f>Source!Y270</f>
        <v>994.83</v>
      </c>
    </row>
    <row r="562" spans="1:26" x14ac:dyDescent="0.2">
      <c r="C562" s="20" t="str">
        <f>"Объем: "&amp;Source!I270&amp;"=372/"&amp;"100"</f>
        <v>Объем: 3,72=372/100</v>
      </c>
    </row>
    <row r="563" spans="1:26" ht="14.25" x14ac:dyDescent="0.2">
      <c r="A563" s="47"/>
      <c r="B563" s="48"/>
      <c r="C563" s="48" t="s">
        <v>775</v>
      </c>
      <c r="D563" s="29"/>
      <c r="E563" s="26"/>
      <c r="F563" s="30">
        <f>Source!AO270</f>
        <v>315.52999999999997</v>
      </c>
      <c r="G563" s="31" t="str">
        <f>Source!DG270</f>
        <v/>
      </c>
      <c r="H563" s="32">
        <f>ROUND(Source!AF270*Source!I270, 2)</f>
        <v>1173.77</v>
      </c>
      <c r="I563" s="31"/>
      <c r="J563" s="31">
        <f>IF(Source!BA270&lt;&gt; 0, Source!BA270, 1)</f>
        <v>1</v>
      </c>
      <c r="K563" s="32">
        <f>Source!S270</f>
        <v>1173.77</v>
      </c>
      <c r="L563" s="33"/>
      <c r="R563">
        <f>H563</f>
        <v>1173.77</v>
      </c>
    </row>
    <row r="564" spans="1:26" ht="14.25" x14ac:dyDescent="0.2">
      <c r="A564" s="47"/>
      <c r="B564" s="48"/>
      <c r="C564" s="48" t="s">
        <v>227</v>
      </c>
      <c r="D564" s="29"/>
      <c r="E564" s="26"/>
      <c r="F564" s="30">
        <f>Source!AM270</f>
        <v>301.39999999999998</v>
      </c>
      <c r="G564" s="31" t="str">
        <f>Source!DE270</f>
        <v/>
      </c>
      <c r="H564" s="32">
        <f>ROUND(Source!AD270*Source!I270, 2)</f>
        <v>1121.21</v>
      </c>
      <c r="I564" s="31"/>
      <c r="J564" s="31">
        <f>IF(Source!BB270&lt;&gt; 0, Source!BB270, 1)</f>
        <v>1</v>
      </c>
      <c r="K564" s="32">
        <f>Source!Q270</f>
        <v>1121.21</v>
      </c>
      <c r="L564" s="33"/>
    </row>
    <row r="565" spans="1:26" ht="14.25" x14ac:dyDescent="0.2">
      <c r="A565" s="47"/>
      <c r="B565" s="48"/>
      <c r="C565" s="48" t="s">
        <v>782</v>
      </c>
      <c r="D565" s="29"/>
      <c r="E565" s="26"/>
      <c r="F565" s="30">
        <f>Source!AN270</f>
        <v>31.78</v>
      </c>
      <c r="G565" s="31" t="str">
        <f>Source!DF270</f>
        <v/>
      </c>
      <c r="H565" s="45">
        <f>ROUND(Source!AE270*Source!I270, 2)</f>
        <v>118.22</v>
      </c>
      <c r="I565" s="31"/>
      <c r="J565" s="31">
        <f>IF(Source!BS270&lt;&gt; 0, Source!BS270, 1)</f>
        <v>1</v>
      </c>
      <c r="K565" s="45">
        <f>Source!R270</f>
        <v>118.22</v>
      </c>
      <c r="L565" s="33"/>
      <c r="R565">
        <f>H565</f>
        <v>118.22</v>
      </c>
    </row>
    <row r="566" spans="1:26" ht="14.25" x14ac:dyDescent="0.2">
      <c r="A566" s="47"/>
      <c r="B566" s="48"/>
      <c r="C566" s="48" t="s">
        <v>781</v>
      </c>
      <c r="D566" s="29"/>
      <c r="E566" s="26"/>
      <c r="F566" s="30">
        <f>Source!AL270</f>
        <v>24.4</v>
      </c>
      <c r="G566" s="31" t="str">
        <f>Source!DD270</f>
        <v/>
      </c>
      <c r="H566" s="32">
        <f>ROUND(Source!AC270*Source!I270, 2)</f>
        <v>90.77</v>
      </c>
      <c r="I566" s="31"/>
      <c r="J566" s="31">
        <f>IF(Source!BC270&lt;&gt; 0, Source!BC270, 1)</f>
        <v>1</v>
      </c>
      <c r="K566" s="32">
        <f>Source!P270</f>
        <v>90.77</v>
      </c>
      <c r="L566" s="33"/>
    </row>
    <row r="567" spans="1:26" ht="14.25" x14ac:dyDescent="0.2">
      <c r="A567" s="47"/>
      <c r="B567" s="48"/>
      <c r="C567" s="48" t="s">
        <v>776</v>
      </c>
      <c r="D567" s="29" t="s">
        <v>777</v>
      </c>
      <c r="E567" s="26">
        <f>Source!BZ270</f>
        <v>115</v>
      </c>
      <c r="F567" s="65" t="str">
        <f>CONCATENATE(" )", Source!DL270, Source!FT270, "=", Source!FX270)</f>
        <v xml:space="preserve"> )*0,9=103,5</v>
      </c>
      <c r="G567" s="66"/>
      <c r="H567" s="32">
        <f>SUM(S561:S569)</f>
        <v>1337.21</v>
      </c>
      <c r="I567" s="34"/>
      <c r="J567" s="28">
        <f>Source!AT270</f>
        <v>104</v>
      </c>
      <c r="K567" s="32">
        <f>SUM(T561:T569)</f>
        <v>1343.67</v>
      </c>
      <c r="L567" s="33"/>
    </row>
    <row r="568" spans="1:26" ht="14.25" x14ac:dyDescent="0.2">
      <c r="A568" s="47"/>
      <c r="B568" s="48"/>
      <c r="C568" s="48" t="s">
        <v>778</v>
      </c>
      <c r="D568" s="29" t="s">
        <v>777</v>
      </c>
      <c r="E568" s="26">
        <f>Source!CA270</f>
        <v>90</v>
      </c>
      <c r="F568" s="65" t="str">
        <f>CONCATENATE(" )", Source!DM270, Source!FU270, "=", Source!FY270)</f>
        <v xml:space="preserve"> )*0,85=76,5</v>
      </c>
      <c r="G568" s="66"/>
      <c r="H568" s="32">
        <f>SUM(U561:U569)</f>
        <v>988.37</v>
      </c>
      <c r="I568" s="34"/>
      <c r="J568" s="28">
        <f>Source!AU270</f>
        <v>77</v>
      </c>
      <c r="K568" s="32">
        <f>SUM(V561:V569)</f>
        <v>994.83</v>
      </c>
      <c r="L568" s="33"/>
    </row>
    <row r="569" spans="1:26" ht="14.25" x14ac:dyDescent="0.2">
      <c r="A569" s="49"/>
      <c r="B569" s="50"/>
      <c r="C569" s="50" t="s">
        <v>779</v>
      </c>
      <c r="D569" s="36" t="s">
        <v>780</v>
      </c>
      <c r="E569" s="37">
        <f>Source!AQ270</f>
        <v>38.619999999999997</v>
      </c>
      <c r="F569" s="38"/>
      <c r="G569" s="41" t="str">
        <f>Source!DI270</f>
        <v/>
      </c>
      <c r="H569" s="40"/>
      <c r="I569" s="41"/>
      <c r="J569" s="41"/>
      <c r="K569" s="40"/>
      <c r="L569" s="44">
        <f>Source!U270</f>
        <v>143.66640000000001</v>
      </c>
    </row>
    <row r="570" spans="1:26" ht="15" x14ac:dyDescent="0.25">
      <c r="G570" s="62">
        <f>H563+H564+H566+H567+H568</f>
        <v>4711.33</v>
      </c>
      <c r="H570" s="62"/>
      <c r="J570" s="62">
        <f>K563+K564+K566+K567+K568</f>
        <v>4724.25</v>
      </c>
      <c r="K570" s="62"/>
      <c r="L570" s="43">
        <f>Source!U270</f>
        <v>143.66640000000001</v>
      </c>
      <c r="O570" s="21">
        <f>G570</f>
        <v>4711.33</v>
      </c>
      <c r="P570" s="21">
        <f>J570</f>
        <v>4724.25</v>
      </c>
      <c r="Q570" s="21">
        <f>L570</f>
        <v>143.66640000000001</v>
      </c>
      <c r="W570">
        <f>IF(Source!BI270&lt;=1,H563+H564+H566+H567+H568, 0)</f>
        <v>4711.33</v>
      </c>
      <c r="X570">
        <f>IF(Source!BI270=2,H563+H564+H566+H567+H568, 0)</f>
        <v>0</v>
      </c>
      <c r="Y570">
        <f>IF(Source!BI270=3,H563+H564+H566+H567+H568, 0)</f>
        <v>0</v>
      </c>
      <c r="Z570">
        <f>IF(Source!BI270=4,H563+H564+H566+H567+H568, 0)</f>
        <v>0</v>
      </c>
    </row>
    <row r="572" spans="1:26" ht="15" x14ac:dyDescent="0.25">
      <c r="A572" s="64" t="str">
        <f>CONCATENATE("Итого по подразделу: ",IF(Source!G272&lt;&gt;"Новый подраздел", Source!G272, ""))</f>
        <v>Итого по подразделу: Газоны</v>
      </c>
      <c r="B572" s="64"/>
      <c r="C572" s="64"/>
      <c r="D572" s="64"/>
      <c r="E572" s="64"/>
      <c r="F572" s="64"/>
      <c r="G572" s="63">
        <f>SUM(O549:O571)</f>
        <v>7752.09</v>
      </c>
      <c r="H572" s="63"/>
      <c r="I572" s="27"/>
      <c r="J572" s="63"/>
      <c r="K572" s="63"/>
      <c r="L572" s="43">
        <f>SUM(Q549:Q571)</f>
        <v>165.94920000000002</v>
      </c>
    </row>
    <row r="576" spans="1:26" ht="15" x14ac:dyDescent="0.25">
      <c r="A576" s="64" t="str">
        <f>CONCATENATE("Итого по разделу: ",IF(Source!G301&lt;&gt;"Новый раздел", Source!G301, ""))</f>
        <v>Итого по разделу: Прочие работы</v>
      </c>
      <c r="B576" s="64"/>
      <c r="C576" s="64"/>
      <c r="D576" s="64"/>
      <c r="E576" s="64"/>
      <c r="F576" s="64"/>
      <c r="G576" s="63">
        <f>SUM(O221:O575)</f>
        <v>200541.93</v>
      </c>
      <c r="H576" s="63"/>
      <c r="I576" s="27"/>
      <c r="J576" s="63"/>
      <c r="K576" s="63"/>
      <c r="L576" s="43">
        <f>SUM(Q221:Q575)</f>
        <v>759.59182714999974</v>
      </c>
    </row>
    <row r="580" spans="1:32" ht="15" x14ac:dyDescent="0.25">
      <c r="A580" s="64" t="str">
        <f>CONCATENATE("Итого по локальной смете: ",IF(Source!G330&lt;&gt;"Новая локальная смета", Source!G330, ""))</f>
        <v>Итого по локальной смете: Локальная смета №1</v>
      </c>
      <c r="B580" s="64"/>
      <c r="C580" s="64"/>
      <c r="D580" s="64"/>
      <c r="E580" s="64"/>
      <c r="F580" s="64"/>
      <c r="G580" s="63">
        <f>SUM(O30:O579)</f>
        <v>485954.61999999988</v>
      </c>
      <c r="H580" s="63"/>
      <c r="I580" s="27"/>
      <c r="J580" s="63"/>
      <c r="K580" s="63"/>
      <c r="L580" s="43">
        <f>SUM(Q30:Q579)</f>
        <v>2669.4528021982514</v>
      </c>
    </row>
    <row r="584" spans="1:32" ht="30" x14ac:dyDescent="0.25">
      <c r="A584" s="64" t="str">
        <f>CONCATENATE("Итого по смете: ",IF(Source!G359&lt;&gt;"Новый объект", Source!G359, ""))</f>
        <v>Итого по смете: ФНС России в Амурской области, Амурская область,г. Благовещенск, ул. Пушкина, д. 104_(в базовых ценах)</v>
      </c>
      <c r="B584" s="64"/>
      <c r="C584" s="64"/>
      <c r="D584" s="64"/>
      <c r="E584" s="64"/>
      <c r="F584" s="64"/>
      <c r="G584" s="63">
        <f>SUM(O1:O583)</f>
        <v>485954.61999999988</v>
      </c>
      <c r="H584" s="63"/>
      <c r="I584" s="27"/>
      <c r="J584" s="63"/>
      <c r="K584" s="63"/>
      <c r="L584" s="43">
        <f>SUM(Q1:Q583)</f>
        <v>2669.4528021982514</v>
      </c>
      <c r="AF584" s="53" t="str">
        <f>CONCATENATE("Итого по смете: ",IF(Source!G359&lt;&gt;"Новый объект", Source!G359, ""))</f>
        <v>Итого по смете: ФНС России в Амурской области, Амурская область,г. Благовещенск, ул. Пушкина, д. 104_(в базовых ценах)</v>
      </c>
    </row>
    <row r="586" spans="1:32" ht="15" x14ac:dyDescent="0.2">
      <c r="C586" s="69" t="str">
        <f>Source!H387</f>
        <v>Итого</v>
      </c>
      <c r="D586" s="69"/>
      <c r="E586" s="69"/>
      <c r="F586" s="69"/>
      <c r="G586" s="69"/>
      <c r="H586" s="69"/>
      <c r="I586" s="69"/>
      <c r="J586" s="70">
        <f>G584</f>
        <v>485954.61999999988</v>
      </c>
      <c r="K586" s="70"/>
    </row>
    <row r="587" spans="1:32" ht="15" x14ac:dyDescent="0.2">
      <c r="C587" s="60" t="s">
        <v>413</v>
      </c>
      <c r="D587" s="60"/>
      <c r="E587" s="60"/>
      <c r="F587" s="60"/>
      <c r="G587" s="60"/>
      <c r="H587" s="60"/>
      <c r="I587" s="60"/>
      <c r="J587" s="73">
        <f>J586*0.2</f>
        <v>97190.923999999985</v>
      </c>
      <c r="K587" s="73"/>
    </row>
    <row r="588" spans="1:32" ht="15.75" x14ac:dyDescent="0.25">
      <c r="C588" s="61" t="s">
        <v>859</v>
      </c>
      <c r="D588" s="61"/>
      <c r="E588" s="61"/>
      <c r="F588" s="61"/>
      <c r="G588" s="61"/>
      <c r="H588" s="61"/>
      <c r="I588" s="61"/>
      <c r="J588" s="72">
        <f>J586+J587</f>
        <v>583145.54399999988</v>
      </c>
      <c r="K588" s="72"/>
    </row>
    <row r="590" spans="1:32" ht="14.25" x14ac:dyDescent="0.2">
      <c r="A590" s="25" t="s">
        <v>799</v>
      </c>
      <c r="B590" s="25"/>
      <c r="C590" s="26" t="s">
        <v>800</v>
      </c>
      <c r="D590" s="22" t="str">
        <f>IF(Source!AC12&lt;&gt;"", Source!AC12," ")</f>
        <v xml:space="preserve"> </v>
      </c>
      <c r="E590" s="22"/>
      <c r="F590" s="22"/>
      <c r="G590" s="22"/>
      <c r="H590" s="22"/>
      <c r="I590" s="11" t="str">
        <f>IF(Source!AB12&lt;&gt;"", Source!AB12," ")</f>
        <v xml:space="preserve"> </v>
      </c>
      <c r="J590" s="11"/>
      <c r="K590" s="11"/>
      <c r="L590" s="11"/>
    </row>
    <row r="591" spans="1:32" ht="14.25" x14ac:dyDescent="0.2">
      <c r="A591" s="11"/>
      <c r="B591" s="11"/>
      <c r="C591" s="26"/>
      <c r="D591" s="71" t="s">
        <v>801</v>
      </c>
      <c r="E591" s="71"/>
      <c r="F591" s="71"/>
      <c r="G591" s="71"/>
      <c r="H591" s="71"/>
      <c r="I591" s="11"/>
      <c r="J591" s="11"/>
      <c r="K591" s="11"/>
      <c r="L591" s="11"/>
    </row>
    <row r="592" spans="1:32" ht="14.25" x14ac:dyDescent="0.2">
      <c r="A592" s="11"/>
      <c r="B592" s="11"/>
      <c r="C592" s="26"/>
      <c r="D592" s="11"/>
      <c r="E592" s="11"/>
      <c r="F592" s="11"/>
      <c r="G592" s="11"/>
      <c r="H592" s="11"/>
      <c r="I592" s="11"/>
      <c r="J592" s="11"/>
      <c r="K592" s="11"/>
      <c r="L592" s="11"/>
    </row>
    <row r="593" spans="1:12" ht="14.25" x14ac:dyDescent="0.2">
      <c r="A593" s="25" t="s">
        <v>799</v>
      </c>
      <c r="B593" s="25"/>
      <c r="C593" s="26" t="s">
        <v>802</v>
      </c>
      <c r="D593" s="22" t="str">
        <f>IF(Source!AE12&lt;&gt;"", Source!AE12," ")</f>
        <v xml:space="preserve"> </v>
      </c>
      <c r="E593" s="22"/>
      <c r="F593" s="22"/>
      <c r="G593" s="22"/>
      <c r="H593" s="22"/>
      <c r="I593" s="11" t="str">
        <f>IF(Source!AD12&lt;&gt;"", Source!AD12," ")</f>
        <v xml:space="preserve"> </v>
      </c>
      <c r="J593" s="11"/>
      <c r="K593" s="11"/>
      <c r="L593" s="11"/>
    </row>
    <row r="594" spans="1:12" ht="14.25" x14ac:dyDescent="0.2">
      <c r="A594" s="11"/>
      <c r="B594" s="11"/>
      <c r="C594" s="11"/>
      <c r="D594" s="71" t="s">
        <v>801</v>
      </c>
      <c r="E594" s="71"/>
      <c r="F594" s="71"/>
      <c r="G594" s="71"/>
      <c r="H594" s="71"/>
      <c r="I594" s="11"/>
      <c r="J594" s="11"/>
      <c r="K594" s="11"/>
      <c r="L594" s="11"/>
    </row>
  </sheetData>
  <mergeCells count="283">
    <mergeCell ref="B2:K2"/>
    <mergeCell ref="B3:K3"/>
    <mergeCell ref="F5:G5"/>
    <mergeCell ref="H5:K5"/>
    <mergeCell ref="B7:K7"/>
    <mergeCell ref="B9:K9"/>
    <mergeCell ref="B11:K11"/>
    <mergeCell ref="B12:K12"/>
    <mergeCell ref="A14:L14"/>
    <mergeCell ref="G17:H17"/>
    <mergeCell ref="I17:J17"/>
    <mergeCell ref="C18:F18"/>
    <mergeCell ref="G18:H18"/>
    <mergeCell ref="I18:J18"/>
    <mergeCell ref="K18:L18"/>
    <mergeCell ref="C21:F21"/>
    <mergeCell ref="G21:H21"/>
    <mergeCell ref="I21:J21"/>
    <mergeCell ref="K21:L21"/>
    <mergeCell ref="C22:F22"/>
    <mergeCell ref="G22:H22"/>
    <mergeCell ref="I22:J22"/>
    <mergeCell ref="K22:L22"/>
    <mergeCell ref="C19:F19"/>
    <mergeCell ref="G19:H19"/>
    <mergeCell ref="I19:J19"/>
    <mergeCell ref="K19:L19"/>
    <mergeCell ref="C20:F20"/>
    <mergeCell ref="G20:H20"/>
    <mergeCell ref="I20:J20"/>
    <mergeCell ref="K20:L20"/>
    <mergeCell ref="A26:L26"/>
    <mergeCell ref="J87:K87"/>
    <mergeCell ref="G87:H87"/>
    <mergeCell ref="F85:G85"/>
    <mergeCell ref="C23:F23"/>
    <mergeCell ref="G23:H23"/>
    <mergeCell ref="I23:J23"/>
    <mergeCell ref="K23:L23"/>
    <mergeCell ref="C24:F24"/>
    <mergeCell ref="G24:H24"/>
    <mergeCell ref="I24:J24"/>
    <mergeCell ref="K24:L24"/>
    <mergeCell ref="J77:K77"/>
    <mergeCell ref="G77:H77"/>
    <mergeCell ref="J68:K68"/>
    <mergeCell ref="G68:H68"/>
    <mergeCell ref="F66:G66"/>
    <mergeCell ref="C586:I586"/>
    <mergeCell ref="J586:K586"/>
    <mergeCell ref="D591:H591"/>
    <mergeCell ref="D594:H594"/>
    <mergeCell ref="J588:K588"/>
    <mergeCell ref="J587:K587"/>
    <mergeCell ref="J40:K40"/>
    <mergeCell ref="G40:H40"/>
    <mergeCell ref="A32:L32"/>
    <mergeCell ref="A30:L30"/>
    <mergeCell ref="G145:H145"/>
    <mergeCell ref="F143:G143"/>
    <mergeCell ref="F142:G142"/>
    <mergeCell ref="J135:K135"/>
    <mergeCell ref="G135:H135"/>
    <mergeCell ref="F133:G133"/>
    <mergeCell ref="F50:G50"/>
    <mergeCell ref="F49:G49"/>
    <mergeCell ref="J44:K44"/>
    <mergeCell ref="G44:H44"/>
    <mergeCell ref="J42:K42"/>
    <mergeCell ref="G42:H42"/>
    <mergeCell ref="F65:G65"/>
    <mergeCell ref="J58:K58"/>
    <mergeCell ref="G58:H58"/>
    <mergeCell ref="F56:G56"/>
    <mergeCell ref="F55:G55"/>
    <mergeCell ref="J52:K52"/>
    <mergeCell ref="G52:H52"/>
    <mergeCell ref="F84:G84"/>
    <mergeCell ref="J96:K96"/>
    <mergeCell ref="G96:H96"/>
    <mergeCell ref="J190:K190"/>
    <mergeCell ref="G190:H190"/>
    <mergeCell ref="F188:G188"/>
    <mergeCell ref="F187:G187"/>
    <mergeCell ref="J183:K183"/>
    <mergeCell ref="G183:H183"/>
    <mergeCell ref="F181:G181"/>
    <mergeCell ref="F180:G180"/>
    <mergeCell ref="F113:G113"/>
    <mergeCell ref="F112:G112"/>
    <mergeCell ref="J106:K106"/>
    <mergeCell ref="G106:H106"/>
    <mergeCell ref="F103:G103"/>
    <mergeCell ref="F102:G102"/>
    <mergeCell ref="F132:G132"/>
    <mergeCell ref="J125:K125"/>
    <mergeCell ref="G125:H125"/>
    <mergeCell ref="F123:G123"/>
    <mergeCell ref="F122:G122"/>
    <mergeCell ref="J115:K115"/>
    <mergeCell ref="G115:H115"/>
    <mergeCell ref="J145:K145"/>
    <mergeCell ref="G213:H213"/>
    <mergeCell ref="J211:K211"/>
    <mergeCell ref="G211:H211"/>
    <mergeCell ref="J209:K209"/>
    <mergeCell ref="G209:H209"/>
    <mergeCell ref="J207:K207"/>
    <mergeCell ref="G207:H207"/>
    <mergeCell ref="J205:K205"/>
    <mergeCell ref="G205:H205"/>
    <mergeCell ref="F162:G162"/>
    <mergeCell ref="F161:G161"/>
    <mergeCell ref="J155:K155"/>
    <mergeCell ref="G155:H155"/>
    <mergeCell ref="F153:G153"/>
    <mergeCell ref="F152:G152"/>
    <mergeCell ref="J173:K173"/>
    <mergeCell ref="G173:H173"/>
    <mergeCell ref="F171:G171"/>
    <mergeCell ref="F170:G170"/>
    <mergeCell ref="J166:K166"/>
    <mergeCell ref="G166:H166"/>
    <mergeCell ref="J196:K196"/>
    <mergeCell ref="G196:H196"/>
    <mergeCell ref="J193:K193"/>
    <mergeCell ref="G193:H193"/>
    <mergeCell ref="J257:K257"/>
    <mergeCell ref="G257:H257"/>
    <mergeCell ref="F254:G254"/>
    <mergeCell ref="F253:G253"/>
    <mergeCell ref="J246:K246"/>
    <mergeCell ref="G246:H246"/>
    <mergeCell ref="J202:K202"/>
    <mergeCell ref="G202:H202"/>
    <mergeCell ref="J200:K200"/>
    <mergeCell ref="G200:H200"/>
    <mergeCell ref="J198:K198"/>
    <mergeCell ref="G198:H198"/>
    <mergeCell ref="J213:K213"/>
    <mergeCell ref="J314:K314"/>
    <mergeCell ref="G314:H314"/>
    <mergeCell ref="A305:L305"/>
    <mergeCell ref="G301:H301"/>
    <mergeCell ref="J301:K301"/>
    <mergeCell ref="A301:F301"/>
    <mergeCell ref="J299:K299"/>
    <mergeCell ref="G299:H299"/>
    <mergeCell ref="F296:G296"/>
    <mergeCell ref="A223:L223"/>
    <mergeCell ref="A221:L221"/>
    <mergeCell ref="G217:H217"/>
    <mergeCell ref="J217:K217"/>
    <mergeCell ref="A217:F217"/>
    <mergeCell ref="J215:K215"/>
    <mergeCell ref="G215:H215"/>
    <mergeCell ref="J244:K244"/>
    <mergeCell ref="G244:H244"/>
    <mergeCell ref="J241:K241"/>
    <mergeCell ref="G241:H241"/>
    <mergeCell ref="J232:K232"/>
    <mergeCell ref="G232:H232"/>
    <mergeCell ref="F365:G365"/>
    <mergeCell ref="J358:K358"/>
    <mergeCell ref="G358:H358"/>
    <mergeCell ref="F275:G275"/>
    <mergeCell ref="F274:G274"/>
    <mergeCell ref="J268:K268"/>
    <mergeCell ref="G268:H268"/>
    <mergeCell ref="F265:G265"/>
    <mergeCell ref="F264:G264"/>
    <mergeCell ref="F295:G295"/>
    <mergeCell ref="J290:K290"/>
    <mergeCell ref="G290:H290"/>
    <mergeCell ref="F286:G286"/>
    <mergeCell ref="F285:G285"/>
    <mergeCell ref="J278:K278"/>
    <mergeCell ref="G278:H278"/>
    <mergeCell ref="F375:G375"/>
    <mergeCell ref="A398:L398"/>
    <mergeCell ref="G394:H394"/>
    <mergeCell ref="J394:K394"/>
    <mergeCell ref="A394:F394"/>
    <mergeCell ref="J392:K392"/>
    <mergeCell ref="G392:H392"/>
    <mergeCell ref="J322:K322"/>
    <mergeCell ref="G322:H322"/>
    <mergeCell ref="J336:K336"/>
    <mergeCell ref="G336:H336"/>
    <mergeCell ref="J334:K334"/>
    <mergeCell ref="G334:H334"/>
    <mergeCell ref="J331:K331"/>
    <mergeCell ref="G331:H331"/>
    <mergeCell ref="F355:G355"/>
    <mergeCell ref="F354:G354"/>
    <mergeCell ref="J347:K347"/>
    <mergeCell ref="G347:H347"/>
    <mergeCell ref="F344:G344"/>
    <mergeCell ref="F343:G343"/>
    <mergeCell ref="J370:K370"/>
    <mergeCell ref="G370:H370"/>
    <mergeCell ref="F366:G366"/>
    <mergeCell ref="J476:K476"/>
    <mergeCell ref="G476:H476"/>
    <mergeCell ref="F472:G472"/>
    <mergeCell ref="F471:G471"/>
    <mergeCell ref="F388:G388"/>
    <mergeCell ref="F387:G387"/>
    <mergeCell ref="J380:K380"/>
    <mergeCell ref="G380:H380"/>
    <mergeCell ref="F376:G376"/>
    <mergeCell ref="J428:K428"/>
    <mergeCell ref="G428:H428"/>
    <mergeCell ref="J425:K425"/>
    <mergeCell ref="G425:H425"/>
    <mergeCell ref="J416:K416"/>
    <mergeCell ref="G416:H416"/>
    <mergeCell ref="J407:K407"/>
    <mergeCell ref="G407:H407"/>
    <mergeCell ref="B432:K432"/>
    <mergeCell ref="J430:K430"/>
    <mergeCell ref="G430:H430"/>
    <mergeCell ref="F540:G540"/>
    <mergeCell ref="F539:G539"/>
    <mergeCell ref="J534:K534"/>
    <mergeCell ref="G534:H534"/>
    <mergeCell ref="F530:G530"/>
    <mergeCell ref="F529:G529"/>
    <mergeCell ref="J522:K522"/>
    <mergeCell ref="F451:G451"/>
    <mergeCell ref="F450:G450"/>
    <mergeCell ref="J443:K443"/>
    <mergeCell ref="G443:H443"/>
    <mergeCell ref="F440:G440"/>
    <mergeCell ref="F439:G439"/>
    <mergeCell ref="J466:K466"/>
    <mergeCell ref="G466:H466"/>
    <mergeCell ref="F462:G462"/>
    <mergeCell ref="F461:G461"/>
    <mergeCell ref="J454:K454"/>
    <mergeCell ref="G454:H454"/>
    <mergeCell ref="F484:G484"/>
    <mergeCell ref="F483:G483"/>
    <mergeCell ref="J488:K488"/>
    <mergeCell ref="G488:H488"/>
    <mergeCell ref="J580:K580"/>
    <mergeCell ref="A580:F580"/>
    <mergeCell ref="G576:H576"/>
    <mergeCell ref="J576:K576"/>
    <mergeCell ref="A576:F576"/>
    <mergeCell ref="G572:H572"/>
    <mergeCell ref="J572:K572"/>
    <mergeCell ref="A572:F572"/>
    <mergeCell ref="F508:G508"/>
    <mergeCell ref="J501:K501"/>
    <mergeCell ref="G501:H501"/>
    <mergeCell ref="F498:G498"/>
    <mergeCell ref="F497:G497"/>
    <mergeCell ref="B490:K490"/>
    <mergeCell ref="G522:H522"/>
    <mergeCell ref="F519:G519"/>
    <mergeCell ref="F518:G518"/>
    <mergeCell ref="J512:K512"/>
    <mergeCell ref="G512:H512"/>
    <mergeCell ref="F509:G509"/>
    <mergeCell ref="J543:K543"/>
    <mergeCell ref="G543:H543"/>
    <mergeCell ref="G584:H584"/>
    <mergeCell ref="J584:K584"/>
    <mergeCell ref="A584:F584"/>
    <mergeCell ref="G580:H580"/>
    <mergeCell ref="F557:G557"/>
    <mergeCell ref="F556:G556"/>
    <mergeCell ref="A549:L549"/>
    <mergeCell ref="G545:H545"/>
    <mergeCell ref="J545:K545"/>
    <mergeCell ref="A545:F545"/>
    <mergeCell ref="J570:K570"/>
    <mergeCell ref="G570:H570"/>
    <mergeCell ref="F568:G568"/>
    <mergeCell ref="F567:G567"/>
    <mergeCell ref="J560:K560"/>
    <mergeCell ref="G560:H560"/>
  </mergeCells>
  <pageMargins left="0.4" right="0.2" top="0.2" bottom="0.4" header="0.2" footer="0.2"/>
  <pageSetup paperSize="9" scale="61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9"/>
  <sheetViews>
    <sheetView workbookViewId="0"/>
  </sheetViews>
  <sheetFormatPr defaultRowHeight="12.75" x14ac:dyDescent="0.2"/>
  <sheetData>
    <row r="1" spans="1:23" x14ac:dyDescent="0.2">
      <c r="A1" t="s">
        <v>826</v>
      </c>
      <c r="B1" t="s">
        <v>827</v>
      </c>
      <c r="C1" t="s">
        <v>828</v>
      </c>
      <c r="D1" t="s">
        <v>829</v>
      </c>
      <c r="E1" t="s">
        <v>830</v>
      </c>
      <c r="F1" t="s">
        <v>831</v>
      </c>
      <c r="G1" t="s">
        <v>832</v>
      </c>
      <c r="H1" t="s">
        <v>833</v>
      </c>
      <c r="I1" t="s">
        <v>834</v>
      </c>
      <c r="J1" t="s">
        <v>835</v>
      </c>
    </row>
    <row r="2" spans="1:23" x14ac:dyDescent="0.2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</row>
    <row r="4" spans="1:23" x14ac:dyDescent="0.2">
      <c r="A4" t="s">
        <v>803</v>
      </c>
      <c r="B4" t="s">
        <v>804</v>
      </c>
      <c r="C4" t="s">
        <v>805</v>
      </c>
      <c r="D4" t="s">
        <v>806</v>
      </c>
      <c r="E4" t="s">
        <v>807</v>
      </c>
      <c r="F4" t="s">
        <v>808</v>
      </c>
      <c r="G4" t="s">
        <v>809</v>
      </c>
      <c r="H4" t="s">
        <v>810</v>
      </c>
      <c r="I4" t="s">
        <v>811</v>
      </c>
      <c r="J4" t="s">
        <v>812</v>
      </c>
      <c r="K4" t="s">
        <v>813</v>
      </c>
      <c r="L4" t="s">
        <v>814</v>
      </c>
      <c r="M4" t="s">
        <v>815</v>
      </c>
      <c r="N4" t="s">
        <v>816</v>
      </c>
      <c r="O4" t="s">
        <v>817</v>
      </c>
      <c r="P4" t="s">
        <v>818</v>
      </c>
      <c r="Q4" t="s">
        <v>819</v>
      </c>
      <c r="R4" t="s">
        <v>820</v>
      </c>
      <c r="S4" t="s">
        <v>821</v>
      </c>
      <c r="T4" t="s">
        <v>822</v>
      </c>
      <c r="U4" t="s">
        <v>823</v>
      </c>
      <c r="V4" t="s">
        <v>824</v>
      </c>
      <c r="W4" t="s">
        <v>825</v>
      </c>
    </row>
    <row r="6" spans="1:23" x14ac:dyDescent="0.2">
      <c r="A6">
        <f>Source!A20</f>
        <v>3</v>
      </c>
      <c r="B6">
        <v>20</v>
      </c>
      <c r="G6" t="str">
        <f>Source!G20</f>
        <v>Локальная смета №1</v>
      </c>
    </row>
    <row r="7" spans="1:23" x14ac:dyDescent="0.2">
      <c r="A7">
        <f>Source!A24</f>
        <v>4</v>
      </c>
      <c r="B7">
        <v>24</v>
      </c>
      <c r="G7" t="str">
        <f>Source!G24</f>
        <v>Металическое ограждение</v>
      </c>
    </row>
    <row r="8" spans="1:23" x14ac:dyDescent="0.2">
      <c r="A8">
        <f>Source!A28</f>
        <v>17</v>
      </c>
      <c r="C8">
        <v>3</v>
      </c>
      <c r="D8">
        <f>Source!BI28</f>
        <v>1</v>
      </c>
      <c r="E8">
        <f>Source!FS28</f>
        <v>0</v>
      </c>
      <c r="F8" t="str">
        <f>Source!F28</f>
        <v/>
      </c>
      <c r="G8" t="str">
        <f>Source!G28</f>
        <v/>
      </c>
      <c r="H8" t="str">
        <f>Source!H28</f>
        <v/>
      </c>
      <c r="I8">
        <f>Source!I28</f>
        <v>0</v>
      </c>
      <c r="J8">
        <v>1</v>
      </c>
      <c r="K8">
        <f>Source!AC28</f>
        <v>0</v>
      </c>
      <c r="M8">
        <f>ROUND(K8*I8, 2)</f>
        <v>0</v>
      </c>
      <c r="N8">
        <f>Source!AC28*IF(Source!BC28&lt;&gt; 0, Source!BC28, 1)</f>
        <v>0</v>
      </c>
      <c r="O8">
        <f>ROUND(N8*I8, 2)</f>
        <v>0</v>
      </c>
      <c r="P8">
        <f>Source!AE28</f>
        <v>0</v>
      </c>
      <c r="R8">
        <f>ROUND(P8*I8, 2)</f>
        <v>0</v>
      </c>
      <c r="S8">
        <f>Source!AE28*IF(Source!BS28&lt;&gt; 0, Source!BS28, 1)</f>
        <v>0</v>
      </c>
      <c r="T8">
        <f>ROUND(S8*I8, 2)</f>
        <v>0</v>
      </c>
      <c r="U8">
        <f>Source!GF28</f>
        <v>1218112172</v>
      </c>
      <c r="V8">
        <v>1952614224</v>
      </c>
      <c r="W8">
        <v>1463393493</v>
      </c>
    </row>
    <row r="9" spans="1:23" x14ac:dyDescent="0.2">
      <c r="A9">
        <f>Source!A29</f>
        <v>17</v>
      </c>
      <c r="C9">
        <v>1</v>
      </c>
      <c r="D9">
        <v>0</v>
      </c>
      <c r="E9">
        <f>SmtRes!AV1</f>
        <v>1</v>
      </c>
      <c r="F9" t="str">
        <f>SmtRes!I1</f>
        <v>1-100-25</v>
      </c>
      <c r="G9" t="str">
        <f>SmtRes!K1</f>
        <v>Рабочий среднего разряда 2.5</v>
      </c>
      <c r="H9" t="str">
        <f>SmtRes!O1</f>
        <v>чел.-ч.</v>
      </c>
      <c r="I9">
        <f>SmtRes!Y1*Source!I29</f>
        <v>504.41208</v>
      </c>
      <c r="J9">
        <f>SmtRes!AO1</f>
        <v>1</v>
      </c>
      <c r="K9">
        <f>SmtRes!AH1</f>
        <v>8.17</v>
      </c>
      <c r="L9">
        <f>SmtRes!DB1</f>
        <v>501.34249999999997</v>
      </c>
      <c r="M9">
        <f>ROUND(ROUND(L9*Source!I29, 6)*1, 2)</f>
        <v>4121.04</v>
      </c>
      <c r="N9">
        <f>SmtRes!AD1</f>
        <v>8.17</v>
      </c>
      <c r="O9">
        <f>ROUND(ROUND(L9*Source!I29, 6)*SmtRes!DA1, 2)</f>
        <v>4121.04</v>
      </c>
      <c r="P9">
        <f>SmtRes!AG1</f>
        <v>0</v>
      </c>
      <c r="Q9">
        <f>SmtRes!DC1</f>
        <v>0</v>
      </c>
      <c r="R9">
        <f>ROUND(ROUND(Q9*Source!I29, 6)*1, 2)</f>
        <v>0</v>
      </c>
      <c r="S9">
        <f>SmtRes!AC1</f>
        <v>0</v>
      </c>
      <c r="T9">
        <f>ROUND(ROUND(Q9*Source!I29, 6)*SmtRes!AK1, 2)</f>
        <v>0</v>
      </c>
      <c r="U9">
        <f>SmtRes!X1</f>
        <v>-509590494</v>
      </c>
      <c r="V9">
        <v>403823990</v>
      </c>
      <c r="W9">
        <v>78448524</v>
      </c>
    </row>
    <row r="10" spans="1:23" x14ac:dyDescent="0.2">
      <c r="A10">
        <f>Source!A30</f>
        <v>18</v>
      </c>
      <c r="C10">
        <v>3</v>
      </c>
      <c r="D10">
        <f>Source!BI30</f>
        <v>1</v>
      </c>
      <c r="E10">
        <f>Source!FS30</f>
        <v>0</v>
      </c>
      <c r="F10" t="str">
        <f>Source!F30</f>
        <v>01.7.07.07</v>
      </c>
      <c r="G10" t="str">
        <f>Source!G30</f>
        <v>Строительный мусор</v>
      </c>
      <c r="H10" t="str">
        <f>Source!H30</f>
        <v>т</v>
      </c>
      <c r="I10">
        <f>Source!I30</f>
        <v>3.8633999999999999</v>
      </c>
      <c r="J10">
        <v>1</v>
      </c>
      <c r="K10">
        <f>Source!AC30</f>
        <v>0</v>
      </c>
      <c r="M10">
        <f>ROUND(K10*I10, 2)</f>
        <v>0</v>
      </c>
      <c r="N10">
        <f>Source!AC30*IF(Source!BC30&lt;&gt; 0, Source!BC30, 1)</f>
        <v>0</v>
      </c>
      <c r="O10">
        <f>ROUND(N10*I10, 2)</f>
        <v>0</v>
      </c>
      <c r="P10">
        <f>Source!AE30</f>
        <v>0</v>
      </c>
      <c r="R10">
        <f>ROUND(P10*I10, 2)</f>
        <v>0</v>
      </c>
      <c r="S10">
        <f>Source!AE30*IF(Source!BS30&lt;&gt; 0, Source!BS30, 1)</f>
        <v>0</v>
      </c>
      <c r="T10">
        <f>ROUND(S10*I10, 2)</f>
        <v>0</v>
      </c>
      <c r="U10">
        <f>Source!GF30</f>
        <v>-179832266</v>
      </c>
      <c r="V10">
        <v>-11714734</v>
      </c>
      <c r="W10">
        <v>-682517808</v>
      </c>
    </row>
    <row r="11" spans="1:23" x14ac:dyDescent="0.2">
      <c r="A11">
        <f>Source!A33</f>
        <v>17</v>
      </c>
      <c r="C11">
        <v>3</v>
      </c>
      <c r="D11">
        <v>0</v>
      </c>
      <c r="E11">
        <f>SmtRes!AV5</f>
        <v>0</v>
      </c>
      <c r="F11" t="str">
        <f>SmtRes!I5</f>
        <v>11.1.03.05-0090</v>
      </c>
      <c r="G11" t="str">
        <f>SmtRes!K5</f>
        <v>Доски необрезные хвойных пород длиной 4-6,5 м, шириной 75-150 мм, толщиной 16 мм, IV сорта</v>
      </c>
      <c r="H11" t="str">
        <f>SmtRes!O5</f>
        <v>м3</v>
      </c>
      <c r="I11">
        <f>SmtRes!Y5*Source!I33</f>
        <v>1.1040000000000002E-3</v>
      </c>
      <c r="J11">
        <f>SmtRes!AO5</f>
        <v>1</v>
      </c>
      <c r="K11">
        <f>SmtRes!AE5</f>
        <v>802</v>
      </c>
      <c r="L11">
        <f>SmtRes!DB5</f>
        <v>0.8</v>
      </c>
      <c r="M11">
        <f>ROUND(ROUND(L11*Source!I33, 6)*1, 2)</f>
        <v>0.88</v>
      </c>
      <c r="N11">
        <f>SmtRes!AA5</f>
        <v>802</v>
      </c>
      <c r="O11">
        <f>ROUND(ROUND(L11*Source!I33, 6)*SmtRes!DA5, 2)</f>
        <v>0.88</v>
      </c>
      <c r="P11">
        <f>SmtRes!AG5</f>
        <v>0</v>
      </c>
      <c r="Q11">
        <f>SmtRes!DC5</f>
        <v>0</v>
      </c>
      <c r="R11">
        <f>ROUND(ROUND(Q11*Source!I33, 6)*1, 2)</f>
        <v>0</v>
      </c>
      <c r="S11">
        <f>SmtRes!AC5</f>
        <v>0</v>
      </c>
      <c r="T11">
        <f>ROUND(ROUND(Q11*Source!I33, 6)*SmtRes!AK5, 2)</f>
        <v>0</v>
      </c>
      <c r="U11">
        <f>SmtRes!X5</f>
        <v>-556654331</v>
      </c>
      <c r="V11">
        <v>1062592726</v>
      </c>
      <c r="W11">
        <v>-1305018714</v>
      </c>
    </row>
    <row r="12" spans="1:23" x14ac:dyDescent="0.2">
      <c r="A12">
        <f>Source!A33</f>
        <v>17</v>
      </c>
      <c r="C12">
        <v>3</v>
      </c>
      <c r="D12">
        <v>0</v>
      </c>
      <c r="E12">
        <f>SmtRes!AV4</f>
        <v>0</v>
      </c>
      <c r="F12" t="str">
        <f>SmtRes!I4</f>
        <v>01.7.20.07-0001</v>
      </c>
      <c r="G12" t="str">
        <f>SmtRes!K4</f>
        <v>Шпагат из пенькового волокна</v>
      </c>
      <c r="H12" t="str">
        <f>SmtRes!O4</f>
        <v>т</v>
      </c>
      <c r="I12">
        <f>SmtRes!Y4*Source!I33</f>
        <v>2.2080000000000003E-4</v>
      </c>
      <c r="J12">
        <f>SmtRes!AO4</f>
        <v>1</v>
      </c>
      <c r="K12">
        <f>SmtRes!AE4</f>
        <v>37600.01</v>
      </c>
      <c r="L12">
        <f>SmtRes!DB4</f>
        <v>7.52</v>
      </c>
      <c r="M12">
        <f>ROUND(ROUND(L12*Source!I33, 6)*1, 2)</f>
        <v>8.3000000000000007</v>
      </c>
      <c r="N12">
        <f>SmtRes!AA4</f>
        <v>37600.01</v>
      </c>
      <c r="O12">
        <f>ROUND(ROUND(L12*Source!I33, 6)*SmtRes!DA4, 2)</f>
        <v>8.3000000000000007</v>
      </c>
      <c r="P12">
        <f>SmtRes!AG4</f>
        <v>0</v>
      </c>
      <c r="Q12">
        <f>SmtRes!DC4</f>
        <v>0</v>
      </c>
      <c r="R12">
        <f>ROUND(ROUND(Q12*Source!I33, 6)*1, 2)</f>
        <v>0</v>
      </c>
      <c r="S12">
        <f>SmtRes!AC4</f>
        <v>0</v>
      </c>
      <c r="T12">
        <f>ROUND(ROUND(Q12*Source!I33, 6)*SmtRes!AK4, 2)</f>
        <v>0</v>
      </c>
      <c r="U12">
        <f>SmtRes!X4</f>
        <v>1598981629</v>
      </c>
      <c r="V12">
        <v>-207814755</v>
      </c>
      <c r="W12">
        <v>714967763</v>
      </c>
    </row>
    <row r="13" spans="1:23" x14ac:dyDescent="0.2">
      <c r="A13">
        <f>Source!A33</f>
        <v>17</v>
      </c>
      <c r="C13">
        <v>1</v>
      </c>
      <c r="D13">
        <v>0</v>
      </c>
      <c r="E13">
        <f>SmtRes!AV3</f>
        <v>1</v>
      </c>
      <c r="F13" t="str">
        <f>SmtRes!I3</f>
        <v>1-100-33</v>
      </c>
      <c r="G13" t="str">
        <f>SmtRes!K3</f>
        <v>Рабочий среднего разряда 3.3</v>
      </c>
      <c r="H13" t="str">
        <f>SmtRes!O3</f>
        <v>чел.-ч.</v>
      </c>
      <c r="I13">
        <f>SmtRes!Y3*Source!I33</f>
        <v>11.1255048</v>
      </c>
      <c r="J13">
        <f>SmtRes!AO3</f>
        <v>1</v>
      </c>
      <c r="K13">
        <f>SmtRes!AH3</f>
        <v>8.86</v>
      </c>
      <c r="L13">
        <f>SmtRes!DB3</f>
        <v>89.281975000000003</v>
      </c>
      <c r="M13">
        <f>ROUND(ROUND(L13*Source!I33, 6)*1, 2)</f>
        <v>98.57</v>
      </c>
      <c r="N13">
        <f>SmtRes!AD3</f>
        <v>8.86</v>
      </c>
      <c r="O13">
        <f>ROUND(ROUND(L13*Source!I33, 6)*SmtRes!DA3, 2)</f>
        <v>98.57</v>
      </c>
      <c r="P13">
        <f>SmtRes!AG3</f>
        <v>0</v>
      </c>
      <c r="Q13">
        <f>SmtRes!DC3</f>
        <v>0</v>
      </c>
      <c r="R13">
        <f>ROUND(ROUND(Q13*Source!I33, 6)*1, 2)</f>
        <v>0</v>
      </c>
      <c r="S13">
        <f>SmtRes!AC3</f>
        <v>0</v>
      </c>
      <c r="T13">
        <f>ROUND(ROUND(Q13*Source!I33, 6)*SmtRes!AK3, 2)</f>
        <v>0</v>
      </c>
      <c r="U13">
        <f>SmtRes!X3</f>
        <v>-719309759</v>
      </c>
      <c r="V13">
        <v>772123211</v>
      </c>
      <c r="W13">
        <v>1629495586</v>
      </c>
    </row>
    <row r="14" spans="1:23" x14ac:dyDescent="0.2">
      <c r="A14">
        <f>Source!A34</f>
        <v>17</v>
      </c>
      <c r="C14">
        <v>1</v>
      </c>
      <c r="D14">
        <v>0</v>
      </c>
      <c r="E14">
        <f>SmtRes!AV6</f>
        <v>1</v>
      </c>
      <c r="F14" t="str">
        <f>SmtRes!I6</f>
        <v>1-100-20</v>
      </c>
      <c r="G14" t="str">
        <f>SmtRes!K6</f>
        <v>Рабочий среднего разряда 2</v>
      </c>
      <c r="H14" t="str">
        <f>SmtRes!O6</f>
        <v>чел.-ч.</v>
      </c>
      <c r="I14">
        <f>SmtRes!Y6*Source!I34</f>
        <v>14.892408</v>
      </c>
      <c r="J14">
        <f>SmtRes!AO6</f>
        <v>1</v>
      </c>
      <c r="K14">
        <f>SmtRes!AH6</f>
        <v>7.8</v>
      </c>
      <c r="L14">
        <f>SmtRes!DB6</f>
        <v>105.21810000000001</v>
      </c>
      <c r="M14">
        <f>ROUND(ROUND(L14*Source!I34, 6)*1, 2)</f>
        <v>116.16</v>
      </c>
      <c r="N14">
        <f>SmtRes!AD6</f>
        <v>7.8</v>
      </c>
      <c r="O14">
        <f>ROUND(ROUND(L14*Source!I34, 6)*SmtRes!DA6, 2)</f>
        <v>116.16</v>
      </c>
      <c r="P14">
        <f>SmtRes!AG6</f>
        <v>0</v>
      </c>
      <c r="Q14">
        <f>SmtRes!DC6</f>
        <v>0</v>
      </c>
      <c r="R14">
        <f>ROUND(ROUND(Q14*Source!I34, 6)*1, 2)</f>
        <v>0</v>
      </c>
      <c r="S14">
        <f>SmtRes!AC6</f>
        <v>0</v>
      </c>
      <c r="T14">
        <f>ROUND(ROUND(Q14*Source!I34, 6)*SmtRes!AK6, 2)</f>
        <v>0</v>
      </c>
      <c r="U14">
        <f>SmtRes!X6</f>
        <v>735429535</v>
      </c>
      <c r="V14">
        <v>-634705416</v>
      </c>
      <c r="W14">
        <v>-873429878</v>
      </c>
    </row>
    <row r="15" spans="1:23" x14ac:dyDescent="0.2">
      <c r="A15">
        <f>Source!A35</f>
        <v>17</v>
      </c>
      <c r="C15">
        <v>3</v>
      </c>
      <c r="D15">
        <v>0</v>
      </c>
      <c r="E15">
        <f>SmtRes!AV12</f>
        <v>0</v>
      </c>
      <c r="F15" t="str">
        <f>SmtRes!I12</f>
        <v>11.1.03.01-0001</v>
      </c>
      <c r="G15" t="str">
        <f>SmtRes!K12</f>
        <v>Бруски деревянные 50*50 мм</v>
      </c>
      <c r="H15" t="str">
        <f>SmtRes!O12</f>
        <v>м</v>
      </c>
      <c r="I15">
        <f>SmtRes!Y12*Source!I35</f>
        <v>50.31</v>
      </c>
      <c r="J15">
        <f>SmtRes!AO12</f>
        <v>1</v>
      </c>
      <c r="K15">
        <f>SmtRes!AE12</f>
        <v>4.17</v>
      </c>
      <c r="L15">
        <f>SmtRes!DB12</f>
        <v>233.1</v>
      </c>
      <c r="M15">
        <f>ROUND(ROUND(L15*Source!I35, 6)*1, 2)</f>
        <v>209.79</v>
      </c>
      <c r="N15">
        <f>SmtRes!AA12</f>
        <v>4.17</v>
      </c>
      <c r="O15">
        <f>ROUND(ROUND(L15*Source!I35, 6)*SmtRes!DA12, 2)</f>
        <v>209.79</v>
      </c>
      <c r="P15">
        <f>SmtRes!AG12</f>
        <v>0</v>
      </c>
      <c r="Q15">
        <f>SmtRes!DC12</f>
        <v>0</v>
      </c>
      <c r="R15">
        <f>ROUND(ROUND(Q15*Source!I35, 6)*1, 2)</f>
        <v>0</v>
      </c>
      <c r="S15">
        <f>SmtRes!AC12</f>
        <v>0</v>
      </c>
      <c r="T15">
        <f>ROUND(ROUND(Q15*Source!I35, 6)*SmtRes!AK12, 2)</f>
        <v>0</v>
      </c>
      <c r="U15">
        <f>SmtRes!X12</f>
        <v>1321173899</v>
      </c>
      <c r="V15">
        <v>-1954818838</v>
      </c>
      <c r="W15">
        <v>-492646697</v>
      </c>
    </row>
    <row r="16" spans="1:23" x14ac:dyDescent="0.2">
      <c r="A16">
        <f>Source!A35</f>
        <v>17</v>
      </c>
      <c r="C16">
        <v>2</v>
      </c>
      <c r="D16">
        <v>0</v>
      </c>
      <c r="E16">
        <f>SmtRes!AV11</f>
        <v>0</v>
      </c>
      <c r="F16" t="str">
        <f>SmtRes!I11</f>
        <v>91.14.02-001</v>
      </c>
      <c r="G16" t="str">
        <f>SmtRes!K11</f>
        <v>Автомобили бортовые, грузоподъемность до 5 т</v>
      </c>
      <c r="H16" t="str">
        <f>SmtRes!O11</f>
        <v>маш.-ч</v>
      </c>
      <c r="I16">
        <f>SmtRes!Y11*Source!I35</f>
        <v>1.242</v>
      </c>
      <c r="J16">
        <f>SmtRes!AO11</f>
        <v>1</v>
      </c>
      <c r="K16">
        <f>SmtRes!AF11</f>
        <v>65.709999999999994</v>
      </c>
      <c r="L16">
        <f>SmtRes!DB11</f>
        <v>90.677499999999995</v>
      </c>
      <c r="M16">
        <f>ROUND(ROUND(L16*Source!I35, 6)*1, 2)</f>
        <v>81.61</v>
      </c>
      <c r="N16">
        <f>SmtRes!AB11</f>
        <v>65.709999999999994</v>
      </c>
      <c r="O16">
        <f>ROUND(ROUND(L16*Source!I35, 6)*SmtRes!DA11, 2)</f>
        <v>81.61</v>
      </c>
      <c r="P16">
        <f>SmtRes!AG11</f>
        <v>11.6</v>
      </c>
      <c r="Q16">
        <f>SmtRes!DC11</f>
        <v>16.013750000000002</v>
      </c>
      <c r="R16">
        <f>ROUND(ROUND(Q16*Source!I35, 6)*1, 2)</f>
        <v>14.41</v>
      </c>
      <c r="S16">
        <f>SmtRes!AC11</f>
        <v>11.6</v>
      </c>
      <c r="T16">
        <f>ROUND(ROUND(Q16*Source!I35, 6)*SmtRes!AK11, 2)</f>
        <v>14.41</v>
      </c>
      <c r="U16">
        <f>SmtRes!X11</f>
        <v>1372534845</v>
      </c>
      <c r="V16">
        <v>-238339799</v>
      </c>
      <c r="W16">
        <v>1792116812</v>
      </c>
    </row>
    <row r="17" spans="1:23" x14ac:dyDescent="0.2">
      <c r="A17">
        <f>Source!A35</f>
        <v>17</v>
      </c>
      <c r="C17">
        <v>2</v>
      </c>
      <c r="D17">
        <v>0</v>
      </c>
      <c r="E17">
        <f>SmtRes!AV10</f>
        <v>0</v>
      </c>
      <c r="F17" t="str">
        <f>SmtRes!I10</f>
        <v>91.14.01-002</v>
      </c>
      <c r="G17" t="str">
        <f>SmtRes!K10</f>
        <v>Автобетоносмесители 5 м3</v>
      </c>
      <c r="H17" t="str">
        <f>SmtRes!O10</f>
        <v>маш.-ч</v>
      </c>
      <c r="I17">
        <f>SmtRes!Y10*Source!I35</f>
        <v>14.451187499999998</v>
      </c>
      <c r="J17">
        <f>SmtRes!AO10</f>
        <v>1</v>
      </c>
      <c r="K17">
        <f>SmtRes!AF10</f>
        <v>173.51</v>
      </c>
      <c r="L17">
        <f>SmtRes!DB10</f>
        <v>2786.0331249999999</v>
      </c>
      <c r="M17">
        <f>ROUND(ROUND(L17*Source!I35, 6)*1, 2)</f>
        <v>2507.4299999999998</v>
      </c>
      <c r="N17">
        <f>SmtRes!AB10</f>
        <v>173.51</v>
      </c>
      <c r="O17">
        <f>ROUND(ROUND(L17*Source!I35, 6)*SmtRes!DA10, 2)</f>
        <v>2507.4299999999998</v>
      </c>
      <c r="P17">
        <f>SmtRes!AG10</f>
        <v>13.5</v>
      </c>
      <c r="Q17">
        <f>SmtRes!DC10</f>
        <v>216.77500000000001</v>
      </c>
      <c r="R17">
        <f>ROUND(ROUND(Q17*Source!I35, 6)*1, 2)</f>
        <v>195.1</v>
      </c>
      <c r="S17">
        <f>SmtRes!AC10</f>
        <v>13.5</v>
      </c>
      <c r="T17">
        <f>ROUND(ROUND(Q17*Source!I35, 6)*SmtRes!AK10, 2)</f>
        <v>195.1</v>
      </c>
      <c r="U17">
        <f>SmtRes!X10</f>
        <v>651530509</v>
      </c>
      <c r="V17">
        <v>369030429</v>
      </c>
      <c r="W17">
        <v>598448170</v>
      </c>
    </row>
    <row r="18" spans="1:23" x14ac:dyDescent="0.2">
      <c r="A18">
        <f>Source!A35</f>
        <v>17</v>
      </c>
      <c r="C18">
        <v>2</v>
      </c>
      <c r="D18">
        <v>0</v>
      </c>
      <c r="E18">
        <f>SmtRes!AV9</f>
        <v>0</v>
      </c>
      <c r="F18" t="str">
        <f>SmtRes!I9</f>
        <v>91.04.01-031</v>
      </c>
      <c r="G18" t="str">
        <f>SmtRes!K9</f>
        <v>Машины бурильно-крановые на автомобиле, глубина бурения 3,5 м</v>
      </c>
      <c r="H18" t="str">
        <f>SmtRes!O9</f>
        <v>маш.-ч</v>
      </c>
      <c r="I18">
        <f>SmtRes!Y9*Source!I35</f>
        <v>16.689374999999998</v>
      </c>
      <c r="J18">
        <f>SmtRes!AO9</f>
        <v>1</v>
      </c>
      <c r="K18">
        <f>SmtRes!AF9</f>
        <v>138.54</v>
      </c>
      <c r="L18">
        <f>SmtRes!DB9</f>
        <v>2569.0568750000002</v>
      </c>
      <c r="M18">
        <f>ROUND(ROUND(L18*Source!I35, 6)*1, 2)</f>
        <v>2312.15</v>
      </c>
      <c r="N18">
        <f>SmtRes!AB9</f>
        <v>138.54</v>
      </c>
      <c r="O18">
        <f>ROUND(ROUND(L18*Source!I35, 6)*SmtRes!DA9, 2)</f>
        <v>2312.15</v>
      </c>
      <c r="P18">
        <f>SmtRes!AG9</f>
        <v>11.6</v>
      </c>
      <c r="Q18">
        <f>SmtRes!DC9</f>
        <v>215.10749999999999</v>
      </c>
      <c r="R18">
        <f>ROUND(ROUND(Q18*Source!I35, 6)*1, 2)</f>
        <v>193.6</v>
      </c>
      <c r="S18">
        <f>SmtRes!AC9</f>
        <v>11.6</v>
      </c>
      <c r="T18">
        <f>ROUND(ROUND(Q18*Source!I35, 6)*SmtRes!AK9, 2)</f>
        <v>193.6</v>
      </c>
      <c r="U18">
        <f>SmtRes!X9</f>
        <v>-742200527</v>
      </c>
      <c r="V18">
        <v>-1486884678</v>
      </c>
      <c r="W18">
        <v>-980454395</v>
      </c>
    </row>
    <row r="19" spans="1:23" x14ac:dyDescent="0.2">
      <c r="A19">
        <f>Source!A35</f>
        <v>17</v>
      </c>
      <c r="C19">
        <v>1</v>
      </c>
      <c r="D19">
        <v>0</v>
      </c>
      <c r="E19">
        <f>SmtRes!AV8</f>
        <v>2</v>
      </c>
      <c r="F19" t="str">
        <f>SmtRes!I8</f>
        <v>4-100-00</v>
      </c>
      <c r="G19" t="str">
        <f>SmtRes!K8</f>
        <v>Затраты труда машинистов</v>
      </c>
      <c r="H19" t="str">
        <f>SmtRes!O8</f>
        <v>чел.-ч.</v>
      </c>
      <c r="I19">
        <f>SmtRes!Y8*Source!I35</f>
        <v>22.527000000000001</v>
      </c>
      <c r="J19">
        <f>SmtRes!AO8</f>
        <v>1</v>
      </c>
      <c r="K19">
        <f>SmtRes!AH8</f>
        <v>0</v>
      </c>
      <c r="L19">
        <f>SmtRes!DB8</f>
        <v>0</v>
      </c>
      <c r="M19">
        <f>ROUND(ROUND(L19*Source!I35, 6)*1, 2)</f>
        <v>0</v>
      </c>
      <c r="N19">
        <f>SmtRes!AD8</f>
        <v>0</v>
      </c>
      <c r="O19">
        <f>ROUND(ROUND(L19*Source!I35, 6)*SmtRes!DA8, 2)</f>
        <v>0</v>
      </c>
      <c r="P19">
        <f>SmtRes!AG8</f>
        <v>0</v>
      </c>
      <c r="Q19">
        <f>SmtRes!DC8</f>
        <v>0</v>
      </c>
      <c r="R19">
        <f>ROUND(ROUND(Q19*Source!I35, 6)*1, 2)</f>
        <v>0</v>
      </c>
      <c r="S19">
        <f>SmtRes!AC8</f>
        <v>0</v>
      </c>
      <c r="T19">
        <f>ROUND(ROUND(Q19*Source!I35, 6)*SmtRes!AK8, 2)</f>
        <v>0</v>
      </c>
      <c r="U19">
        <f>SmtRes!X8</f>
        <v>-1417349443</v>
      </c>
      <c r="V19">
        <v>-189065469</v>
      </c>
      <c r="W19">
        <v>1122477533</v>
      </c>
    </row>
    <row r="20" spans="1:23" x14ac:dyDescent="0.2">
      <c r="A20">
        <f>Source!A35</f>
        <v>17</v>
      </c>
      <c r="C20">
        <v>1</v>
      </c>
      <c r="D20">
        <v>0</v>
      </c>
      <c r="E20">
        <f>SmtRes!AV7</f>
        <v>1</v>
      </c>
      <c r="F20" t="str">
        <f>SmtRes!I7</f>
        <v>1-100-30</v>
      </c>
      <c r="G20" t="str">
        <f>SmtRes!K7</f>
        <v>Рабочий среднего разряда 3</v>
      </c>
      <c r="H20" t="str">
        <f>SmtRes!O7</f>
        <v>чел.-ч.</v>
      </c>
      <c r="I20">
        <f>SmtRes!Y7*Source!I35</f>
        <v>46.145992499999998</v>
      </c>
      <c r="J20">
        <f>SmtRes!AO7</f>
        <v>1</v>
      </c>
      <c r="K20">
        <f>SmtRes!AH7</f>
        <v>8.5299999999999994</v>
      </c>
      <c r="L20">
        <f>SmtRes!DB7</f>
        <v>437.36397499999998</v>
      </c>
      <c r="M20">
        <f>ROUND(ROUND(L20*Source!I35, 6)*1, 2)</f>
        <v>393.63</v>
      </c>
      <c r="N20">
        <f>SmtRes!AD7</f>
        <v>8.5299999999999994</v>
      </c>
      <c r="O20">
        <f>ROUND(ROUND(L20*Source!I35, 6)*SmtRes!DA7, 2)</f>
        <v>393.63</v>
      </c>
      <c r="P20">
        <f>SmtRes!AG7</f>
        <v>0</v>
      </c>
      <c r="Q20">
        <f>SmtRes!DC7</f>
        <v>0</v>
      </c>
      <c r="R20">
        <f>ROUND(ROUND(Q20*Source!I35, 6)*1, 2)</f>
        <v>0</v>
      </c>
      <c r="S20">
        <f>SmtRes!AC7</f>
        <v>0</v>
      </c>
      <c r="T20">
        <f>ROUND(ROUND(Q20*Source!I35, 6)*SmtRes!AK7, 2)</f>
        <v>0</v>
      </c>
      <c r="U20">
        <f>SmtRes!X7</f>
        <v>-400197608</v>
      </c>
      <c r="V20">
        <v>85649297</v>
      </c>
      <c r="W20">
        <v>-436776913</v>
      </c>
    </row>
    <row r="21" spans="1:23" x14ac:dyDescent="0.2">
      <c r="A21">
        <f>Source!A36</f>
        <v>17</v>
      </c>
      <c r="C21">
        <v>3</v>
      </c>
      <c r="D21">
        <v>0</v>
      </c>
      <c r="E21">
        <f>SmtRes!AV26</f>
        <v>0</v>
      </c>
      <c r="F21" t="str">
        <f>SmtRes!I26</f>
        <v>999-9950</v>
      </c>
      <c r="G21" t="str">
        <f>SmtRes!K26</f>
        <v>Вспомогательные ненормируемые материалы (2% от ОЗП)</v>
      </c>
      <c r="H21" t="str">
        <f>SmtRes!O26</f>
        <v>РУБ</v>
      </c>
      <c r="I21">
        <f>SmtRes!Y26*Source!I36</f>
        <v>4.1575800000000003</v>
      </c>
      <c r="J21">
        <f>SmtRes!AO26</f>
        <v>1</v>
      </c>
      <c r="K21">
        <f>SmtRes!AE26</f>
        <v>1</v>
      </c>
      <c r="L21">
        <f>SmtRes!DB26</f>
        <v>36.47</v>
      </c>
      <c r="M21">
        <f>ROUND(ROUND(L21*Source!I36, 6)*1, 2)</f>
        <v>4.16</v>
      </c>
      <c r="N21">
        <f>SmtRes!AA26</f>
        <v>1</v>
      </c>
      <c r="O21">
        <f>ROUND(ROUND(L21*Source!I36, 6)*SmtRes!DA26, 2)</f>
        <v>4.16</v>
      </c>
      <c r="P21">
        <f>SmtRes!AG26</f>
        <v>0</v>
      </c>
      <c r="Q21">
        <f>SmtRes!DC26</f>
        <v>0</v>
      </c>
      <c r="R21">
        <f>ROUND(ROUND(Q21*Source!I36, 6)*1, 2)</f>
        <v>0</v>
      </c>
      <c r="S21">
        <f>SmtRes!AC26</f>
        <v>0</v>
      </c>
      <c r="T21">
        <f>ROUND(ROUND(Q21*Source!I36, 6)*SmtRes!AK26, 2)</f>
        <v>0</v>
      </c>
      <c r="U21">
        <f>SmtRes!X26</f>
        <v>-1731369543</v>
      </c>
      <c r="V21">
        <v>-1976923909</v>
      </c>
      <c r="W21">
        <v>-1558966276</v>
      </c>
    </row>
    <row r="22" spans="1:23" x14ac:dyDescent="0.2">
      <c r="A22">
        <f>Source!A36</f>
        <v>17</v>
      </c>
      <c r="C22">
        <v>3</v>
      </c>
      <c r="D22">
        <v>0</v>
      </c>
      <c r="E22">
        <f>SmtRes!AV25</f>
        <v>0</v>
      </c>
      <c r="F22" t="str">
        <f>SmtRes!I25</f>
        <v>01.7.11.07-0044</v>
      </c>
      <c r="G22" t="str">
        <f>SmtRes!K25</f>
        <v>Электроды диаметром 5 мм Э42</v>
      </c>
      <c r="H22" t="str">
        <f>SmtRes!O25</f>
        <v>т</v>
      </c>
      <c r="I22">
        <f>SmtRes!Y25*Source!I36</f>
        <v>5.4264000000000005E-3</v>
      </c>
      <c r="J22">
        <f>SmtRes!AO25</f>
        <v>1</v>
      </c>
      <c r="K22">
        <f>SmtRes!AE25</f>
        <v>9765</v>
      </c>
      <c r="L22">
        <f>SmtRes!DB25</f>
        <v>464.81</v>
      </c>
      <c r="M22">
        <f>ROUND(ROUND(L22*Source!I36, 6)*1, 2)</f>
        <v>52.99</v>
      </c>
      <c r="N22">
        <f>SmtRes!AA25</f>
        <v>9765</v>
      </c>
      <c r="O22">
        <f>ROUND(ROUND(L22*Source!I36, 6)*SmtRes!DA25, 2)</f>
        <v>52.99</v>
      </c>
      <c r="P22">
        <f>SmtRes!AG25</f>
        <v>0</v>
      </c>
      <c r="Q22">
        <f>SmtRes!DC25</f>
        <v>0</v>
      </c>
      <c r="R22">
        <f>ROUND(ROUND(Q22*Source!I36, 6)*1, 2)</f>
        <v>0</v>
      </c>
      <c r="S22">
        <f>SmtRes!AC25</f>
        <v>0</v>
      </c>
      <c r="T22">
        <f>ROUND(ROUND(Q22*Source!I36, 6)*SmtRes!AK25, 2)</f>
        <v>0</v>
      </c>
      <c r="U22">
        <f>SmtRes!X25</f>
        <v>1334874479</v>
      </c>
      <c r="V22">
        <v>-452182266</v>
      </c>
      <c r="W22">
        <v>-647713395</v>
      </c>
    </row>
    <row r="23" spans="1:23" x14ac:dyDescent="0.2">
      <c r="A23">
        <f>Source!A36</f>
        <v>17</v>
      </c>
      <c r="C23">
        <v>3</v>
      </c>
      <c r="D23">
        <v>0</v>
      </c>
      <c r="E23">
        <f>SmtRes!AV24</f>
        <v>0</v>
      </c>
      <c r="F23" t="str">
        <f>SmtRes!I24</f>
        <v>01.3.02.09-0022</v>
      </c>
      <c r="G23" t="str">
        <f>SmtRes!K24</f>
        <v>Пропан-бутан, смесь техническая</v>
      </c>
      <c r="H23" t="str">
        <f>SmtRes!O24</f>
        <v>кг</v>
      </c>
      <c r="I23">
        <f>SmtRes!Y24*Source!I36</f>
        <v>3.4200000000000001E-2</v>
      </c>
      <c r="J23">
        <f>SmtRes!AO24</f>
        <v>1</v>
      </c>
      <c r="K23">
        <f>SmtRes!AE24</f>
        <v>6.09</v>
      </c>
      <c r="L23">
        <f>SmtRes!DB24</f>
        <v>1.83</v>
      </c>
      <c r="M23">
        <f>ROUND(ROUND(L23*Source!I36, 6)*1, 2)</f>
        <v>0.21</v>
      </c>
      <c r="N23">
        <f>SmtRes!AA24</f>
        <v>6.09</v>
      </c>
      <c r="O23">
        <f>ROUND(ROUND(L23*Source!I36, 6)*SmtRes!DA24, 2)</f>
        <v>0.21</v>
      </c>
      <c r="P23">
        <f>SmtRes!AG24</f>
        <v>0</v>
      </c>
      <c r="Q23">
        <f>SmtRes!DC24</f>
        <v>0</v>
      </c>
      <c r="R23">
        <f>ROUND(ROUND(Q23*Source!I36, 6)*1, 2)</f>
        <v>0</v>
      </c>
      <c r="S23">
        <f>SmtRes!AC24</f>
        <v>0</v>
      </c>
      <c r="T23">
        <f>ROUND(ROUND(Q23*Source!I36, 6)*SmtRes!AK24, 2)</f>
        <v>0</v>
      </c>
      <c r="U23">
        <f>SmtRes!X24</f>
        <v>1721895514</v>
      </c>
      <c r="V23">
        <v>868504123</v>
      </c>
      <c r="W23">
        <v>-1284884851</v>
      </c>
    </row>
    <row r="24" spans="1:23" x14ac:dyDescent="0.2">
      <c r="A24">
        <f>Source!A36</f>
        <v>17</v>
      </c>
      <c r="C24">
        <v>3</v>
      </c>
      <c r="D24">
        <v>0</v>
      </c>
      <c r="E24">
        <f>SmtRes!AV23</f>
        <v>0</v>
      </c>
      <c r="F24" t="str">
        <f>SmtRes!I23</f>
        <v>01.3.02.08-0001</v>
      </c>
      <c r="G24" t="str">
        <f>SmtRes!K23</f>
        <v>Кислород технический газообразный</v>
      </c>
      <c r="H24" t="str">
        <f>SmtRes!O23</f>
        <v>м3</v>
      </c>
      <c r="I24">
        <f>SmtRes!Y23*Source!I36</f>
        <v>0.12540000000000001</v>
      </c>
      <c r="J24">
        <f>SmtRes!AO23</f>
        <v>1</v>
      </c>
      <c r="K24">
        <f>SmtRes!AE23</f>
        <v>6.22</v>
      </c>
      <c r="L24">
        <f>SmtRes!DB23</f>
        <v>6.84</v>
      </c>
      <c r="M24">
        <f>ROUND(ROUND(L24*Source!I36, 6)*1, 2)</f>
        <v>0.78</v>
      </c>
      <c r="N24">
        <f>SmtRes!AA23</f>
        <v>6.22</v>
      </c>
      <c r="O24">
        <f>ROUND(ROUND(L24*Source!I36, 6)*SmtRes!DA23, 2)</f>
        <v>0.78</v>
      </c>
      <c r="P24">
        <f>SmtRes!AG23</f>
        <v>0</v>
      </c>
      <c r="Q24">
        <f>SmtRes!DC23</f>
        <v>0</v>
      </c>
      <c r="R24">
        <f>ROUND(ROUND(Q24*Source!I36, 6)*1, 2)</f>
        <v>0</v>
      </c>
      <c r="S24">
        <f>SmtRes!AC23</f>
        <v>0</v>
      </c>
      <c r="T24">
        <f>ROUND(ROUND(Q24*Source!I36, 6)*SmtRes!AK23, 2)</f>
        <v>0</v>
      </c>
      <c r="U24">
        <f>SmtRes!X23</f>
        <v>1262771840</v>
      </c>
      <c r="V24">
        <v>-170574233</v>
      </c>
      <c r="W24">
        <v>1592914109</v>
      </c>
    </row>
    <row r="25" spans="1:23" x14ac:dyDescent="0.2">
      <c r="A25">
        <f>Source!A36</f>
        <v>17</v>
      </c>
      <c r="C25">
        <v>2</v>
      </c>
      <c r="D25">
        <v>0</v>
      </c>
      <c r="E25">
        <f>SmtRes!AV22</f>
        <v>0</v>
      </c>
      <c r="F25" t="str">
        <f>SmtRes!I22</f>
        <v>91.21.22-194</v>
      </c>
      <c r="G25" t="str">
        <f>SmtRes!K22</f>
        <v>Машины листогибочные специальные (вальцы)</v>
      </c>
      <c r="H25" t="str">
        <f>SmtRes!O22</f>
        <v>маш.-ч</v>
      </c>
      <c r="I25">
        <f>SmtRes!Y22*Source!I36</f>
        <v>0.22942499999999999</v>
      </c>
      <c r="J25">
        <f>SmtRes!AO22</f>
        <v>1</v>
      </c>
      <c r="K25">
        <f>SmtRes!AF22</f>
        <v>14.38</v>
      </c>
      <c r="L25">
        <f>SmtRes!DB22</f>
        <v>28.936875000000001</v>
      </c>
      <c r="M25">
        <f>ROUND(ROUND(L25*Source!I36, 6)*1, 2)</f>
        <v>3.3</v>
      </c>
      <c r="N25">
        <f>SmtRes!AB22</f>
        <v>14.38</v>
      </c>
      <c r="O25">
        <f>ROUND(ROUND(L25*Source!I36, 6)*SmtRes!DA22, 2)</f>
        <v>3.3</v>
      </c>
      <c r="P25">
        <f>SmtRes!AG22</f>
        <v>0</v>
      </c>
      <c r="Q25">
        <f>SmtRes!DC22</f>
        <v>0</v>
      </c>
      <c r="R25">
        <f>ROUND(ROUND(Q25*Source!I36, 6)*1, 2)</f>
        <v>0</v>
      </c>
      <c r="S25">
        <f>SmtRes!AC22</f>
        <v>0</v>
      </c>
      <c r="T25">
        <f>ROUND(ROUND(Q25*Source!I36, 6)*SmtRes!AK22, 2)</f>
        <v>0</v>
      </c>
      <c r="U25">
        <f>SmtRes!X22</f>
        <v>1281777121</v>
      </c>
      <c r="V25">
        <v>1332271147</v>
      </c>
      <c r="W25">
        <v>241398306</v>
      </c>
    </row>
    <row r="26" spans="1:23" x14ac:dyDescent="0.2">
      <c r="A26">
        <f>Source!A36</f>
        <v>17</v>
      </c>
      <c r="C26">
        <v>2</v>
      </c>
      <c r="D26">
        <v>0</v>
      </c>
      <c r="E26">
        <f>SmtRes!AV21</f>
        <v>0</v>
      </c>
      <c r="F26" t="str">
        <f>SmtRes!I21</f>
        <v>91.21.16-014</v>
      </c>
      <c r="G26" t="str">
        <f>SmtRes!K21</f>
        <v>Пресс листогибочный кривошипный 1000 кН (100 тс)</v>
      </c>
      <c r="H26" t="str">
        <f>SmtRes!O21</f>
        <v>маш.-ч</v>
      </c>
      <c r="I26">
        <f>SmtRes!Y21*Source!I36</f>
        <v>0.49162500000000003</v>
      </c>
      <c r="J26">
        <f>SmtRes!AO21</f>
        <v>1</v>
      </c>
      <c r="K26">
        <f>SmtRes!AF21</f>
        <v>56.24</v>
      </c>
      <c r="L26">
        <f>SmtRes!DB21</f>
        <v>242.535</v>
      </c>
      <c r="M26">
        <f>ROUND(ROUND(L26*Source!I36, 6)*1, 2)</f>
        <v>27.65</v>
      </c>
      <c r="N26">
        <f>SmtRes!AB21</f>
        <v>56.24</v>
      </c>
      <c r="O26">
        <f>ROUND(ROUND(L26*Source!I36, 6)*SmtRes!DA21, 2)</f>
        <v>27.65</v>
      </c>
      <c r="P26">
        <f>SmtRes!AG21</f>
        <v>10.06</v>
      </c>
      <c r="Q26">
        <f>SmtRes!DC21</f>
        <v>43.383749999999999</v>
      </c>
      <c r="R26">
        <f>ROUND(ROUND(Q26*Source!I36, 6)*1, 2)</f>
        <v>4.95</v>
      </c>
      <c r="S26">
        <f>SmtRes!AC21</f>
        <v>10.06</v>
      </c>
      <c r="T26">
        <f>ROUND(ROUND(Q26*Source!I36, 6)*SmtRes!AK21, 2)</f>
        <v>4.95</v>
      </c>
      <c r="U26">
        <f>SmtRes!X21</f>
        <v>1168077914</v>
      </c>
      <c r="V26">
        <v>1388680593</v>
      </c>
      <c r="W26">
        <v>1120501398</v>
      </c>
    </row>
    <row r="27" spans="1:23" x14ac:dyDescent="0.2">
      <c r="A27">
        <f>Source!A36</f>
        <v>17</v>
      </c>
      <c r="C27">
        <v>2</v>
      </c>
      <c r="D27">
        <v>0</v>
      </c>
      <c r="E27">
        <f>SmtRes!AV20</f>
        <v>0</v>
      </c>
      <c r="F27" t="str">
        <f>SmtRes!I20</f>
        <v>91.21.12-002</v>
      </c>
      <c r="G27" t="str">
        <f>SmtRes!K20</f>
        <v>Ножницы листовые кривошипные гильотинные</v>
      </c>
      <c r="H27" t="str">
        <f>SmtRes!O20</f>
        <v>маш.-ч</v>
      </c>
      <c r="I27">
        <f>SmtRes!Y20*Source!I36</f>
        <v>0.34413749999999999</v>
      </c>
      <c r="J27">
        <f>SmtRes!AO20</f>
        <v>1</v>
      </c>
      <c r="K27">
        <f>SmtRes!AF20</f>
        <v>70</v>
      </c>
      <c r="L27">
        <f>SmtRes!DB20</f>
        <v>211.3125</v>
      </c>
      <c r="M27">
        <f>ROUND(ROUND(L27*Source!I36, 6)*1, 2)</f>
        <v>24.09</v>
      </c>
      <c r="N27">
        <f>SmtRes!AB20</f>
        <v>70</v>
      </c>
      <c r="O27">
        <f>ROUND(ROUND(L27*Source!I36, 6)*SmtRes!DA20, 2)</f>
        <v>24.09</v>
      </c>
      <c r="P27">
        <f>SmtRes!AG20</f>
        <v>0</v>
      </c>
      <c r="Q27">
        <f>SmtRes!DC20</f>
        <v>0</v>
      </c>
      <c r="R27">
        <f>ROUND(ROUND(Q27*Source!I36, 6)*1, 2)</f>
        <v>0</v>
      </c>
      <c r="S27">
        <f>SmtRes!AC20</f>
        <v>0</v>
      </c>
      <c r="T27">
        <f>ROUND(ROUND(Q27*Source!I36, 6)*SmtRes!AK20, 2)</f>
        <v>0</v>
      </c>
      <c r="U27">
        <f>SmtRes!X20</f>
        <v>884266781</v>
      </c>
      <c r="V27">
        <v>382209686</v>
      </c>
      <c r="W27">
        <v>-1424793965</v>
      </c>
    </row>
    <row r="28" spans="1:23" x14ac:dyDescent="0.2">
      <c r="A28">
        <f>Source!A36</f>
        <v>17</v>
      </c>
      <c r="C28">
        <v>2</v>
      </c>
      <c r="D28">
        <v>0</v>
      </c>
      <c r="E28">
        <f>SmtRes!AV19</f>
        <v>0</v>
      </c>
      <c r="F28" t="str">
        <f>SmtRes!I19</f>
        <v>91.17.04-042</v>
      </c>
      <c r="G28" t="str">
        <f>SmtRes!K19</f>
        <v>Аппарат для газовой сварки и резки</v>
      </c>
      <c r="H28" t="str">
        <f>SmtRes!O19</f>
        <v>маш.-ч</v>
      </c>
      <c r="I28">
        <f>SmtRes!Y19*Source!I36</f>
        <v>0.29497499999999999</v>
      </c>
      <c r="J28">
        <f>SmtRes!AO19</f>
        <v>1</v>
      </c>
      <c r="K28">
        <f>SmtRes!AF19</f>
        <v>1.2</v>
      </c>
      <c r="L28">
        <f>SmtRes!DB19</f>
        <v>3.105</v>
      </c>
      <c r="M28">
        <f>ROUND(ROUND(L28*Source!I36, 6)*1, 2)</f>
        <v>0.35</v>
      </c>
      <c r="N28">
        <f>SmtRes!AB19</f>
        <v>1.2</v>
      </c>
      <c r="O28">
        <f>ROUND(ROUND(L28*Source!I36, 6)*SmtRes!DA19, 2)</f>
        <v>0.35</v>
      </c>
      <c r="P28">
        <f>SmtRes!AG19</f>
        <v>0</v>
      </c>
      <c r="Q28">
        <f>SmtRes!DC19</f>
        <v>0</v>
      </c>
      <c r="R28">
        <f>ROUND(ROUND(Q28*Source!I36, 6)*1, 2)</f>
        <v>0</v>
      </c>
      <c r="S28">
        <f>SmtRes!AC19</f>
        <v>0</v>
      </c>
      <c r="T28">
        <f>ROUND(ROUND(Q28*Source!I36, 6)*SmtRes!AK19, 2)</f>
        <v>0</v>
      </c>
      <c r="U28">
        <f>SmtRes!X19</f>
        <v>792402865</v>
      </c>
      <c r="V28">
        <v>378503491</v>
      </c>
      <c r="W28">
        <v>428331130</v>
      </c>
    </row>
    <row r="29" spans="1:23" x14ac:dyDescent="0.2">
      <c r="A29">
        <f>Source!A36</f>
        <v>17</v>
      </c>
      <c r="C29">
        <v>2</v>
      </c>
      <c r="D29">
        <v>0</v>
      </c>
      <c r="E29">
        <f>SmtRes!AV18</f>
        <v>0</v>
      </c>
      <c r="F29" t="str">
        <f>SmtRes!I18</f>
        <v>91.17.04-011</v>
      </c>
      <c r="G29" t="str">
        <f>SmtRes!K18</f>
        <v>Автоматы сварочные номинальным сварочным током 450-1250 А</v>
      </c>
      <c r="H29" t="str">
        <f>SmtRes!O18</f>
        <v>маш.-ч</v>
      </c>
      <c r="I29">
        <f>SmtRes!Y18*Source!I36</f>
        <v>10.864912499999999</v>
      </c>
      <c r="J29">
        <f>SmtRes!AO18</f>
        <v>1</v>
      </c>
      <c r="K29">
        <f>SmtRes!AF18</f>
        <v>39.49</v>
      </c>
      <c r="L29">
        <f>SmtRes!DB18</f>
        <v>3763.6481250000002</v>
      </c>
      <c r="M29">
        <f>ROUND(ROUND(L29*Source!I36, 6)*1, 2)</f>
        <v>429.06</v>
      </c>
      <c r="N29">
        <f>SmtRes!AB18</f>
        <v>39.49</v>
      </c>
      <c r="O29">
        <f>ROUND(ROUND(L29*Source!I36, 6)*SmtRes!DA18, 2)</f>
        <v>429.06</v>
      </c>
      <c r="P29">
        <f>SmtRes!AG18</f>
        <v>0</v>
      </c>
      <c r="Q29">
        <f>SmtRes!DC18</f>
        <v>0</v>
      </c>
      <c r="R29">
        <f>ROUND(ROUND(Q29*Source!I36, 6)*1, 2)</f>
        <v>0</v>
      </c>
      <c r="S29">
        <f>SmtRes!AC18</f>
        <v>0</v>
      </c>
      <c r="T29">
        <f>ROUND(ROUND(Q29*Source!I36, 6)*SmtRes!AK18, 2)</f>
        <v>0</v>
      </c>
      <c r="U29">
        <f>SmtRes!X18</f>
        <v>-1877361553</v>
      </c>
      <c r="V29">
        <v>-987148289</v>
      </c>
      <c r="W29">
        <v>1001522883</v>
      </c>
    </row>
    <row r="30" spans="1:23" x14ac:dyDescent="0.2">
      <c r="A30">
        <f>Source!A36</f>
        <v>17</v>
      </c>
      <c r="C30">
        <v>2</v>
      </c>
      <c r="D30">
        <v>0</v>
      </c>
      <c r="E30">
        <f>SmtRes!AV17</f>
        <v>0</v>
      </c>
      <c r="F30" t="str">
        <f>SmtRes!I17</f>
        <v>91.14.02-002</v>
      </c>
      <c r="G30" t="str">
        <f>SmtRes!K17</f>
        <v>Автомобили бортовые, грузоподъемность до 8 т</v>
      </c>
      <c r="H30" t="str">
        <f>SmtRes!O17</f>
        <v>маш.-ч</v>
      </c>
      <c r="I30">
        <f>SmtRes!Y17*Source!I36</f>
        <v>8.1937499999999996E-2</v>
      </c>
      <c r="J30">
        <f>SmtRes!AO17</f>
        <v>1</v>
      </c>
      <c r="K30">
        <f>SmtRes!AF17</f>
        <v>85.84</v>
      </c>
      <c r="L30">
        <f>SmtRes!DB17</f>
        <v>61.697499999999998</v>
      </c>
      <c r="M30">
        <f>ROUND(ROUND(L30*Source!I36, 6)*1, 2)</f>
        <v>7.03</v>
      </c>
      <c r="N30">
        <f>SmtRes!AB17</f>
        <v>85.84</v>
      </c>
      <c r="O30">
        <f>ROUND(ROUND(L30*Source!I36, 6)*SmtRes!DA17, 2)</f>
        <v>7.03</v>
      </c>
      <c r="P30">
        <f>SmtRes!AG17</f>
        <v>11.6</v>
      </c>
      <c r="Q30">
        <f>SmtRes!DC17</f>
        <v>8.3375000000000004</v>
      </c>
      <c r="R30">
        <f>ROUND(ROUND(Q30*Source!I36, 6)*1, 2)</f>
        <v>0.95</v>
      </c>
      <c r="S30">
        <f>SmtRes!AC17</f>
        <v>11.6</v>
      </c>
      <c r="T30">
        <f>ROUND(ROUND(Q30*Source!I36, 6)*SmtRes!AK17, 2)</f>
        <v>0.95</v>
      </c>
      <c r="U30">
        <f>SmtRes!X17</f>
        <v>-1498239011</v>
      </c>
      <c r="V30">
        <v>-1683023335</v>
      </c>
      <c r="W30">
        <v>-367726480</v>
      </c>
    </row>
    <row r="31" spans="1:23" x14ac:dyDescent="0.2">
      <c r="A31">
        <f>Source!A36</f>
        <v>17</v>
      </c>
      <c r="C31">
        <v>2</v>
      </c>
      <c r="D31">
        <v>0</v>
      </c>
      <c r="E31">
        <f>SmtRes!AV16</f>
        <v>0</v>
      </c>
      <c r="F31" t="str">
        <f>SmtRes!I16</f>
        <v>91.06.03-062</v>
      </c>
      <c r="G31" t="str">
        <f>SmtRes!K16</f>
        <v>Лебедки электрические тяговым усилием до 31,39 кН (3,2 т)</v>
      </c>
      <c r="H31" t="str">
        <f>SmtRes!O16</f>
        <v>маш.-ч</v>
      </c>
      <c r="I31">
        <f>SmtRes!Y16*Source!I36</f>
        <v>0.22450875000000001</v>
      </c>
      <c r="J31">
        <f>SmtRes!AO16</f>
        <v>1</v>
      </c>
      <c r="K31">
        <f>SmtRes!AF16</f>
        <v>6.9</v>
      </c>
      <c r="L31">
        <f>SmtRes!DB16</f>
        <v>13.584375</v>
      </c>
      <c r="M31">
        <f>ROUND(ROUND(L31*Source!I36, 6)*1, 2)</f>
        <v>1.55</v>
      </c>
      <c r="N31">
        <f>SmtRes!AB16</f>
        <v>6.9</v>
      </c>
      <c r="O31">
        <f>ROUND(ROUND(L31*Source!I36, 6)*SmtRes!DA16, 2)</f>
        <v>1.55</v>
      </c>
      <c r="P31">
        <f>SmtRes!AG16</f>
        <v>0</v>
      </c>
      <c r="Q31">
        <f>SmtRes!DC16</f>
        <v>0</v>
      </c>
      <c r="R31">
        <f>ROUND(ROUND(Q31*Source!I36, 6)*1, 2)</f>
        <v>0</v>
      </c>
      <c r="S31">
        <f>SmtRes!AC16</f>
        <v>0</v>
      </c>
      <c r="T31">
        <f>ROUND(ROUND(Q31*Source!I36, 6)*SmtRes!AK16, 2)</f>
        <v>0</v>
      </c>
      <c r="U31">
        <f>SmtRes!X16</f>
        <v>1544661785</v>
      </c>
      <c r="V31">
        <v>-1279341942</v>
      </c>
      <c r="W31">
        <v>1752664033</v>
      </c>
    </row>
    <row r="32" spans="1:23" x14ac:dyDescent="0.2">
      <c r="A32">
        <f>Source!A36</f>
        <v>17</v>
      </c>
      <c r="C32">
        <v>2</v>
      </c>
      <c r="D32">
        <v>0</v>
      </c>
      <c r="E32">
        <f>SmtRes!AV15</f>
        <v>0</v>
      </c>
      <c r="F32" t="str">
        <f>SmtRes!I15</f>
        <v>91.05.05-014</v>
      </c>
      <c r="G32" t="str">
        <f>SmtRes!K15</f>
        <v>Краны на автомобильном ходу, грузоподъемность 10 т</v>
      </c>
      <c r="H32" t="str">
        <f>SmtRes!O15</f>
        <v>маш.-ч</v>
      </c>
      <c r="I32">
        <f>SmtRes!Y15*Source!I36</f>
        <v>8.1937499999999996E-2</v>
      </c>
      <c r="J32">
        <f>SmtRes!AO15</f>
        <v>1</v>
      </c>
      <c r="K32">
        <f>SmtRes!AF15</f>
        <v>111.99</v>
      </c>
      <c r="L32">
        <f>SmtRes!DB15</f>
        <v>80.5</v>
      </c>
      <c r="M32">
        <f>ROUND(ROUND(L32*Source!I36, 6)*1, 2)</f>
        <v>9.18</v>
      </c>
      <c r="N32">
        <f>SmtRes!AB15</f>
        <v>111.99</v>
      </c>
      <c r="O32">
        <f>ROUND(ROUND(L32*Source!I36, 6)*SmtRes!DA15, 2)</f>
        <v>9.18</v>
      </c>
      <c r="P32">
        <f>SmtRes!AG15</f>
        <v>13.5</v>
      </c>
      <c r="Q32">
        <f>SmtRes!DC15</f>
        <v>9.703125</v>
      </c>
      <c r="R32">
        <f>ROUND(ROUND(Q32*Source!I36, 6)*1, 2)</f>
        <v>1.1100000000000001</v>
      </c>
      <c r="S32">
        <f>SmtRes!AC15</f>
        <v>13.5</v>
      </c>
      <c r="T32">
        <f>ROUND(ROUND(Q32*Source!I36, 6)*SmtRes!AK15, 2)</f>
        <v>1.1100000000000001</v>
      </c>
      <c r="U32">
        <f>SmtRes!X15</f>
        <v>-1718674368</v>
      </c>
      <c r="V32">
        <v>-816987455</v>
      </c>
      <c r="W32">
        <v>-2122234393</v>
      </c>
    </row>
    <row r="33" spans="1:23" x14ac:dyDescent="0.2">
      <c r="A33">
        <f>Source!A36</f>
        <v>17</v>
      </c>
      <c r="C33">
        <v>1</v>
      </c>
      <c r="D33">
        <v>0</v>
      </c>
      <c r="E33">
        <f>SmtRes!AV14</f>
        <v>2</v>
      </c>
      <c r="F33" t="str">
        <f>SmtRes!I14</f>
        <v>4-100-00</v>
      </c>
      <c r="G33" t="str">
        <f>SmtRes!K14</f>
        <v>Затраты труда машинистов</v>
      </c>
      <c r="H33" t="str">
        <f>SmtRes!O14</f>
        <v>чел.-ч.</v>
      </c>
      <c r="I33">
        <f>SmtRes!Y14*Source!I36</f>
        <v>0.45600000000000002</v>
      </c>
      <c r="J33">
        <f>SmtRes!AO14</f>
        <v>1</v>
      </c>
      <c r="K33">
        <f>SmtRes!AH14</f>
        <v>0</v>
      </c>
      <c r="L33">
        <f>SmtRes!DB14</f>
        <v>0</v>
      </c>
      <c r="M33">
        <f>ROUND(ROUND(L33*Source!I36, 6)*1, 2)</f>
        <v>0</v>
      </c>
      <c r="N33">
        <f>SmtRes!AD14</f>
        <v>0</v>
      </c>
      <c r="O33">
        <f>ROUND(ROUND(L33*Source!I36, 6)*SmtRes!DA14, 2)</f>
        <v>0</v>
      </c>
      <c r="P33">
        <f>SmtRes!AG14</f>
        <v>0</v>
      </c>
      <c r="Q33">
        <f>SmtRes!DC14</f>
        <v>0</v>
      </c>
      <c r="R33">
        <f>ROUND(ROUND(Q33*Source!I36, 6)*1, 2)</f>
        <v>0</v>
      </c>
      <c r="S33">
        <f>SmtRes!AC14</f>
        <v>0</v>
      </c>
      <c r="T33">
        <f>ROUND(ROUND(Q33*Source!I36, 6)*SmtRes!AK14, 2)</f>
        <v>0</v>
      </c>
      <c r="U33">
        <f>SmtRes!X14</f>
        <v>-1417349443</v>
      </c>
      <c r="V33">
        <v>-189065469</v>
      </c>
      <c r="W33">
        <v>1122477533</v>
      </c>
    </row>
    <row r="34" spans="1:23" x14ac:dyDescent="0.2">
      <c r="A34">
        <f>Source!A36</f>
        <v>17</v>
      </c>
      <c r="C34">
        <v>1</v>
      </c>
      <c r="D34">
        <v>0</v>
      </c>
      <c r="E34">
        <f>SmtRes!AV13</f>
        <v>1</v>
      </c>
      <c r="F34" t="str">
        <f>SmtRes!I13</f>
        <v>1-100-38</v>
      </c>
      <c r="G34" t="str">
        <f>SmtRes!K13</f>
        <v>Рабочий среднего разряда 3.8</v>
      </c>
      <c r="H34" t="str">
        <f>SmtRes!O13</f>
        <v>чел.-ч.</v>
      </c>
      <c r="I34">
        <f>SmtRes!Y13*Source!I36</f>
        <v>29.24841</v>
      </c>
      <c r="J34">
        <f>SmtRes!AO13</f>
        <v>1</v>
      </c>
      <c r="K34">
        <f>SmtRes!AH13</f>
        <v>9.4</v>
      </c>
      <c r="L34">
        <f>SmtRes!DB13</f>
        <v>2411.7109999999998</v>
      </c>
      <c r="M34">
        <f>ROUND(ROUND(L34*Source!I36, 6)*1, 2)</f>
        <v>274.94</v>
      </c>
      <c r="N34">
        <f>SmtRes!AD13</f>
        <v>9.4</v>
      </c>
      <c r="O34">
        <f>ROUND(ROUND(L34*Source!I36, 6)*SmtRes!DA13, 2)</f>
        <v>274.94</v>
      </c>
      <c r="P34">
        <f>SmtRes!AG13</f>
        <v>0</v>
      </c>
      <c r="Q34">
        <f>SmtRes!DC13</f>
        <v>0</v>
      </c>
      <c r="R34">
        <f>ROUND(ROUND(Q34*Source!I36, 6)*1, 2)</f>
        <v>0</v>
      </c>
      <c r="S34">
        <f>SmtRes!AC13</f>
        <v>0</v>
      </c>
      <c r="T34">
        <f>ROUND(ROUND(Q34*Source!I36, 6)*SmtRes!AK13, 2)</f>
        <v>0</v>
      </c>
      <c r="U34">
        <f>SmtRes!X13</f>
        <v>-1081351934</v>
      </c>
      <c r="V34">
        <v>-1606082532</v>
      </c>
      <c r="W34">
        <v>596261848</v>
      </c>
    </row>
    <row r="35" spans="1:23" x14ac:dyDescent="0.2">
      <c r="A35">
        <f>Source!A37</f>
        <v>17</v>
      </c>
      <c r="C35">
        <v>3</v>
      </c>
      <c r="D35">
        <v>0</v>
      </c>
      <c r="E35">
        <f>SmtRes!AV44</f>
        <v>0</v>
      </c>
      <c r="F35" t="str">
        <f>SmtRes!I44</f>
        <v>14.5.09.07-0029</v>
      </c>
      <c r="G35" t="str">
        <f>SmtRes!K44</f>
        <v>Растворитель марки Р-4</v>
      </c>
      <c r="H35" t="str">
        <f>SmtRes!O44</f>
        <v>т</v>
      </c>
      <c r="I35">
        <f>SmtRes!Y44*Source!I37</f>
        <v>9.2988179999999986E-3</v>
      </c>
      <c r="J35">
        <f>SmtRes!AO44</f>
        <v>1</v>
      </c>
      <c r="K35">
        <f>SmtRes!AE44</f>
        <v>9420</v>
      </c>
      <c r="L35">
        <f>SmtRes!DB44</f>
        <v>5.65</v>
      </c>
      <c r="M35">
        <f>ROUND(ROUND(L35*Source!I37, 6)*1, 2)</f>
        <v>87.56</v>
      </c>
      <c r="N35">
        <f>SmtRes!AA44</f>
        <v>9420</v>
      </c>
      <c r="O35">
        <f>ROUND(ROUND(L35*Source!I37, 6)*SmtRes!DA44, 2)</f>
        <v>87.56</v>
      </c>
      <c r="P35">
        <f>SmtRes!AG44</f>
        <v>0</v>
      </c>
      <c r="Q35">
        <f>SmtRes!DC44</f>
        <v>0</v>
      </c>
      <c r="R35">
        <f>ROUND(ROUND(Q35*Source!I37, 6)*1, 2)</f>
        <v>0</v>
      </c>
      <c r="S35">
        <f>SmtRes!AC44</f>
        <v>0</v>
      </c>
      <c r="T35">
        <f>ROUND(ROUND(Q35*Source!I37, 6)*SmtRes!AK44, 2)</f>
        <v>0</v>
      </c>
      <c r="U35">
        <f>SmtRes!X44</f>
        <v>-639604785</v>
      </c>
      <c r="V35">
        <v>-2115570895</v>
      </c>
      <c r="W35">
        <v>1440280</v>
      </c>
    </row>
    <row r="36" spans="1:23" x14ac:dyDescent="0.2">
      <c r="A36">
        <f>Source!A37</f>
        <v>17</v>
      </c>
      <c r="C36">
        <v>3</v>
      </c>
      <c r="D36">
        <v>0</v>
      </c>
      <c r="E36">
        <f>SmtRes!AV43</f>
        <v>0</v>
      </c>
      <c r="F36" t="str">
        <f>SmtRes!I43</f>
        <v>14.4.01.01-0003</v>
      </c>
      <c r="G36" t="str">
        <f>SmtRes!K43</f>
        <v>Грунтовка ГФ-021 красно-коричневая</v>
      </c>
      <c r="H36" t="str">
        <f>SmtRes!O43</f>
        <v>т</v>
      </c>
      <c r="I36">
        <f>SmtRes!Y43*Source!I37</f>
        <v>4.8043892999999997E-3</v>
      </c>
      <c r="J36">
        <f>SmtRes!AO43</f>
        <v>1</v>
      </c>
      <c r="K36">
        <f>SmtRes!AE43</f>
        <v>15620</v>
      </c>
      <c r="L36">
        <f>SmtRes!DB43</f>
        <v>4.84</v>
      </c>
      <c r="M36">
        <f>ROUND(ROUND(L36*Source!I37, 6)*1, 2)</f>
        <v>75.010000000000005</v>
      </c>
      <c r="N36">
        <f>SmtRes!AA43</f>
        <v>15620</v>
      </c>
      <c r="O36">
        <f>ROUND(ROUND(L36*Source!I37, 6)*SmtRes!DA43, 2)</f>
        <v>75.010000000000005</v>
      </c>
      <c r="P36">
        <f>SmtRes!AG43</f>
        <v>0</v>
      </c>
      <c r="Q36">
        <f>SmtRes!DC43</f>
        <v>0</v>
      </c>
      <c r="R36">
        <f>ROUND(ROUND(Q36*Source!I37, 6)*1, 2)</f>
        <v>0</v>
      </c>
      <c r="S36">
        <f>SmtRes!AC43</f>
        <v>0</v>
      </c>
      <c r="T36">
        <f>ROUND(ROUND(Q36*Source!I37, 6)*SmtRes!AK43, 2)</f>
        <v>0</v>
      </c>
      <c r="U36">
        <f>SmtRes!X43</f>
        <v>-1655298345</v>
      </c>
      <c r="V36">
        <v>-1718656819</v>
      </c>
      <c r="W36">
        <v>-1199146743</v>
      </c>
    </row>
    <row r="37" spans="1:23" x14ac:dyDescent="0.2">
      <c r="A37">
        <f>Source!A37</f>
        <v>17</v>
      </c>
      <c r="C37">
        <v>3</v>
      </c>
      <c r="D37">
        <v>0</v>
      </c>
      <c r="E37">
        <f>SmtRes!AV42</f>
        <v>0</v>
      </c>
      <c r="F37" t="str">
        <f>SmtRes!I42</f>
        <v>08.3.11.01-0091</v>
      </c>
      <c r="G37" t="str">
        <f>SmtRes!K42</f>
        <v>Швеллеры № 40 из стали марки Ст0</v>
      </c>
      <c r="H37" t="str">
        <f>SmtRes!O42</f>
        <v>т</v>
      </c>
      <c r="I37">
        <f>SmtRes!Y42*Source!I37</f>
        <v>3.0066178200000002E-2</v>
      </c>
      <c r="J37">
        <f>SmtRes!AO42</f>
        <v>1</v>
      </c>
      <c r="K37">
        <f>SmtRes!AE42</f>
        <v>4920</v>
      </c>
      <c r="L37">
        <f>SmtRes!DB42</f>
        <v>9.5399999999999991</v>
      </c>
      <c r="M37">
        <f>ROUND(ROUND(L37*Source!I37, 6)*1, 2)</f>
        <v>147.85</v>
      </c>
      <c r="N37">
        <f>SmtRes!AA42</f>
        <v>4920</v>
      </c>
      <c r="O37">
        <f>ROUND(ROUND(L37*Source!I37, 6)*SmtRes!DA42, 2)</f>
        <v>147.85</v>
      </c>
      <c r="P37">
        <f>SmtRes!AG42</f>
        <v>0</v>
      </c>
      <c r="Q37">
        <f>SmtRes!DC42</f>
        <v>0</v>
      </c>
      <c r="R37">
        <f>ROUND(ROUND(Q37*Source!I37, 6)*1, 2)</f>
        <v>0</v>
      </c>
      <c r="S37">
        <f>SmtRes!AC42</f>
        <v>0</v>
      </c>
      <c r="T37">
        <f>ROUND(ROUND(Q37*Source!I37, 6)*SmtRes!AK42, 2)</f>
        <v>0</v>
      </c>
      <c r="U37">
        <f>SmtRes!X42</f>
        <v>900832145</v>
      </c>
      <c r="V37">
        <v>932755842</v>
      </c>
      <c r="W37">
        <v>-243893357</v>
      </c>
    </row>
    <row r="38" spans="1:23" x14ac:dyDescent="0.2">
      <c r="A38">
        <f>Source!A37</f>
        <v>17</v>
      </c>
      <c r="C38">
        <v>3</v>
      </c>
      <c r="D38">
        <v>0</v>
      </c>
      <c r="E38">
        <f>SmtRes!AV41</f>
        <v>0</v>
      </c>
      <c r="F38" t="str">
        <f>SmtRes!I41</f>
        <v>08.3.03.06-0002</v>
      </c>
      <c r="G38" t="str">
        <f>SmtRes!K41</f>
        <v>Проволока горячекатаная в мотках, диаметром 6,3-6,5 мм</v>
      </c>
      <c r="H38" t="str">
        <f>SmtRes!O41</f>
        <v>т</v>
      </c>
      <c r="I38">
        <f>SmtRes!Y41*Source!I37</f>
        <v>4.6494089999999999E-4</v>
      </c>
      <c r="J38">
        <f>SmtRes!AO41</f>
        <v>1</v>
      </c>
      <c r="K38">
        <f>SmtRes!AE41</f>
        <v>4455.2</v>
      </c>
      <c r="L38">
        <f>SmtRes!DB41</f>
        <v>0.13</v>
      </c>
      <c r="M38">
        <f>ROUND(ROUND(L38*Source!I37, 6)*1, 2)</f>
        <v>2.0099999999999998</v>
      </c>
      <c r="N38">
        <f>SmtRes!AA41</f>
        <v>4455.2</v>
      </c>
      <c r="O38">
        <f>ROUND(ROUND(L38*Source!I37, 6)*SmtRes!DA41, 2)</f>
        <v>2.0099999999999998</v>
      </c>
      <c r="P38">
        <f>SmtRes!AG41</f>
        <v>0</v>
      </c>
      <c r="Q38">
        <f>SmtRes!DC41</f>
        <v>0</v>
      </c>
      <c r="R38">
        <f>ROUND(ROUND(Q38*Source!I37, 6)*1, 2)</f>
        <v>0</v>
      </c>
      <c r="S38">
        <f>SmtRes!AC41</f>
        <v>0</v>
      </c>
      <c r="T38">
        <f>ROUND(ROUND(Q38*Source!I37, 6)*SmtRes!AK41, 2)</f>
        <v>0</v>
      </c>
      <c r="U38">
        <f>SmtRes!X41</f>
        <v>-1396314973</v>
      </c>
      <c r="V38">
        <v>-58770531</v>
      </c>
      <c r="W38">
        <v>-151677815</v>
      </c>
    </row>
    <row r="39" spans="1:23" x14ac:dyDescent="0.2">
      <c r="A39">
        <f>Source!A37</f>
        <v>17</v>
      </c>
      <c r="C39">
        <v>3</v>
      </c>
      <c r="D39">
        <v>0</v>
      </c>
      <c r="E39">
        <f>SmtRes!AV40</f>
        <v>0</v>
      </c>
      <c r="F39" t="str">
        <f>SmtRes!I40</f>
        <v>08.2.02.11-0007</v>
      </c>
      <c r="G39" t="str">
        <f>SmtRes!K40</f>
        <v>Канат двойной свивки типа ТК, конструкции 6х19(1+6+12)+1 о.с., оцинкованный из проволок марки В, маркировочная группа 1770 н/мм2, диаметром 5,5 мм</v>
      </c>
      <c r="H39" t="str">
        <f>SmtRes!O40</f>
        <v>10 м</v>
      </c>
      <c r="I39">
        <f>SmtRes!Y40*Source!I37</f>
        <v>0.28981316100000004</v>
      </c>
      <c r="J39">
        <f>SmtRes!AO40</f>
        <v>1</v>
      </c>
      <c r="K39">
        <f>SmtRes!AE40</f>
        <v>50.24</v>
      </c>
      <c r="L39">
        <f>SmtRes!DB40</f>
        <v>0.94</v>
      </c>
      <c r="M39">
        <f>ROUND(ROUND(L39*Source!I37, 6)*1, 2)</f>
        <v>14.57</v>
      </c>
      <c r="N39">
        <f>SmtRes!AA40</f>
        <v>50.24</v>
      </c>
      <c r="O39">
        <f>ROUND(ROUND(L39*Source!I37, 6)*SmtRes!DA40, 2)</f>
        <v>14.57</v>
      </c>
      <c r="P39">
        <f>SmtRes!AG40</f>
        <v>0</v>
      </c>
      <c r="Q39">
        <f>SmtRes!DC40</f>
        <v>0</v>
      </c>
      <c r="R39">
        <f>ROUND(ROUND(Q39*Source!I37, 6)*1, 2)</f>
        <v>0</v>
      </c>
      <c r="S39">
        <f>SmtRes!AC40</f>
        <v>0</v>
      </c>
      <c r="T39">
        <f>ROUND(ROUND(Q39*Source!I37, 6)*SmtRes!AK40, 2)</f>
        <v>0</v>
      </c>
      <c r="U39">
        <f>SmtRes!X40</f>
        <v>-1640127157</v>
      </c>
      <c r="V39">
        <v>-1904994899</v>
      </c>
      <c r="W39">
        <v>507966023</v>
      </c>
    </row>
    <row r="40" spans="1:23" x14ac:dyDescent="0.2">
      <c r="A40">
        <f>Source!A37</f>
        <v>17</v>
      </c>
      <c r="C40">
        <v>3</v>
      </c>
      <c r="D40">
        <v>0</v>
      </c>
      <c r="E40">
        <f>SmtRes!AV39</f>
        <v>0</v>
      </c>
      <c r="F40" t="str">
        <f>SmtRes!I39</f>
        <v>01.7.20.08-0071</v>
      </c>
      <c r="G40" t="str">
        <f>SmtRes!K39</f>
        <v>Канаты пеньковые пропитанные</v>
      </c>
      <c r="H40" t="str">
        <f>SmtRes!O39</f>
        <v>т</v>
      </c>
      <c r="I40">
        <f>SmtRes!Y39*Source!I37</f>
        <v>1.549803E-3</v>
      </c>
      <c r="J40">
        <f>SmtRes!AO39</f>
        <v>1</v>
      </c>
      <c r="K40">
        <f>SmtRes!AE39</f>
        <v>37900</v>
      </c>
      <c r="L40">
        <f>SmtRes!DB39</f>
        <v>3.79</v>
      </c>
      <c r="M40">
        <f>ROUND(ROUND(L40*Source!I37, 6)*1, 2)</f>
        <v>58.74</v>
      </c>
      <c r="N40">
        <f>SmtRes!AA39</f>
        <v>37900</v>
      </c>
      <c r="O40">
        <f>ROUND(ROUND(L40*Source!I37, 6)*SmtRes!DA39, 2)</f>
        <v>58.74</v>
      </c>
      <c r="P40">
        <f>SmtRes!AG39</f>
        <v>0</v>
      </c>
      <c r="Q40">
        <f>SmtRes!DC39</f>
        <v>0</v>
      </c>
      <c r="R40">
        <f>ROUND(ROUND(Q40*Source!I37, 6)*1, 2)</f>
        <v>0</v>
      </c>
      <c r="S40">
        <f>SmtRes!AC39</f>
        <v>0</v>
      </c>
      <c r="T40">
        <f>ROUND(ROUND(Q40*Source!I37, 6)*SmtRes!AK39, 2)</f>
        <v>0</v>
      </c>
      <c r="U40">
        <f>SmtRes!X39</f>
        <v>-2116243625</v>
      </c>
      <c r="V40">
        <v>-1764846252</v>
      </c>
      <c r="W40">
        <v>-1774795738</v>
      </c>
    </row>
    <row r="41" spans="1:23" x14ac:dyDescent="0.2">
      <c r="A41">
        <f>Source!A37</f>
        <v>17</v>
      </c>
      <c r="C41">
        <v>3</v>
      </c>
      <c r="D41">
        <v>0</v>
      </c>
      <c r="E41">
        <f>SmtRes!AV38</f>
        <v>0</v>
      </c>
      <c r="F41" t="str">
        <f>SmtRes!I38</f>
        <v>01.7.15.06-0111</v>
      </c>
      <c r="G41" t="str">
        <f>SmtRes!K38</f>
        <v>Гвозди строительные</v>
      </c>
      <c r="H41" t="str">
        <f>SmtRes!O38</f>
        <v>т</v>
      </c>
      <c r="I41">
        <f>SmtRes!Y38*Source!I37</f>
        <v>1.549803E-4</v>
      </c>
      <c r="J41">
        <f>SmtRes!AO38</f>
        <v>1</v>
      </c>
      <c r="K41">
        <f>SmtRes!AE38</f>
        <v>11978</v>
      </c>
      <c r="L41">
        <f>SmtRes!DB38</f>
        <v>0.12</v>
      </c>
      <c r="M41">
        <f>ROUND(ROUND(L41*Source!I37, 6)*1, 2)</f>
        <v>1.86</v>
      </c>
      <c r="N41">
        <f>SmtRes!AA38</f>
        <v>11978</v>
      </c>
      <c r="O41">
        <f>ROUND(ROUND(L41*Source!I37, 6)*SmtRes!DA38, 2)</f>
        <v>1.86</v>
      </c>
      <c r="P41">
        <f>SmtRes!AG38</f>
        <v>0</v>
      </c>
      <c r="Q41">
        <f>SmtRes!DC38</f>
        <v>0</v>
      </c>
      <c r="R41">
        <f>ROUND(ROUND(Q41*Source!I37, 6)*1, 2)</f>
        <v>0</v>
      </c>
      <c r="S41">
        <f>SmtRes!AC38</f>
        <v>0</v>
      </c>
      <c r="T41">
        <f>ROUND(ROUND(Q41*Source!I37, 6)*SmtRes!AK38, 2)</f>
        <v>0</v>
      </c>
      <c r="U41">
        <f>SmtRes!X38</f>
        <v>1174701286</v>
      </c>
      <c r="V41">
        <v>1430289402</v>
      </c>
      <c r="W41">
        <v>1624895567</v>
      </c>
    </row>
    <row r="42" spans="1:23" x14ac:dyDescent="0.2">
      <c r="A42">
        <f>Source!A37</f>
        <v>17</v>
      </c>
      <c r="C42">
        <v>3</v>
      </c>
      <c r="D42">
        <v>0</v>
      </c>
      <c r="E42">
        <f>SmtRes!AV37</f>
        <v>0</v>
      </c>
      <c r="F42" t="str">
        <f>SmtRes!I37</f>
        <v>01.7.15.03-0041</v>
      </c>
      <c r="G42" t="str">
        <f>SmtRes!K37</f>
        <v>Болты с гайками и шайбами строительные</v>
      </c>
      <c r="H42" t="str">
        <f>SmtRes!O37</f>
        <v>т</v>
      </c>
      <c r="I42">
        <f>SmtRes!Y37*Source!I37</f>
        <v>5.1143499000000002E-2</v>
      </c>
      <c r="J42">
        <f>SmtRes!AO37</f>
        <v>1</v>
      </c>
      <c r="K42">
        <f>SmtRes!AE37</f>
        <v>9040.01</v>
      </c>
      <c r="L42">
        <f>SmtRes!DB37</f>
        <v>29.83</v>
      </c>
      <c r="M42">
        <f>ROUND(ROUND(L42*Source!I37, 6)*1, 2)</f>
        <v>462.31</v>
      </c>
      <c r="N42">
        <f>SmtRes!AA37</f>
        <v>9040.01</v>
      </c>
      <c r="O42">
        <f>ROUND(ROUND(L42*Source!I37, 6)*SmtRes!DA37, 2)</f>
        <v>462.31</v>
      </c>
      <c r="P42">
        <f>SmtRes!AG37</f>
        <v>0</v>
      </c>
      <c r="Q42">
        <f>SmtRes!DC37</f>
        <v>0</v>
      </c>
      <c r="R42">
        <f>ROUND(ROUND(Q42*Source!I37, 6)*1, 2)</f>
        <v>0</v>
      </c>
      <c r="S42">
        <f>SmtRes!AC37</f>
        <v>0</v>
      </c>
      <c r="T42">
        <f>ROUND(ROUND(Q42*Source!I37, 6)*SmtRes!AK37, 2)</f>
        <v>0</v>
      </c>
      <c r="U42">
        <f>SmtRes!X37</f>
        <v>-437906794</v>
      </c>
      <c r="V42">
        <v>703382810</v>
      </c>
      <c r="W42">
        <v>-765046760</v>
      </c>
    </row>
    <row r="43" spans="1:23" x14ac:dyDescent="0.2">
      <c r="A43">
        <f>Source!A37</f>
        <v>17</v>
      </c>
      <c r="C43">
        <v>3</v>
      </c>
      <c r="D43">
        <v>0</v>
      </c>
      <c r="E43">
        <f>SmtRes!AV36</f>
        <v>0</v>
      </c>
      <c r="F43" t="str">
        <f>SmtRes!I36</f>
        <v>01.7.11.07-0035</v>
      </c>
      <c r="G43" t="str">
        <f>SmtRes!K36</f>
        <v>Электроды диаметром 4 мм Э46</v>
      </c>
      <c r="H43" t="str">
        <f>SmtRes!O36</f>
        <v>т</v>
      </c>
      <c r="I43">
        <f>SmtRes!Y36*Source!I37</f>
        <v>2.1697241999999999E-2</v>
      </c>
      <c r="J43">
        <f>SmtRes!AO36</f>
        <v>1</v>
      </c>
      <c r="K43">
        <f>SmtRes!AE36</f>
        <v>10749</v>
      </c>
      <c r="L43">
        <f>SmtRes!DB36</f>
        <v>15.05</v>
      </c>
      <c r="M43">
        <f>ROUND(ROUND(L43*Source!I37, 6)*1, 2)</f>
        <v>233.25</v>
      </c>
      <c r="N43">
        <f>SmtRes!AA36</f>
        <v>10749</v>
      </c>
      <c r="O43">
        <f>ROUND(ROUND(L43*Source!I37, 6)*SmtRes!DA36, 2)</f>
        <v>233.25</v>
      </c>
      <c r="P43">
        <f>SmtRes!AG36</f>
        <v>0</v>
      </c>
      <c r="Q43">
        <f>SmtRes!DC36</f>
        <v>0</v>
      </c>
      <c r="R43">
        <f>ROUND(ROUND(Q43*Source!I37, 6)*1, 2)</f>
        <v>0</v>
      </c>
      <c r="S43">
        <f>SmtRes!AC36</f>
        <v>0</v>
      </c>
      <c r="T43">
        <f>ROUND(ROUND(Q43*Source!I37, 6)*SmtRes!AK36, 2)</f>
        <v>0</v>
      </c>
      <c r="U43">
        <f>SmtRes!X36</f>
        <v>1225357214</v>
      </c>
      <c r="V43">
        <v>130857818</v>
      </c>
      <c r="W43">
        <v>92895876</v>
      </c>
    </row>
    <row r="44" spans="1:23" x14ac:dyDescent="0.2">
      <c r="A44">
        <f>Source!A37</f>
        <v>17</v>
      </c>
      <c r="C44">
        <v>3</v>
      </c>
      <c r="D44">
        <v>0</v>
      </c>
      <c r="E44">
        <f>SmtRes!AV35</f>
        <v>0</v>
      </c>
      <c r="F44" t="str">
        <f>SmtRes!I35</f>
        <v>01.3.02.09-0022</v>
      </c>
      <c r="G44" t="str">
        <f>SmtRes!K35</f>
        <v>Пропан-бутан, смесь техническая</v>
      </c>
      <c r="H44" t="str">
        <f>SmtRes!O35</f>
        <v>кг</v>
      </c>
      <c r="I44">
        <f>SmtRes!Y35*Source!I37</f>
        <v>6.9741135000000005</v>
      </c>
      <c r="J44">
        <f>SmtRes!AO35</f>
        <v>1</v>
      </c>
      <c r="K44">
        <f>SmtRes!AE35</f>
        <v>6.09</v>
      </c>
      <c r="L44">
        <f>SmtRes!DB35</f>
        <v>2.74</v>
      </c>
      <c r="M44">
        <f>ROUND(ROUND(L44*Source!I37, 6)*1, 2)</f>
        <v>42.46</v>
      </c>
      <c r="N44">
        <f>SmtRes!AA35</f>
        <v>6.09</v>
      </c>
      <c r="O44">
        <f>ROUND(ROUND(L44*Source!I37, 6)*SmtRes!DA35, 2)</f>
        <v>42.46</v>
      </c>
      <c r="P44">
        <f>SmtRes!AG35</f>
        <v>0</v>
      </c>
      <c r="Q44">
        <f>SmtRes!DC35</f>
        <v>0</v>
      </c>
      <c r="R44">
        <f>ROUND(ROUND(Q44*Source!I37, 6)*1, 2)</f>
        <v>0</v>
      </c>
      <c r="S44">
        <f>SmtRes!AC35</f>
        <v>0</v>
      </c>
      <c r="T44">
        <f>ROUND(ROUND(Q44*Source!I37, 6)*SmtRes!AK35, 2)</f>
        <v>0</v>
      </c>
      <c r="U44">
        <f>SmtRes!X35</f>
        <v>1721895514</v>
      </c>
      <c r="V44">
        <v>868504123</v>
      </c>
      <c r="W44">
        <v>-1284884851</v>
      </c>
    </row>
    <row r="45" spans="1:23" x14ac:dyDescent="0.2">
      <c r="A45">
        <f>Source!A37</f>
        <v>17</v>
      </c>
      <c r="C45">
        <v>3</v>
      </c>
      <c r="D45">
        <v>0</v>
      </c>
      <c r="E45">
        <f>SmtRes!AV34</f>
        <v>0</v>
      </c>
      <c r="F45" t="str">
        <f>SmtRes!I34</f>
        <v>01.3.02.08-0001</v>
      </c>
      <c r="G45" t="str">
        <f>SmtRes!K34</f>
        <v>Кислород технический газообразный</v>
      </c>
      <c r="H45" t="str">
        <f>SmtRes!O34</f>
        <v>м3</v>
      </c>
      <c r="I45">
        <f>SmtRes!Y34*Source!I37</f>
        <v>23.247045</v>
      </c>
      <c r="J45">
        <f>SmtRes!AO34</f>
        <v>1</v>
      </c>
      <c r="K45">
        <f>SmtRes!AE34</f>
        <v>6.22</v>
      </c>
      <c r="L45">
        <f>SmtRes!DB34</f>
        <v>9.33</v>
      </c>
      <c r="M45">
        <f>ROUND(ROUND(L45*Source!I37, 6)*1, 2)</f>
        <v>144.6</v>
      </c>
      <c r="N45">
        <f>SmtRes!AA34</f>
        <v>6.22</v>
      </c>
      <c r="O45">
        <f>ROUND(ROUND(L45*Source!I37, 6)*SmtRes!DA34, 2)</f>
        <v>144.6</v>
      </c>
      <c r="P45">
        <f>SmtRes!AG34</f>
        <v>0</v>
      </c>
      <c r="Q45">
        <f>SmtRes!DC34</f>
        <v>0</v>
      </c>
      <c r="R45">
        <f>ROUND(ROUND(Q45*Source!I37, 6)*1, 2)</f>
        <v>0</v>
      </c>
      <c r="S45">
        <f>SmtRes!AC34</f>
        <v>0</v>
      </c>
      <c r="T45">
        <f>ROUND(ROUND(Q45*Source!I37, 6)*SmtRes!AK34, 2)</f>
        <v>0</v>
      </c>
      <c r="U45">
        <f>SmtRes!X34</f>
        <v>1262771840</v>
      </c>
      <c r="V45">
        <v>-170574233</v>
      </c>
      <c r="W45">
        <v>1592914109</v>
      </c>
    </row>
    <row r="46" spans="1:23" x14ac:dyDescent="0.2">
      <c r="A46">
        <f>Source!A37</f>
        <v>17</v>
      </c>
      <c r="C46">
        <v>2</v>
      </c>
      <c r="D46">
        <v>0</v>
      </c>
      <c r="E46">
        <f>SmtRes!AV33</f>
        <v>0</v>
      </c>
      <c r="F46" t="str">
        <f>SmtRes!I33</f>
        <v>91.17.04-171</v>
      </c>
      <c r="G46" t="str">
        <f>SmtRes!K33</f>
        <v>Преобразователи сварочные номинальным сварочным током 315-500 А</v>
      </c>
      <c r="H46" t="str">
        <f>SmtRes!O33</f>
        <v>маш.-ч</v>
      </c>
      <c r="I46">
        <f>SmtRes!Y33*Source!I37</f>
        <v>45.225188793749993</v>
      </c>
      <c r="J46">
        <f>SmtRes!AO33</f>
        <v>1</v>
      </c>
      <c r="K46">
        <f>SmtRes!AF33</f>
        <v>12.31</v>
      </c>
      <c r="L46">
        <f>SmtRes!DB33</f>
        <v>35.923124999999999</v>
      </c>
      <c r="M46">
        <f>ROUND(ROUND(L46*Source!I37, 6)*1, 2)</f>
        <v>556.74</v>
      </c>
      <c r="N46">
        <f>SmtRes!AB33</f>
        <v>12.31</v>
      </c>
      <c r="O46">
        <f>ROUND(ROUND(L46*Source!I37, 6)*SmtRes!DA33, 2)</f>
        <v>556.74</v>
      </c>
      <c r="P46">
        <f>SmtRes!AG33</f>
        <v>0</v>
      </c>
      <c r="Q46">
        <f>SmtRes!DC33</f>
        <v>0</v>
      </c>
      <c r="R46">
        <f>ROUND(ROUND(Q46*Source!I37, 6)*1, 2)</f>
        <v>0</v>
      </c>
      <c r="S46">
        <f>SmtRes!AC33</f>
        <v>0</v>
      </c>
      <c r="T46">
        <f>ROUND(ROUND(Q46*Source!I37, 6)*SmtRes!AK33, 2)</f>
        <v>0</v>
      </c>
      <c r="U46">
        <f>SmtRes!X33</f>
        <v>1323835807</v>
      </c>
      <c r="V46">
        <v>532028549</v>
      </c>
      <c r="W46">
        <v>93743108</v>
      </c>
    </row>
    <row r="47" spans="1:23" x14ac:dyDescent="0.2">
      <c r="A47">
        <f>Source!A37</f>
        <v>17</v>
      </c>
      <c r="C47">
        <v>2</v>
      </c>
      <c r="D47">
        <v>0</v>
      </c>
      <c r="E47">
        <f>SmtRes!AV32</f>
        <v>0</v>
      </c>
      <c r="F47" t="str">
        <f>SmtRes!I32</f>
        <v>91.17.04-042</v>
      </c>
      <c r="G47" t="str">
        <f>SmtRes!K32</f>
        <v>Аппарат для газовой сварки и резки</v>
      </c>
      <c r="H47" t="str">
        <f>SmtRes!O32</f>
        <v>маш.-ч</v>
      </c>
      <c r="I47">
        <f>SmtRes!Y32*Source!I37</f>
        <v>41.437857712499998</v>
      </c>
      <c r="J47">
        <f>SmtRes!AO32</f>
        <v>1</v>
      </c>
      <c r="K47">
        <f>SmtRes!AF32</f>
        <v>1.2</v>
      </c>
      <c r="L47">
        <f>SmtRes!DB32</f>
        <v>3.2056249999999999</v>
      </c>
      <c r="M47">
        <f>ROUND(ROUND(L47*Source!I37, 6)*1, 2)</f>
        <v>49.68</v>
      </c>
      <c r="N47">
        <f>SmtRes!AB32</f>
        <v>1.2</v>
      </c>
      <c r="O47">
        <f>ROUND(ROUND(L47*Source!I37, 6)*SmtRes!DA32, 2)</f>
        <v>49.68</v>
      </c>
      <c r="P47">
        <f>SmtRes!AG32</f>
        <v>0</v>
      </c>
      <c r="Q47">
        <f>SmtRes!DC32</f>
        <v>0</v>
      </c>
      <c r="R47">
        <f>ROUND(ROUND(Q47*Source!I37, 6)*1, 2)</f>
        <v>0</v>
      </c>
      <c r="S47">
        <f>SmtRes!AC32</f>
        <v>0</v>
      </c>
      <c r="T47">
        <f>ROUND(ROUND(Q47*Source!I37, 6)*SmtRes!AK32, 2)</f>
        <v>0</v>
      </c>
      <c r="U47">
        <f>SmtRes!X32</f>
        <v>792402865</v>
      </c>
      <c r="V47">
        <v>378503491</v>
      </c>
      <c r="W47">
        <v>428331130</v>
      </c>
    </row>
    <row r="48" spans="1:23" x14ac:dyDescent="0.2">
      <c r="A48">
        <f>Source!A37</f>
        <v>17</v>
      </c>
      <c r="C48">
        <v>2</v>
      </c>
      <c r="D48">
        <v>0</v>
      </c>
      <c r="E48">
        <f>SmtRes!AV31</f>
        <v>0</v>
      </c>
      <c r="F48" t="str">
        <f>SmtRes!I31</f>
        <v>91.14.02-001</v>
      </c>
      <c r="G48" t="str">
        <f>SmtRes!K31</f>
        <v>Автомобили бортовые, грузоподъемность до 5 т</v>
      </c>
      <c r="H48" t="str">
        <f>SmtRes!O31</f>
        <v>маш.-ч</v>
      </c>
      <c r="I48">
        <f>SmtRes!Y31*Source!I37</f>
        <v>4.2328994437499992</v>
      </c>
      <c r="J48">
        <f>SmtRes!AO31</f>
        <v>1</v>
      </c>
      <c r="K48">
        <f>SmtRes!AF31</f>
        <v>65.709999999999994</v>
      </c>
      <c r="L48">
        <f>SmtRes!DB31</f>
        <v>17.940000000000001</v>
      </c>
      <c r="M48">
        <f>ROUND(ROUND(L48*Source!I37, 6)*1, 2)</f>
        <v>278.02999999999997</v>
      </c>
      <c r="N48">
        <f>SmtRes!AB31</f>
        <v>65.709999999999994</v>
      </c>
      <c r="O48">
        <f>ROUND(ROUND(L48*Source!I37, 6)*SmtRes!DA31, 2)</f>
        <v>278.02999999999997</v>
      </c>
      <c r="P48">
        <f>SmtRes!AG31</f>
        <v>11.6</v>
      </c>
      <c r="Q48">
        <f>SmtRes!DC31</f>
        <v>3.1625000000000001</v>
      </c>
      <c r="R48">
        <f>ROUND(ROUND(Q48*Source!I37, 6)*1, 2)</f>
        <v>49.01</v>
      </c>
      <c r="S48">
        <f>SmtRes!AC31</f>
        <v>11.6</v>
      </c>
      <c r="T48">
        <f>ROUND(ROUND(Q48*Source!I37, 6)*SmtRes!AK31, 2)</f>
        <v>49.01</v>
      </c>
      <c r="U48">
        <f>SmtRes!X31</f>
        <v>1372534845</v>
      </c>
      <c r="V48">
        <v>-238339799</v>
      </c>
      <c r="W48">
        <v>1792116812</v>
      </c>
    </row>
    <row r="49" spans="1:23" x14ac:dyDescent="0.2">
      <c r="A49">
        <f>Source!A37</f>
        <v>17</v>
      </c>
      <c r="C49">
        <v>2</v>
      </c>
      <c r="D49">
        <v>0</v>
      </c>
      <c r="E49">
        <f>SmtRes!AV30</f>
        <v>0</v>
      </c>
      <c r="F49" t="str">
        <f>SmtRes!I30</f>
        <v>91.06.03-062</v>
      </c>
      <c r="G49" t="str">
        <f>SmtRes!K30</f>
        <v>Лебедки электрические тяговым усилием до 31,39 кН (3,2 т)</v>
      </c>
      <c r="H49" t="str">
        <f>SmtRes!O30</f>
        <v>маш.-ч</v>
      </c>
      <c r="I49">
        <f>SmtRes!Y30*Source!I37</f>
        <v>234.59174285624997</v>
      </c>
      <c r="J49">
        <f>SmtRes!AO30</f>
        <v>1</v>
      </c>
      <c r="K49">
        <f>SmtRes!AF30</f>
        <v>6.9</v>
      </c>
      <c r="L49">
        <f>SmtRes!DB30</f>
        <v>104.44875</v>
      </c>
      <c r="M49">
        <f>ROUND(ROUND(L49*Source!I37, 6)*1, 2)</f>
        <v>1618.75</v>
      </c>
      <c r="N49">
        <f>SmtRes!AB30</f>
        <v>6.9</v>
      </c>
      <c r="O49">
        <f>ROUND(ROUND(L49*Source!I37, 6)*SmtRes!DA30, 2)</f>
        <v>1618.75</v>
      </c>
      <c r="P49">
        <f>SmtRes!AG30</f>
        <v>0</v>
      </c>
      <c r="Q49">
        <f>SmtRes!DC30</f>
        <v>0</v>
      </c>
      <c r="R49">
        <f>ROUND(ROUND(Q49*Source!I37, 6)*1, 2)</f>
        <v>0</v>
      </c>
      <c r="S49">
        <f>SmtRes!AC30</f>
        <v>0</v>
      </c>
      <c r="T49">
        <f>ROUND(ROUND(Q49*Source!I37, 6)*SmtRes!AK30, 2)</f>
        <v>0</v>
      </c>
      <c r="U49">
        <f>SmtRes!X30</f>
        <v>1544661785</v>
      </c>
      <c r="V49">
        <v>-1279341942</v>
      </c>
      <c r="W49">
        <v>1752664033</v>
      </c>
    </row>
    <row r="50" spans="1:23" x14ac:dyDescent="0.2">
      <c r="A50">
        <f>Source!A37</f>
        <v>17</v>
      </c>
      <c r="C50">
        <v>2</v>
      </c>
      <c r="D50">
        <v>0</v>
      </c>
      <c r="E50">
        <f>SmtRes!AV29</f>
        <v>0</v>
      </c>
      <c r="F50" t="str">
        <f>SmtRes!I29</f>
        <v>91.05.05-014</v>
      </c>
      <c r="G50" t="str">
        <f>SmtRes!K29</f>
        <v>Краны на автомобильном ходу, грузоподъемность 10 т</v>
      </c>
      <c r="H50" t="str">
        <f>SmtRes!O29</f>
        <v>маш.-ч</v>
      </c>
      <c r="I50">
        <f>SmtRes!Y29*Source!I37</f>
        <v>2.6734101749999999</v>
      </c>
      <c r="J50">
        <f>SmtRes!AO29</f>
        <v>1</v>
      </c>
      <c r="K50">
        <f>SmtRes!AF29</f>
        <v>111.99</v>
      </c>
      <c r="L50">
        <f>SmtRes!DB29</f>
        <v>19.32</v>
      </c>
      <c r="M50">
        <f>ROUND(ROUND(L50*Source!I37, 6)*1, 2)</f>
        <v>299.42</v>
      </c>
      <c r="N50">
        <f>SmtRes!AB29</f>
        <v>111.99</v>
      </c>
      <c r="O50">
        <f>ROUND(ROUND(L50*Source!I37, 6)*SmtRes!DA29, 2)</f>
        <v>299.42</v>
      </c>
      <c r="P50">
        <f>SmtRes!AG29</f>
        <v>13.5</v>
      </c>
      <c r="Q50">
        <f>SmtRes!DC29</f>
        <v>2.3287499999999999</v>
      </c>
      <c r="R50">
        <f>ROUND(ROUND(Q50*Source!I37, 6)*1, 2)</f>
        <v>36.090000000000003</v>
      </c>
      <c r="S50">
        <f>SmtRes!AC29</f>
        <v>13.5</v>
      </c>
      <c r="T50">
        <f>ROUND(ROUND(Q50*Source!I37, 6)*SmtRes!AK29, 2)</f>
        <v>36.090000000000003</v>
      </c>
      <c r="U50">
        <f>SmtRes!X29</f>
        <v>-1718674368</v>
      </c>
      <c r="V50">
        <v>-816987455</v>
      </c>
      <c r="W50">
        <v>-2122234393</v>
      </c>
    </row>
    <row r="51" spans="1:23" x14ac:dyDescent="0.2">
      <c r="A51">
        <f>Source!A37</f>
        <v>17</v>
      </c>
      <c r="C51">
        <v>1</v>
      </c>
      <c r="D51">
        <v>0</v>
      </c>
      <c r="E51">
        <f>SmtRes!AV28</f>
        <v>2</v>
      </c>
      <c r="F51" t="str">
        <f>SmtRes!I28</f>
        <v>4-100-00</v>
      </c>
      <c r="G51" t="str">
        <f>SmtRes!K28</f>
        <v>Затраты труда машинистов</v>
      </c>
      <c r="H51" t="str">
        <f>SmtRes!O28</f>
        <v>чел.-ч.</v>
      </c>
      <c r="I51">
        <f>SmtRes!Y28*Source!I37</f>
        <v>4.8043892999999995</v>
      </c>
      <c r="J51">
        <f>SmtRes!AO28</f>
        <v>1</v>
      </c>
      <c r="K51">
        <f>SmtRes!AH28</f>
        <v>0</v>
      </c>
      <c r="L51">
        <f>SmtRes!DB28</f>
        <v>0</v>
      </c>
      <c r="M51">
        <f>ROUND(ROUND(L51*Source!I37, 6)*1, 2)</f>
        <v>0</v>
      </c>
      <c r="N51">
        <f>SmtRes!AD28</f>
        <v>0</v>
      </c>
      <c r="O51">
        <f>ROUND(ROUND(L51*Source!I37, 6)*SmtRes!DA28, 2)</f>
        <v>0</v>
      </c>
      <c r="P51">
        <f>SmtRes!AG28</f>
        <v>0</v>
      </c>
      <c r="Q51">
        <f>SmtRes!DC28</f>
        <v>0</v>
      </c>
      <c r="R51">
        <f>ROUND(ROUND(Q51*Source!I37, 6)*1, 2)</f>
        <v>0</v>
      </c>
      <c r="S51">
        <f>SmtRes!AC28</f>
        <v>0</v>
      </c>
      <c r="T51">
        <f>ROUND(ROUND(Q51*Source!I37, 6)*SmtRes!AK28, 2)</f>
        <v>0</v>
      </c>
      <c r="U51">
        <f>SmtRes!X28</f>
        <v>-1417349443</v>
      </c>
      <c r="V51">
        <v>-189065469</v>
      </c>
      <c r="W51">
        <v>1122477533</v>
      </c>
    </row>
    <row r="52" spans="1:23" x14ac:dyDescent="0.2">
      <c r="A52">
        <f>Source!A37</f>
        <v>17</v>
      </c>
      <c r="C52">
        <v>1</v>
      </c>
      <c r="D52">
        <v>0</v>
      </c>
      <c r="E52">
        <f>SmtRes!AV27</f>
        <v>1</v>
      </c>
      <c r="F52" t="str">
        <f>SmtRes!I27</f>
        <v>1-100-30</v>
      </c>
      <c r="G52" t="str">
        <f>SmtRes!K27</f>
        <v>Рабочий среднего разряда 3</v>
      </c>
      <c r="H52" t="str">
        <f>SmtRes!O27</f>
        <v>чел.-ч.</v>
      </c>
      <c r="I52">
        <f>SmtRes!Y27*Source!I37</f>
        <v>1040.9991880432499</v>
      </c>
      <c r="J52">
        <f>SmtRes!AO27</f>
        <v>1</v>
      </c>
      <c r="K52">
        <f>SmtRes!AH27</f>
        <v>8.5299999999999994</v>
      </c>
      <c r="L52">
        <f>SmtRes!DB27</f>
        <v>572.95989999999995</v>
      </c>
      <c r="M52">
        <f>ROUND(ROUND(L52*Source!I37, 6)*1, 2)</f>
        <v>8879.75</v>
      </c>
      <c r="N52">
        <f>SmtRes!AD27</f>
        <v>8.5299999999999994</v>
      </c>
      <c r="O52">
        <f>ROUND(ROUND(L52*Source!I37, 6)*SmtRes!DA27, 2)</f>
        <v>8879.75</v>
      </c>
      <c r="P52">
        <f>SmtRes!AG27</f>
        <v>0</v>
      </c>
      <c r="Q52">
        <f>SmtRes!DC27</f>
        <v>0</v>
      </c>
      <c r="R52">
        <f>ROUND(ROUND(Q52*Source!I37, 6)*1, 2)</f>
        <v>0</v>
      </c>
      <c r="S52">
        <f>SmtRes!AC27</f>
        <v>0</v>
      </c>
      <c r="T52">
        <f>ROUND(ROUND(Q52*Source!I37, 6)*SmtRes!AK27, 2)</f>
        <v>0</v>
      </c>
      <c r="U52">
        <f>SmtRes!X27</f>
        <v>-400197608</v>
      </c>
      <c r="V52">
        <v>85649297</v>
      </c>
      <c r="W52">
        <v>-436776913</v>
      </c>
    </row>
    <row r="53" spans="1:23" x14ac:dyDescent="0.2">
      <c r="A53">
        <f>Source!A38</f>
        <v>17</v>
      </c>
      <c r="C53">
        <v>3</v>
      </c>
      <c r="D53">
        <v>0</v>
      </c>
      <c r="E53">
        <f>SmtRes!AV47</f>
        <v>0</v>
      </c>
      <c r="F53" t="str">
        <f>SmtRes!I47</f>
        <v>01.7.15.14-0164</v>
      </c>
      <c r="G53" t="str">
        <f>SmtRes!K47</f>
        <v>Шурупы с полукруглой головкой 3,5х35 мм</v>
      </c>
      <c r="H53" t="str">
        <f>SmtRes!O47</f>
        <v>т</v>
      </c>
      <c r="I53">
        <f>SmtRes!Y47*Source!I38</f>
        <v>1.6000000000000001E-4</v>
      </c>
      <c r="J53">
        <f>SmtRes!AO47</f>
        <v>1</v>
      </c>
      <c r="K53">
        <f>SmtRes!AE47</f>
        <v>16974</v>
      </c>
      <c r="L53">
        <f>SmtRes!DB47</f>
        <v>135.79</v>
      </c>
      <c r="M53">
        <f>ROUND(ROUND(L53*Source!I38, 6)*1, 2)</f>
        <v>2.72</v>
      </c>
      <c r="N53">
        <f>SmtRes!AA47</f>
        <v>16974</v>
      </c>
      <c r="O53">
        <f>ROUND(ROUND(L53*Source!I38, 6)*SmtRes!DA47, 2)</f>
        <v>2.72</v>
      </c>
      <c r="P53">
        <f>SmtRes!AG47</f>
        <v>0</v>
      </c>
      <c r="Q53">
        <f>SmtRes!DC47</f>
        <v>0</v>
      </c>
      <c r="R53">
        <f>ROUND(ROUND(Q53*Source!I38, 6)*1, 2)</f>
        <v>0</v>
      </c>
      <c r="S53">
        <f>SmtRes!AC47</f>
        <v>0</v>
      </c>
      <c r="T53">
        <f>ROUND(ROUND(Q53*Source!I38, 6)*SmtRes!AK47, 2)</f>
        <v>0</v>
      </c>
      <c r="U53">
        <f>SmtRes!X47</f>
        <v>2128740752</v>
      </c>
      <c r="V53">
        <v>1123280328</v>
      </c>
      <c r="W53">
        <v>1843181130</v>
      </c>
    </row>
    <row r="54" spans="1:23" x14ac:dyDescent="0.2">
      <c r="A54">
        <f>Source!A38</f>
        <v>17</v>
      </c>
      <c r="C54">
        <v>1</v>
      </c>
      <c r="D54">
        <v>0</v>
      </c>
      <c r="E54">
        <f>SmtRes!AV45</f>
        <v>1</v>
      </c>
      <c r="F54" t="str">
        <f>SmtRes!I45</f>
        <v>1-100-30</v>
      </c>
      <c r="G54" t="str">
        <f>SmtRes!K45</f>
        <v>Рабочий среднего разряда 3</v>
      </c>
      <c r="H54" t="str">
        <f>SmtRes!O45</f>
        <v>чел.-ч.</v>
      </c>
      <c r="I54">
        <f>SmtRes!Y45*Source!I38</f>
        <v>2.8248600000000001</v>
      </c>
      <c r="J54">
        <f>SmtRes!AO45</f>
        <v>1</v>
      </c>
      <c r="K54">
        <f>SmtRes!AH45</f>
        <v>8.5299999999999994</v>
      </c>
      <c r="L54">
        <f>SmtRes!DB45</f>
        <v>1204.7974999999999</v>
      </c>
      <c r="M54">
        <f>ROUND(ROUND(L54*Source!I38, 6)*1, 2)</f>
        <v>24.1</v>
      </c>
      <c r="N54">
        <f>SmtRes!AD45</f>
        <v>8.5299999999999994</v>
      </c>
      <c r="O54">
        <f>ROUND(ROUND(L54*Source!I38, 6)*SmtRes!DA45, 2)</f>
        <v>24.1</v>
      </c>
      <c r="P54">
        <f>SmtRes!AG45</f>
        <v>0</v>
      </c>
      <c r="Q54">
        <f>SmtRes!DC45</f>
        <v>0</v>
      </c>
      <c r="R54">
        <f>ROUND(ROUND(Q54*Source!I38, 6)*1, 2)</f>
        <v>0</v>
      </c>
      <c r="S54">
        <f>SmtRes!AC45</f>
        <v>0</v>
      </c>
      <c r="T54">
        <f>ROUND(ROUND(Q54*Source!I38, 6)*SmtRes!AK45, 2)</f>
        <v>0</v>
      </c>
      <c r="U54">
        <f>SmtRes!X45</f>
        <v>-400197608</v>
      </c>
      <c r="V54">
        <v>85649297</v>
      </c>
      <c r="W54">
        <v>-436776913</v>
      </c>
    </row>
    <row r="55" spans="1:23" x14ac:dyDescent="0.2">
      <c r="A55">
        <f>Source!A39</f>
        <v>18</v>
      </c>
      <c r="C55">
        <v>3</v>
      </c>
      <c r="D55">
        <f>Source!BI39</f>
        <v>1</v>
      </c>
      <c r="E55">
        <f>Source!FS39</f>
        <v>0</v>
      </c>
      <c r="F55" t="str">
        <f>Source!F39</f>
        <v>01.7.04.04-0001</v>
      </c>
      <c r="G55" t="str">
        <f>Source!G39</f>
        <v>Замки накладные с засовом и защелкой</v>
      </c>
      <c r="H55" t="str">
        <f>Source!H39</f>
        <v>компл.</v>
      </c>
      <c r="I55">
        <f>Source!I39</f>
        <v>2</v>
      </c>
      <c r="J55">
        <v>1</v>
      </c>
      <c r="K55">
        <f>Source!AC39</f>
        <v>99.1</v>
      </c>
      <c r="M55">
        <f>ROUND(K55*I55, 2)</f>
        <v>198.2</v>
      </c>
      <c r="N55">
        <f>Source!AC39*IF(Source!BC39&lt;&gt; 0, Source!BC39, 1)</f>
        <v>99.1</v>
      </c>
      <c r="O55">
        <f>ROUND(N55*I55, 2)</f>
        <v>198.2</v>
      </c>
      <c r="P55">
        <f>Source!AE39</f>
        <v>0</v>
      </c>
      <c r="R55">
        <f>ROUND(P55*I55, 2)</f>
        <v>0</v>
      </c>
      <c r="S55">
        <f>Source!AE39*IF(Source!BS39&lt;&gt; 0, Source!BS39, 1)</f>
        <v>0</v>
      </c>
      <c r="T55">
        <f>ROUND(S55*I55, 2)</f>
        <v>0</v>
      </c>
      <c r="U55">
        <f>Source!GF39</f>
        <v>1764963212</v>
      </c>
      <c r="V55">
        <v>-455552228</v>
      </c>
      <c r="W55">
        <v>86948802</v>
      </c>
    </row>
    <row r="56" spans="1:23" x14ac:dyDescent="0.2">
      <c r="A56">
        <f>Source!A40</f>
        <v>17</v>
      </c>
      <c r="C56">
        <v>3</v>
      </c>
      <c r="D56">
        <v>0</v>
      </c>
      <c r="E56">
        <f>SmtRes!AV53</f>
        <v>0</v>
      </c>
      <c r="F56" t="str">
        <f>SmtRes!I53</f>
        <v>01.7.03.01-0001</v>
      </c>
      <c r="G56" t="str">
        <f>SmtRes!K53</f>
        <v>Вода</v>
      </c>
      <c r="H56" t="str">
        <f>SmtRes!O53</f>
        <v>м3</v>
      </c>
      <c r="I56">
        <f>SmtRes!Y53*Source!I40</f>
        <v>1.7999999999999999E-2</v>
      </c>
      <c r="J56">
        <f>SmtRes!AO53</f>
        <v>1</v>
      </c>
      <c r="K56">
        <f>SmtRes!AE53</f>
        <v>2.44</v>
      </c>
      <c r="L56">
        <f>SmtRes!DB53</f>
        <v>0.37</v>
      </c>
      <c r="M56">
        <f>ROUND(ROUND(L56*Source!I40, 6)*1, 2)</f>
        <v>0.04</v>
      </c>
      <c r="N56">
        <f>SmtRes!AA53</f>
        <v>2.44</v>
      </c>
      <c r="O56">
        <f>ROUND(ROUND(L56*Source!I40, 6)*SmtRes!DA53, 2)</f>
        <v>0.04</v>
      </c>
      <c r="P56">
        <f>SmtRes!AG53</f>
        <v>0</v>
      </c>
      <c r="Q56">
        <f>SmtRes!DC53</f>
        <v>0</v>
      </c>
      <c r="R56">
        <f>ROUND(ROUND(Q56*Source!I40, 6)*1, 2)</f>
        <v>0</v>
      </c>
      <c r="S56">
        <f>SmtRes!AC53</f>
        <v>0</v>
      </c>
      <c r="T56">
        <f>ROUND(ROUND(Q56*Source!I40, 6)*SmtRes!AK53, 2)</f>
        <v>0</v>
      </c>
      <c r="U56">
        <f>SmtRes!X53</f>
        <v>-1660354250</v>
      </c>
      <c r="V56">
        <v>1600079109</v>
      </c>
      <c r="W56">
        <v>-1353927395</v>
      </c>
    </row>
    <row r="57" spans="1:23" x14ac:dyDescent="0.2">
      <c r="A57">
        <f>Source!A40</f>
        <v>17</v>
      </c>
      <c r="C57">
        <v>2</v>
      </c>
      <c r="D57">
        <v>0</v>
      </c>
      <c r="E57">
        <f>SmtRes!AV52</f>
        <v>0</v>
      </c>
      <c r="F57" t="str">
        <f>SmtRes!I52</f>
        <v>91.18.01-007</v>
      </c>
      <c r="G57" t="str">
        <f>SmtRes!K52</f>
        <v>Компрессоры передвижные с двигателем внутреннего сгорания, давлением до 686 кПа (7ат), производительность до 5мЗ/мин</v>
      </c>
      <c r="H57" t="str">
        <f>SmtRes!O52</f>
        <v>маш.-ч</v>
      </c>
      <c r="I57">
        <f>SmtRes!Y52*Source!I40</f>
        <v>3.6225E-2</v>
      </c>
      <c r="J57">
        <f>SmtRes!AO52</f>
        <v>1</v>
      </c>
      <c r="K57">
        <f>SmtRes!AF52</f>
        <v>90</v>
      </c>
      <c r="L57">
        <f>SmtRes!DB52</f>
        <v>27.168749999999999</v>
      </c>
      <c r="M57">
        <f>ROUND(ROUND(L57*Source!I40, 6)*1, 2)</f>
        <v>3.26</v>
      </c>
      <c r="N57">
        <f>SmtRes!AB52</f>
        <v>90</v>
      </c>
      <c r="O57">
        <f>ROUND(ROUND(L57*Source!I40, 6)*SmtRes!DA52, 2)</f>
        <v>3.26</v>
      </c>
      <c r="P57">
        <f>SmtRes!AG52</f>
        <v>10.06</v>
      </c>
      <c r="Q57">
        <f>SmtRes!DC52</f>
        <v>3.0331250000000001</v>
      </c>
      <c r="R57">
        <f>ROUND(ROUND(Q57*Source!I40, 6)*1, 2)</f>
        <v>0.36</v>
      </c>
      <c r="S57">
        <f>SmtRes!AC52</f>
        <v>10.06</v>
      </c>
      <c r="T57">
        <f>ROUND(ROUND(Q57*Source!I40, 6)*SmtRes!AK52, 2)</f>
        <v>0.36</v>
      </c>
      <c r="U57">
        <f>SmtRes!X52</f>
        <v>-1589061407</v>
      </c>
      <c r="V57">
        <v>-1756222023</v>
      </c>
      <c r="W57">
        <v>954034734</v>
      </c>
    </row>
    <row r="58" spans="1:23" x14ac:dyDescent="0.2">
      <c r="A58">
        <f>Source!A40</f>
        <v>17</v>
      </c>
      <c r="C58">
        <v>2</v>
      </c>
      <c r="D58">
        <v>0</v>
      </c>
      <c r="E58">
        <f>SmtRes!AV51</f>
        <v>0</v>
      </c>
      <c r="F58" t="str">
        <f>SmtRes!I51</f>
        <v>91.08.09-023</v>
      </c>
      <c r="G58" t="str">
        <f>SmtRes!K51</f>
        <v>Трамбовки пневматические при работе от передвижных компрессорных станций</v>
      </c>
      <c r="H58" t="str">
        <f>SmtRes!O51</f>
        <v>маш.-ч</v>
      </c>
      <c r="I58">
        <f>SmtRes!Y51*Source!I40</f>
        <v>7.2450000000000001E-2</v>
      </c>
      <c r="J58">
        <f>SmtRes!AO51</f>
        <v>1</v>
      </c>
      <c r="K58">
        <f>SmtRes!AF51</f>
        <v>0.55000000000000004</v>
      </c>
      <c r="L58">
        <f>SmtRes!DB51</f>
        <v>0.330625</v>
      </c>
      <c r="M58">
        <f>ROUND(ROUND(L58*Source!I40, 6)*1, 2)</f>
        <v>0.04</v>
      </c>
      <c r="N58">
        <f>SmtRes!AB51</f>
        <v>0.55000000000000004</v>
      </c>
      <c r="O58">
        <f>ROUND(ROUND(L58*Source!I40, 6)*SmtRes!DA51, 2)</f>
        <v>0.04</v>
      </c>
      <c r="P58">
        <f>SmtRes!AG51</f>
        <v>0</v>
      </c>
      <c r="Q58">
        <f>SmtRes!DC51</f>
        <v>0</v>
      </c>
      <c r="R58">
        <f>ROUND(ROUND(Q58*Source!I40, 6)*1, 2)</f>
        <v>0</v>
      </c>
      <c r="S58">
        <f>SmtRes!AC51</f>
        <v>0</v>
      </c>
      <c r="T58">
        <f>ROUND(ROUND(Q58*Source!I40, 6)*SmtRes!AK51, 2)</f>
        <v>0</v>
      </c>
      <c r="U58">
        <f>SmtRes!X51</f>
        <v>-1806095485</v>
      </c>
      <c r="V58">
        <v>537051757</v>
      </c>
      <c r="W58">
        <v>1062231293</v>
      </c>
    </row>
    <row r="59" spans="1:23" x14ac:dyDescent="0.2">
      <c r="A59">
        <f>Source!A40</f>
        <v>17</v>
      </c>
      <c r="C59">
        <v>2</v>
      </c>
      <c r="D59">
        <v>0</v>
      </c>
      <c r="E59">
        <f>SmtRes!AV50</f>
        <v>0</v>
      </c>
      <c r="F59" t="str">
        <f>SmtRes!I50</f>
        <v>91.06.05-057</v>
      </c>
      <c r="G59" t="str">
        <f>SmtRes!K50</f>
        <v>Погрузчики одноковшовые универсальные фронтальные пневмоколесные, грузоподъемность 3 т</v>
      </c>
      <c r="H59" t="str">
        <f>SmtRes!O50</f>
        <v>маш.-ч</v>
      </c>
      <c r="I59">
        <f>SmtRes!Y50*Source!I40</f>
        <v>1.3799999999999998E-2</v>
      </c>
      <c r="J59">
        <f>SmtRes!AO50</f>
        <v>1</v>
      </c>
      <c r="K59">
        <f>SmtRes!AF50</f>
        <v>90.4</v>
      </c>
      <c r="L59">
        <f>SmtRes!DB50</f>
        <v>10.393125</v>
      </c>
      <c r="M59">
        <f>ROUND(ROUND(L59*Source!I40, 6)*1, 2)</f>
        <v>1.25</v>
      </c>
      <c r="N59">
        <f>SmtRes!AB50</f>
        <v>90.4</v>
      </c>
      <c r="O59">
        <f>ROUND(ROUND(L59*Source!I40, 6)*SmtRes!DA50, 2)</f>
        <v>1.25</v>
      </c>
      <c r="P59">
        <f>SmtRes!AG50</f>
        <v>11.6</v>
      </c>
      <c r="Q59">
        <f>SmtRes!DC50</f>
        <v>1.336875</v>
      </c>
      <c r="R59">
        <f>ROUND(ROUND(Q59*Source!I40, 6)*1, 2)</f>
        <v>0.16</v>
      </c>
      <c r="S59">
        <f>SmtRes!AC50</f>
        <v>11.6</v>
      </c>
      <c r="T59">
        <f>ROUND(ROUND(Q59*Source!I40, 6)*SmtRes!AK50, 2)</f>
        <v>0.16</v>
      </c>
      <c r="U59">
        <f>SmtRes!X50</f>
        <v>721845866</v>
      </c>
      <c r="V59">
        <v>-1504241885</v>
      </c>
      <c r="W59">
        <v>-116415410</v>
      </c>
    </row>
    <row r="60" spans="1:23" x14ac:dyDescent="0.2">
      <c r="A60">
        <f>Source!A40</f>
        <v>17</v>
      </c>
      <c r="C60">
        <v>1</v>
      </c>
      <c r="D60">
        <v>0</v>
      </c>
      <c r="E60">
        <f>SmtRes!AV49</f>
        <v>2</v>
      </c>
      <c r="F60" t="str">
        <f>SmtRes!I49</f>
        <v>4-100-00</v>
      </c>
      <c r="G60" t="str">
        <f>SmtRes!K49</f>
        <v>Затраты труда машинистов</v>
      </c>
      <c r="H60" t="str">
        <f>SmtRes!O49</f>
        <v>чел.-ч.</v>
      </c>
      <c r="I60">
        <f>SmtRes!Y49*Source!I40</f>
        <v>3.4799999999999998E-2</v>
      </c>
      <c r="J60">
        <f>SmtRes!AO49</f>
        <v>1</v>
      </c>
      <c r="K60">
        <f>SmtRes!AH49</f>
        <v>0</v>
      </c>
      <c r="L60">
        <f>SmtRes!DB49</f>
        <v>0</v>
      </c>
      <c r="M60">
        <f>ROUND(ROUND(L60*Source!I40, 6)*1, 2)</f>
        <v>0</v>
      </c>
      <c r="N60">
        <f>SmtRes!AD49</f>
        <v>0</v>
      </c>
      <c r="O60">
        <f>ROUND(ROUND(L60*Source!I40, 6)*SmtRes!DA49, 2)</f>
        <v>0</v>
      </c>
      <c r="P60">
        <f>SmtRes!AG49</f>
        <v>0</v>
      </c>
      <c r="Q60">
        <f>SmtRes!DC49</f>
        <v>0</v>
      </c>
      <c r="R60">
        <f>ROUND(ROUND(Q60*Source!I40, 6)*1, 2)</f>
        <v>0</v>
      </c>
      <c r="S60">
        <f>SmtRes!AC49</f>
        <v>0</v>
      </c>
      <c r="T60">
        <f>ROUND(ROUND(Q60*Source!I40, 6)*SmtRes!AK49, 2)</f>
        <v>0</v>
      </c>
      <c r="U60">
        <f>SmtRes!X49</f>
        <v>-1417349443</v>
      </c>
      <c r="V60">
        <v>-189065469</v>
      </c>
      <c r="W60">
        <v>1122477533</v>
      </c>
    </row>
    <row r="61" spans="1:23" x14ac:dyDescent="0.2">
      <c r="A61">
        <f>Source!A40</f>
        <v>17</v>
      </c>
      <c r="C61">
        <v>1</v>
      </c>
      <c r="D61">
        <v>0</v>
      </c>
      <c r="E61">
        <f>SmtRes!AV48</f>
        <v>1</v>
      </c>
      <c r="F61" t="str">
        <f>SmtRes!I48</f>
        <v>1-100-25</v>
      </c>
      <c r="G61" t="str">
        <f>SmtRes!K48</f>
        <v>Рабочий среднего разряда 2.5</v>
      </c>
      <c r="H61" t="str">
        <f>SmtRes!O48</f>
        <v>чел.-ч.</v>
      </c>
      <c r="I61">
        <f>SmtRes!Y48*Source!I40</f>
        <v>0.36500999999999989</v>
      </c>
      <c r="J61">
        <f>SmtRes!AO48</f>
        <v>1</v>
      </c>
      <c r="K61">
        <f>SmtRes!AH48</f>
        <v>8.17</v>
      </c>
      <c r="L61">
        <f>SmtRes!DB48</f>
        <v>24.849775000000001</v>
      </c>
      <c r="M61">
        <f>ROUND(ROUND(L61*Source!I40, 6)*1, 2)</f>
        <v>2.98</v>
      </c>
      <c r="N61">
        <f>SmtRes!AD48</f>
        <v>8.17</v>
      </c>
      <c r="O61">
        <f>ROUND(ROUND(L61*Source!I40, 6)*SmtRes!DA48, 2)</f>
        <v>2.98</v>
      </c>
      <c r="P61">
        <f>SmtRes!AG48</f>
        <v>0</v>
      </c>
      <c r="Q61">
        <f>SmtRes!DC48</f>
        <v>0</v>
      </c>
      <c r="R61">
        <f>ROUND(ROUND(Q61*Source!I40, 6)*1, 2)</f>
        <v>0</v>
      </c>
      <c r="S61">
        <f>SmtRes!AC48</f>
        <v>0</v>
      </c>
      <c r="T61">
        <f>ROUND(ROUND(Q61*Source!I40, 6)*SmtRes!AK48, 2)</f>
        <v>0</v>
      </c>
      <c r="U61">
        <f>SmtRes!X48</f>
        <v>-509590494</v>
      </c>
      <c r="V61">
        <v>403823990</v>
      </c>
      <c r="W61">
        <v>78448524</v>
      </c>
    </row>
    <row r="62" spans="1:23" x14ac:dyDescent="0.2">
      <c r="A62">
        <f>Source!A41</f>
        <v>18</v>
      </c>
      <c r="C62">
        <v>3</v>
      </c>
      <c r="D62">
        <f>Source!BI41</f>
        <v>1</v>
      </c>
      <c r="E62">
        <f>Source!FS41</f>
        <v>0</v>
      </c>
      <c r="F62" t="str">
        <f>Source!F41</f>
        <v>02.3.01.02-0015</v>
      </c>
      <c r="G62" t="str">
        <f>Source!G41</f>
        <v>Песок природный для строительных работ средний</v>
      </c>
      <c r="H62" t="str">
        <f>Source!H41</f>
        <v>м3</v>
      </c>
      <c r="I62">
        <f>Source!I41</f>
        <v>0.14399999999999999</v>
      </c>
      <c r="J62">
        <v>1</v>
      </c>
      <c r="K62">
        <f>Source!AC41</f>
        <v>55.26</v>
      </c>
      <c r="M62">
        <f>ROUND(K62*I62, 2)</f>
        <v>7.96</v>
      </c>
      <c r="N62">
        <f>Source!AC41*IF(Source!BC41&lt;&gt; 0, Source!BC41, 1)</f>
        <v>55.26</v>
      </c>
      <c r="O62">
        <f>ROUND(N62*I62, 2)</f>
        <v>7.96</v>
      </c>
      <c r="P62">
        <f>Source!AE41</f>
        <v>0</v>
      </c>
      <c r="R62">
        <f>ROUND(P62*I62, 2)</f>
        <v>0</v>
      </c>
      <c r="S62">
        <f>Source!AE41*IF(Source!BS41&lt;&gt; 0, Source!BS41, 1)</f>
        <v>0</v>
      </c>
      <c r="T62">
        <f>ROUND(S62*I62, 2)</f>
        <v>0</v>
      </c>
      <c r="U62">
        <f>Source!GF41</f>
        <v>-35545874</v>
      </c>
      <c r="V62">
        <v>1327291456</v>
      </c>
      <c r="W62">
        <v>1416435395</v>
      </c>
    </row>
    <row r="63" spans="1:23" x14ac:dyDescent="0.2">
      <c r="A63">
        <f>Source!A42</f>
        <v>17</v>
      </c>
      <c r="C63">
        <v>3</v>
      </c>
      <c r="D63">
        <v>0</v>
      </c>
      <c r="E63">
        <f>SmtRes!AV58</f>
        <v>0</v>
      </c>
      <c r="F63" t="str">
        <f>SmtRes!I58</f>
        <v>01.7.07.12-0022</v>
      </c>
      <c r="G63" t="str">
        <f>SmtRes!K58</f>
        <v>Пленка полиэтиленовая толщиной 0,2-0,5 мм</v>
      </c>
      <c r="H63" t="str">
        <f>SmtRes!O58</f>
        <v>м2</v>
      </c>
      <c r="I63">
        <f>SmtRes!Y58*Source!I42</f>
        <v>0.91800000000000004</v>
      </c>
      <c r="J63">
        <f>SmtRes!AO58</f>
        <v>1</v>
      </c>
      <c r="K63">
        <f>SmtRes!AE58</f>
        <v>12.19</v>
      </c>
      <c r="L63">
        <f>SmtRes!DB58</f>
        <v>1492.06</v>
      </c>
      <c r="M63">
        <f>ROUND(ROUND(L63*Source!I42, 6)*1, 2)</f>
        <v>11.19</v>
      </c>
      <c r="N63">
        <f>SmtRes!AA58</f>
        <v>12.19</v>
      </c>
      <c r="O63">
        <f>ROUND(ROUND(L63*Source!I42, 6)*SmtRes!DA58, 2)</f>
        <v>11.19</v>
      </c>
      <c r="P63">
        <f>SmtRes!AG58</f>
        <v>0</v>
      </c>
      <c r="Q63">
        <f>SmtRes!DC58</f>
        <v>0</v>
      </c>
      <c r="R63">
        <f>ROUND(ROUND(Q63*Source!I42, 6)*1, 2)</f>
        <v>0</v>
      </c>
      <c r="S63">
        <f>SmtRes!AC58</f>
        <v>0</v>
      </c>
      <c r="T63">
        <f>ROUND(ROUND(Q63*Source!I42, 6)*SmtRes!AK58, 2)</f>
        <v>0</v>
      </c>
      <c r="U63">
        <f>SmtRes!X58</f>
        <v>-543550502</v>
      </c>
      <c r="V63">
        <v>1894551085</v>
      </c>
      <c r="W63">
        <v>1907647847</v>
      </c>
    </row>
    <row r="64" spans="1:23" x14ac:dyDescent="0.2">
      <c r="A64">
        <f>Source!A42</f>
        <v>17</v>
      </c>
      <c r="C64">
        <v>2</v>
      </c>
      <c r="D64">
        <v>0</v>
      </c>
      <c r="E64">
        <f>SmtRes!AV57</f>
        <v>0</v>
      </c>
      <c r="F64" t="str">
        <f>SmtRes!I57</f>
        <v>91.14.02-001</v>
      </c>
      <c r="G64" t="str">
        <f>SmtRes!K57</f>
        <v>Автомобили бортовые, грузоподъемность до 5 т</v>
      </c>
      <c r="H64" t="str">
        <f>SmtRes!O57</f>
        <v>маш.-ч</v>
      </c>
      <c r="I64">
        <f>SmtRes!Y57*Source!I42</f>
        <v>2.1562499999999997E-4</v>
      </c>
      <c r="J64">
        <f>SmtRes!AO57</f>
        <v>1</v>
      </c>
      <c r="K64">
        <f>SmtRes!AF57</f>
        <v>65.709999999999994</v>
      </c>
      <c r="L64">
        <f>SmtRes!DB57</f>
        <v>1.8831249999999999</v>
      </c>
      <c r="M64">
        <f>ROUND(ROUND(L64*Source!I42, 6)*1, 2)</f>
        <v>0.01</v>
      </c>
      <c r="N64">
        <f>SmtRes!AB57</f>
        <v>65.709999999999994</v>
      </c>
      <c r="O64">
        <f>ROUND(ROUND(L64*Source!I42, 6)*SmtRes!DA57, 2)</f>
        <v>0.01</v>
      </c>
      <c r="P64">
        <f>SmtRes!AG57</f>
        <v>11.6</v>
      </c>
      <c r="Q64">
        <f>SmtRes!DC57</f>
        <v>0.330625</v>
      </c>
      <c r="R64">
        <f>ROUND(ROUND(Q64*Source!I42, 6)*1, 2)</f>
        <v>0</v>
      </c>
      <c r="S64">
        <f>SmtRes!AC57</f>
        <v>11.6</v>
      </c>
      <c r="T64">
        <f>ROUND(ROUND(Q64*Source!I42, 6)*SmtRes!AK57, 2)</f>
        <v>0</v>
      </c>
      <c r="U64">
        <f>SmtRes!X57</f>
        <v>1372534845</v>
      </c>
      <c r="V64">
        <v>-238339799</v>
      </c>
      <c r="W64">
        <v>1792116812</v>
      </c>
    </row>
    <row r="65" spans="1:23" x14ac:dyDescent="0.2">
      <c r="A65">
        <f>Source!A42</f>
        <v>17</v>
      </c>
      <c r="C65">
        <v>1</v>
      </c>
      <c r="D65">
        <v>0</v>
      </c>
      <c r="E65">
        <f>SmtRes!AV56</f>
        <v>2</v>
      </c>
      <c r="F65" t="str">
        <f>SmtRes!I56</f>
        <v>4-100-00</v>
      </c>
      <c r="G65" t="str">
        <f>SmtRes!K56</f>
        <v>Затраты труда машинистов</v>
      </c>
      <c r="H65" t="str">
        <f>SmtRes!O56</f>
        <v>чел.-ч.</v>
      </c>
      <c r="I65">
        <f>SmtRes!Y56*Source!I42</f>
        <v>1.4999999999999999E-4</v>
      </c>
      <c r="J65">
        <f>SmtRes!AO56</f>
        <v>1</v>
      </c>
      <c r="K65">
        <f>SmtRes!AH56</f>
        <v>0</v>
      </c>
      <c r="L65">
        <f>SmtRes!DB56</f>
        <v>0</v>
      </c>
      <c r="M65">
        <f>ROUND(ROUND(L65*Source!I42, 6)*1, 2)</f>
        <v>0</v>
      </c>
      <c r="N65">
        <f>SmtRes!AD56</f>
        <v>0</v>
      </c>
      <c r="O65">
        <f>ROUND(ROUND(L65*Source!I42, 6)*SmtRes!DA56, 2)</f>
        <v>0</v>
      </c>
      <c r="P65">
        <f>SmtRes!AG56</f>
        <v>0</v>
      </c>
      <c r="Q65">
        <f>SmtRes!DC56</f>
        <v>0</v>
      </c>
      <c r="R65">
        <f>ROUND(ROUND(Q65*Source!I42, 6)*1, 2)</f>
        <v>0</v>
      </c>
      <c r="S65">
        <f>SmtRes!AC56</f>
        <v>0</v>
      </c>
      <c r="T65">
        <f>ROUND(ROUND(Q65*Source!I42, 6)*SmtRes!AK56, 2)</f>
        <v>0</v>
      </c>
      <c r="U65">
        <f>SmtRes!X56</f>
        <v>-1417349443</v>
      </c>
      <c r="V65">
        <v>-189065469</v>
      </c>
      <c r="W65">
        <v>1122477533</v>
      </c>
    </row>
    <row r="66" spans="1:23" x14ac:dyDescent="0.2">
      <c r="A66">
        <f>Source!A42</f>
        <v>17</v>
      </c>
      <c r="C66">
        <v>1</v>
      </c>
      <c r="D66">
        <v>0</v>
      </c>
      <c r="E66">
        <f>SmtRes!AV55</f>
        <v>1</v>
      </c>
      <c r="F66" t="str">
        <f>SmtRes!I55</f>
        <v>1-100-30</v>
      </c>
      <c r="G66" t="str">
        <f>SmtRes!K55</f>
        <v>Рабочий среднего разряда 3</v>
      </c>
      <c r="H66" t="str">
        <f>SmtRes!O55</f>
        <v>чел.-ч.</v>
      </c>
      <c r="I66">
        <f>SmtRes!Y55*Source!I42</f>
        <v>3.4219687499999998E-2</v>
      </c>
      <c r="J66">
        <f>SmtRes!AO55</f>
        <v>1</v>
      </c>
      <c r="K66">
        <f>SmtRes!AH55</f>
        <v>8.5299999999999994</v>
      </c>
      <c r="L66">
        <f>SmtRes!DB55</f>
        <v>38.921174999999998</v>
      </c>
      <c r="M66">
        <f>ROUND(ROUND(L66*Source!I42, 6)*1, 2)</f>
        <v>0.28999999999999998</v>
      </c>
      <c r="N66">
        <f>SmtRes!AD55</f>
        <v>8.5299999999999994</v>
      </c>
      <c r="O66">
        <f>ROUND(ROUND(L66*Source!I42, 6)*SmtRes!DA55, 2)</f>
        <v>0.28999999999999998</v>
      </c>
      <c r="P66">
        <f>SmtRes!AG55</f>
        <v>0</v>
      </c>
      <c r="Q66">
        <f>SmtRes!DC55</f>
        <v>0</v>
      </c>
      <c r="R66">
        <f>ROUND(ROUND(Q66*Source!I42, 6)*1, 2)</f>
        <v>0</v>
      </c>
      <c r="S66">
        <f>SmtRes!AC55</f>
        <v>0</v>
      </c>
      <c r="T66">
        <f>ROUND(ROUND(Q66*Source!I42, 6)*SmtRes!AK55, 2)</f>
        <v>0</v>
      </c>
      <c r="U66">
        <f>SmtRes!X55</f>
        <v>-400197608</v>
      </c>
      <c r="V66">
        <v>85649297</v>
      </c>
      <c r="W66">
        <v>-436776913</v>
      </c>
    </row>
    <row r="67" spans="1:23" x14ac:dyDescent="0.2">
      <c r="A67">
        <f>Source!A43</f>
        <v>17</v>
      </c>
      <c r="C67">
        <v>3</v>
      </c>
      <c r="D67">
        <v>0</v>
      </c>
      <c r="E67">
        <f>SmtRes!AV63</f>
        <v>0</v>
      </c>
      <c r="F67" t="str">
        <f>SmtRes!I63</f>
        <v>01.7.11.07-0054</v>
      </c>
      <c r="G67" t="str">
        <f>SmtRes!K63</f>
        <v>Электроды диаметром 6 мм Э42</v>
      </c>
      <c r="H67" t="str">
        <f>SmtRes!O63</f>
        <v>т</v>
      </c>
      <c r="I67">
        <f>SmtRes!Y63*Source!I43</f>
        <v>2.0000000000000001E-4</v>
      </c>
      <c r="J67">
        <f>SmtRes!AO63</f>
        <v>1</v>
      </c>
      <c r="K67">
        <f>SmtRes!AE63</f>
        <v>9424</v>
      </c>
      <c r="L67">
        <f>SmtRes!DB63</f>
        <v>188.48</v>
      </c>
      <c r="M67">
        <f>ROUND(ROUND(L67*Source!I43, 6)*1, 2)</f>
        <v>1.88</v>
      </c>
      <c r="N67">
        <f>SmtRes!AA63</f>
        <v>9424</v>
      </c>
      <c r="O67">
        <f>ROUND(ROUND(L67*Source!I43, 6)*SmtRes!DA63, 2)</f>
        <v>1.88</v>
      </c>
      <c r="P67">
        <f>SmtRes!AG63</f>
        <v>0</v>
      </c>
      <c r="Q67">
        <f>SmtRes!DC63</f>
        <v>0</v>
      </c>
      <c r="R67">
        <f>ROUND(ROUND(Q67*Source!I43, 6)*1, 2)</f>
        <v>0</v>
      </c>
      <c r="S67">
        <f>SmtRes!AC63</f>
        <v>0</v>
      </c>
      <c r="T67">
        <f>ROUND(ROUND(Q67*Source!I43, 6)*SmtRes!AK63, 2)</f>
        <v>0</v>
      </c>
      <c r="U67">
        <f>SmtRes!X63</f>
        <v>-1506867946</v>
      </c>
      <c r="V67">
        <v>1017231217</v>
      </c>
      <c r="W67">
        <v>344571489</v>
      </c>
    </row>
    <row r="68" spans="1:23" x14ac:dyDescent="0.2">
      <c r="A68">
        <f>Source!A43</f>
        <v>17</v>
      </c>
      <c r="C68">
        <v>2</v>
      </c>
      <c r="D68">
        <v>0</v>
      </c>
      <c r="E68">
        <f>SmtRes!AV62</f>
        <v>0</v>
      </c>
      <c r="F68" t="str">
        <f>SmtRes!I62</f>
        <v>91.17.04-233</v>
      </c>
      <c r="G68" t="str">
        <f>SmtRes!K62</f>
        <v>Установки для сварки ручной дуговой (постоянного тока)</v>
      </c>
      <c r="H68" t="str">
        <f>SmtRes!O62</f>
        <v>маш.-ч</v>
      </c>
      <c r="I68">
        <f>SmtRes!Y62*Source!I43</f>
        <v>0.16674999999999998</v>
      </c>
      <c r="J68">
        <f>SmtRes!AO62</f>
        <v>1</v>
      </c>
      <c r="K68">
        <f>SmtRes!AF62</f>
        <v>8.1</v>
      </c>
      <c r="L68">
        <f>SmtRes!DB62</f>
        <v>135.0675</v>
      </c>
      <c r="M68">
        <f>ROUND(ROUND(L68*Source!I43, 6)*1, 2)</f>
        <v>1.35</v>
      </c>
      <c r="N68">
        <f>SmtRes!AB62</f>
        <v>8.1</v>
      </c>
      <c r="O68">
        <f>ROUND(ROUND(L68*Source!I43, 6)*SmtRes!DA62, 2)</f>
        <v>1.35</v>
      </c>
      <c r="P68">
        <f>SmtRes!AG62</f>
        <v>0</v>
      </c>
      <c r="Q68">
        <f>SmtRes!DC62</f>
        <v>0</v>
      </c>
      <c r="R68">
        <f>ROUND(ROUND(Q68*Source!I43, 6)*1, 2)</f>
        <v>0</v>
      </c>
      <c r="S68">
        <f>SmtRes!AC62</f>
        <v>0</v>
      </c>
      <c r="T68">
        <f>ROUND(ROUND(Q68*Source!I43, 6)*SmtRes!AK62, 2)</f>
        <v>0</v>
      </c>
      <c r="U68">
        <f>SmtRes!X62</f>
        <v>-353815937</v>
      </c>
      <c r="V68">
        <v>522669736</v>
      </c>
      <c r="W68">
        <v>-1230152122</v>
      </c>
    </row>
    <row r="69" spans="1:23" x14ac:dyDescent="0.2">
      <c r="A69">
        <f>Source!A43</f>
        <v>17</v>
      </c>
      <c r="C69">
        <v>2</v>
      </c>
      <c r="D69">
        <v>0</v>
      </c>
      <c r="E69">
        <f>SmtRes!AV61</f>
        <v>0</v>
      </c>
      <c r="F69" t="str">
        <f>SmtRes!I61</f>
        <v>91.14.02-001</v>
      </c>
      <c r="G69" t="str">
        <f>SmtRes!K61</f>
        <v>Автомобили бортовые, грузоподъемность до 5 т</v>
      </c>
      <c r="H69" t="str">
        <f>SmtRes!O61</f>
        <v>маш.-ч</v>
      </c>
      <c r="I69">
        <f>SmtRes!Y61*Source!I43</f>
        <v>4.8875000000000004E-3</v>
      </c>
      <c r="J69">
        <f>SmtRes!AO61</f>
        <v>1</v>
      </c>
      <c r="K69">
        <f>SmtRes!AF61</f>
        <v>65.709999999999994</v>
      </c>
      <c r="L69">
        <f>SmtRes!DB61</f>
        <v>32.113750000000003</v>
      </c>
      <c r="M69">
        <f>ROUND(ROUND(L69*Source!I43, 6)*1, 2)</f>
        <v>0.32</v>
      </c>
      <c r="N69">
        <f>SmtRes!AB61</f>
        <v>65.709999999999994</v>
      </c>
      <c r="O69">
        <f>ROUND(ROUND(L69*Source!I43, 6)*SmtRes!DA61, 2)</f>
        <v>0.32</v>
      </c>
      <c r="P69">
        <f>SmtRes!AG61</f>
        <v>11.6</v>
      </c>
      <c r="Q69">
        <f>SmtRes!DC61</f>
        <v>5.6637500000000003</v>
      </c>
      <c r="R69">
        <f>ROUND(ROUND(Q69*Source!I43, 6)*1, 2)</f>
        <v>0.06</v>
      </c>
      <c r="S69">
        <f>SmtRes!AC61</f>
        <v>11.6</v>
      </c>
      <c r="T69">
        <f>ROUND(ROUND(Q69*Source!I43, 6)*SmtRes!AK61, 2)</f>
        <v>0.06</v>
      </c>
      <c r="U69">
        <f>SmtRes!X61</f>
        <v>1372534845</v>
      </c>
      <c r="V69">
        <v>-238339799</v>
      </c>
      <c r="W69">
        <v>1792116812</v>
      </c>
    </row>
    <row r="70" spans="1:23" x14ac:dyDescent="0.2">
      <c r="A70">
        <f>Source!A43</f>
        <v>17</v>
      </c>
      <c r="C70">
        <v>1</v>
      </c>
      <c r="D70">
        <v>0</v>
      </c>
      <c r="E70">
        <f>SmtRes!AV60</f>
        <v>2</v>
      </c>
      <c r="F70" t="str">
        <f>SmtRes!I60</f>
        <v>4-100-00</v>
      </c>
      <c r="G70" t="str">
        <f>SmtRes!K60</f>
        <v>Затраты труда машинистов</v>
      </c>
      <c r="H70" t="str">
        <f>SmtRes!O60</f>
        <v>чел.-ч.</v>
      </c>
      <c r="I70">
        <f>SmtRes!Y60*Source!I43</f>
        <v>3.4000000000000002E-3</v>
      </c>
      <c r="J70">
        <f>SmtRes!AO60</f>
        <v>1</v>
      </c>
      <c r="K70">
        <f>SmtRes!AH60</f>
        <v>0</v>
      </c>
      <c r="L70">
        <f>SmtRes!DB60</f>
        <v>0</v>
      </c>
      <c r="M70">
        <f>ROUND(ROUND(L70*Source!I43, 6)*1, 2)</f>
        <v>0</v>
      </c>
      <c r="N70">
        <f>SmtRes!AD60</f>
        <v>0</v>
      </c>
      <c r="O70">
        <f>ROUND(ROUND(L70*Source!I43, 6)*SmtRes!DA60, 2)</f>
        <v>0</v>
      </c>
      <c r="P70">
        <f>SmtRes!AG60</f>
        <v>0</v>
      </c>
      <c r="Q70">
        <f>SmtRes!DC60</f>
        <v>0</v>
      </c>
      <c r="R70">
        <f>ROUND(ROUND(Q70*Source!I43, 6)*1, 2)</f>
        <v>0</v>
      </c>
      <c r="S70">
        <f>SmtRes!AC60</f>
        <v>0</v>
      </c>
      <c r="T70">
        <f>ROUND(ROUND(Q70*Source!I43, 6)*SmtRes!AK60, 2)</f>
        <v>0</v>
      </c>
      <c r="U70">
        <f>SmtRes!X60</f>
        <v>-1417349443</v>
      </c>
      <c r="V70">
        <v>-189065469</v>
      </c>
      <c r="W70">
        <v>1122477533</v>
      </c>
    </row>
    <row r="71" spans="1:23" x14ac:dyDescent="0.2">
      <c r="A71">
        <f>Source!A43</f>
        <v>17</v>
      </c>
      <c r="C71">
        <v>1</v>
      </c>
      <c r="D71">
        <v>0</v>
      </c>
      <c r="E71">
        <f>SmtRes!AV59</f>
        <v>1</v>
      </c>
      <c r="F71" t="str">
        <f>SmtRes!I59</f>
        <v>1-100-30</v>
      </c>
      <c r="G71" t="str">
        <f>SmtRes!K59</f>
        <v>Рабочий среднего разряда 3</v>
      </c>
      <c r="H71" t="str">
        <f>SmtRes!O59</f>
        <v>чел.-ч.</v>
      </c>
      <c r="I71">
        <f>SmtRes!Y59*Source!I43</f>
        <v>1.0234827499999999</v>
      </c>
      <c r="J71">
        <f>SmtRes!AO59</f>
        <v>1</v>
      </c>
      <c r="K71">
        <f>SmtRes!AH59</f>
        <v>8.5299999999999994</v>
      </c>
      <c r="L71">
        <f>SmtRes!DB59</f>
        <v>873.03515000000004</v>
      </c>
      <c r="M71">
        <f>ROUND(ROUND(L71*Source!I43, 6)*1, 2)</f>
        <v>8.73</v>
      </c>
      <c r="N71">
        <f>SmtRes!AD59</f>
        <v>8.5299999999999994</v>
      </c>
      <c r="O71">
        <f>ROUND(ROUND(L71*Source!I43, 6)*SmtRes!DA59, 2)</f>
        <v>8.73</v>
      </c>
      <c r="P71">
        <f>SmtRes!AG59</f>
        <v>0</v>
      </c>
      <c r="Q71">
        <f>SmtRes!DC59</f>
        <v>0</v>
      </c>
      <c r="R71">
        <f>ROUND(ROUND(Q71*Source!I43, 6)*1, 2)</f>
        <v>0</v>
      </c>
      <c r="S71">
        <f>SmtRes!AC59</f>
        <v>0</v>
      </c>
      <c r="T71">
        <f>ROUND(ROUND(Q71*Source!I43, 6)*SmtRes!AK59, 2)</f>
        <v>0</v>
      </c>
      <c r="U71">
        <f>SmtRes!X59</f>
        <v>-400197608</v>
      </c>
      <c r="V71">
        <v>85649297</v>
      </c>
      <c r="W71">
        <v>-436776913</v>
      </c>
    </row>
    <row r="72" spans="1:23" x14ac:dyDescent="0.2">
      <c r="A72">
        <f>Source!A44</f>
        <v>17</v>
      </c>
      <c r="C72">
        <v>3</v>
      </c>
      <c r="D72">
        <v>0</v>
      </c>
      <c r="E72">
        <f>SmtRes!AV73</f>
        <v>0</v>
      </c>
      <c r="F72" t="str">
        <f>SmtRes!I73</f>
        <v>04.3.01.09-0011</v>
      </c>
      <c r="G72" t="str">
        <f>SmtRes!K73</f>
        <v>Раствор готовый кладочный цементный марки 25</v>
      </c>
      <c r="H72" t="str">
        <f>SmtRes!O73</f>
        <v>м3</v>
      </c>
      <c r="I72">
        <f>SmtRes!Y73*Source!I44</f>
        <v>3.1E-4</v>
      </c>
      <c r="J72">
        <f>SmtRes!AO73</f>
        <v>1</v>
      </c>
      <c r="K72">
        <f>SmtRes!AE73</f>
        <v>463.3</v>
      </c>
      <c r="L72">
        <f>SmtRes!DB73</f>
        <v>14.36</v>
      </c>
      <c r="M72">
        <f>ROUND(ROUND(L72*Source!I44, 6)*1, 2)</f>
        <v>0.14000000000000001</v>
      </c>
      <c r="N72">
        <f>SmtRes!AA73</f>
        <v>463.3</v>
      </c>
      <c r="O72">
        <f>ROUND(ROUND(L72*Source!I44, 6)*SmtRes!DA73, 2)</f>
        <v>0.14000000000000001</v>
      </c>
      <c r="P72">
        <f>SmtRes!AG73</f>
        <v>0</v>
      </c>
      <c r="Q72">
        <f>SmtRes!DC73</f>
        <v>0</v>
      </c>
      <c r="R72">
        <f>ROUND(ROUND(Q72*Source!I44, 6)*1, 2)</f>
        <v>0</v>
      </c>
      <c r="S72">
        <f>SmtRes!AC73</f>
        <v>0</v>
      </c>
      <c r="T72">
        <f>ROUND(ROUND(Q72*Source!I44, 6)*SmtRes!AK73, 2)</f>
        <v>0</v>
      </c>
      <c r="U72">
        <f>SmtRes!X73</f>
        <v>-418395353</v>
      </c>
      <c r="V72">
        <v>-1187007259</v>
      </c>
      <c r="W72">
        <v>-383678036</v>
      </c>
    </row>
    <row r="73" spans="1:23" x14ac:dyDescent="0.2">
      <c r="A73">
        <f>Source!A44</f>
        <v>17</v>
      </c>
      <c r="C73">
        <v>3</v>
      </c>
      <c r="D73">
        <v>0</v>
      </c>
      <c r="E73">
        <f>SmtRes!AV72</f>
        <v>0</v>
      </c>
      <c r="F73" t="str">
        <f>SmtRes!I72</f>
        <v>01.7.15.03-0041</v>
      </c>
      <c r="G73" t="str">
        <f>SmtRes!K72</f>
        <v>Болты с гайками и шайбами строительные</v>
      </c>
      <c r="H73" t="str">
        <f>SmtRes!O72</f>
        <v>т</v>
      </c>
      <c r="I73">
        <f>SmtRes!Y72*Source!I44</f>
        <v>1.6000000000000001E-3</v>
      </c>
      <c r="J73">
        <f>SmtRes!AO72</f>
        <v>1</v>
      </c>
      <c r="K73">
        <f>SmtRes!AE72</f>
        <v>9040.01</v>
      </c>
      <c r="L73">
        <f>SmtRes!DB72</f>
        <v>1446.4</v>
      </c>
      <c r="M73">
        <f>ROUND(ROUND(L73*Source!I44, 6)*1, 2)</f>
        <v>14.46</v>
      </c>
      <c r="N73">
        <f>SmtRes!AA72</f>
        <v>9040.01</v>
      </c>
      <c r="O73">
        <f>ROUND(ROUND(L73*Source!I44, 6)*SmtRes!DA72, 2)</f>
        <v>14.46</v>
      </c>
      <c r="P73">
        <f>SmtRes!AG72</f>
        <v>0</v>
      </c>
      <c r="Q73">
        <f>SmtRes!DC72</f>
        <v>0</v>
      </c>
      <c r="R73">
        <f>ROUND(ROUND(Q73*Source!I44, 6)*1, 2)</f>
        <v>0</v>
      </c>
      <c r="S73">
        <f>SmtRes!AC72</f>
        <v>0</v>
      </c>
      <c r="T73">
        <f>ROUND(ROUND(Q73*Source!I44, 6)*SmtRes!AK72, 2)</f>
        <v>0</v>
      </c>
      <c r="U73">
        <f>SmtRes!X72</f>
        <v>-437906794</v>
      </c>
      <c r="V73">
        <v>703382810</v>
      </c>
      <c r="W73">
        <v>-765046760</v>
      </c>
    </row>
    <row r="74" spans="1:23" x14ac:dyDescent="0.2">
      <c r="A74">
        <f>Source!A44</f>
        <v>17</v>
      </c>
      <c r="C74">
        <v>3</v>
      </c>
      <c r="D74">
        <v>0</v>
      </c>
      <c r="E74">
        <f>SmtRes!AV71</f>
        <v>0</v>
      </c>
      <c r="F74" t="str">
        <f>SmtRes!I71</f>
        <v>01.7.11.07-0054</v>
      </c>
      <c r="G74" t="str">
        <f>SmtRes!K71</f>
        <v>Электроды диаметром 6 мм Э42</v>
      </c>
      <c r="H74" t="str">
        <f>SmtRes!O71</f>
        <v>т</v>
      </c>
      <c r="I74">
        <f>SmtRes!Y71*Source!I44</f>
        <v>2.9999999999999997E-4</v>
      </c>
      <c r="J74">
        <f>SmtRes!AO71</f>
        <v>1</v>
      </c>
      <c r="K74">
        <f>SmtRes!AE71</f>
        <v>9424</v>
      </c>
      <c r="L74">
        <f>SmtRes!DB71</f>
        <v>282.72000000000003</v>
      </c>
      <c r="M74">
        <f>ROUND(ROUND(L74*Source!I44, 6)*1, 2)</f>
        <v>2.83</v>
      </c>
      <c r="N74">
        <f>SmtRes!AA71</f>
        <v>9424</v>
      </c>
      <c r="O74">
        <f>ROUND(ROUND(L74*Source!I44, 6)*SmtRes!DA71, 2)</f>
        <v>2.83</v>
      </c>
      <c r="P74">
        <f>SmtRes!AG71</f>
        <v>0</v>
      </c>
      <c r="Q74">
        <f>SmtRes!DC71</f>
        <v>0</v>
      </c>
      <c r="R74">
        <f>ROUND(ROUND(Q74*Source!I44, 6)*1, 2)</f>
        <v>0</v>
      </c>
      <c r="S74">
        <f>SmtRes!AC71</f>
        <v>0</v>
      </c>
      <c r="T74">
        <f>ROUND(ROUND(Q74*Source!I44, 6)*SmtRes!AK71, 2)</f>
        <v>0</v>
      </c>
      <c r="U74">
        <f>SmtRes!X71</f>
        <v>-1506867946</v>
      </c>
      <c r="V74">
        <v>1017231217</v>
      </c>
      <c r="W74">
        <v>344571489</v>
      </c>
    </row>
    <row r="75" spans="1:23" x14ac:dyDescent="0.2">
      <c r="A75">
        <f>Source!A44</f>
        <v>17</v>
      </c>
      <c r="C75">
        <v>2</v>
      </c>
      <c r="D75">
        <v>0</v>
      </c>
      <c r="E75">
        <f>SmtRes!AV70</f>
        <v>0</v>
      </c>
      <c r="F75" t="str">
        <f>SmtRes!I70</f>
        <v>91.17.04-233</v>
      </c>
      <c r="G75" t="str">
        <f>SmtRes!K70</f>
        <v>Установки для сварки ручной дуговой (постоянного тока)</v>
      </c>
      <c r="H75" t="str">
        <f>SmtRes!O70</f>
        <v>маш.-ч</v>
      </c>
      <c r="I75">
        <f>SmtRes!Y70*Source!I44</f>
        <v>0.57974374999999989</v>
      </c>
      <c r="J75">
        <f>SmtRes!AO70</f>
        <v>1</v>
      </c>
      <c r="K75">
        <f>SmtRes!AF70</f>
        <v>8.1</v>
      </c>
      <c r="L75">
        <f>SmtRes!DB70</f>
        <v>469.58812499999999</v>
      </c>
      <c r="M75">
        <f>ROUND(ROUND(L75*Source!I44, 6)*1, 2)</f>
        <v>4.7</v>
      </c>
      <c r="N75">
        <f>SmtRes!AB70</f>
        <v>8.1</v>
      </c>
      <c r="O75">
        <f>ROUND(ROUND(L75*Source!I44, 6)*SmtRes!DA70, 2)</f>
        <v>4.7</v>
      </c>
      <c r="P75">
        <f>SmtRes!AG70</f>
        <v>0</v>
      </c>
      <c r="Q75">
        <f>SmtRes!DC70</f>
        <v>0</v>
      </c>
      <c r="R75">
        <f>ROUND(ROUND(Q75*Source!I44, 6)*1, 2)</f>
        <v>0</v>
      </c>
      <c r="S75">
        <f>SmtRes!AC70</f>
        <v>0</v>
      </c>
      <c r="T75">
        <f>ROUND(ROUND(Q75*Source!I44, 6)*SmtRes!AK70, 2)</f>
        <v>0</v>
      </c>
      <c r="U75">
        <f>SmtRes!X70</f>
        <v>-353815937</v>
      </c>
      <c r="V75">
        <v>522669736</v>
      </c>
      <c r="W75">
        <v>-1230152122</v>
      </c>
    </row>
    <row r="76" spans="1:23" x14ac:dyDescent="0.2">
      <c r="A76">
        <f>Source!A44</f>
        <v>17</v>
      </c>
      <c r="C76">
        <v>2</v>
      </c>
      <c r="D76">
        <v>0</v>
      </c>
      <c r="E76">
        <f>SmtRes!AV69</f>
        <v>0</v>
      </c>
      <c r="F76" t="str">
        <f>SmtRes!I69</f>
        <v>91.14.02-001</v>
      </c>
      <c r="G76" t="str">
        <f>SmtRes!K69</f>
        <v>Автомобили бортовые, грузоподъемность до 5 т</v>
      </c>
      <c r="H76" t="str">
        <f>SmtRes!O69</f>
        <v>маш.-ч</v>
      </c>
      <c r="I76">
        <f>SmtRes!Y69*Source!I44</f>
        <v>0.12951874999999999</v>
      </c>
      <c r="J76">
        <f>SmtRes!AO69</f>
        <v>1</v>
      </c>
      <c r="K76">
        <f>SmtRes!AF69</f>
        <v>65.709999999999994</v>
      </c>
      <c r="L76">
        <f>SmtRes!DB69</f>
        <v>851.07187499999998</v>
      </c>
      <c r="M76">
        <f>ROUND(ROUND(L76*Source!I44, 6)*1, 2)</f>
        <v>8.51</v>
      </c>
      <c r="N76">
        <f>SmtRes!AB69</f>
        <v>65.709999999999994</v>
      </c>
      <c r="O76">
        <f>ROUND(ROUND(L76*Source!I44, 6)*SmtRes!DA69, 2)</f>
        <v>8.51</v>
      </c>
      <c r="P76">
        <f>SmtRes!AG69</f>
        <v>11.6</v>
      </c>
      <c r="Q76">
        <f>SmtRes!DC69</f>
        <v>150.2475</v>
      </c>
      <c r="R76">
        <f>ROUND(ROUND(Q76*Source!I44, 6)*1, 2)</f>
        <v>1.5</v>
      </c>
      <c r="S76">
        <f>SmtRes!AC69</f>
        <v>11.6</v>
      </c>
      <c r="T76">
        <f>ROUND(ROUND(Q76*Source!I44, 6)*SmtRes!AK69, 2)</f>
        <v>1.5</v>
      </c>
      <c r="U76">
        <f>SmtRes!X69</f>
        <v>1372534845</v>
      </c>
      <c r="V76">
        <v>-238339799</v>
      </c>
      <c r="W76">
        <v>1792116812</v>
      </c>
    </row>
    <row r="77" spans="1:23" x14ac:dyDescent="0.2">
      <c r="A77">
        <f>Source!A44</f>
        <v>17</v>
      </c>
      <c r="C77">
        <v>2</v>
      </c>
      <c r="D77">
        <v>0</v>
      </c>
      <c r="E77">
        <f>SmtRes!AV68</f>
        <v>0</v>
      </c>
      <c r="F77" t="str">
        <f>SmtRes!I68</f>
        <v>91.07.04-001</v>
      </c>
      <c r="G77" t="str">
        <f>SmtRes!K68</f>
        <v>Вибратор глубинный</v>
      </c>
      <c r="H77" t="str">
        <f>SmtRes!O68</f>
        <v>маш.-ч</v>
      </c>
      <c r="I77">
        <f>SmtRes!Y68*Source!I44</f>
        <v>0.34198124999999996</v>
      </c>
      <c r="J77">
        <f>SmtRes!AO68</f>
        <v>1</v>
      </c>
      <c r="K77">
        <f>SmtRes!AF68</f>
        <v>1.9</v>
      </c>
      <c r="L77">
        <f>SmtRes!DB68</f>
        <v>64.974999999999994</v>
      </c>
      <c r="M77">
        <f>ROUND(ROUND(L77*Source!I44, 6)*1, 2)</f>
        <v>0.65</v>
      </c>
      <c r="N77">
        <f>SmtRes!AB68</f>
        <v>1.9</v>
      </c>
      <c r="O77">
        <f>ROUND(ROUND(L77*Source!I44, 6)*SmtRes!DA68, 2)</f>
        <v>0.65</v>
      </c>
      <c r="P77">
        <f>SmtRes!AG68</f>
        <v>0</v>
      </c>
      <c r="Q77">
        <f>SmtRes!DC68</f>
        <v>0</v>
      </c>
      <c r="R77">
        <f>ROUND(ROUND(Q77*Source!I44, 6)*1, 2)</f>
        <v>0</v>
      </c>
      <c r="S77">
        <f>SmtRes!AC68</f>
        <v>0</v>
      </c>
      <c r="T77">
        <f>ROUND(ROUND(Q77*Source!I44, 6)*SmtRes!AK68, 2)</f>
        <v>0</v>
      </c>
      <c r="U77">
        <f>SmtRes!X68</f>
        <v>1468674927</v>
      </c>
      <c r="V77">
        <v>-1691367342</v>
      </c>
      <c r="W77">
        <v>1850855758</v>
      </c>
    </row>
    <row r="78" spans="1:23" x14ac:dyDescent="0.2">
      <c r="A78">
        <f>Source!A44</f>
        <v>17</v>
      </c>
      <c r="C78">
        <v>2</v>
      </c>
      <c r="D78">
        <v>0</v>
      </c>
      <c r="E78">
        <f>SmtRes!AV67</f>
        <v>0</v>
      </c>
      <c r="F78" t="str">
        <f>SmtRes!I67</f>
        <v>91.05.05-014</v>
      </c>
      <c r="G78" t="str">
        <f>SmtRes!K67</f>
        <v>Краны на автомобильном ходу, грузоподъемность 10 т</v>
      </c>
      <c r="H78" t="str">
        <f>SmtRes!O67</f>
        <v>маш.-ч</v>
      </c>
      <c r="I78">
        <f>SmtRes!Y67*Source!I44</f>
        <v>1.4697</v>
      </c>
      <c r="J78">
        <f>SmtRes!AO67</f>
        <v>1</v>
      </c>
      <c r="K78">
        <f>SmtRes!AF67</f>
        <v>111.99</v>
      </c>
      <c r="L78">
        <f>SmtRes!DB67</f>
        <v>16459.173750000002</v>
      </c>
      <c r="M78">
        <f>ROUND(ROUND(L78*Source!I44, 6)*1, 2)</f>
        <v>164.59</v>
      </c>
      <c r="N78">
        <f>SmtRes!AB67</f>
        <v>111.99</v>
      </c>
      <c r="O78">
        <f>ROUND(ROUND(L78*Source!I44, 6)*SmtRes!DA67, 2)</f>
        <v>164.59</v>
      </c>
      <c r="P78">
        <f>SmtRes!AG67</f>
        <v>13.5</v>
      </c>
      <c r="Q78">
        <f>SmtRes!DC67</f>
        <v>1984.095</v>
      </c>
      <c r="R78">
        <f>ROUND(ROUND(Q78*Source!I44, 6)*1, 2)</f>
        <v>19.84</v>
      </c>
      <c r="S78">
        <f>SmtRes!AC67</f>
        <v>13.5</v>
      </c>
      <c r="T78">
        <f>ROUND(ROUND(Q78*Source!I44, 6)*SmtRes!AK67, 2)</f>
        <v>19.84</v>
      </c>
      <c r="U78">
        <f>SmtRes!X67</f>
        <v>-1718674368</v>
      </c>
      <c r="V78">
        <v>-816987455</v>
      </c>
      <c r="W78">
        <v>-2122234393</v>
      </c>
    </row>
    <row r="79" spans="1:23" x14ac:dyDescent="0.2">
      <c r="A79">
        <f>Source!A44</f>
        <v>17</v>
      </c>
      <c r="C79">
        <v>2</v>
      </c>
      <c r="D79">
        <v>0</v>
      </c>
      <c r="E79">
        <f>SmtRes!AV66</f>
        <v>0</v>
      </c>
      <c r="F79" t="str">
        <f>SmtRes!I66</f>
        <v>91.01.05-106</v>
      </c>
      <c r="G79" t="str">
        <f>SmtRes!K66</f>
        <v>Экскаваторы одноковшовые дизельные на пневмоколесном ходу, емкость ковша 0,25 м3</v>
      </c>
      <c r="H79" t="str">
        <f>SmtRes!O66</f>
        <v>маш.-ч</v>
      </c>
      <c r="I79">
        <f>SmtRes!Y66*Source!I44</f>
        <v>9.5306249999999995E-2</v>
      </c>
      <c r="J79">
        <f>SmtRes!AO66</f>
        <v>1</v>
      </c>
      <c r="K79">
        <f>SmtRes!AF66</f>
        <v>70.010000000000005</v>
      </c>
      <c r="L79">
        <f>SmtRes!DB66</f>
        <v>667.24437499999999</v>
      </c>
      <c r="M79">
        <f>ROUND(ROUND(L79*Source!I44, 6)*1, 2)</f>
        <v>6.67</v>
      </c>
      <c r="N79">
        <f>SmtRes!AB66</f>
        <v>70.010000000000005</v>
      </c>
      <c r="O79">
        <f>ROUND(ROUND(L79*Source!I44, 6)*SmtRes!DA66, 2)</f>
        <v>6.67</v>
      </c>
      <c r="P79">
        <f>SmtRes!AG66</f>
        <v>11.6</v>
      </c>
      <c r="Q79">
        <f>SmtRes!DC66</f>
        <v>110.558125</v>
      </c>
      <c r="R79">
        <f>ROUND(ROUND(Q79*Source!I44, 6)*1, 2)</f>
        <v>1.1100000000000001</v>
      </c>
      <c r="S79">
        <f>SmtRes!AC66</f>
        <v>11.6</v>
      </c>
      <c r="T79">
        <f>ROUND(ROUND(Q79*Source!I44, 6)*SmtRes!AK66, 2)</f>
        <v>1.1100000000000001</v>
      </c>
      <c r="U79">
        <f>SmtRes!X66</f>
        <v>312278592</v>
      </c>
      <c r="V79">
        <v>490670658</v>
      </c>
      <c r="W79">
        <v>-1852258160</v>
      </c>
    </row>
    <row r="80" spans="1:23" x14ac:dyDescent="0.2">
      <c r="A80">
        <f>Source!A44</f>
        <v>17</v>
      </c>
      <c r="C80">
        <v>1</v>
      </c>
      <c r="D80">
        <v>0</v>
      </c>
      <c r="E80">
        <f>SmtRes!AV65</f>
        <v>2</v>
      </c>
      <c r="F80" t="str">
        <f>SmtRes!I65</f>
        <v>4-100-00</v>
      </c>
      <c r="G80" t="str">
        <f>SmtRes!K65</f>
        <v>Затраты труда машинистов</v>
      </c>
      <c r="H80" t="str">
        <f>SmtRes!O65</f>
        <v>чел.-ч.</v>
      </c>
      <c r="I80">
        <f>SmtRes!Y65*Source!I44</f>
        <v>1.1788000000000001</v>
      </c>
      <c r="J80">
        <f>SmtRes!AO65</f>
        <v>1</v>
      </c>
      <c r="K80">
        <f>SmtRes!AH65</f>
        <v>0</v>
      </c>
      <c r="L80">
        <f>SmtRes!DB65</f>
        <v>0</v>
      </c>
      <c r="M80">
        <f>ROUND(ROUND(L80*Source!I44, 6)*1, 2)</f>
        <v>0</v>
      </c>
      <c r="N80">
        <f>SmtRes!AD65</f>
        <v>0</v>
      </c>
      <c r="O80">
        <f>ROUND(ROUND(L80*Source!I44, 6)*SmtRes!DA65, 2)</f>
        <v>0</v>
      </c>
      <c r="P80">
        <f>SmtRes!AG65</f>
        <v>0</v>
      </c>
      <c r="Q80">
        <f>SmtRes!DC65</f>
        <v>0</v>
      </c>
      <c r="R80">
        <f>ROUND(ROUND(Q80*Source!I44, 6)*1, 2)</f>
        <v>0</v>
      </c>
      <c r="S80">
        <f>SmtRes!AC65</f>
        <v>0</v>
      </c>
      <c r="T80">
        <f>ROUND(ROUND(Q80*Source!I44, 6)*SmtRes!AK65, 2)</f>
        <v>0</v>
      </c>
      <c r="U80">
        <f>SmtRes!X65</f>
        <v>-1417349443</v>
      </c>
      <c r="V80">
        <v>-189065469</v>
      </c>
      <c r="W80">
        <v>1122477533</v>
      </c>
    </row>
    <row r="81" spans="1:23" x14ac:dyDescent="0.2">
      <c r="A81">
        <f>Source!A44</f>
        <v>17</v>
      </c>
      <c r="C81">
        <v>1</v>
      </c>
      <c r="D81">
        <v>0</v>
      </c>
      <c r="E81">
        <f>SmtRes!AV64</f>
        <v>1</v>
      </c>
      <c r="F81" t="str">
        <f>SmtRes!I64</f>
        <v>1-100-41</v>
      </c>
      <c r="G81" t="str">
        <f>SmtRes!K64</f>
        <v>Рабочий среднего разряда 4.1</v>
      </c>
      <c r="H81" t="str">
        <f>SmtRes!O64</f>
        <v>чел.-ч.</v>
      </c>
      <c r="I81">
        <f>SmtRes!Y64*Source!I44</f>
        <v>25.659144999999999</v>
      </c>
      <c r="J81">
        <f>SmtRes!AO64</f>
        <v>1</v>
      </c>
      <c r="K81">
        <f>SmtRes!AH64</f>
        <v>9.76</v>
      </c>
      <c r="L81">
        <f>SmtRes!DB64</f>
        <v>25043.322875000002</v>
      </c>
      <c r="M81">
        <f>ROUND(ROUND(L81*Source!I44, 6)*1, 2)</f>
        <v>250.43</v>
      </c>
      <c r="N81">
        <f>SmtRes!AD64</f>
        <v>9.76</v>
      </c>
      <c r="O81">
        <f>ROUND(ROUND(L81*Source!I44, 6)*SmtRes!DA64, 2)</f>
        <v>250.43</v>
      </c>
      <c r="P81">
        <f>SmtRes!AG64</f>
        <v>0</v>
      </c>
      <c r="Q81">
        <f>SmtRes!DC64</f>
        <v>0</v>
      </c>
      <c r="R81">
        <f>ROUND(ROUND(Q81*Source!I44, 6)*1, 2)</f>
        <v>0</v>
      </c>
      <c r="S81">
        <f>SmtRes!AC64</f>
        <v>0</v>
      </c>
      <c r="T81">
        <f>ROUND(ROUND(Q81*Source!I44, 6)*SmtRes!AK64, 2)</f>
        <v>0</v>
      </c>
      <c r="U81">
        <f>SmtRes!X64</f>
        <v>-2143564933</v>
      </c>
      <c r="V81">
        <v>-1814839709</v>
      </c>
      <c r="W81">
        <v>-785529712</v>
      </c>
    </row>
    <row r="82" spans="1:23" x14ac:dyDescent="0.2">
      <c r="A82">
        <f>Source!A45</f>
        <v>17</v>
      </c>
      <c r="C82">
        <v>3</v>
      </c>
      <c r="D82">
        <v>0</v>
      </c>
      <c r="E82">
        <f>SmtRes!AV79</f>
        <v>0</v>
      </c>
      <c r="F82" t="str">
        <f>SmtRes!I79</f>
        <v>01.7.11.07-0054</v>
      </c>
      <c r="G82" t="str">
        <f>SmtRes!K79</f>
        <v>Электроды диаметром 6 мм Э42</v>
      </c>
      <c r="H82" t="str">
        <f>SmtRes!O79</f>
        <v>т</v>
      </c>
      <c r="I82">
        <f>SmtRes!Y79*Source!I45</f>
        <v>2.9999999999999997E-4</v>
      </c>
      <c r="J82">
        <f>SmtRes!AO79</f>
        <v>1</v>
      </c>
      <c r="K82">
        <f>SmtRes!AE79</f>
        <v>9424</v>
      </c>
      <c r="L82">
        <f>SmtRes!DB79</f>
        <v>282.72000000000003</v>
      </c>
      <c r="M82">
        <f>ROUND(ROUND(L82*Source!I45, 6)*1, 2)</f>
        <v>2.83</v>
      </c>
      <c r="N82">
        <f>SmtRes!AA79</f>
        <v>9424</v>
      </c>
      <c r="O82">
        <f>ROUND(ROUND(L82*Source!I45, 6)*SmtRes!DA79, 2)</f>
        <v>2.83</v>
      </c>
      <c r="P82">
        <f>SmtRes!AG79</f>
        <v>0</v>
      </c>
      <c r="Q82">
        <f>SmtRes!DC79</f>
        <v>0</v>
      </c>
      <c r="R82">
        <f>ROUND(ROUND(Q82*Source!I45, 6)*1, 2)</f>
        <v>0</v>
      </c>
      <c r="S82">
        <f>SmtRes!AC79</f>
        <v>0</v>
      </c>
      <c r="T82">
        <f>ROUND(ROUND(Q82*Source!I45, 6)*SmtRes!AK79, 2)</f>
        <v>0</v>
      </c>
      <c r="U82">
        <f>SmtRes!X79</f>
        <v>-1506867946</v>
      </c>
      <c r="V82">
        <v>1017231217</v>
      </c>
      <c r="W82">
        <v>344571489</v>
      </c>
    </row>
    <row r="83" spans="1:23" x14ac:dyDescent="0.2">
      <c r="A83">
        <f>Source!A45</f>
        <v>17</v>
      </c>
      <c r="C83">
        <v>2</v>
      </c>
      <c r="D83">
        <v>0</v>
      </c>
      <c r="E83">
        <f>SmtRes!AV78</f>
        <v>0</v>
      </c>
      <c r="F83" t="str">
        <f>SmtRes!I78</f>
        <v>91.17.04-233</v>
      </c>
      <c r="G83" t="str">
        <f>SmtRes!K78</f>
        <v>Установки для сварки ручной дуговой (постоянного тока)</v>
      </c>
      <c r="H83" t="str">
        <f>SmtRes!O78</f>
        <v>маш.-ч</v>
      </c>
      <c r="I83">
        <f>SmtRes!Y78*Source!I45</f>
        <v>1.0988249999999999</v>
      </c>
      <c r="J83">
        <f>SmtRes!AO78</f>
        <v>1</v>
      </c>
      <c r="K83">
        <f>SmtRes!AF78</f>
        <v>8.1</v>
      </c>
      <c r="L83">
        <f>SmtRes!DB78</f>
        <v>890.04250000000002</v>
      </c>
      <c r="M83">
        <f>ROUND(ROUND(L83*Source!I45, 6)*1, 2)</f>
        <v>8.9</v>
      </c>
      <c r="N83">
        <f>SmtRes!AB78</f>
        <v>8.1</v>
      </c>
      <c r="O83">
        <f>ROUND(ROUND(L83*Source!I45, 6)*SmtRes!DA78, 2)</f>
        <v>8.9</v>
      </c>
      <c r="P83">
        <f>SmtRes!AG78</f>
        <v>0</v>
      </c>
      <c r="Q83">
        <f>SmtRes!DC78</f>
        <v>0</v>
      </c>
      <c r="R83">
        <f>ROUND(ROUND(Q83*Source!I45, 6)*1, 2)</f>
        <v>0</v>
      </c>
      <c r="S83">
        <f>SmtRes!AC78</f>
        <v>0</v>
      </c>
      <c r="T83">
        <f>ROUND(ROUND(Q83*Source!I45, 6)*SmtRes!AK78, 2)</f>
        <v>0</v>
      </c>
      <c r="U83">
        <f>SmtRes!X78</f>
        <v>-353815937</v>
      </c>
      <c r="V83">
        <v>522669736</v>
      </c>
      <c r="W83">
        <v>-1230152122</v>
      </c>
    </row>
    <row r="84" spans="1:23" x14ac:dyDescent="0.2">
      <c r="A84">
        <f>Source!A45</f>
        <v>17</v>
      </c>
      <c r="C84">
        <v>2</v>
      </c>
      <c r="D84">
        <v>0</v>
      </c>
      <c r="E84">
        <f>SmtRes!AV77</f>
        <v>0</v>
      </c>
      <c r="F84" t="str">
        <f>SmtRes!I77</f>
        <v>91.05.05-013</v>
      </c>
      <c r="G84" t="str">
        <f>SmtRes!K77</f>
        <v>Краны на автомобильном ходу, грузоподъемность 6,3 т</v>
      </c>
      <c r="H84" t="str">
        <f>SmtRes!O77</f>
        <v>маш.-ч</v>
      </c>
      <c r="I84">
        <f>SmtRes!Y77*Source!I45</f>
        <v>2.3E-3</v>
      </c>
      <c r="J84">
        <f>SmtRes!AO77</f>
        <v>1</v>
      </c>
      <c r="K84">
        <f>SmtRes!AF77</f>
        <v>88.01</v>
      </c>
      <c r="L84">
        <f>SmtRes!DB77</f>
        <v>20.239999999999998</v>
      </c>
      <c r="M84">
        <f>ROUND(ROUND(L84*Source!I45, 6)*1, 2)</f>
        <v>0.2</v>
      </c>
      <c r="N84">
        <f>SmtRes!AB77</f>
        <v>88.01</v>
      </c>
      <c r="O84">
        <f>ROUND(ROUND(L84*Source!I45, 6)*SmtRes!DA77, 2)</f>
        <v>0.2</v>
      </c>
      <c r="P84">
        <f>SmtRes!AG77</f>
        <v>11.6</v>
      </c>
      <c r="Q84">
        <f>SmtRes!DC77</f>
        <v>2.6737500000000001</v>
      </c>
      <c r="R84">
        <f>ROUND(ROUND(Q84*Source!I45, 6)*1, 2)</f>
        <v>0.03</v>
      </c>
      <c r="S84">
        <f>SmtRes!AC77</f>
        <v>11.6</v>
      </c>
      <c r="T84">
        <f>ROUND(ROUND(Q84*Source!I45, 6)*SmtRes!AK77, 2)</f>
        <v>0.03</v>
      </c>
      <c r="U84">
        <f>SmtRes!X77</f>
        <v>1330025190</v>
      </c>
      <c r="V84">
        <v>1769150691</v>
      </c>
      <c r="W84">
        <v>-161917611</v>
      </c>
    </row>
    <row r="85" spans="1:23" x14ac:dyDescent="0.2">
      <c r="A85">
        <f>Source!A45</f>
        <v>17</v>
      </c>
      <c r="C85">
        <v>2</v>
      </c>
      <c r="D85">
        <v>0</v>
      </c>
      <c r="E85">
        <f>SmtRes!AV76</f>
        <v>0</v>
      </c>
      <c r="F85" t="str">
        <f>SmtRes!I76</f>
        <v>91.01.05-106</v>
      </c>
      <c r="G85" t="str">
        <f>SmtRes!K76</f>
        <v>Экскаваторы одноковшовые дизельные на пневмоколесном ходу, емкость ковша 0,25 м3</v>
      </c>
      <c r="H85" t="str">
        <f>SmtRes!O76</f>
        <v>маш.-ч</v>
      </c>
      <c r="I85">
        <f>SmtRes!Y76*Source!I45</f>
        <v>0.14849374999999998</v>
      </c>
      <c r="J85">
        <f>SmtRes!AO76</f>
        <v>1</v>
      </c>
      <c r="K85">
        <f>SmtRes!AF76</f>
        <v>70.010000000000005</v>
      </c>
      <c r="L85">
        <f>SmtRes!DB76</f>
        <v>1039.5999999999999</v>
      </c>
      <c r="M85">
        <f>ROUND(ROUND(L85*Source!I45, 6)*1, 2)</f>
        <v>10.4</v>
      </c>
      <c r="N85">
        <f>SmtRes!AB76</f>
        <v>70.010000000000005</v>
      </c>
      <c r="O85">
        <f>ROUND(ROUND(L85*Source!I45, 6)*SmtRes!DA76, 2)</f>
        <v>10.4</v>
      </c>
      <c r="P85">
        <f>SmtRes!AG76</f>
        <v>11.6</v>
      </c>
      <c r="Q85">
        <f>SmtRes!DC76</f>
        <v>172.25562500000001</v>
      </c>
      <c r="R85">
        <f>ROUND(ROUND(Q85*Source!I45, 6)*1, 2)</f>
        <v>1.72</v>
      </c>
      <c r="S85">
        <f>SmtRes!AC76</f>
        <v>11.6</v>
      </c>
      <c r="T85">
        <f>ROUND(ROUND(Q85*Source!I45, 6)*SmtRes!AK76, 2)</f>
        <v>1.72</v>
      </c>
      <c r="U85">
        <f>SmtRes!X76</f>
        <v>312278592</v>
      </c>
      <c r="V85">
        <v>490670658</v>
      </c>
      <c r="W85">
        <v>-1852258160</v>
      </c>
    </row>
    <row r="86" spans="1:23" x14ac:dyDescent="0.2">
      <c r="A86">
        <f>Source!A45</f>
        <v>17</v>
      </c>
      <c r="C86">
        <v>1</v>
      </c>
      <c r="D86">
        <v>0</v>
      </c>
      <c r="E86">
        <f>SmtRes!AV75</f>
        <v>2</v>
      </c>
      <c r="F86" t="str">
        <f>SmtRes!I75</f>
        <v>4-100-00</v>
      </c>
      <c r="G86" t="str">
        <f>SmtRes!K75</f>
        <v>Затраты труда машинистов</v>
      </c>
      <c r="H86" t="str">
        <f>SmtRes!O75</f>
        <v>чел.-ч.</v>
      </c>
      <c r="I86">
        <f>SmtRes!Y75*Source!I45</f>
        <v>0.10490000000000001</v>
      </c>
      <c r="J86">
        <f>SmtRes!AO75</f>
        <v>1</v>
      </c>
      <c r="K86">
        <f>SmtRes!AH75</f>
        <v>0</v>
      </c>
      <c r="L86">
        <f>SmtRes!DB75</f>
        <v>0</v>
      </c>
      <c r="M86">
        <f>ROUND(ROUND(L86*Source!I45, 6)*1, 2)</f>
        <v>0</v>
      </c>
      <c r="N86">
        <f>SmtRes!AD75</f>
        <v>0</v>
      </c>
      <c r="O86">
        <f>ROUND(ROUND(L86*Source!I45, 6)*SmtRes!DA75, 2)</f>
        <v>0</v>
      </c>
      <c r="P86">
        <f>SmtRes!AG75</f>
        <v>0</v>
      </c>
      <c r="Q86">
        <f>SmtRes!DC75</f>
        <v>0</v>
      </c>
      <c r="R86">
        <f>ROUND(ROUND(Q86*Source!I45, 6)*1, 2)</f>
        <v>0</v>
      </c>
      <c r="S86">
        <f>SmtRes!AC75</f>
        <v>0</v>
      </c>
      <c r="T86">
        <f>ROUND(ROUND(Q86*Source!I45, 6)*SmtRes!AK75, 2)</f>
        <v>0</v>
      </c>
      <c r="U86">
        <f>SmtRes!X75</f>
        <v>-1417349443</v>
      </c>
      <c r="V86">
        <v>-189065469</v>
      </c>
      <c r="W86">
        <v>1122477533</v>
      </c>
    </row>
    <row r="87" spans="1:23" x14ac:dyDescent="0.2">
      <c r="A87">
        <f>Source!A45</f>
        <v>17</v>
      </c>
      <c r="C87">
        <v>1</v>
      </c>
      <c r="D87">
        <v>0</v>
      </c>
      <c r="E87">
        <f>SmtRes!AV74</f>
        <v>1</v>
      </c>
      <c r="F87" t="str">
        <f>SmtRes!I74</f>
        <v>1-100-33</v>
      </c>
      <c r="G87" t="str">
        <f>SmtRes!K74</f>
        <v>Рабочий среднего разряда 3.3</v>
      </c>
      <c r="H87" t="str">
        <f>SmtRes!O74</f>
        <v>чел.-ч.</v>
      </c>
      <c r="I87">
        <f>SmtRes!Y74*Source!I45</f>
        <v>13.976708999999996</v>
      </c>
      <c r="J87">
        <f>SmtRes!AO74</f>
        <v>1</v>
      </c>
      <c r="K87">
        <f>SmtRes!AH74</f>
        <v>8.86</v>
      </c>
      <c r="L87">
        <f>SmtRes!DB74</f>
        <v>12383.361000000001</v>
      </c>
      <c r="M87">
        <f>ROUND(ROUND(L87*Source!I45, 6)*1, 2)</f>
        <v>123.83</v>
      </c>
      <c r="N87">
        <f>SmtRes!AD74</f>
        <v>8.86</v>
      </c>
      <c r="O87">
        <f>ROUND(ROUND(L87*Source!I45, 6)*SmtRes!DA74, 2)</f>
        <v>123.83</v>
      </c>
      <c r="P87">
        <f>SmtRes!AG74</f>
        <v>0</v>
      </c>
      <c r="Q87">
        <f>SmtRes!DC74</f>
        <v>0</v>
      </c>
      <c r="R87">
        <f>ROUND(ROUND(Q87*Source!I45, 6)*1, 2)</f>
        <v>0</v>
      </c>
      <c r="S87">
        <f>SmtRes!AC74</f>
        <v>0</v>
      </c>
      <c r="T87">
        <f>ROUND(ROUND(Q87*Source!I45, 6)*SmtRes!AK74, 2)</f>
        <v>0</v>
      </c>
      <c r="U87">
        <f>SmtRes!X74</f>
        <v>-719309759</v>
      </c>
      <c r="V87">
        <v>772123211</v>
      </c>
      <c r="W87">
        <v>1629495586</v>
      </c>
    </row>
    <row r="88" spans="1:23" x14ac:dyDescent="0.2">
      <c r="A88">
        <f>Source!A46</f>
        <v>17</v>
      </c>
      <c r="C88">
        <v>3</v>
      </c>
      <c r="D88">
        <v>0</v>
      </c>
      <c r="E88">
        <f>SmtRes!AV87</f>
        <v>0</v>
      </c>
      <c r="F88" t="str">
        <f>SmtRes!I87</f>
        <v>14.5.09.02-0002</v>
      </c>
      <c r="G88" t="str">
        <f>SmtRes!K87</f>
        <v>Ксилол нефтяной марки А</v>
      </c>
      <c r="H88" t="str">
        <f>SmtRes!O87</f>
        <v>т</v>
      </c>
      <c r="I88">
        <f>SmtRes!Y87*Source!I46</f>
        <v>1.6275600000000001E-2</v>
      </c>
      <c r="J88">
        <f>SmtRes!AO87</f>
        <v>1</v>
      </c>
      <c r="K88">
        <f>SmtRes!AE87</f>
        <v>7640</v>
      </c>
      <c r="L88">
        <f>SmtRes!DB87</f>
        <v>16.808</v>
      </c>
      <c r="M88">
        <f>ROUND(ROUND(L88*Source!I46, 6)*1, 2)</f>
        <v>124.35</v>
      </c>
      <c r="N88">
        <f>SmtRes!AA87</f>
        <v>7640</v>
      </c>
      <c r="O88">
        <f>ROUND(ROUND(L88*Source!I46, 6)*SmtRes!DA87, 2)</f>
        <v>124.35</v>
      </c>
      <c r="P88">
        <f>SmtRes!AG87</f>
        <v>0</v>
      </c>
      <c r="Q88">
        <f>SmtRes!DC87</f>
        <v>0</v>
      </c>
      <c r="R88">
        <f>ROUND(ROUND(Q88*Source!I46, 6)*1, 2)</f>
        <v>0</v>
      </c>
      <c r="S88">
        <f>SmtRes!AC87</f>
        <v>0</v>
      </c>
      <c r="T88">
        <f>ROUND(ROUND(Q88*Source!I46, 6)*SmtRes!AK87, 2)</f>
        <v>0</v>
      </c>
      <c r="U88">
        <f>SmtRes!X87</f>
        <v>1262170789</v>
      </c>
      <c r="V88">
        <v>978940701</v>
      </c>
      <c r="W88">
        <v>968606167</v>
      </c>
    </row>
    <row r="89" spans="1:23" x14ac:dyDescent="0.2">
      <c r="A89">
        <f>Source!A46</f>
        <v>17</v>
      </c>
      <c r="C89">
        <v>3</v>
      </c>
      <c r="D89">
        <v>0</v>
      </c>
      <c r="E89">
        <f>SmtRes!AV86</f>
        <v>0</v>
      </c>
      <c r="F89" t="str">
        <f>SmtRes!I86</f>
        <v>14.4.01.01-0003</v>
      </c>
      <c r="G89" t="str">
        <f>SmtRes!K86</f>
        <v>Грунтовка ГФ-021 красно-коричневая</v>
      </c>
      <c r="H89" t="str">
        <f>SmtRes!O86</f>
        <v>т</v>
      </c>
      <c r="I89">
        <f>SmtRes!Y86*Source!I46</f>
        <v>9.7653600000000007E-2</v>
      </c>
      <c r="J89">
        <f>SmtRes!AO86</f>
        <v>1</v>
      </c>
      <c r="K89">
        <f>SmtRes!AE86</f>
        <v>15620</v>
      </c>
      <c r="L89">
        <f>SmtRes!DB86</f>
        <v>206.184</v>
      </c>
      <c r="M89">
        <f>ROUND(ROUND(L89*Source!I46, 6)*1, 2)</f>
        <v>1525.35</v>
      </c>
      <c r="N89">
        <f>SmtRes!AA86</f>
        <v>15620</v>
      </c>
      <c r="O89">
        <f>ROUND(ROUND(L89*Source!I46, 6)*SmtRes!DA86, 2)</f>
        <v>1525.35</v>
      </c>
      <c r="P89">
        <f>SmtRes!AG86</f>
        <v>0</v>
      </c>
      <c r="Q89">
        <f>SmtRes!DC86</f>
        <v>0</v>
      </c>
      <c r="R89">
        <f>ROUND(ROUND(Q89*Source!I46, 6)*1, 2)</f>
        <v>0</v>
      </c>
      <c r="S89">
        <f>SmtRes!AC86</f>
        <v>0</v>
      </c>
      <c r="T89">
        <f>ROUND(ROUND(Q89*Source!I46, 6)*SmtRes!AK86, 2)</f>
        <v>0</v>
      </c>
      <c r="U89">
        <f>SmtRes!X86</f>
        <v>-1655298345</v>
      </c>
      <c r="V89">
        <v>-1718656819</v>
      </c>
      <c r="W89">
        <v>-1199146743</v>
      </c>
    </row>
    <row r="90" spans="1:23" x14ac:dyDescent="0.2">
      <c r="A90">
        <f>Source!A46</f>
        <v>17</v>
      </c>
      <c r="C90">
        <v>2</v>
      </c>
      <c r="D90">
        <v>0</v>
      </c>
      <c r="E90">
        <f>SmtRes!AV85</f>
        <v>0</v>
      </c>
      <c r="F90" t="str">
        <f>SmtRes!I85</f>
        <v>91.21.01-012</v>
      </c>
      <c r="G90" t="str">
        <f>SmtRes!K85</f>
        <v>Агрегаты окрасочные высокого давления для окраски поверхностей конструкций, мощность 1 кВт</v>
      </c>
      <c r="H90" t="str">
        <f>SmtRes!O85</f>
        <v>маш.-ч</v>
      </c>
      <c r="I90">
        <f>SmtRes!Y85*Source!I46</f>
        <v>13.101858</v>
      </c>
      <c r="J90">
        <f>SmtRes!AO85</f>
        <v>1</v>
      </c>
      <c r="K90">
        <f>SmtRes!AF85</f>
        <v>6.82</v>
      </c>
      <c r="L90">
        <f>SmtRes!DB85</f>
        <v>12.08075</v>
      </c>
      <c r="M90">
        <f>ROUND(ROUND(L90*Source!I46, 6)*1, 2)</f>
        <v>89.37</v>
      </c>
      <c r="N90">
        <f>SmtRes!AB85</f>
        <v>6.82</v>
      </c>
      <c r="O90">
        <f>ROUND(ROUND(L90*Source!I46, 6)*SmtRes!DA85, 2)</f>
        <v>89.37</v>
      </c>
      <c r="P90">
        <f>SmtRes!AG85</f>
        <v>0</v>
      </c>
      <c r="Q90">
        <f>SmtRes!DC85</f>
        <v>0</v>
      </c>
      <c r="R90">
        <f>ROUND(ROUND(Q90*Source!I46, 6)*1, 2)</f>
        <v>0</v>
      </c>
      <c r="S90">
        <f>SmtRes!AC85</f>
        <v>0</v>
      </c>
      <c r="T90">
        <f>ROUND(ROUND(Q90*Source!I46, 6)*SmtRes!AK85, 2)</f>
        <v>0</v>
      </c>
      <c r="U90">
        <f>SmtRes!X85</f>
        <v>271748449</v>
      </c>
      <c r="V90">
        <v>1633432719</v>
      </c>
      <c r="W90">
        <v>1356614520</v>
      </c>
    </row>
    <row r="91" spans="1:23" x14ac:dyDescent="0.2">
      <c r="A91">
        <f>Source!A46</f>
        <v>17</v>
      </c>
      <c r="C91">
        <v>2</v>
      </c>
      <c r="D91">
        <v>0</v>
      </c>
      <c r="E91">
        <f>SmtRes!AV84</f>
        <v>0</v>
      </c>
      <c r="F91" t="str">
        <f>SmtRes!I84</f>
        <v>91.14.02-001</v>
      </c>
      <c r="G91" t="str">
        <f>SmtRes!K84</f>
        <v>Автомобили бортовые, грузоподъемность до 5 т</v>
      </c>
      <c r="H91" t="str">
        <f>SmtRes!O84</f>
        <v>маш.-ч</v>
      </c>
      <c r="I91">
        <f>SmtRes!Y84*Source!I46</f>
        <v>0.116980875</v>
      </c>
      <c r="J91">
        <f>SmtRes!AO84</f>
        <v>1</v>
      </c>
      <c r="K91">
        <f>SmtRes!AF84</f>
        <v>65.709999999999994</v>
      </c>
      <c r="L91">
        <f>SmtRes!DB84</f>
        <v>1.043625</v>
      </c>
      <c r="M91">
        <f>ROUND(ROUND(L91*Source!I46, 6)*1, 2)</f>
        <v>7.72</v>
      </c>
      <c r="N91">
        <f>SmtRes!AB84</f>
        <v>65.709999999999994</v>
      </c>
      <c r="O91">
        <f>ROUND(ROUND(L91*Source!I46, 6)*SmtRes!DA84, 2)</f>
        <v>7.72</v>
      </c>
      <c r="P91">
        <f>SmtRes!AG84</f>
        <v>11.6</v>
      </c>
      <c r="Q91">
        <f>SmtRes!DC84</f>
        <v>0.18975</v>
      </c>
      <c r="R91">
        <f>ROUND(ROUND(Q91*Source!I46, 6)*1, 2)</f>
        <v>1.4</v>
      </c>
      <c r="S91">
        <f>SmtRes!AC84</f>
        <v>11.6</v>
      </c>
      <c r="T91">
        <f>ROUND(ROUND(Q91*Source!I46, 6)*SmtRes!AK84, 2)</f>
        <v>1.4</v>
      </c>
      <c r="U91">
        <f>SmtRes!X84</f>
        <v>1372534845</v>
      </c>
      <c r="V91">
        <v>-238339799</v>
      </c>
      <c r="W91">
        <v>1792116812</v>
      </c>
    </row>
    <row r="92" spans="1:23" x14ac:dyDescent="0.2">
      <c r="A92">
        <f>Source!A46</f>
        <v>17</v>
      </c>
      <c r="C92">
        <v>2</v>
      </c>
      <c r="D92">
        <v>0</v>
      </c>
      <c r="E92">
        <f>SmtRes!AV83</f>
        <v>0</v>
      </c>
      <c r="F92" t="str">
        <f>SmtRes!I83</f>
        <v>91.06.05-011</v>
      </c>
      <c r="G92" t="str">
        <f>SmtRes!K83</f>
        <v>Погрузчик, грузоподъемность 5 т</v>
      </c>
      <c r="H92" t="str">
        <f>SmtRes!O83</f>
        <v>маш.-ч</v>
      </c>
      <c r="I92">
        <f>SmtRes!Y83*Source!I46</f>
        <v>0.116980875</v>
      </c>
      <c r="J92">
        <f>SmtRes!AO83</f>
        <v>1</v>
      </c>
      <c r="K92">
        <f>SmtRes!AF83</f>
        <v>89.99</v>
      </c>
      <c r="L92">
        <f>SmtRes!DB83</f>
        <v>1.423125</v>
      </c>
      <c r="M92">
        <f>ROUND(ROUND(L92*Source!I46, 6)*1, 2)</f>
        <v>10.53</v>
      </c>
      <c r="N92">
        <f>SmtRes!AB83</f>
        <v>89.99</v>
      </c>
      <c r="O92">
        <f>ROUND(ROUND(L92*Source!I46, 6)*SmtRes!DA83, 2)</f>
        <v>10.53</v>
      </c>
      <c r="P92">
        <f>SmtRes!AG83</f>
        <v>10.06</v>
      </c>
      <c r="Q92">
        <f>SmtRes!DC83</f>
        <v>0.15812499999999999</v>
      </c>
      <c r="R92">
        <f>ROUND(ROUND(Q92*Source!I46, 6)*1, 2)</f>
        <v>1.17</v>
      </c>
      <c r="S92">
        <f>SmtRes!AC83</f>
        <v>10.06</v>
      </c>
      <c r="T92">
        <f>ROUND(ROUND(Q92*Source!I46, 6)*SmtRes!AK83, 2)</f>
        <v>1.17</v>
      </c>
      <c r="U92">
        <f>SmtRes!X83</f>
        <v>1225731627</v>
      </c>
      <c r="V92">
        <v>1013383888</v>
      </c>
      <c r="W92">
        <v>1423950272</v>
      </c>
    </row>
    <row r="93" spans="1:23" x14ac:dyDescent="0.2">
      <c r="A93">
        <f>Source!A46</f>
        <v>17</v>
      </c>
      <c r="C93">
        <v>2</v>
      </c>
      <c r="D93">
        <v>0</v>
      </c>
      <c r="E93">
        <f>SmtRes!AV82</f>
        <v>0</v>
      </c>
      <c r="F93" t="str">
        <f>SmtRes!I82</f>
        <v>91.06.03-060</v>
      </c>
      <c r="G93" t="str">
        <f>SmtRes!K82</f>
        <v>Лебедки электрические тяговым усилием до 5,79 кН (0,59 т)</v>
      </c>
      <c r="H93" t="str">
        <f>SmtRes!O82</f>
        <v>маш.-ч</v>
      </c>
      <c r="I93">
        <f>SmtRes!Y82*Source!I46</f>
        <v>0.116980875</v>
      </c>
      <c r="J93">
        <f>SmtRes!AO82</f>
        <v>1</v>
      </c>
      <c r="K93">
        <f>SmtRes!AF82</f>
        <v>1.7</v>
      </c>
      <c r="L93">
        <f>SmtRes!DB82</f>
        <v>3.1625E-2</v>
      </c>
      <c r="M93">
        <f>ROUND(ROUND(L93*Source!I46, 6)*1, 2)</f>
        <v>0.23</v>
      </c>
      <c r="N93">
        <f>SmtRes!AB82</f>
        <v>1.7</v>
      </c>
      <c r="O93">
        <f>ROUND(ROUND(L93*Source!I46, 6)*SmtRes!DA82, 2)</f>
        <v>0.23</v>
      </c>
      <c r="P93">
        <f>SmtRes!AG82</f>
        <v>0</v>
      </c>
      <c r="Q93">
        <f>SmtRes!DC82</f>
        <v>0</v>
      </c>
      <c r="R93">
        <f>ROUND(ROUND(Q93*Source!I46, 6)*1, 2)</f>
        <v>0</v>
      </c>
      <c r="S93">
        <f>SmtRes!AC82</f>
        <v>0</v>
      </c>
      <c r="T93">
        <f>ROUND(ROUND(Q93*Source!I46, 6)*SmtRes!AK82, 2)</f>
        <v>0</v>
      </c>
      <c r="U93">
        <f>SmtRes!X82</f>
        <v>1047452784</v>
      </c>
      <c r="V93">
        <v>-1060162024</v>
      </c>
      <c r="W93">
        <v>-469564433</v>
      </c>
    </row>
    <row r="94" spans="1:23" x14ac:dyDescent="0.2">
      <c r="A94">
        <f>Source!A46</f>
        <v>17</v>
      </c>
      <c r="C94">
        <v>1</v>
      </c>
      <c r="D94">
        <v>0</v>
      </c>
      <c r="E94">
        <f>SmtRes!AV81</f>
        <v>2</v>
      </c>
      <c r="F94" t="str">
        <f>SmtRes!I81</f>
        <v>4-100-00</v>
      </c>
      <c r="G94" t="str">
        <f>SmtRes!K81</f>
        <v>Затраты труда машинистов</v>
      </c>
      <c r="H94" t="str">
        <f>SmtRes!O81</f>
        <v>чел.-ч.</v>
      </c>
      <c r="I94">
        <f>SmtRes!Y81*Source!I46</f>
        <v>0.14796000000000001</v>
      </c>
      <c r="J94">
        <f>SmtRes!AO81</f>
        <v>1</v>
      </c>
      <c r="K94">
        <f>SmtRes!AH81</f>
        <v>0</v>
      </c>
      <c r="L94">
        <f>SmtRes!DB81</f>
        <v>0</v>
      </c>
      <c r="M94">
        <f>ROUND(ROUND(L94*Source!I46, 6)*1, 2)</f>
        <v>0</v>
      </c>
      <c r="N94">
        <f>SmtRes!AD81</f>
        <v>0</v>
      </c>
      <c r="O94">
        <f>ROUND(ROUND(L94*Source!I46, 6)*SmtRes!DA81, 2)</f>
        <v>0</v>
      </c>
      <c r="P94">
        <f>SmtRes!AG81</f>
        <v>0</v>
      </c>
      <c r="Q94">
        <f>SmtRes!DC81</f>
        <v>0</v>
      </c>
      <c r="R94">
        <f>ROUND(ROUND(Q94*Source!I46, 6)*1, 2)</f>
        <v>0</v>
      </c>
      <c r="S94">
        <f>SmtRes!AC81</f>
        <v>0</v>
      </c>
      <c r="T94">
        <f>ROUND(ROUND(Q94*Source!I46, 6)*SmtRes!AK81, 2)</f>
        <v>0</v>
      </c>
      <c r="U94">
        <f>SmtRes!X81</f>
        <v>-1417349443</v>
      </c>
      <c r="V94">
        <v>-189065469</v>
      </c>
      <c r="W94">
        <v>1122477533</v>
      </c>
    </row>
    <row r="95" spans="1:23" x14ac:dyDescent="0.2">
      <c r="A95">
        <f>Source!A46</f>
        <v>17</v>
      </c>
      <c r="C95">
        <v>1</v>
      </c>
      <c r="D95">
        <v>0</v>
      </c>
      <c r="E95">
        <f>SmtRes!AV80</f>
        <v>1</v>
      </c>
      <c r="F95" t="str">
        <f>SmtRes!I80</f>
        <v>1-100-47</v>
      </c>
      <c r="G95" t="str">
        <f>SmtRes!K80</f>
        <v>Рабочий среднего разряда 4.7</v>
      </c>
      <c r="H95" t="str">
        <f>SmtRes!O80</f>
        <v>чел.-ч.</v>
      </c>
      <c r="I95">
        <f>SmtRes!Y80*Source!I46</f>
        <v>57.147497054999988</v>
      </c>
      <c r="J95">
        <f>SmtRes!AO80</f>
        <v>1</v>
      </c>
      <c r="K95">
        <f>SmtRes!AH80</f>
        <v>10.65</v>
      </c>
      <c r="L95">
        <f>SmtRes!DB80</f>
        <v>82.266113000000004</v>
      </c>
      <c r="M95">
        <f>ROUND(ROUND(L95*Source!I46, 6)*1, 2)</f>
        <v>608.6</v>
      </c>
      <c r="N95">
        <f>SmtRes!AD80</f>
        <v>10.65</v>
      </c>
      <c r="O95">
        <f>ROUND(ROUND(L95*Source!I46, 6)*SmtRes!DA80, 2)</f>
        <v>608.6</v>
      </c>
      <c r="P95">
        <f>SmtRes!AG80</f>
        <v>0</v>
      </c>
      <c r="Q95">
        <f>SmtRes!DC80</f>
        <v>0</v>
      </c>
      <c r="R95">
        <f>ROUND(ROUND(Q95*Source!I46, 6)*1, 2)</f>
        <v>0</v>
      </c>
      <c r="S95">
        <f>SmtRes!AC80</f>
        <v>0</v>
      </c>
      <c r="T95">
        <f>ROUND(ROUND(Q95*Source!I46, 6)*SmtRes!AK80, 2)</f>
        <v>0</v>
      </c>
      <c r="U95">
        <f>SmtRes!X80</f>
        <v>1145761654</v>
      </c>
      <c r="V95">
        <v>690600898</v>
      </c>
      <c r="W95">
        <v>1143624164</v>
      </c>
    </row>
    <row r="96" spans="1:23" x14ac:dyDescent="0.2">
      <c r="A96">
        <f>Source!A47</f>
        <v>17</v>
      </c>
      <c r="C96">
        <v>3</v>
      </c>
      <c r="D96">
        <v>0</v>
      </c>
      <c r="E96">
        <f>SmtRes!AV96</f>
        <v>0</v>
      </c>
      <c r="F96" t="str">
        <f>SmtRes!I96</f>
        <v>14.5.09.11-0101</v>
      </c>
      <c r="G96" t="str">
        <f>SmtRes!K96</f>
        <v>Уайт-спирит</v>
      </c>
      <c r="H96" t="str">
        <f>SmtRes!O96</f>
        <v>т</v>
      </c>
      <c r="I96">
        <f>SmtRes!Y96*Source!I47</f>
        <v>2.2785840000000002E-2</v>
      </c>
      <c r="J96">
        <f>SmtRes!AO96</f>
        <v>1</v>
      </c>
      <c r="K96">
        <f>SmtRes!AE96</f>
        <v>6667</v>
      </c>
      <c r="L96">
        <f>SmtRes!DB96</f>
        <v>20.526</v>
      </c>
      <c r="M96">
        <f>ROUND(ROUND(L96*Source!I47, 6)*1, 2)</f>
        <v>151.85</v>
      </c>
      <c r="N96">
        <f>SmtRes!AA96</f>
        <v>6667</v>
      </c>
      <c r="O96">
        <f>ROUND(ROUND(L96*Source!I47, 6)*SmtRes!DA96, 2)</f>
        <v>151.85</v>
      </c>
      <c r="P96">
        <f>SmtRes!AG96</f>
        <v>0</v>
      </c>
      <c r="Q96">
        <f>SmtRes!DC96</f>
        <v>0</v>
      </c>
      <c r="R96">
        <f>ROUND(ROUND(Q96*Source!I47, 6)*1, 2)</f>
        <v>0</v>
      </c>
      <c r="S96">
        <f>SmtRes!AC96</f>
        <v>0</v>
      </c>
      <c r="T96">
        <f>ROUND(ROUND(Q96*Source!I47, 6)*SmtRes!AK96, 2)</f>
        <v>0</v>
      </c>
      <c r="U96">
        <f>SmtRes!X96</f>
        <v>-2124557522</v>
      </c>
      <c r="V96">
        <v>477397473</v>
      </c>
      <c r="W96">
        <v>-1853658048</v>
      </c>
    </row>
    <row r="97" spans="1:23" x14ac:dyDescent="0.2">
      <c r="A97">
        <f>Source!A47</f>
        <v>17</v>
      </c>
      <c r="C97">
        <v>2</v>
      </c>
      <c r="D97">
        <v>0</v>
      </c>
      <c r="E97">
        <f>SmtRes!AV93</f>
        <v>0</v>
      </c>
      <c r="F97" t="str">
        <f>SmtRes!I93</f>
        <v>91.21.01-012</v>
      </c>
      <c r="G97" t="str">
        <f>SmtRes!K93</f>
        <v>Агрегаты окрасочные высокого давления для окраски поверхностей конструкций, мощность 1 кВт</v>
      </c>
      <c r="H97" t="str">
        <f>SmtRes!O93</f>
        <v>маш.-ч</v>
      </c>
      <c r="I97">
        <f>SmtRes!Y93*Source!I47</f>
        <v>15.20751375</v>
      </c>
      <c r="J97">
        <f>SmtRes!AO93</f>
        <v>1</v>
      </c>
      <c r="K97">
        <f>SmtRes!AF93</f>
        <v>6.82</v>
      </c>
      <c r="L97">
        <f>SmtRes!DB93</f>
        <v>14.009874999999999</v>
      </c>
      <c r="M97">
        <f>ROUND(ROUND(L97*Source!I47, 6)*1, 2)</f>
        <v>103.65</v>
      </c>
      <c r="N97">
        <f>SmtRes!AB93</f>
        <v>6.82</v>
      </c>
      <c r="O97">
        <f>ROUND(ROUND(L97*Source!I47, 6)*SmtRes!DA93, 2)</f>
        <v>103.65</v>
      </c>
      <c r="P97">
        <f>SmtRes!AG93</f>
        <v>0</v>
      </c>
      <c r="Q97">
        <f>SmtRes!DC93</f>
        <v>0</v>
      </c>
      <c r="R97">
        <f>ROUND(ROUND(Q97*Source!I47, 6)*1, 2)</f>
        <v>0</v>
      </c>
      <c r="S97">
        <f>SmtRes!AC93</f>
        <v>0</v>
      </c>
      <c r="T97">
        <f>ROUND(ROUND(Q97*Source!I47, 6)*SmtRes!AK93, 2)</f>
        <v>0</v>
      </c>
      <c r="U97">
        <f>SmtRes!X93</f>
        <v>271748449</v>
      </c>
      <c r="V97">
        <v>1633432719</v>
      </c>
      <c r="W97">
        <v>1356614520</v>
      </c>
    </row>
    <row r="98" spans="1:23" x14ac:dyDescent="0.2">
      <c r="A98">
        <f>Source!A47</f>
        <v>17</v>
      </c>
      <c r="C98">
        <v>2</v>
      </c>
      <c r="D98">
        <v>0</v>
      </c>
      <c r="E98">
        <f>SmtRes!AV92</f>
        <v>0</v>
      </c>
      <c r="F98" t="str">
        <f>SmtRes!I92</f>
        <v>91.14.02-001</v>
      </c>
      <c r="G98" t="str">
        <f>SmtRes!K92</f>
        <v>Автомобили бортовые, грузоподъемность до 5 т</v>
      </c>
      <c r="H98" t="str">
        <f>SmtRes!O92</f>
        <v>маш.-ч</v>
      </c>
      <c r="I98">
        <f>SmtRes!Y92*Source!I47</f>
        <v>0.23396175</v>
      </c>
      <c r="J98">
        <f>SmtRes!AO92</f>
        <v>1</v>
      </c>
      <c r="K98">
        <f>SmtRes!AF92</f>
        <v>65.709999999999994</v>
      </c>
      <c r="L98">
        <f>SmtRes!DB92</f>
        <v>2.08725</v>
      </c>
      <c r="M98">
        <f>ROUND(ROUND(L98*Source!I47, 6)*1, 2)</f>
        <v>15.44</v>
      </c>
      <c r="N98">
        <f>SmtRes!AB92</f>
        <v>65.709999999999994</v>
      </c>
      <c r="O98">
        <f>ROUND(ROUND(L98*Source!I47, 6)*SmtRes!DA92, 2)</f>
        <v>15.44</v>
      </c>
      <c r="P98">
        <f>SmtRes!AG92</f>
        <v>11.6</v>
      </c>
      <c r="Q98">
        <f>SmtRes!DC92</f>
        <v>0.3795</v>
      </c>
      <c r="R98">
        <f>ROUND(ROUND(Q98*Source!I47, 6)*1, 2)</f>
        <v>2.81</v>
      </c>
      <c r="S98">
        <f>SmtRes!AC92</f>
        <v>11.6</v>
      </c>
      <c r="T98">
        <f>ROUND(ROUND(Q98*Source!I47, 6)*SmtRes!AK92, 2)</f>
        <v>2.81</v>
      </c>
      <c r="U98">
        <f>SmtRes!X92</f>
        <v>1372534845</v>
      </c>
      <c r="V98">
        <v>-238339799</v>
      </c>
      <c r="W98">
        <v>1792116812</v>
      </c>
    </row>
    <row r="99" spans="1:23" x14ac:dyDescent="0.2">
      <c r="A99">
        <f>Source!A47</f>
        <v>17</v>
      </c>
      <c r="C99">
        <v>2</v>
      </c>
      <c r="D99">
        <v>0</v>
      </c>
      <c r="E99">
        <f>SmtRes!AV91</f>
        <v>0</v>
      </c>
      <c r="F99" t="str">
        <f>SmtRes!I91</f>
        <v>91.06.05-011</v>
      </c>
      <c r="G99" t="str">
        <f>SmtRes!K91</f>
        <v>Погрузчик, грузоподъемность 5 т</v>
      </c>
      <c r="H99" t="str">
        <f>SmtRes!O91</f>
        <v>маш.-ч</v>
      </c>
      <c r="I99">
        <f>SmtRes!Y91*Source!I47</f>
        <v>0.23396175</v>
      </c>
      <c r="J99">
        <f>SmtRes!AO91</f>
        <v>1</v>
      </c>
      <c r="K99">
        <f>SmtRes!AF91</f>
        <v>89.99</v>
      </c>
      <c r="L99">
        <f>SmtRes!DB91</f>
        <v>2.8462499999999999</v>
      </c>
      <c r="M99">
        <f>ROUND(ROUND(L99*Source!I47, 6)*1, 2)</f>
        <v>21.06</v>
      </c>
      <c r="N99">
        <f>SmtRes!AB91</f>
        <v>89.99</v>
      </c>
      <c r="O99">
        <f>ROUND(ROUND(L99*Source!I47, 6)*SmtRes!DA91, 2)</f>
        <v>21.06</v>
      </c>
      <c r="P99">
        <f>SmtRes!AG91</f>
        <v>10.06</v>
      </c>
      <c r="Q99">
        <f>SmtRes!DC91</f>
        <v>0.31624999999999998</v>
      </c>
      <c r="R99">
        <f>ROUND(ROUND(Q99*Source!I47, 6)*1, 2)</f>
        <v>2.34</v>
      </c>
      <c r="S99">
        <f>SmtRes!AC91</f>
        <v>10.06</v>
      </c>
      <c r="T99">
        <f>ROUND(ROUND(Q99*Source!I47, 6)*SmtRes!AK91, 2)</f>
        <v>2.34</v>
      </c>
      <c r="U99">
        <f>SmtRes!X91</f>
        <v>1225731627</v>
      </c>
      <c r="V99">
        <v>1013383888</v>
      </c>
      <c r="W99">
        <v>1423950272</v>
      </c>
    </row>
    <row r="100" spans="1:23" x14ac:dyDescent="0.2">
      <c r="A100">
        <f>Source!A47</f>
        <v>17</v>
      </c>
      <c r="C100">
        <v>2</v>
      </c>
      <c r="D100">
        <v>0</v>
      </c>
      <c r="E100">
        <f>SmtRes!AV90</f>
        <v>0</v>
      </c>
      <c r="F100" t="str">
        <f>SmtRes!I90</f>
        <v>91.06.03-060</v>
      </c>
      <c r="G100" t="str">
        <f>SmtRes!K90</f>
        <v>Лебедки электрические тяговым усилием до 5,79 кН (0,59 т)</v>
      </c>
      <c r="H100" t="str">
        <f>SmtRes!O90</f>
        <v>маш.-ч</v>
      </c>
      <c r="I100">
        <f>SmtRes!Y90*Source!I47</f>
        <v>0.23396175</v>
      </c>
      <c r="J100">
        <f>SmtRes!AO90</f>
        <v>1</v>
      </c>
      <c r="K100">
        <f>SmtRes!AF90</f>
        <v>1.7</v>
      </c>
      <c r="L100">
        <f>SmtRes!DB90</f>
        <v>6.3250000000000001E-2</v>
      </c>
      <c r="M100">
        <f>ROUND(ROUND(L100*Source!I47, 6)*1, 2)</f>
        <v>0.47</v>
      </c>
      <c r="N100">
        <f>SmtRes!AB90</f>
        <v>1.7</v>
      </c>
      <c r="O100">
        <f>ROUND(ROUND(L100*Source!I47, 6)*SmtRes!DA90, 2)</f>
        <v>0.47</v>
      </c>
      <c r="P100">
        <f>SmtRes!AG90</f>
        <v>0</v>
      </c>
      <c r="Q100">
        <f>SmtRes!DC90</f>
        <v>0</v>
      </c>
      <c r="R100">
        <f>ROUND(ROUND(Q100*Source!I47, 6)*1, 2)</f>
        <v>0</v>
      </c>
      <c r="S100">
        <f>SmtRes!AC90</f>
        <v>0</v>
      </c>
      <c r="T100">
        <f>ROUND(ROUND(Q100*Source!I47, 6)*SmtRes!AK90, 2)</f>
        <v>0</v>
      </c>
      <c r="U100">
        <f>SmtRes!X90</f>
        <v>1047452784</v>
      </c>
      <c r="V100">
        <v>-1060162024</v>
      </c>
      <c r="W100">
        <v>-469564433</v>
      </c>
    </row>
    <row r="101" spans="1:23" x14ac:dyDescent="0.2">
      <c r="A101">
        <f>Source!A47</f>
        <v>17</v>
      </c>
      <c r="C101">
        <v>1</v>
      </c>
      <c r="D101">
        <v>0</v>
      </c>
      <c r="E101">
        <f>SmtRes!AV89</f>
        <v>2</v>
      </c>
      <c r="F101" t="str">
        <f>SmtRes!I89</f>
        <v>4-100-00</v>
      </c>
      <c r="G101" t="str">
        <f>SmtRes!K89</f>
        <v>Затраты труда машинистов</v>
      </c>
      <c r="H101" t="str">
        <f>SmtRes!O89</f>
        <v>чел.-ч.</v>
      </c>
      <c r="I101">
        <f>SmtRes!Y89*Source!I47</f>
        <v>0.14796000000000001</v>
      </c>
      <c r="J101">
        <f>SmtRes!AO89</f>
        <v>1</v>
      </c>
      <c r="K101">
        <f>SmtRes!AH89</f>
        <v>0</v>
      </c>
      <c r="L101">
        <f>SmtRes!DB89</f>
        <v>0</v>
      </c>
      <c r="M101">
        <f>ROUND(ROUND(L101*Source!I47, 6)*1, 2)</f>
        <v>0</v>
      </c>
      <c r="N101">
        <f>SmtRes!AD89</f>
        <v>0</v>
      </c>
      <c r="O101">
        <f>ROUND(ROUND(L101*Source!I47, 6)*SmtRes!DA89, 2)</f>
        <v>0</v>
      </c>
      <c r="P101">
        <f>SmtRes!AG89</f>
        <v>0</v>
      </c>
      <c r="Q101">
        <f>SmtRes!DC89</f>
        <v>0</v>
      </c>
      <c r="R101">
        <f>ROUND(ROUND(Q101*Source!I47, 6)*1, 2)</f>
        <v>0</v>
      </c>
      <c r="S101">
        <f>SmtRes!AC89</f>
        <v>0</v>
      </c>
      <c r="T101">
        <f>ROUND(ROUND(Q101*Source!I47, 6)*SmtRes!AK89, 2)</f>
        <v>0</v>
      </c>
      <c r="U101">
        <f>SmtRes!X89</f>
        <v>-1417349443</v>
      </c>
      <c r="V101">
        <v>-189065469</v>
      </c>
      <c r="W101">
        <v>1122477533</v>
      </c>
    </row>
    <row r="102" spans="1:23" x14ac:dyDescent="0.2">
      <c r="A102">
        <f>Source!A47</f>
        <v>17</v>
      </c>
      <c r="C102">
        <v>1</v>
      </c>
      <c r="D102">
        <v>0</v>
      </c>
      <c r="E102">
        <f>SmtRes!AV88</f>
        <v>1</v>
      </c>
      <c r="F102" t="str">
        <f>SmtRes!I88</f>
        <v>1-100-35</v>
      </c>
      <c r="G102" t="str">
        <f>SmtRes!K88</f>
        <v>Рабочий среднего разряда 3.5</v>
      </c>
      <c r="H102" t="str">
        <f>SmtRes!O88</f>
        <v>чел.-ч.</v>
      </c>
      <c r="I102">
        <f>SmtRes!Y88*Source!I47</f>
        <v>82.43876222999998</v>
      </c>
      <c r="J102">
        <f>SmtRes!AO88</f>
        <v>1</v>
      </c>
      <c r="K102">
        <f>SmtRes!AH88</f>
        <v>9.07</v>
      </c>
      <c r="L102">
        <f>SmtRes!DB88</f>
        <v>101.07603</v>
      </c>
      <c r="M102">
        <f>ROUND(ROUND(L102*Source!I47, 6)*1, 2)</f>
        <v>747.76</v>
      </c>
      <c r="N102">
        <f>SmtRes!AD88</f>
        <v>9.07</v>
      </c>
      <c r="O102">
        <f>ROUND(ROUND(L102*Source!I47, 6)*SmtRes!DA88, 2)</f>
        <v>747.76</v>
      </c>
      <c r="P102">
        <f>SmtRes!AG88</f>
        <v>0</v>
      </c>
      <c r="Q102">
        <f>SmtRes!DC88</f>
        <v>0</v>
      </c>
      <c r="R102">
        <f>ROUND(ROUND(Q102*Source!I47, 6)*1, 2)</f>
        <v>0</v>
      </c>
      <c r="S102">
        <f>SmtRes!AC88</f>
        <v>0</v>
      </c>
      <c r="T102">
        <f>ROUND(ROUND(Q102*Source!I47, 6)*SmtRes!AK88, 2)</f>
        <v>0</v>
      </c>
      <c r="U102">
        <f>SmtRes!X88</f>
        <v>145020957</v>
      </c>
      <c r="V102">
        <v>286090112</v>
      </c>
      <c r="W102">
        <v>-1740715454</v>
      </c>
    </row>
    <row r="103" spans="1:23" x14ac:dyDescent="0.2">
      <c r="A103">
        <f>Source!A48</f>
        <v>18</v>
      </c>
      <c r="C103">
        <v>3</v>
      </c>
      <c r="D103">
        <f>Source!BI48</f>
        <v>1</v>
      </c>
      <c r="E103">
        <f>Source!FS48</f>
        <v>0</v>
      </c>
      <c r="F103" t="str">
        <f>Source!F48</f>
        <v>14.4.04.08-0008</v>
      </c>
      <c r="G103" t="str">
        <f>Source!G48</f>
        <v>Эмаль ПФ-133 цветная</v>
      </c>
      <c r="H103" t="str">
        <f>Source!H48</f>
        <v>т</v>
      </c>
      <c r="I103">
        <f>Source!I48</f>
        <v>0.30923600000000001</v>
      </c>
      <c r="J103">
        <v>1</v>
      </c>
      <c r="K103">
        <f>Source!AC48</f>
        <v>16303</v>
      </c>
      <c r="M103">
        <f>ROUND(K103*I103, 2)</f>
        <v>5041.47</v>
      </c>
      <c r="N103">
        <f>Source!AC48*IF(Source!BC48&lt;&gt; 0, Source!BC48, 1)</f>
        <v>16303</v>
      </c>
      <c r="O103">
        <f>ROUND(N103*I103, 2)</f>
        <v>5041.47</v>
      </c>
      <c r="P103">
        <f>Source!AE48</f>
        <v>0</v>
      </c>
      <c r="R103">
        <f>ROUND(P103*I103, 2)</f>
        <v>0</v>
      </c>
      <c r="S103">
        <f>Source!AE48*IF(Source!BS48&lt;&gt; 0, Source!BS48, 1)</f>
        <v>0</v>
      </c>
      <c r="T103">
        <f>ROUND(S103*I103, 2)</f>
        <v>0</v>
      </c>
      <c r="U103">
        <f>Source!GF48</f>
        <v>-1644319245</v>
      </c>
      <c r="V103">
        <v>1751756049</v>
      </c>
      <c r="W103">
        <v>-1490933758</v>
      </c>
    </row>
    <row r="104" spans="1:23" x14ac:dyDescent="0.2">
      <c r="A104">
        <f>Source!A50</f>
        <v>17</v>
      </c>
      <c r="C104">
        <v>1</v>
      </c>
      <c r="D104">
        <v>0</v>
      </c>
      <c r="E104">
        <f>SmtRes!AV97</f>
        <v>1</v>
      </c>
      <c r="F104" t="str">
        <f>SmtRes!I97</f>
        <v>1-100-20</v>
      </c>
      <c r="G104" t="str">
        <f>SmtRes!K97</f>
        <v>Рабочий среднего разряда 2</v>
      </c>
      <c r="H104" t="str">
        <f>SmtRes!O97</f>
        <v>чел.-ч.</v>
      </c>
      <c r="I104">
        <f>SmtRes!Y97*Source!I50</f>
        <v>33.234213399999994</v>
      </c>
      <c r="J104">
        <f>SmtRes!AO97</f>
        <v>1</v>
      </c>
      <c r="K104">
        <f>SmtRes!AH97</f>
        <v>7.8</v>
      </c>
      <c r="L104">
        <f>SmtRes!DB97</f>
        <v>2558.2440000000001</v>
      </c>
      <c r="M104">
        <f>ROUND(ROUND(L104*Source!I50, 6)*1, 2)</f>
        <v>259.23</v>
      </c>
      <c r="N104">
        <f>SmtRes!AD97</f>
        <v>7.8</v>
      </c>
      <c r="O104">
        <f>ROUND(ROUND(L104*Source!I50, 6)*SmtRes!DA97, 2)</f>
        <v>259.23</v>
      </c>
      <c r="P104">
        <f>SmtRes!AG97</f>
        <v>0</v>
      </c>
      <c r="Q104">
        <f>SmtRes!DC97</f>
        <v>0</v>
      </c>
      <c r="R104">
        <f>ROUND(ROUND(Q104*Source!I50, 6)*1, 2)</f>
        <v>0</v>
      </c>
      <c r="S104">
        <f>SmtRes!AC97</f>
        <v>0</v>
      </c>
      <c r="T104">
        <f>ROUND(ROUND(Q104*Source!I50, 6)*SmtRes!AK97, 2)</f>
        <v>0</v>
      </c>
      <c r="U104">
        <f>SmtRes!X97</f>
        <v>735429535</v>
      </c>
      <c r="V104">
        <v>-634705416</v>
      </c>
      <c r="W104">
        <v>-873429878</v>
      </c>
    </row>
    <row r="105" spans="1:23" x14ac:dyDescent="0.2">
      <c r="A105">
        <f>Source!A51</f>
        <v>17</v>
      </c>
      <c r="C105">
        <v>3</v>
      </c>
      <c r="D105">
        <v>0</v>
      </c>
      <c r="E105">
        <f>SmtRes!AV104</f>
        <v>0</v>
      </c>
      <c r="F105" t="str">
        <f>SmtRes!I104</f>
        <v>01.7.07.12-0024</v>
      </c>
      <c r="G105" t="str">
        <f>SmtRes!K104</f>
        <v>Пленка полиэтиленовая толщиной 0,15 мм</v>
      </c>
      <c r="H105" t="str">
        <f>SmtRes!O104</f>
        <v>м2</v>
      </c>
      <c r="I105">
        <f>SmtRes!Y104*Source!I51</f>
        <v>25.032499999999999</v>
      </c>
      <c r="J105">
        <f>SmtRes!AO104</f>
        <v>1</v>
      </c>
      <c r="K105">
        <f>SmtRes!AE104</f>
        <v>3.62</v>
      </c>
      <c r="L105">
        <f>SmtRes!DB104</f>
        <v>905</v>
      </c>
      <c r="M105">
        <f>ROUND(ROUND(L105*Source!I51, 6)*1, 2)</f>
        <v>90.62</v>
      </c>
      <c r="N105">
        <f>SmtRes!AA104</f>
        <v>3.62</v>
      </c>
      <c r="O105">
        <f>ROUND(ROUND(L105*Source!I51, 6)*SmtRes!DA104, 2)</f>
        <v>90.62</v>
      </c>
      <c r="P105">
        <f>SmtRes!AG104</f>
        <v>0</v>
      </c>
      <c r="Q105">
        <f>SmtRes!DC104</f>
        <v>0</v>
      </c>
      <c r="R105">
        <f>ROUND(ROUND(Q105*Source!I51, 6)*1, 2)</f>
        <v>0</v>
      </c>
      <c r="S105">
        <f>SmtRes!AC104</f>
        <v>0</v>
      </c>
      <c r="T105">
        <f>ROUND(ROUND(Q105*Source!I51, 6)*SmtRes!AK104, 2)</f>
        <v>0</v>
      </c>
      <c r="U105">
        <f>SmtRes!X104</f>
        <v>440019653</v>
      </c>
      <c r="V105">
        <v>1145162176</v>
      </c>
      <c r="W105">
        <v>224474997</v>
      </c>
    </row>
    <row r="106" spans="1:23" x14ac:dyDescent="0.2">
      <c r="A106">
        <f>Source!A51</f>
        <v>17</v>
      </c>
      <c r="C106">
        <v>3</v>
      </c>
      <c r="D106">
        <v>0</v>
      </c>
      <c r="E106">
        <f>SmtRes!AV103</f>
        <v>0</v>
      </c>
      <c r="F106" t="str">
        <f>SmtRes!I103</f>
        <v>01.7.03.01-0001</v>
      </c>
      <c r="G106" t="str">
        <f>SmtRes!K103</f>
        <v>Вода</v>
      </c>
      <c r="H106" t="str">
        <f>SmtRes!O103</f>
        <v>м3</v>
      </c>
      <c r="I106">
        <f>SmtRes!Y103*Source!I51</f>
        <v>2.0026000000000002E-2</v>
      </c>
      <c r="J106">
        <f>SmtRes!AO103</f>
        <v>1</v>
      </c>
      <c r="K106">
        <f>SmtRes!AE103</f>
        <v>2.44</v>
      </c>
      <c r="L106">
        <f>SmtRes!DB103</f>
        <v>0.49</v>
      </c>
      <c r="M106">
        <f>ROUND(ROUND(L106*Source!I51, 6)*1, 2)</f>
        <v>0.05</v>
      </c>
      <c r="N106">
        <f>SmtRes!AA103</f>
        <v>2.44</v>
      </c>
      <c r="O106">
        <f>ROUND(ROUND(L106*Source!I51, 6)*SmtRes!DA103, 2)</f>
        <v>0.05</v>
      </c>
      <c r="P106">
        <f>SmtRes!AG103</f>
        <v>0</v>
      </c>
      <c r="Q106">
        <f>SmtRes!DC103</f>
        <v>0</v>
      </c>
      <c r="R106">
        <f>ROUND(ROUND(Q106*Source!I51, 6)*1, 2)</f>
        <v>0</v>
      </c>
      <c r="S106">
        <f>SmtRes!AC103</f>
        <v>0</v>
      </c>
      <c r="T106">
        <f>ROUND(ROUND(Q106*Source!I51, 6)*SmtRes!AK103, 2)</f>
        <v>0</v>
      </c>
      <c r="U106">
        <f>SmtRes!X103</f>
        <v>-1660354250</v>
      </c>
      <c r="V106">
        <v>1600079109</v>
      </c>
      <c r="W106">
        <v>-1353927395</v>
      </c>
    </row>
    <row r="107" spans="1:23" x14ac:dyDescent="0.2">
      <c r="A107">
        <f>Source!A51</f>
        <v>17</v>
      </c>
      <c r="C107">
        <v>2</v>
      </c>
      <c r="D107">
        <v>0</v>
      </c>
      <c r="E107">
        <f>SmtRes!AV102</f>
        <v>0</v>
      </c>
      <c r="F107" t="str">
        <f>SmtRes!I102</f>
        <v>91.14.02-001</v>
      </c>
      <c r="G107" t="str">
        <f>SmtRes!K102</f>
        <v>Автомобили бортовые, грузоподъемность до 5 т</v>
      </c>
      <c r="H107" t="str">
        <f>SmtRes!O102</f>
        <v>маш.-ч</v>
      </c>
      <c r="I107">
        <f>SmtRes!Y102*Source!I51</f>
        <v>1.8711793749999997E-2</v>
      </c>
      <c r="J107">
        <f>SmtRes!AO102</f>
        <v>1</v>
      </c>
      <c r="K107">
        <f>SmtRes!AF102</f>
        <v>65.709999999999994</v>
      </c>
      <c r="L107">
        <f>SmtRes!DB102</f>
        <v>12.276249999999999</v>
      </c>
      <c r="M107">
        <f>ROUND(ROUND(L107*Source!I51, 6)*1, 2)</f>
        <v>1.23</v>
      </c>
      <c r="N107">
        <f>SmtRes!AB102</f>
        <v>65.709999999999994</v>
      </c>
      <c r="O107">
        <f>ROUND(ROUND(L107*Source!I51, 6)*SmtRes!DA102, 2)</f>
        <v>1.23</v>
      </c>
      <c r="P107">
        <f>SmtRes!AG102</f>
        <v>11.6</v>
      </c>
      <c r="Q107">
        <f>SmtRes!DC102</f>
        <v>2.1706249999999998</v>
      </c>
      <c r="R107">
        <f>ROUND(ROUND(Q107*Source!I51, 6)*1, 2)</f>
        <v>0.22</v>
      </c>
      <c r="S107">
        <f>SmtRes!AC102</f>
        <v>11.6</v>
      </c>
      <c r="T107">
        <f>ROUND(ROUND(Q107*Source!I51, 6)*SmtRes!AK102, 2)</f>
        <v>0.22</v>
      </c>
      <c r="U107">
        <f>SmtRes!X102</f>
        <v>1372534845</v>
      </c>
      <c r="V107">
        <v>-238339799</v>
      </c>
      <c r="W107">
        <v>1792116812</v>
      </c>
    </row>
    <row r="108" spans="1:23" x14ac:dyDescent="0.2">
      <c r="A108">
        <f>Source!A51</f>
        <v>17</v>
      </c>
      <c r="C108">
        <v>2</v>
      </c>
      <c r="D108">
        <v>0</v>
      </c>
      <c r="E108">
        <f>SmtRes!AV101</f>
        <v>0</v>
      </c>
      <c r="F108" t="str">
        <f>SmtRes!I101</f>
        <v>91.07.04-002</v>
      </c>
      <c r="G108" t="str">
        <f>SmtRes!K101</f>
        <v>Вибратор поверхностный</v>
      </c>
      <c r="H108" t="str">
        <f>SmtRes!O101</f>
        <v>маш.-ч</v>
      </c>
      <c r="I108">
        <f>SmtRes!Y101*Source!I51</f>
        <v>6.9089700000000001</v>
      </c>
      <c r="J108">
        <f>SmtRes!AO101</f>
        <v>1</v>
      </c>
      <c r="K108">
        <f>SmtRes!AF101</f>
        <v>0.5</v>
      </c>
      <c r="L108">
        <f>SmtRes!DB101</f>
        <v>34.5</v>
      </c>
      <c r="M108">
        <f>ROUND(ROUND(L108*Source!I51, 6)*1, 2)</f>
        <v>3.45</v>
      </c>
      <c r="N108">
        <f>SmtRes!AB101</f>
        <v>0.5</v>
      </c>
      <c r="O108">
        <f>ROUND(ROUND(L108*Source!I51, 6)*SmtRes!DA101, 2)</f>
        <v>3.45</v>
      </c>
      <c r="P108">
        <f>SmtRes!AG101</f>
        <v>0</v>
      </c>
      <c r="Q108">
        <f>SmtRes!DC101</f>
        <v>0</v>
      </c>
      <c r="R108">
        <f>ROUND(ROUND(Q108*Source!I51, 6)*1, 2)</f>
        <v>0</v>
      </c>
      <c r="S108">
        <f>SmtRes!AC101</f>
        <v>0</v>
      </c>
      <c r="T108">
        <f>ROUND(ROUND(Q108*Source!I51, 6)*SmtRes!AK101, 2)</f>
        <v>0</v>
      </c>
      <c r="U108">
        <f>SmtRes!X101</f>
        <v>-1750804799</v>
      </c>
      <c r="V108">
        <v>1289192614</v>
      </c>
      <c r="W108">
        <v>-1367358599</v>
      </c>
    </row>
    <row r="109" spans="1:23" x14ac:dyDescent="0.2">
      <c r="A109">
        <f>Source!A51</f>
        <v>17</v>
      </c>
      <c r="C109">
        <v>2</v>
      </c>
      <c r="D109">
        <v>0</v>
      </c>
      <c r="E109">
        <f>SmtRes!AV100</f>
        <v>0</v>
      </c>
      <c r="F109" t="str">
        <f>SmtRes!I100</f>
        <v>91.05.01-017</v>
      </c>
      <c r="G109" t="str">
        <f>SmtRes!K100</f>
        <v>Краны башенные, грузоподъемность 8 т</v>
      </c>
      <c r="H109" t="str">
        <f>SmtRes!O100</f>
        <v>маш.-ч</v>
      </c>
      <c r="I109">
        <f>SmtRes!Y100*Source!I51</f>
        <v>2.5908637499999996</v>
      </c>
      <c r="J109">
        <f>SmtRes!AO100</f>
        <v>1</v>
      </c>
      <c r="K109">
        <f>SmtRes!AF100</f>
        <v>86.4</v>
      </c>
      <c r="L109">
        <f>SmtRes!DB100</f>
        <v>2235.6</v>
      </c>
      <c r="M109">
        <f>ROUND(ROUND(L109*Source!I51, 6)*1, 2)</f>
        <v>223.85</v>
      </c>
      <c r="N109">
        <f>SmtRes!AB100</f>
        <v>86.4</v>
      </c>
      <c r="O109">
        <f>ROUND(ROUND(L109*Source!I51, 6)*SmtRes!DA100, 2)</f>
        <v>223.85</v>
      </c>
      <c r="P109">
        <f>SmtRes!AG100</f>
        <v>13.5</v>
      </c>
      <c r="Q109">
        <f>SmtRes!DC100</f>
        <v>349.3125</v>
      </c>
      <c r="R109">
        <f>ROUND(ROUND(Q109*Source!I51, 6)*1, 2)</f>
        <v>34.979999999999997</v>
      </c>
      <c r="S109">
        <f>SmtRes!AC100</f>
        <v>13.5</v>
      </c>
      <c r="T109">
        <f>ROUND(ROUND(Q109*Source!I51, 6)*SmtRes!AK100, 2)</f>
        <v>34.979999999999997</v>
      </c>
      <c r="U109">
        <f>SmtRes!X100</f>
        <v>-1460065968</v>
      </c>
      <c r="V109">
        <v>-1658435989</v>
      </c>
      <c r="W109">
        <v>1433168984</v>
      </c>
    </row>
    <row r="110" spans="1:23" x14ac:dyDescent="0.2">
      <c r="A110">
        <f>Source!A51</f>
        <v>17</v>
      </c>
      <c r="C110">
        <v>1</v>
      </c>
      <c r="D110">
        <v>0</v>
      </c>
      <c r="E110">
        <f>SmtRes!AV99</f>
        <v>2</v>
      </c>
      <c r="F110" t="str">
        <f>SmtRes!I99</f>
        <v>4-100-00</v>
      </c>
      <c r="G110" t="str">
        <f>SmtRes!K99</f>
        <v>Затраты труда машинистов</v>
      </c>
      <c r="H110" t="str">
        <f>SmtRes!O99</f>
        <v>чел.-ч.</v>
      </c>
      <c r="I110">
        <f>SmtRes!Y99*Source!I51</f>
        <v>1.8153568999999998</v>
      </c>
      <c r="J110">
        <f>SmtRes!AO99</f>
        <v>1</v>
      </c>
      <c r="K110">
        <f>SmtRes!AH99</f>
        <v>0</v>
      </c>
      <c r="L110">
        <f>SmtRes!DB99</f>
        <v>0</v>
      </c>
      <c r="M110">
        <f>ROUND(ROUND(L110*Source!I51, 6)*1, 2)</f>
        <v>0</v>
      </c>
      <c r="N110">
        <f>SmtRes!AD99</f>
        <v>0</v>
      </c>
      <c r="O110">
        <f>ROUND(ROUND(L110*Source!I51, 6)*SmtRes!DA99, 2)</f>
        <v>0</v>
      </c>
      <c r="P110">
        <f>SmtRes!AG99</f>
        <v>0</v>
      </c>
      <c r="Q110">
        <f>SmtRes!DC99</f>
        <v>0</v>
      </c>
      <c r="R110">
        <f>ROUND(ROUND(Q110*Source!I51, 6)*1, 2)</f>
        <v>0</v>
      </c>
      <c r="S110">
        <f>SmtRes!AC99</f>
        <v>0</v>
      </c>
      <c r="T110">
        <f>ROUND(ROUND(Q110*Source!I51, 6)*SmtRes!AK99, 2)</f>
        <v>0</v>
      </c>
      <c r="U110">
        <f>SmtRes!X99</f>
        <v>-1417349443</v>
      </c>
      <c r="V110">
        <v>-189065469</v>
      </c>
      <c r="W110">
        <v>1122477533</v>
      </c>
    </row>
    <row r="111" spans="1:23" x14ac:dyDescent="0.2">
      <c r="A111">
        <f>Source!A51</f>
        <v>17</v>
      </c>
      <c r="C111">
        <v>1</v>
      </c>
      <c r="D111">
        <v>0</v>
      </c>
      <c r="E111">
        <f>SmtRes!AV98</f>
        <v>1</v>
      </c>
      <c r="F111" t="str">
        <f>SmtRes!I98</f>
        <v>1-100-20</v>
      </c>
      <c r="G111" t="str">
        <f>SmtRes!K98</f>
        <v>Рабочий среднего разряда 2</v>
      </c>
      <c r="H111" t="str">
        <f>SmtRes!O98</f>
        <v>чел.-ч.</v>
      </c>
      <c r="I111">
        <f>SmtRes!Y98*Source!I51</f>
        <v>23.835946499999995</v>
      </c>
      <c r="J111">
        <f>SmtRes!AO98</f>
        <v>1</v>
      </c>
      <c r="K111">
        <f>SmtRes!AH98</f>
        <v>7.8</v>
      </c>
      <c r="L111">
        <f>SmtRes!DB98</f>
        <v>1856.79</v>
      </c>
      <c r="M111">
        <f>ROUND(ROUND(L111*Source!I51, 6)*1, 2)</f>
        <v>185.92</v>
      </c>
      <c r="N111">
        <f>SmtRes!AD98</f>
        <v>7.8</v>
      </c>
      <c r="O111">
        <f>ROUND(ROUND(L111*Source!I51, 6)*SmtRes!DA98, 2)</f>
        <v>185.92</v>
      </c>
      <c r="P111">
        <f>SmtRes!AG98</f>
        <v>0</v>
      </c>
      <c r="Q111">
        <f>SmtRes!DC98</f>
        <v>0</v>
      </c>
      <c r="R111">
        <f>ROUND(ROUND(Q111*Source!I51, 6)*1, 2)</f>
        <v>0</v>
      </c>
      <c r="S111">
        <f>SmtRes!AC98</f>
        <v>0</v>
      </c>
      <c r="T111">
        <f>ROUND(ROUND(Q111*Source!I51, 6)*SmtRes!AK98, 2)</f>
        <v>0</v>
      </c>
      <c r="U111">
        <f>SmtRes!X98</f>
        <v>735429535</v>
      </c>
      <c r="V111">
        <v>-634705416</v>
      </c>
      <c r="W111">
        <v>-873429878</v>
      </c>
    </row>
    <row r="112" spans="1:23" x14ac:dyDescent="0.2">
      <c r="A112">
        <f>Source!A52</f>
        <v>17</v>
      </c>
      <c r="C112">
        <v>1</v>
      </c>
      <c r="D112">
        <v>0</v>
      </c>
      <c r="E112">
        <f>SmtRes!AV105</f>
        <v>1</v>
      </c>
      <c r="F112" t="str">
        <f>SmtRes!I105</f>
        <v>1-100-15</v>
      </c>
      <c r="G112" t="str">
        <f>SmtRes!K105</f>
        <v>Рабочий среднего разряда 1.5</v>
      </c>
      <c r="H112" t="str">
        <f>SmtRes!O105</f>
        <v>чел.-ч.</v>
      </c>
      <c r="I112">
        <f>SmtRes!Y105*Source!I52</f>
        <v>22.497546082499998</v>
      </c>
      <c r="J112">
        <f>SmtRes!AO105</f>
        <v>1</v>
      </c>
      <c r="K112">
        <f>SmtRes!AH105</f>
        <v>7.5</v>
      </c>
      <c r="L112">
        <f>SmtRes!DB105</f>
        <v>827.52792499999998</v>
      </c>
      <c r="M112">
        <f>ROUND(ROUND(L112*Source!I52, 6)*1, 2)</f>
        <v>168.73</v>
      </c>
      <c r="N112">
        <f>SmtRes!AD105</f>
        <v>7.5</v>
      </c>
      <c r="O112">
        <f>ROUND(ROUND(L112*Source!I52, 6)*SmtRes!DA105, 2)</f>
        <v>168.73</v>
      </c>
      <c r="P112">
        <f>SmtRes!AG105</f>
        <v>0</v>
      </c>
      <c r="Q112">
        <f>SmtRes!DC105</f>
        <v>0</v>
      </c>
      <c r="R112">
        <f>ROUND(ROUND(Q112*Source!I52, 6)*1, 2)</f>
        <v>0</v>
      </c>
      <c r="S112">
        <f>SmtRes!AC105</f>
        <v>0</v>
      </c>
      <c r="T112">
        <f>ROUND(ROUND(Q112*Source!I52, 6)*SmtRes!AK105, 2)</f>
        <v>0</v>
      </c>
      <c r="U112">
        <f>SmtRes!X105</f>
        <v>-1972610816</v>
      </c>
      <c r="V112">
        <v>2028257609</v>
      </c>
      <c r="W112">
        <v>695831243</v>
      </c>
    </row>
    <row r="113" spans="1:23" x14ac:dyDescent="0.2">
      <c r="A113">
        <f>Source!A54</f>
        <v>17</v>
      </c>
      <c r="C113">
        <v>3</v>
      </c>
      <c r="D113">
        <f>Source!BI54</f>
        <v>1</v>
      </c>
      <c r="E113">
        <f>Source!FS54</f>
        <v>0</v>
      </c>
      <c r="F113" t="str">
        <f>Source!F54</f>
        <v>04.1.02.05-0007</v>
      </c>
      <c r="G113" t="str">
        <f>Source!G54</f>
        <v>Бетон тяжелый, класс В20 (М250) (бетонирование столбов, фундамента ФМ1 )</v>
      </c>
      <c r="H113" t="str">
        <f>Source!H54</f>
        <v>м3</v>
      </c>
      <c r="I113">
        <f>Source!I54</f>
        <v>20.27</v>
      </c>
      <c r="J113">
        <v>1</v>
      </c>
      <c r="K113">
        <f>Source!AC54</f>
        <v>665</v>
      </c>
      <c r="M113">
        <f t="shared" ref="M113:M122" si="0">ROUND(K113*I113, 2)</f>
        <v>13479.55</v>
      </c>
      <c r="N113">
        <f>Source!AC54*IF(Source!BC54&lt;&gt; 0, Source!BC54, 1)</f>
        <v>665</v>
      </c>
      <c r="O113">
        <f t="shared" ref="O113:O122" si="1">ROUND(N113*I113, 2)</f>
        <v>13479.55</v>
      </c>
      <c r="P113">
        <f>Source!AE54</f>
        <v>0</v>
      </c>
      <c r="R113">
        <f t="shared" ref="R113:R122" si="2">ROUND(P113*I113, 2)</f>
        <v>0</v>
      </c>
      <c r="S113">
        <f>Source!AE54*IF(Source!BS54&lt;&gt; 0, Source!BS54, 1)</f>
        <v>0</v>
      </c>
      <c r="T113">
        <f t="shared" ref="T113:T122" si="3">ROUND(S113*I113, 2)</f>
        <v>0</v>
      </c>
      <c r="U113">
        <f>Source!GF54</f>
        <v>455679834</v>
      </c>
      <c r="V113">
        <v>1920183248</v>
      </c>
      <c r="W113">
        <v>-1424442351</v>
      </c>
    </row>
    <row r="114" spans="1:23" x14ac:dyDescent="0.2">
      <c r="A114">
        <f>Source!A55</f>
        <v>17</v>
      </c>
      <c r="C114">
        <v>3</v>
      </c>
      <c r="D114">
        <f>Source!BI55</f>
        <v>1</v>
      </c>
      <c r="E114">
        <f>Source!FS55</f>
        <v>0</v>
      </c>
      <c r="F114" t="str">
        <f>Source!F55</f>
        <v>23.3.08.01-0122</v>
      </c>
      <c r="G114" t="str">
        <f>Source!G55</f>
        <v>Трубы стальные квадратные из стали марки ст1-3сп/пс размером 100х100 мм, толщина стенки 5 мм (Столбы металлические)</v>
      </c>
      <c r="H114" t="str">
        <f>Source!H55</f>
        <v>т</v>
      </c>
      <c r="I114">
        <f>Source!I55</f>
        <v>6.5019999999999998</v>
      </c>
      <c r="J114">
        <v>1</v>
      </c>
      <c r="K114">
        <f>Source!AC55</f>
        <v>7028.18</v>
      </c>
      <c r="M114">
        <f t="shared" si="0"/>
        <v>45697.23</v>
      </c>
      <c r="N114">
        <f>Source!AC55*IF(Source!BC55&lt;&gt; 0, Source!BC55, 1)</f>
        <v>7028.18</v>
      </c>
      <c r="O114">
        <f t="shared" si="1"/>
        <v>45697.23</v>
      </c>
      <c r="P114">
        <f>Source!AE55</f>
        <v>0</v>
      </c>
      <c r="R114">
        <f t="shared" si="2"/>
        <v>0</v>
      </c>
      <c r="S114">
        <f>Source!AE55*IF(Source!BS55&lt;&gt; 0, Source!BS55, 1)</f>
        <v>0</v>
      </c>
      <c r="T114">
        <f t="shared" si="3"/>
        <v>0</v>
      </c>
      <c r="U114">
        <f>Source!GF55</f>
        <v>-1540357215</v>
      </c>
      <c r="V114">
        <v>-1080875230</v>
      </c>
      <c r="W114">
        <v>-409795529</v>
      </c>
    </row>
    <row r="115" spans="1:23" x14ac:dyDescent="0.2">
      <c r="A115">
        <f>Source!A56</f>
        <v>17</v>
      </c>
      <c r="C115">
        <v>3</v>
      </c>
      <c r="D115">
        <f>Source!BI56</f>
        <v>1</v>
      </c>
      <c r="E115">
        <f>Source!FS56</f>
        <v>0</v>
      </c>
      <c r="F115" t="str">
        <f>Source!F56</f>
        <v>08.3.05.02-0061</v>
      </c>
      <c r="G115" t="str">
        <f>Source!G56</f>
        <v>Сталь листовая горячекатаная марки Ст3 толщиной 10-13 мм</v>
      </c>
      <c r="H115" t="str">
        <f>Source!H56</f>
        <v>т</v>
      </c>
      <c r="I115">
        <f>Source!I56</f>
        <v>0.114</v>
      </c>
      <c r="J115">
        <v>1</v>
      </c>
      <c r="K115">
        <f>Source!AC56</f>
        <v>6671.97</v>
      </c>
      <c r="M115">
        <f t="shared" si="0"/>
        <v>760.6</v>
      </c>
      <c r="N115">
        <f>Source!AC56*IF(Source!BC56&lt;&gt; 0, Source!BC56, 1)</f>
        <v>6671.97</v>
      </c>
      <c r="O115">
        <f t="shared" si="1"/>
        <v>760.6</v>
      </c>
      <c r="P115">
        <f>Source!AE56</f>
        <v>0</v>
      </c>
      <c r="R115">
        <f t="shared" si="2"/>
        <v>0</v>
      </c>
      <c r="S115">
        <f>Source!AE56*IF(Source!BS56&lt;&gt; 0, Source!BS56, 1)</f>
        <v>0</v>
      </c>
      <c r="T115">
        <f t="shared" si="3"/>
        <v>0</v>
      </c>
      <c r="U115">
        <f>Source!GF56</f>
        <v>1974734235</v>
      </c>
      <c r="V115">
        <v>1328982059</v>
      </c>
      <c r="W115">
        <v>-1031981923</v>
      </c>
    </row>
    <row r="116" spans="1:23" x14ac:dyDescent="0.2">
      <c r="A116">
        <f>Source!A57</f>
        <v>17</v>
      </c>
      <c r="C116">
        <v>3</v>
      </c>
      <c r="D116">
        <f>Source!BI57</f>
        <v>1</v>
      </c>
      <c r="E116">
        <f>Source!FS57</f>
        <v>0</v>
      </c>
      <c r="F116" t="str">
        <f>Source!F57</f>
        <v>01.7.04.09-0012</v>
      </c>
      <c r="G116" t="str">
        <f>Source!G57</f>
        <v>Петля накладная</v>
      </c>
      <c r="H116" t="str">
        <f>Source!H57</f>
        <v>шт.</v>
      </c>
      <c r="I116">
        <f>Source!I57</f>
        <v>6</v>
      </c>
      <c r="J116">
        <v>1</v>
      </c>
      <c r="K116">
        <f>Source!AC57</f>
        <v>12</v>
      </c>
      <c r="M116">
        <f t="shared" si="0"/>
        <v>72</v>
      </c>
      <c r="N116">
        <f>Source!AC57*IF(Source!BC57&lt;&gt; 0, Source!BC57, 1)</f>
        <v>12</v>
      </c>
      <c r="O116">
        <f t="shared" si="1"/>
        <v>72</v>
      </c>
      <c r="P116">
        <f>Source!AE57</f>
        <v>0</v>
      </c>
      <c r="R116">
        <f t="shared" si="2"/>
        <v>0</v>
      </c>
      <c r="S116">
        <f>Source!AE57*IF(Source!BS57&lt;&gt; 0, Source!BS57, 1)</f>
        <v>0</v>
      </c>
      <c r="T116">
        <f t="shared" si="3"/>
        <v>0</v>
      </c>
      <c r="U116">
        <f>Source!GF57</f>
        <v>-550193002</v>
      </c>
      <c r="V116">
        <v>869643691</v>
      </c>
      <c r="W116">
        <v>-2111467061</v>
      </c>
    </row>
    <row r="117" spans="1:23" x14ac:dyDescent="0.2">
      <c r="A117">
        <f>Source!A58</f>
        <v>17</v>
      </c>
      <c r="C117">
        <v>3</v>
      </c>
      <c r="D117">
        <f>Source!BI58</f>
        <v>1</v>
      </c>
      <c r="E117">
        <f>Source!FS58</f>
        <v>0</v>
      </c>
      <c r="F117" t="str">
        <f>Source!F58</f>
        <v>07.2.07.04-0014</v>
      </c>
      <c r="G117" t="str">
        <f>Source!G58</f>
        <v>Прочие индивидуальные сварные конструкции, масса сборочной единицы от 0,1 до 0,5 т (Прим. Секция С-1 (Основная секция -88шт)</v>
      </c>
      <c r="H117" t="str">
        <f>Source!H58</f>
        <v>т</v>
      </c>
      <c r="I117">
        <f>Source!I58</f>
        <v>15.49803</v>
      </c>
      <c r="J117">
        <v>1</v>
      </c>
      <c r="K117">
        <f>Source!AC58</f>
        <v>10046</v>
      </c>
      <c r="M117">
        <f t="shared" si="0"/>
        <v>155693.21</v>
      </c>
      <c r="N117">
        <f>Source!AC58*IF(Source!BC58&lt;&gt; 0, Source!BC58, 1)</f>
        <v>10046</v>
      </c>
      <c r="O117">
        <f t="shared" si="1"/>
        <v>155693.21</v>
      </c>
      <c r="P117">
        <f>Source!AE58</f>
        <v>0</v>
      </c>
      <c r="R117">
        <f t="shared" si="2"/>
        <v>0</v>
      </c>
      <c r="S117">
        <f>Source!AE58*IF(Source!BS58&lt;&gt; 0, Source!BS58, 1)</f>
        <v>0</v>
      </c>
      <c r="T117">
        <f t="shared" si="3"/>
        <v>0</v>
      </c>
      <c r="U117">
        <f>Source!GF58</f>
        <v>1430830833</v>
      </c>
      <c r="V117">
        <v>-26459924</v>
      </c>
      <c r="W117">
        <v>-647373615</v>
      </c>
    </row>
    <row r="118" spans="1:23" x14ac:dyDescent="0.2">
      <c r="A118">
        <f>Source!A59</f>
        <v>17</v>
      </c>
      <c r="C118">
        <v>3</v>
      </c>
      <c r="D118">
        <f>Source!BI59</f>
        <v>1</v>
      </c>
      <c r="E118">
        <f>Source!FS59</f>
        <v>0</v>
      </c>
      <c r="F118" t="str">
        <f>Source!F59</f>
        <v>07.2.07.04-0014</v>
      </c>
      <c r="G118" t="str">
        <f>Source!G59</f>
        <v>Прочие индивидуальные сварные конструкции, масса сборочной единицы от 0,1 до 0,5 т   (Калитка К—1)</v>
      </c>
      <c r="H118" t="str">
        <f>Source!H59</f>
        <v>т</v>
      </c>
      <c r="I118">
        <f>Source!I59</f>
        <v>8.0299999999999996E-2</v>
      </c>
      <c r="J118">
        <v>1</v>
      </c>
      <c r="K118">
        <f>Source!AC59</f>
        <v>10046</v>
      </c>
      <c r="M118">
        <f t="shared" si="0"/>
        <v>806.69</v>
      </c>
      <c r="N118">
        <f>Source!AC59*IF(Source!BC59&lt;&gt; 0, Source!BC59, 1)</f>
        <v>10046</v>
      </c>
      <c r="O118">
        <f t="shared" si="1"/>
        <v>806.69</v>
      </c>
      <c r="P118">
        <f>Source!AE59</f>
        <v>0</v>
      </c>
      <c r="R118">
        <f t="shared" si="2"/>
        <v>0</v>
      </c>
      <c r="S118">
        <f>Source!AE59*IF(Source!BS59&lt;&gt; 0, Source!BS59, 1)</f>
        <v>0</v>
      </c>
      <c r="T118">
        <f t="shared" si="3"/>
        <v>0</v>
      </c>
      <c r="U118">
        <f>Source!GF59</f>
        <v>1168749980</v>
      </c>
      <c r="V118">
        <v>-1279435672</v>
      </c>
      <c r="W118">
        <v>-679854995</v>
      </c>
    </row>
    <row r="119" spans="1:23" x14ac:dyDescent="0.2">
      <c r="A119">
        <f>Source!A60</f>
        <v>17</v>
      </c>
      <c r="C119">
        <v>3</v>
      </c>
      <c r="D119">
        <f>Source!BI60</f>
        <v>1</v>
      </c>
      <c r="E119">
        <f>Source!FS60</f>
        <v>0</v>
      </c>
      <c r="F119" t="str">
        <f>Source!F60</f>
        <v>07.2.07.04-0014</v>
      </c>
      <c r="G119" t="str">
        <f>Source!G60</f>
        <v>Прочие индивидуальные сварные конструкции, масса сборочной единицы от 0,1 до 0,5 т   (Ворота В-1)</v>
      </c>
      <c r="H119" t="str">
        <f>Source!H60</f>
        <v>т</v>
      </c>
      <c r="I119">
        <f>Source!I60</f>
        <v>0.41536000000000001</v>
      </c>
      <c r="J119">
        <v>1</v>
      </c>
      <c r="K119">
        <f>Source!AC60</f>
        <v>10046</v>
      </c>
      <c r="M119">
        <f t="shared" si="0"/>
        <v>4172.71</v>
      </c>
      <c r="N119">
        <f>Source!AC60*IF(Source!BC60&lt;&gt; 0, Source!BC60, 1)</f>
        <v>10046</v>
      </c>
      <c r="O119">
        <f t="shared" si="1"/>
        <v>4172.71</v>
      </c>
      <c r="P119">
        <f>Source!AE60</f>
        <v>0</v>
      </c>
      <c r="R119">
        <f t="shared" si="2"/>
        <v>0</v>
      </c>
      <c r="S119">
        <f>Source!AE60*IF(Source!BS60&lt;&gt; 0, Source!BS60, 1)</f>
        <v>0</v>
      </c>
      <c r="T119">
        <f t="shared" si="3"/>
        <v>0</v>
      </c>
      <c r="U119">
        <f>Source!GF60</f>
        <v>-1145944823</v>
      </c>
      <c r="V119">
        <v>-808094828</v>
      </c>
      <c r="W119">
        <v>-1995840471</v>
      </c>
    </row>
    <row r="120" spans="1:23" x14ac:dyDescent="0.2">
      <c r="A120">
        <f>Source!A61</f>
        <v>17</v>
      </c>
      <c r="C120">
        <v>3</v>
      </c>
      <c r="D120">
        <f>Source!BI61</f>
        <v>1</v>
      </c>
      <c r="E120">
        <f>Source!FS61</f>
        <v>0</v>
      </c>
      <c r="F120" t="str">
        <f>Source!F61</f>
        <v>07.2.07.04-0014</v>
      </c>
      <c r="G120" t="str">
        <f>Source!G61</f>
        <v>Прочие индивидуальные сварные конструкции, масса сборочной единицы от 0,1 до 0,5 т   (Ворота В-2)</v>
      </c>
      <c r="H120" t="str">
        <f>Source!H61</f>
        <v>т</v>
      </c>
      <c r="I120">
        <f>Source!I61</f>
        <v>0.35920999999999997</v>
      </c>
      <c r="J120">
        <v>1</v>
      </c>
      <c r="K120">
        <f>Source!AC61</f>
        <v>10046</v>
      </c>
      <c r="M120">
        <f t="shared" si="0"/>
        <v>3608.62</v>
      </c>
      <c r="N120">
        <f>Source!AC61*IF(Source!BC61&lt;&gt; 0, Source!BC61, 1)</f>
        <v>10046</v>
      </c>
      <c r="O120">
        <f t="shared" si="1"/>
        <v>3608.62</v>
      </c>
      <c r="P120">
        <f>Source!AE61</f>
        <v>0</v>
      </c>
      <c r="R120">
        <f t="shared" si="2"/>
        <v>0</v>
      </c>
      <c r="S120">
        <f>Source!AE61*IF(Source!BS61&lt;&gt; 0, Source!BS61, 1)</f>
        <v>0</v>
      </c>
      <c r="T120">
        <f t="shared" si="3"/>
        <v>0</v>
      </c>
      <c r="U120">
        <f>Source!GF61</f>
        <v>1048535299</v>
      </c>
      <c r="V120">
        <v>-1241546407</v>
      </c>
      <c r="W120">
        <v>-305746503</v>
      </c>
    </row>
    <row r="121" spans="1:23" x14ac:dyDescent="0.2">
      <c r="A121">
        <f>Source!A62</f>
        <v>17</v>
      </c>
      <c r="C121">
        <v>3</v>
      </c>
      <c r="D121">
        <f>Source!BI62</f>
        <v>1</v>
      </c>
      <c r="E121">
        <f>Source!FS62</f>
        <v>0</v>
      </c>
      <c r="F121" t="str">
        <f>Source!F62</f>
        <v>08.4.03.04-3066</v>
      </c>
      <c r="G121" t="str">
        <f>Source!G62</f>
        <v>Заготовки арматурные (стержни, хомуты и т.п.), не собранные в каркасы или сетки: Арматура класс A-III, диаметр 12-14 мм</v>
      </c>
      <c r="H121" t="str">
        <f>Source!H62</f>
        <v>т</v>
      </c>
      <c r="I121">
        <f>Source!I62</f>
        <v>1.362E-2</v>
      </c>
      <c r="J121">
        <v>1</v>
      </c>
      <c r="K121">
        <f>Source!AC62</f>
        <v>6805.76</v>
      </c>
      <c r="M121">
        <f t="shared" si="0"/>
        <v>92.69</v>
      </c>
      <c r="N121">
        <f>Source!AC62*IF(Source!BC62&lt;&gt; 0, Source!BC62, 1)</f>
        <v>6805.76</v>
      </c>
      <c r="O121">
        <f t="shared" si="1"/>
        <v>92.69</v>
      </c>
      <c r="P121">
        <f>Source!AE62</f>
        <v>0</v>
      </c>
      <c r="R121">
        <f t="shared" si="2"/>
        <v>0</v>
      </c>
      <c r="S121">
        <f>Source!AE62*IF(Source!BS62&lt;&gt; 0, Source!BS62, 1)</f>
        <v>0</v>
      </c>
      <c r="T121">
        <f t="shared" si="3"/>
        <v>0</v>
      </c>
      <c r="U121">
        <f>Source!GF62</f>
        <v>31468834</v>
      </c>
      <c r="V121">
        <v>-910483963</v>
      </c>
      <c r="W121">
        <v>-540586421</v>
      </c>
    </row>
    <row r="122" spans="1:23" x14ac:dyDescent="0.2">
      <c r="A122">
        <f>Source!A63</f>
        <v>17</v>
      </c>
      <c r="C122">
        <v>3</v>
      </c>
      <c r="D122">
        <f>Source!BI63</f>
        <v>1</v>
      </c>
      <c r="E122">
        <f>Source!FS63</f>
        <v>0</v>
      </c>
      <c r="F122" t="str">
        <f>Source!F63</f>
        <v>08.4.01.02-3003</v>
      </c>
      <c r="G122" t="str">
        <f>Source!G63</f>
        <v>Детали закладные, масса свыше 5 кг</v>
      </c>
      <c r="H122" t="str">
        <f>Source!H63</f>
        <v>т</v>
      </c>
      <c r="I122">
        <f>Source!I63</f>
        <v>3.3160000000000002E-2</v>
      </c>
      <c r="J122">
        <v>1</v>
      </c>
      <c r="K122">
        <f>Source!AC63</f>
        <v>13564.33</v>
      </c>
      <c r="M122">
        <f t="shared" si="0"/>
        <v>449.79</v>
      </c>
      <c r="N122">
        <f>Source!AC63*IF(Source!BC63&lt;&gt; 0, Source!BC63, 1)</f>
        <v>13564.33</v>
      </c>
      <c r="O122">
        <f t="shared" si="1"/>
        <v>449.79</v>
      </c>
      <c r="P122">
        <f>Source!AE63</f>
        <v>0</v>
      </c>
      <c r="R122">
        <f t="shared" si="2"/>
        <v>0</v>
      </c>
      <c r="S122">
        <f>Source!AE63*IF(Source!BS63&lt;&gt; 0, Source!BS63, 1)</f>
        <v>0</v>
      </c>
      <c r="T122">
        <f t="shared" si="3"/>
        <v>0</v>
      </c>
      <c r="U122">
        <f>Source!GF63</f>
        <v>428926993</v>
      </c>
      <c r="V122">
        <v>-1761244432</v>
      </c>
      <c r="W122">
        <v>-1235175819</v>
      </c>
    </row>
    <row r="123" spans="1:23" x14ac:dyDescent="0.2">
      <c r="A123">
        <f>Source!A94</f>
        <v>4</v>
      </c>
      <c r="B123">
        <v>94</v>
      </c>
      <c r="G123" t="str">
        <f>Source!G94</f>
        <v>Прочие работы</v>
      </c>
    </row>
    <row r="124" spans="1:23" x14ac:dyDescent="0.2">
      <c r="A124">
        <f>Source!A98</f>
        <v>5</v>
      </c>
      <c r="B124">
        <v>98</v>
      </c>
      <c r="G124" t="str">
        <f>Source!G98</f>
        <v>Укладка пешеходных дорожек</v>
      </c>
    </row>
    <row r="125" spans="1:23" x14ac:dyDescent="0.2">
      <c r="A125">
        <f>Source!A102</f>
        <v>17</v>
      </c>
      <c r="C125">
        <v>2</v>
      </c>
      <c r="D125">
        <v>0</v>
      </c>
      <c r="E125">
        <f>SmtRes!AV109</f>
        <v>0</v>
      </c>
      <c r="F125" t="str">
        <f>SmtRes!I109</f>
        <v>91.21.10-003</v>
      </c>
      <c r="G125" t="str">
        <f>SmtRes!K109</f>
        <v>Молотки при работе от передвижных компрессорных станций отбойные пневматические</v>
      </c>
      <c r="H125" t="str">
        <f>SmtRes!O109</f>
        <v>маш.-ч</v>
      </c>
      <c r="I125">
        <f>SmtRes!Y109*Source!I102</f>
        <v>13.162094999999999</v>
      </c>
      <c r="J125">
        <f>SmtRes!AO109</f>
        <v>1</v>
      </c>
      <c r="K125">
        <f>SmtRes!AF109</f>
        <v>1.53</v>
      </c>
      <c r="L125">
        <f>SmtRes!DB109</f>
        <v>82.869</v>
      </c>
      <c r="M125">
        <f>ROUND(ROUND(L125*Source!I102, 6)*1, 2)</f>
        <v>20.14</v>
      </c>
      <c r="N125">
        <f>SmtRes!AB109</f>
        <v>1.53</v>
      </c>
      <c r="O125">
        <f>ROUND(ROUND(L125*Source!I102, 6)*SmtRes!DA109, 2)</f>
        <v>20.14</v>
      </c>
      <c r="P125">
        <f>SmtRes!AG109</f>
        <v>0</v>
      </c>
      <c r="Q125">
        <f>SmtRes!DC109</f>
        <v>0</v>
      </c>
      <c r="R125">
        <f>ROUND(ROUND(Q125*Source!I102, 6)*1, 2)</f>
        <v>0</v>
      </c>
      <c r="S125">
        <f>SmtRes!AC109</f>
        <v>0</v>
      </c>
      <c r="T125">
        <f>ROUND(ROUND(Q125*Source!I102, 6)*SmtRes!AK109, 2)</f>
        <v>0</v>
      </c>
      <c r="U125">
        <f>SmtRes!X109</f>
        <v>1518765163</v>
      </c>
      <c r="V125">
        <v>-1277244089</v>
      </c>
      <c r="W125">
        <v>-172744654</v>
      </c>
    </row>
    <row r="126" spans="1:23" x14ac:dyDescent="0.2">
      <c r="A126">
        <f>Source!A102</f>
        <v>17</v>
      </c>
      <c r="C126">
        <v>2</v>
      </c>
      <c r="D126">
        <v>0</v>
      </c>
      <c r="E126">
        <f>SmtRes!AV108</f>
        <v>0</v>
      </c>
      <c r="F126" t="str">
        <f>SmtRes!I108</f>
        <v>91.18.01-007</v>
      </c>
      <c r="G126" t="str">
        <f>SmtRes!K108</f>
        <v>Компрессоры передвижные с двигателем внутреннего сгорания, давлением до 686 кПа (7ат), производительность до 5мЗ/мин</v>
      </c>
      <c r="H126" t="str">
        <f>SmtRes!O108</f>
        <v>маш.-ч</v>
      </c>
      <c r="I126">
        <f>SmtRes!Y108*Source!I102</f>
        <v>4.3873649999999991</v>
      </c>
      <c r="J126">
        <f>SmtRes!AO108</f>
        <v>1</v>
      </c>
      <c r="K126">
        <f>SmtRes!AF108</f>
        <v>90</v>
      </c>
      <c r="L126">
        <f>SmtRes!DB108</f>
        <v>1624.95</v>
      </c>
      <c r="M126">
        <f>ROUND(ROUND(L126*Source!I102, 6)*1, 2)</f>
        <v>394.86</v>
      </c>
      <c r="N126">
        <f>SmtRes!AB108</f>
        <v>90</v>
      </c>
      <c r="O126">
        <f>ROUND(ROUND(L126*Source!I102, 6)*SmtRes!DA108, 2)</f>
        <v>394.86</v>
      </c>
      <c r="P126">
        <f>SmtRes!AG108</f>
        <v>10.06</v>
      </c>
      <c r="Q126">
        <f>SmtRes!DC108</f>
        <v>181.631</v>
      </c>
      <c r="R126">
        <f>ROUND(ROUND(Q126*Source!I102, 6)*1, 2)</f>
        <v>44.14</v>
      </c>
      <c r="S126">
        <f>SmtRes!AC108</f>
        <v>10.06</v>
      </c>
      <c r="T126">
        <f>ROUND(ROUND(Q126*Source!I102, 6)*SmtRes!AK108, 2)</f>
        <v>44.14</v>
      </c>
      <c r="U126">
        <f>SmtRes!X108</f>
        <v>-1589061407</v>
      </c>
      <c r="V126">
        <v>-1756222023</v>
      </c>
      <c r="W126">
        <v>954034734</v>
      </c>
    </row>
    <row r="127" spans="1:23" x14ac:dyDescent="0.2">
      <c r="A127">
        <f>Source!A102</f>
        <v>17</v>
      </c>
      <c r="C127">
        <v>1</v>
      </c>
      <c r="D127">
        <v>0</v>
      </c>
      <c r="E127">
        <f>SmtRes!AV107</f>
        <v>2</v>
      </c>
      <c r="F127" t="str">
        <f>SmtRes!I107</f>
        <v>4-100-00</v>
      </c>
      <c r="G127" t="str">
        <f>SmtRes!K107</f>
        <v>Затраты труда машинистов</v>
      </c>
      <c r="H127" t="str">
        <f>SmtRes!O107</f>
        <v>чел.-ч.</v>
      </c>
      <c r="I127">
        <f>SmtRes!Y107*Source!I102</f>
        <v>3.8150999999999997</v>
      </c>
      <c r="J127">
        <f>SmtRes!AO107</f>
        <v>1</v>
      </c>
      <c r="K127">
        <f>SmtRes!AH107</f>
        <v>0</v>
      </c>
      <c r="L127">
        <f>SmtRes!DB107</f>
        <v>0</v>
      </c>
      <c r="M127">
        <f>ROUND(ROUND(L127*Source!I102, 6)*1, 2)</f>
        <v>0</v>
      </c>
      <c r="N127">
        <f>SmtRes!AD107</f>
        <v>0</v>
      </c>
      <c r="O127">
        <f>ROUND(ROUND(L127*Source!I102, 6)*SmtRes!DA107, 2)</f>
        <v>0</v>
      </c>
      <c r="P127">
        <f>SmtRes!AG107</f>
        <v>0</v>
      </c>
      <c r="Q127">
        <f>SmtRes!DC107</f>
        <v>0</v>
      </c>
      <c r="R127">
        <f>ROUND(ROUND(Q127*Source!I102, 6)*1, 2)</f>
        <v>0</v>
      </c>
      <c r="S127">
        <f>SmtRes!AC107</f>
        <v>0</v>
      </c>
      <c r="T127">
        <f>ROUND(ROUND(Q127*Source!I102, 6)*SmtRes!AK107, 2)</f>
        <v>0</v>
      </c>
      <c r="U127">
        <f>SmtRes!X107</f>
        <v>-1417349443</v>
      </c>
      <c r="V127">
        <v>-189065469</v>
      </c>
      <c r="W127">
        <v>1122477533</v>
      </c>
    </row>
    <row r="128" spans="1:23" x14ac:dyDescent="0.2">
      <c r="A128">
        <f>Source!A102</f>
        <v>17</v>
      </c>
      <c r="C128">
        <v>1</v>
      </c>
      <c r="D128">
        <v>0</v>
      </c>
      <c r="E128">
        <f>SmtRes!AV106</f>
        <v>1</v>
      </c>
      <c r="F128" t="str">
        <f>SmtRes!I106</f>
        <v>1-100-27</v>
      </c>
      <c r="G128" t="str">
        <f>SmtRes!K106</f>
        <v>Рабочий среднего разряда 2.7</v>
      </c>
      <c r="H128" t="str">
        <f>SmtRes!O106</f>
        <v>чел.-ч.</v>
      </c>
      <c r="I128">
        <f>SmtRes!Y106*Source!I102</f>
        <v>16.141031999999999</v>
      </c>
      <c r="J128">
        <f>SmtRes!AO106</f>
        <v>1</v>
      </c>
      <c r="K128">
        <f>SmtRes!AH106</f>
        <v>8.31</v>
      </c>
      <c r="L128">
        <f>SmtRes!DB106</f>
        <v>551.98850000000004</v>
      </c>
      <c r="M128">
        <f>ROUND(ROUND(L128*Source!I102, 6)*1, 2)</f>
        <v>134.13</v>
      </c>
      <c r="N128">
        <f>SmtRes!AD106</f>
        <v>8.31</v>
      </c>
      <c r="O128">
        <f>ROUND(ROUND(L128*Source!I102, 6)*SmtRes!DA106, 2)</f>
        <v>134.13</v>
      </c>
      <c r="P128">
        <f>SmtRes!AG106</f>
        <v>0</v>
      </c>
      <c r="Q128">
        <f>SmtRes!DC106</f>
        <v>0</v>
      </c>
      <c r="R128">
        <f>ROUND(ROUND(Q128*Source!I102, 6)*1, 2)</f>
        <v>0</v>
      </c>
      <c r="S128">
        <f>SmtRes!AC106</f>
        <v>0</v>
      </c>
      <c r="T128">
        <f>ROUND(ROUND(Q128*Source!I102, 6)*SmtRes!AK106, 2)</f>
        <v>0</v>
      </c>
      <c r="U128">
        <f>SmtRes!X106</f>
        <v>1850719656</v>
      </c>
      <c r="V128">
        <v>1797986336</v>
      </c>
      <c r="W128">
        <v>1013964695</v>
      </c>
    </row>
    <row r="129" spans="1:23" x14ac:dyDescent="0.2">
      <c r="A129">
        <f>Source!A103</f>
        <v>17</v>
      </c>
      <c r="C129">
        <v>2</v>
      </c>
      <c r="D129">
        <v>0</v>
      </c>
      <c r="E129">
        <f>SmtRes!AV113</f>
        <v>0</v>
      </c>
      <c r="F129" t="str">
        <f>SmtRes!I113</f>
        <v>91.13.01-051</v>
      </c>
      <c r="G129" t="str">
        <f>SmtRes!K113</f>
        <v>Трактор с щетками дорожными навесными</v>
      </c>
      <c r="H129" t="str">
        <f>SmtRes!O113</f>
        <v>маш.-ч</v>
      </c>
      <c r="I129">
        <f>SmtRes!Y113*Source!I103</f>
        <v>1.3832774999999999</v>
      </c>
      <c r="J129">
        <f>SmtRes!AO113</f>
        <v>1</v>
      </c>
      <c r="K129">
        <f>SmtRes!AF113</f>
        <v>62.3</v>
      </c>
      <c r="L129">
        <f>SmtRes!DB113</f>
        <v>141.85249999999999</v>
      </c>
      <c r="M129">
        <f>ROUND(ROUND(L129*Source!I103, 6)*1, 2)</f>
        <v>86.18</v>
      </c>
      <c r="N129">
        <f>SmtRes!AB113</f>
        <v>62.3</v>
      </c>
      <c r="O129">
        <f>ROUND(ROUND(L129*Source!I103, 6)*SmtRes!DA113, 2)</f>
        <v>86.18</v>
      </c>
      <c r="P129">
        <f>SmtRes!AG113</f>
        <v>11.6</v>
      </c>
      <c r="Q129">
        <f>SmtRes!DC113</f>
        <v>26.415500000000002</v>
      </c>
      <c r="R129">
        <f>ROUND(ROUND(Q129*Source!I103, 6)*1, 2)</f>
        <v>16.05</v>
      </c>
      <c r="S129">
        <f>SmtRes!AC113</f>
        <v>11.6</v>
      </c>
      <c r="T129">
        <f>ROUND(ROUND(Q129*Source!I103, 6)*SmtRes!AK113, 2)</f>
        <v>16.05</v>
      </c>
      <c r="U129">
        <f>SmtRes!X113</f>
        <v>-949431549</v>
      </c>
      <c r="V129">
        <v>-1634317186</v>
      </c>
      <c r="W129">
        <v>725059291</v>
      </c>
    </row>
    <row r="130" spans="1:23" x14ac:dyDescent="0.2">
      <c r="A130">
        <f>Source!A103</f>
        <v>17</v>
      </c>
      <c r="C130">
        <v>2</v>
      </c>
      <c r="D130">
        <v>0</v>
      </c>
      <c r="E130">
        <f>SmtRes!AV112</f>
        <v>0</v>
      </c>
      <c r="F130" t="str">
        <f>SmtRes!I112</f>
        <v>91.01.02-004</v>
      </c>
      <c r="G130" t="str">
        <f>SmtRes!K112</f>
        <v>Автогрейдеры среднего типа, мощность 99 кВт (135 л.с.)</v>
      </c>
      <c r="H130" t="str">
        <f>SmtRes!O112</f>
        <v>маш.-ч</v>
      </c>
      <c r="I130">
        <f>SmtRes!Y112*Source!I103</f>
        <v>1.8653287499999998</v>
      </c>
      <c r="J130">
        <f>SmtRes!AO112</f>
        <v>1</v>
      </c>
      <c r="K130">
        <f>SmtRes!AF112</f>
        <v>123</v>
      </c>
      <c r="L130">
        <f>SmtRes!DB112</f>
        <v>377.67149999999998</v>
      </c>
      <c r="M130">
        <f>ROUND(ROUND(L130*Source!I103, 6)*1, 2)</f>
        <v>229.44</v>
      </c>
      <c r="N130">
        <f>SmtRes!AB112</f>
        <v>123</v>
      </c>
      <c r="O130">
        <f>ROUND(ROUND(L130*Source!I103, 6)*SmtRes!DA112, 2)</f>
        <v>229.44</v>
      </c>
      <c r="P130">
        <f>SmtRes!AG112</f>
        <v>13.5</v>
      </c>
      <c r="Q130">
        <f>SmtRes!DC112</f>
        <v>41.457500000000003</v>
      </c>
      <c r="R130">
        <f>ROUND(ROUND(Q130*Source!I103, 6)*1, 2)</f>
        <v>25.19</v>
      </c>
      <c r="S130">
        <f>SmtRes!AC112</f>
        <v>13.5</v>
      </c>
      <c r="T130">
        <f>ROUND(ROUND(Q130*Source!I103, 6)*SmtRes!AK112, 2)</f>
        <v>25.19</v>
      </c>
      <c r="U130">
        <f>SmtRes!X112</f>
        <v>645023554</v>
      </c>
      <c r="V130">
        <v>768142974</v>
      </c>
      <c r="W130">
        <v>1262858537</v>
      </c>
    </row>
    <row r="131" spans="1:23" x14ac:dyDescent="0.2">
      <c r="A131">
        <f>Source!A103</f>
        <v>17</v>
      </c>
      <c r="C131">
        <v>1</v>
      </c>
      <c r="D131">
        <v>0</v>
      </c>
      <c r="E131">
        <f>SmtRes!AV111</f>
        <v>2</v>
      </c>
      <c r="F131" t="str">
        <f>SmtRes!I111</f>
        <v>4-100-00</v>
      </c>
      <c r="G131" t="str">
        <f>SmtRes!K111</f>
        <v>Затраты труда машинистов</v>
      </c>
      <c r="H131" t="str">
        <f>SmtRes!O111</f>
        <v>чел.-ч.</v>
      </c>
      <c r="I131">
        <f>SmtRes!Y111*Source!I103</f>
        <v>2.8248750000000005</v>
      </c>
      <c r="J131">
        <f>SmtRes!AO111</f>
        <v>1</v>
      </c>
      <c r="K131">
        <f>SmtRes!AH111</f>
        <v>0</v>
      </c>
      <c r="L131">
        <f>SmtRes!DB111</f>
        <v>0</v>
      </c>
      <c r="M131">
        <f>ROUND(ROUND(L131*Source!I103, 6)*1, 2)</f>
        <v>0</v>
      </c>
      <c r="N131">
        <f>SmtRes!AD111</f>
        <v>0</v>
      </c>
      <c r="O131">
        <f>ROUND(ROUND(L131*Source!I103, 6)*SmtRes!DA111, 2)</f>
        <v>0</v>
      </c>
      <c r="P131">
        <f>SmtRes!AG111</f>
        <v>0</v>
      </c>
      <c r="Q131">
        <f>SmtRes!DC111</f>
        <v>0</v>
      </c>
      <c r="R131">
        <f>ROUND(ROUND(Q131*Source!I103, 6)*1, 2)</f>
        <v>0</v>
      </c>
      <c r="S131">
        <f>SmtRes!AC111</f>
        <v>0</v>
      </c>
      <c r="T131">
        <f>ROUND(ROUND(Q131*Source!I103, 6)*SmtRes!AK111, 2)</f>
        <v>0</v>
      </c>
      <c r="U131">
        <f>SmtRes!X111</f>
        <v>-1417349443</v>
      </c>
      <c r="V131">
        <v>-189065469</v>
      </c>
      <c r="W131">
        <v>1122477533</v>
      </c>
    </row>
    <row r="132" spans="1:23" x14ac:dyDescent="0.2">
      <c r="A132">
        <f>Source!A103</f>
        <v>17</v>
      </c>
      <c r="C132">
        <v>1</v>
      </c>
      <c r="D132">
        <v>0</v>
      </c>
      <c r="E132">
        <f>SmtRes!AV110</f>
        <v>1</v>
      </c>
      <c r="F132" t="str">
        <f>SmtRes!I110</f>
        <v>1-100-21</v>
      </c>
      <c r="G132" t="str">
        <f>SmtRes!K110</f>
        <v>Рабочий среднего разряда 2.1</v>
      </c>
      <c r="H132" t="str">
        <f>SmtRes!O110</f>
        <v>чел.-ч.</v>
      </c>
      <c r="I132">
        <f>SmtRes!Y110*Source!I103</f>
        <v>12.833741250000001</v>
      </c>
      <c r="J132">
        <f>SmtRes!AO110</f>
        <v>1</v>
      </c>
      <c r="K132">
        <f>SmtRes!AH110</f>
        <v>7.87</v>
      </c>
      <c r="L132">
        <f>SmtRes!DB110</f>
        <v>166.25550000000001</v>
      </c>
      <c r="M132">
        <f>ROUND(ROUND(L132*Source!I103, 6)*1, 2)</f>
        <v>101</v>
      </c>
      <c r="N132">
        <f>SmtRes!AD110</f>
        <v>7.87</v>
      </c>
      <c r="O132">
        <f>ROUND(ROUND(L132*Source!I103, 6)*SmtRes!DA110, 2)</f>
        <v>101</v>
      </c>
      <c r="P132">
        <f>SmtRes!AG110</f>
        <v>0</v>
      </c>
      <c r="Q132">
        <f>SmtRes!DC110</f>
        <v>0</v>
      </c>
      <c r="R132">
        <f>ROUND(ROUND(Q132*Source!I103, 6)*1, 2)</f>
        <v>0</v>
      </c>
      <c r="S132">
        <f>SmtRes!AC110</f>
        <v>0</v>
      </c>
      <c r="T132">
        <f>ROUND(ROUND(Q132*Source!I103, 6)*SmtRes!AK110, 2)</f>
        <v>0</v>
      </c>
      <c r="U132">
        <f>SmtRes!X110</f>
        <v>152375061</v>
      </c>
      <c r="V132">
        <v>-630123793</v>
      </c>
      <c r="W132">
        <v>-1514152417</v>
      </c>
    </row>
    <row r="133" spans="1:23" x14ac:dyDescent="0.2">
      <c r="A133">
        <f>Source!A106</f>
        <v>17</v>
      </c>
      <c r="C133">
        <v>3</v>
      </c>
      <c r="D133">
        <v>0</v>
      </c>
      <c r="E133">
        <f>SmtRes!AV120</f>
        <v>0</v>
      </c>
      <c r="F133" t="str">
        <f>SmtRes!I120</f>
        <v>01.7.03.01-0001</v>
      </c>
      <c r="G133" t="str">
        <f>SmtRes!K120</f>
        <v>Вода</v>
      </c>
      <c r="H133" t="str">
        <f>SmtRes!O120</f>
        <v>м3</v>
      </c>
      <c r="I133">
        <f>SmtRes!Y120*Source!I106</f>
        <v>1.2149999999999999</v>
      </c>
      <c r="J133">
        <f>SmtRes!AO120</f>
        <v>1</v>
      </c>
      <c r="K133">
        <f>SmtRes!AE120</f>
        <v>2.44</v>
      </c>
      <c r="L133">
        <f>SmtRes!DB120</f>
        <v>12.2</v>
      </c>
      <c r="M133">
        <f>ROUND(ROUND(L133*Source!I106, 6)*1, 2)</f>
        <v>2.96</v>
      </c>
      <c r="N133">
        <f>SmtRes!AA120</f>
        <v>2.44</v>
      </c>
      <c r="O133">
        <f>ROUND(ROUND(L133*Source!I106, 6)*SmtRes!DA120, 2)</f>
        <v>2.96</v>
      </c>
      <c r="P133">
        <f>SmtRes!AG120</f>
        <v>0</v>
      </c>
      <c r="Q133">
        <f>SmtRes!DC120</f>
        <v>0</v>
      </c>
      <c r="R133">
        <f>ROUND(ROUND(Q133*Source!I106, 6)*1, 2)</f>
        <v>0</v>
      </c>
      <c r="S133">
        <f>SmtRes!AC120</f>
        <v>0</v>
      </c>
      <c r="T133">
        <f>ROUND(ROUND(Q133*Source!I106, 6)*SmtRes!AK120, 2)</f>
        <v>0</v>
      </c>
      <c r="U133">
        <f>SmtRes!X120</f>
        <v>-1660354250</v>
      </c>
      <c r="V133">
        <v>1600079109</v>
      </c>
      <c r="W133">
        <v>-1353927395</v>
      </c>
    </row>
    <row r="134" spans="1:23" x14ac:dyDescent="0.2">
      <c r="A134">
        <f>Source!A106</f>
        <v>17</v>
      </c>
      <c r="C134">
        <v>2</v>
      </c>
      <c r="D134">
        <v>0</v>
      </c>
      <c r="E134">
        <f>SmtRes!AV119</f>
        <v>0</v>
      </c>
      <c r="F134" t="str">
        <f>SmtRes!I119</f>
        <v>91.13.01-038</v>
      </c>
      <c r="G134" t="str">
        <f>SmtRes!K119</f>
        <v>Машины поливомоечные 6000 л</v>
      </c>
      <c r="H134" t="str">
        <f>SmtRes!O119</f>
        <v>маш.-ч</v>
      </c>
      <c r="I134">
        <f>SmtRes!Y119*Source!I106</f>
        <v>0.25849125000000001</v>
      </c>
      <c r="J134">
        <f>SmtRes!AO119</f>
        <v>1</v>
      </c>
      <c r="K134">
        <f>SmtRes!AF119</f>
        <v>110</v>
      </c>
      <c r="L134">
        <f>SmtRes!DB119</f>
        <v>117.0125</v>
      </c>
      <c r="M134">
        <f>ROUND(ROUND(L134*Source!I106, 6)*1, 2)</f>
        <v>28.43</v>
      </c>
      <c r="N134">
        <f>SmtRes!AB119</f>
        <v>110</v>
      </c>
      <c r="O134">
        <f>ROUND(ROUND(L134*Source!I106, 6)*SmtRes!DA119, 2)</f>
        <v>28.43</v>
      </c>
      <c r="P134">
        <f>SmtRes!AG119</f>
        <v>11.6</v>
      </c>
      <c r="Q134">
        <f>SmtRes!DC119</f>
        <v>12.33375</v>
      </c>
      <c r="R134">
        <f>ROUND(ROUND(Q134*Source!I106, 6)*1, 2)</f>
        <v>3</v>
      </c>
      <c r="S134">
        <f>SmtRes!AC119</f>
        <v>11.6</v>
      </c>
      <c r="T134">
        <f>ROUND(ROUND(Q134*Source!I106, 6)*SmtRes!AK119, 2)</f>
        <v>3</v>
      </c>
      <c r="U134">
        <f>SmtRes!X119</f>
        <v>529073949</v>
      </c>
      <c r="V134">
        <v>1523196189</v>
      </c>
      <c r="W134">
        <v>-349103294</v>
      </c>
    </row>
    <row r="135" spans="1:23" x14ac:dyDescent="0.2">
      <c r="A135">
        <f>Source!A106</f>
        <v>17</v>
      </c>
      <c r="C135">
        <v>2</v>
      </c>
      <c r="D135">
        <v>0</v>
      </c>
      <c r="E135">
        <f>SmtRes!AV118</f>
        <v>0</v>
      </c>
      <c r="F135" t="str">
        <f>SmtRes!I118</f>
        <v>91.08.03-030</v>
      </c>
      <c r="G135" t="str">
        <f>SmtRes!K118</f>
        <v>Катки на пневмоколесном ходу, масса 30 т</v>
      </c>
      <c r="H135" t="str">
        <f>SmtRes!O118</f>
        <v>маш.-ч</v>
      </c>
      <c r="I135">
        <f>SmtRes!Y118*Source!I106</f>
        <v>2.4731324999999997</v>
      </c>
      <c r="J135">
        <f>SmtRes!AO118</f>
        <v>1</v>
      </c>
      <c r="K135">
        <f>SmtRes!AF118</f>
        <v>206.01</v>
      </c>
      <c r="L135">
        <f>SmtRes!DB118</f>
        <v>2096.6656250000001</v>
      </c>
      <c r="M135">
        <f>ROUND(ROUND(L135*Source!I106, 6)*1, 2)</f>
        <v>509.49</v>
      </c>
      <c r="N135">
        <f>SmtRes!AB118</f>
        <v>206.01</v>
      </c>
      <c r="O135">
        <f>ROUND(ROUND(L135*Source!I106, 6)*SmtRes!DA118, 2)</f>
        <v>509.49</v>
      </c>
      <c r="P135">
        <f>SmtRes!AG118</f>
        <v>14.4</v>
      </c>
      <c r="Q135">
        <f>SmtRes!DC118</f>
        <v>146.55312499999999</v>
      </c>
      <c r="R135">
        <f>ROUND(ROUND(Q135*Source!I106, 6)*1, 2)</f>
        <v>35.61</v>
      </c>
      <c r="S135">
        <f>SmtRes!AC118</f>
        <v>14.4</v>
      </c>
      <c r="T135">
        <f>ROUND(ROUND(Q135*Source!I106, 6)*SmtRes!AK118, 2)</f>
        <v>35.61</v>
      </c>
      <c r="U135">
        <f>SmtRes!X118</f>
        <v>1663826256</v>
      </c>
      <c r="V135">
        <v>1045291655</v>
      </c>
      <c r="W135">
        <v>-500549999</v>
      </c>
    </row>
    <row r="136" spans="1:23" x14ac:dyDescent="0.2">
      <c r="A136">
        <f>Source!A106</f>
        <v>17</v>
      </c>
      <c r="C136">
        <v>2</v>
      </c>
      <c r="D136">
        <v>0</v>
      </c>
      <c r="E136">
        <f>SmtRes!AV117</f>
        <v>0</v>
      </c>
      <c r="F136" t="str">
        <f>SmtRes!I117</f>
        <v>91.06.05-011</v>
      </c>
      <c r="G136" t="str">
        <f>SmtRes!K117</f>
        <v>Погрузчик, грузоподъемность 5 т</v>
      </c>
      <c r="H136" t="str">
        <f>SmtRes!O117</f>
        <v>маш.-ч</v>
      </c>
      <c r="I136">
        <f>SmtRes!Y117*Source!I106</f>
        <v>1.4985506249999998</v>
      </c>
      <c r="J136">
        <f>SmtRes!AO117</f>
        <v>1</v>
      </c>
      <c r="K136">
        <f>SmtRes!AF117</f>
        <v>89.99</v>
      </c>
      <c r="L136">
        <f>SmtRes!DB117</f>
        <v>554.96124999999995</v>
      </c>
      <c r="M136">
        <f>ROUND(ROUND(L136*Source!I106, 6)*1, 2)</f>
        <v>134.86000000000001</v>
      </c>
      <c r="N136">
        <f>SmtRes!AB117</f>
        <v>89.99</v>
      </c>
      <c r="O136">
        <f>ROUND(ROUND(L136*Source!I106, 6)*SmtRes!DA117, 2)</f>
        <v>134.86000000000001</v>
      </c>
      <c r="P136">
        <f>SmtRes!AG117</f>
        <v>10.06</v>
      </c>
      <c r="Q136">
        <f>SmtRes!DC117</f>
        <v>62.042499999999997</v>
      </c>
      <c r="R136">
        <f>ROUND(ROUND(Q136*Source!I106, 6)*1, 2)</f>
        <v>15.08</v>
      </c>
      <c r="S136">
        <f>SmtRes!AC117</f>
        <v>10.06</v>
      </c>
      <c r="T136">
        <f>ROUND(ROUND(Q136*Source!I106, 6)*SmtRes!AK117, 2)</f>
        <v>15.08</v>
      </c>
      <c r="U136">
        <f>SmtRes!X117</f>
        <v>1225731627</v>
      </c>
      <c r="V136">
        <v>1013383888</v>
      </c>
      <c r="W136">
        <v>1423950272</v>
      </c>
    </row>
    <row r="137" spans="1:23" x14ac:dyDescent="0.2">
      <c r="A137">
        <f>Source!A106</f>
        <v>17</v>
      </c>
      <c r="C137">
        <v>2</v>
      </c>
      <c r="D137">
        <v>0</v>
      </c>
      <c r="E137">
        <f>SmtRes!AV116</f>
        <v>0</v>
      </c>
      <c r="F137" t="str">
        <f>SmtRes!I116</f>
        <v>91.01.02-004</v>
      </c>
      <c r="G137" t="str">
        <f>SmtRes!K116</f>
        <v>Автогрейдеры среднего типа, мощность 99 кВт (135 л.с.)</v>
      </c>
      <c r="H137" t="str">
        <f>SmtRes!O116</f>
        <v>маш.-ч</v>
      </c>
      <c r="I137">
        <f>SmtRes!Y116*Source!I106</f>
        <v>0.61828312499999993</v>
      </c>
      <c r="J137">
        <f>SmtRes!AO116</f>
        <v>1</v>
      </c>
      <c r="K137">
        <f>SmtRes!AF116</f>
        <v>123</v>
      </c>
      <c r="L137">
        <f>SmtRes!DB116</f>
        <v>312.958125</v>
      </c>
      <c r="M137">
        <f>ROUND(ROUND(L137*Source!I106, 6)*1, 2)</f>
        <v>76.05</v>
      </c>
      <c r="N137">
        <f>SmtRes!AB116</f>
        <v>123</v>
      </c>
      <c r="O137">
        <f>ROUND(ROUND(L137*Source!I106, 6)*SmtRes!DA116, 2)</f>
        <v>76.05</v>
      </c>
      <c r="P137">
        <f>SmtRes!AG116</f>
        <v>13.5</v>
      </c>
      <c r="Q137">
        <f>SmtRes!DC116</f>
        <v>34.356250000000003</v>
      </c>
      <c r="R137">
        <f>ROUND(ROUND(Q137*Source!I106, 6)*1, 2)</f>
        <v>8.35</v>
      </c>
      <c r="S137">
        <f>SmtRes!AC116</f>
        <v>13.5</v>
      </c>
      <c r="T137">
        <f>ROUND(ROUND(Q137*Source!I106, 6)*SmtRes!AK116, 2)</f>
        <v>8.35</v>
      </c>
      <c r="U137">
        <f>SmtRes!X116</f>
        <v>645023554</v>
      </c>
      <c r="V137">
        <v>768142974</v>
      </c>
      <c r="W137">
        <v>1262858537</v>
      </c>
    </row>
    <row r="138" spans="1:23" x14ac:dyDescent="0.2">
      <c r="A138">
        <f>Source!A106</f>
        <v>17</v>
      </c>
      <c r="C138">
        <v>1</v>
      </c>
      <c r="D138">
        <v>0</v>
      </c>
      <c r="E138">
        <f>SmtRes!AV115</f>
        <v>2</v>
      </c>
      <c r="F138" t="str">
        <f>SmtRes!I115</f>
        <v>4-100-00</v>
      </c>
      <c r="G138" t="str">
        <f>SmtRes!K115</f>
        <v>Затраты труда машинистов</v>
      </c>
      <c r="H138" t="str">
        <f>SmtRes!O115</f>
        <v>чел.-ч.</v>
      </c>
      <c r="I138">
        <f>SmtRes!Y115*Source!I106</f>
        <v>3.3728400000000001</v>
      </c>
      <c r="J138">
        <f>SmtRes!AO115</f>
        <v>1</v>
      </c>
      <c r="K138">
        <f>SmtRes!AH115</f>
        <v>0</v>
      </c>
      <c r="L138">
        <f>SmtRes!DB115</f>
        <v>0</v>
      </c>
      <c r="M138">
        <f>ROUND(ROUND(L138*Source!I106, 6)*1, 2)</f>
        <v>0</v>
      </c>
      <c r="N138">
        <f>SmtRes!AD115</f>
        <v>0</v>
      </c>
      <c r="O138">
        <f>ROUND(ROUND(L138*Source!I106, 6)*SmtRes!DA115, 2)</f>
        <v>0</v>
      </c>
      <c r="P138">
        <f>SmtRes!AG115</f>
        <v>0</v>
      </c>
      <c r="Q138">
        <f>SmtRes!DC115</f>
        <v>0</v>
      </c>
      <c r="R138">
        <f>ROUND(ROUND(Q138*Source!I106, 6)*1, 2)</f>
        <v>0</v>
      </c>
      <c r="S138">
        <f>SmtRes!AC115</f>
        <v>0</v>
      </c>
      <c r="T138">
        <f>ROUND(ROUND(Q138*Source!I106, 6)*SmtRes!AK115, 2)</f>
        <v>0</v>
      </c>
      <c r="U138">
        <f>SmtRes!X115</f>
        <v>-1417349443</v>
      </c>
      <c r="V138">
        <v>-189065469</v>
      </c>
      <c r="W138">
        <v>1122477533</v>
      </c>
    </row>
    <row r="139" spans="1:23" x14ac:dyDescent="0.2">
      <c r="A139">
        <f>Source!A106</f>
        <v>17</v>
      </c>
      <c r="C139">
        <v>1</v>
      </c>
      <c r="D139">
        <v>0</v>
      </c>
      <c r="E139">
        <f>SmtRes!AV114</f>
        <v>1</v>
      </c>
      <c r="F139" t="str">
        <f>SmtRes!I114</f>
        <v>1-100-23</v>
      </c>
      <c r="G139" t="str">
        <f>SmtRes!K114</f>
        <v>Рабочий среднего разряда 2.3</v>
      </c>
      <c r="H139" t="str">
        <f>SmtRes!O114</f>
        <v>чел.-ч.</v>
      </c>
      <c r="I139">
        <f>SmtRes!Y114*Source!I106</f>
        <v>5.0518970999999988</v>
      </c>
      <c r="J139">
        <f>SmtRes!AO114</f>
        <v>1</v>
      </c>
      <c r="K139">
        <f>SmtRes!AH114</f>
        <v>8.02</v>
      </c>
      <c r="L139">
        <f>SmtRes!DB114</f>
        <v>166.727575</v>
      </c>
      <c r="M139">
        <f>ROUND(ROUND(L139*Source!I106, 6)*1, 2)</f>
        <v>40.51</v>
      </c>
      <c r="N139">
        <f>SmtRes!AD114</f>
        <v>8.02</v>
      </c>
      <c r="O139">
        <f>ROUND(ROUND(L139*Source!I106, 6)*SmtRes!DA114, 2)</f>
        <v>40.51</v>
      </c>
      <c r="P139">
        <f>SmtRes!AG114</f>
        <v>0</v>
      </c>
      <c r="Q139">
        <f>SmtRes!DC114</f>
        <v>0</v>
      </c>
      <c r="R139">
        <f>ROUND(ROUND(Q139*Source!I106, 6)*1, 2)</f>
        <v>0</v>
      </c>
      <c r="S139">
        <f>SmtRes!AC114</f>
        <v>0</v>
      </c>
      <c r="T139">
        <f>ROUND(ROUND(Q139*Source!I106, 6)*SmtRes!AK114, 2)</f>
        <v>0</v>
      </c>
      <c r="U139">
        <f>SmtRes!X114</f>
        <v>-228054128</v>
      </c>
      <c r="V139">
        <v>-1057066998</v>
      </c>
      <c r="W139">
        <v>-1107782587</v>
      </c>
    </row>
    <row r="140" spans="1:23" x14ac:dyDescent="0.2">
      <c r="A140">
        <f>Source!A107</f>
        <v>18</v>
      </c>
      <c r="C140">
        <v>3</v>
      </c>
      <c r="D140">
        <f>Source!BI107</f>
        <v>1</v>
      </c>
      <c r="E140">
        <f>Source!FS107</f>
        <v>0</v>
      </c>
      <c r="F140" t="str">
        <f>Source!F107</f>
        <v>02.3.01.02-0015</v>
      </c>
      <c r="G140" t="str">
        <f>Source!G107</f>
        <v>Песок природный для строительных работ средний</v>
      </c>
      <c r="H140" t="str">
        <f>Source!H107</f>
        <v>м3</v>
      </c>
      <c r="I140">
        <f>Source!I107</f>
        <v>24.786000000000001</v>
      </c>
      <c r="J140">
        <v>1</v>
      </c>
      <c r="K140">
        <f>Source!AC107</f>
        <v>55.26</v>
      </c>
      <c r="M140">
        <f>ROUND(K140*I140, 2)</f>
        <v>1369.67</v>
      </c>
      <c r="N140">
        <f>Source!AC107*IF(Source!BC107&lt;&gt; 0, Source!BC107, 1)</f>
        <v>55.26</v>
      </c>
      <c r="O140">
        <f>ROUND(N140*I140, 2)</f>
        <v>1369.67</v>
      </c>
      <c r="P140">
        <f>Source!AE107</f>
        <v>0</v>
      </c>
      <c r="R140">
        <f>ROUND(P140*I140, 2)</f>
        <v>0</v>
      </c>
      <c r="S140">
        <f>Source!AE107*IF(Source!BS107&lt;&gt; 0, Source!BS107, 1)</f>
        <v>0</v>
      </c>
      <c r="T140">
        <f>ROUND(S140*I140, 2)</f>
        <v>0</v>
      </c>
      <c r="U140">
        <f>Source!GF107</f>
        <v>-35545874</v>
      </c>
      <c r="V140">
        <v>1327291456</v>
      </c>
      <c r="W140">
        <v>1416435395</v>
      </c>
    </row>
    <row r="141" spans="1:23" x14ac:dyDescent="0.2">
      <c r="A141">
        <f>Source!A108</f>
        <v>17</v>
      </c>
      <c r="C141">
        <v>3</v>
      </c>
      <c r="D141">
        <v>0</v>
      </c>
      <c r="E141">
        <f>SmtRes!AV127</f>
        <v>0</v>
      </c>
      <c r="F141" t="str">
        <f>SmtRes!I127</f>
        <v>01.7.03.01-0001</v>
      </c>
      <c r="G141" t="str">
        <f>SmtRes!K127</f>
        <v>Вода</v>
      </c>
      <c r="H141" t="str">
        <f>SmtRes!O127</f>
        <v>м3</v>
      </c>
      <c r="I141">
        <f>SmtRes!Y127*Source!I108</f>
        <v>4.8600000000000003</v>
      </c>
      <c r="J141">
        <f>SmtRes!AO127</f>
        <v>1</v>
      </c>
      <c r="K141">
        <f>SmtRes!AE127</f>
        <v>2.44</v>
      </c>
      <c r="L141">
        <f>SmtRes!DB127</f>
        <v>4.88</v>
      </c>
      <c r="M141">
        <f>ROUND(ROUND(L141*Source!I108, 6)*1, 2)</f>
        <v>11.86</v>
      </c>
      <c r="N141">
        <f>SmtRes!AA127</f>
        <v>2.44</v>
      </c>
      <c r="O141">
        <f>ROUND(ROUND(L141*Source!I108, 6)*SmtRes!DA127, 2)</f>
        <v>11.86</v>
      </c>
      <c r="P141">
        <f>SmtRes!AG127</f>
        <v>0</v>
      </c>
      <c r="Q141">
        <f>SmtRes!DC127</f>
        <v>0</v>
      </c>
      <c r="R141">
        <f>ROUND(ROUND(Q141*Source!I108, 6)*1, 2)</f>
        <v>0</v>
      </c>
      <c r="S141">
        <f>SmtRes!AC127</f>
        <v>0</v>
      </c>
      <c r="T141">
        <f>ROUND(ROUND(Q141*Source!I108, 6)*SmtRes!AK127, 2)</f>
        <v>0</v>
      </c>
      <c r="U141">
        <f>SmtRes!X127</f>
        <v>-1660354250</v>
      </c>
      <c r="V141">
        <v>1600079109</v>
      </c>
      <c r="W141">
        <v>-1353927395</v>
      </c>
    </row>
    <row r="142" spans="1:23" x14ac:dyDescent="0.2">
      <c r="A142">
        <f>Source!A108</f>
        <v>17</v>
      </c>
      <c r="C142">
        <v>2</v>
      </c>
      <c r="D142">
        <v>0</v>
      </c>
      <c r="E142">
        <f>SmtRes!AV126</f>
        <v>0</v>
      </c>
      <c r="F142" t="str">
        <f>SmtRes!I126</f>
        <v>91.13.01-038</v>
      </c>
      <c r="G142" t="str">
        <f>SmtRes!K126</f>
        <v>Машины поливомоечные 6000 л</v>
      </c>
      <c r="H142" t="str">
        <f>SmtRes!O126</f>
        <v>маш.-ч</v>
      </c>
      <c r="I142">
        <f>SmtRes!Y126*Source!I108</f>
        <v>1.8862875000000001</v>
      </c>
      <c r="J142">
        <f>SmtRes!AO126</f>
        <v>1</v>
      </c>
      <c r="K142">
        <f>SmtRes!AF126</f>
        <v>110</v>
      </c>
      <c r="L142">
        <f>SmtRes!DB126</f>
        <v>85.387500000000003</v>
      </c>
      <c r="M142">
        <f>ROUND(ROUND(L142*Source!I108, 6)*1, 2)</f>
        <v>207.49</v>
      </c>
      <c r="N142">
        <f>SmtRes!AB126</f>
        <v>110</v>
      </c>
      <c r="O142">
        <f>ROUND(ROUND(L142*Source!I108, 6)*SmtRes!DA126, 2)</f>
        <v>207.49</v>
      </c>
      <c r="P142">
        <f>SmtRes!AG126</f>
        <v>11.6</v>
      </c>
      <c r="Q142">
        <f>SmtRes!DC126</f>
        <v>8.9987499999999994</v>
      </c>
      <c r="R142">
        <f>ROUND(ROUND(Q142*Source!I108, 6)*1, 2)</f>
        <v>21.87</v>
      </c>
      <c r="S142">
        <f>SmtRes!AC126</f>
        <v>11.6</v>
      </c>
      <c r="T142">
        <f>ROUND(ROUND(Q142*Source!I108, 6)*SmtRes!AK126, 2)</f>
        <v>21.87</v>
      </c>
      <c r="U142">
        <f>SmtRes!X126</f>
        <v>529073949</v>
      </c>
      <c r="V142">
        <v>1523196189</v>
      </c>
      <c r="W142">
        <v>-349103294</v>
      </c>
    </row>
    <row r="143" spans="1:23" x14ac:dyDescent="0.2">
      <c r="A143">
        <f>Source!A108</f>
        <v>17</v>
      </c>
      <c r="C143">
        <v>2</v>
      </c>
      <c r="D143">
        <v>0</v>
      </c>
      <c r="E143">
        <f>SmtRes!AV125</f>
        <v>0</v>
      </c>
      <c r="F143" t="str">
        <f>SmtRes!I125</f>
        <v>91.08.03-016</v>
      </c>
      <c r="G143" t="str">
        <f>SmtRes!K125</f>
        <v>Катки дорожные самоходные гладкие, масса 8 т</v>
      </c>
      <c r="H143" t="str">
        <f>SmtRes!O125</f>
        <v>маш.-ч</v>
      </c>
      <c r="I143">
        <f>SmtRes!Y125*Source!I108</f>
        <v>5.1698250000000003</v>
      </c>
      <c r="J143">
        <f>SmtRes!AO125</f>
        <v>1</v>
      </c>
      <c r="K143">
        <f>SmtRes!AF125</f>
        <v>75</v>
      </c>
      <c r="L143">
        <f>SmtRes!DB125</f>
        <v>159.5625</v>
      </c>
      <c r="M143">
        <f>ROUND(ROUND(L143*Source!I108, 6)*1, 2)</f>
        <v>387.74</v>
      </c>
      <c r="N143">
        <f>SmtRes!AB125</f>
        <v>75</v>
      </c>
      <c r="O143">
        <f>ROUND(ROUND(L143*Source!I108, 6)*SmtRes!DA125, 2)</f>
        <v>387.74</v>
      </c>
      <c r="P143">
        <f>SmtRes!AG125</f>
        <v>11.6</v>
      </c>
      <c r="Q143">
        <f>SmtRes!DC125</f>
        <v>24.681875000000002</v>
      </c>
      <c r="R143">
        <f>ROUND(ROUND(Q143*Source!I108, 6)*1, 2)</f>
        <v>59.98</v>
      </c>
      <c r="S143">
        <f>SmtRes!AC125</f>
        <v>11.6</v>
      </c>
      <c r="T143">
        <f>ROUND(ROUND(Q143*Source!I108, 6)*SmtRes!AK125, 2)</f>
        <v>59.98</v>
      </c>
      <c r="U143">
        <f>SmtRes!X125</f>
        <v>-891970060</v>
      </c>
      <c r="V143">
        <v>-358451234</v>
      </c>
      <c r="W143">
        <v>1930194365</v>
      </c>
    </row>
    <row r="144" spans="1:23" x14ac:dyDescent="0.2">
      <c r="A144">
        <f>Source!A108</f>
        <v>17</v>
      </c>
      <c r="C144">
        <v>2</v>
      </c>
      <c r="D144">
        <v>0</v>
      </c>
      <c r="E144">
        <f>SmtRes!AV124</f>
        <v>0</v>
      </c>
      <c r="F144" t="str">
        <f>SmtRes!I124</f>
        <v>91.06.05-011</v>
      </c>
      <c r="G144" t="str">
        <f>SmtRes!K124</f>
        <v>Погрузчик, грузоподъемность 5 т</v>
      </c>
      <c r="H144" t="str">
        <f>SmtRes!O124</f>
        <v>маш.-ч</v>
      </c>
      <c r="I144">
        <f>SmtRes!Y124*Source!I108</f>
        <v>4.0170937499999999</v>
      </c>
      <c r="J144">
        <f>SmtRes!AO124</f>
        <v>1</v>
      </c>
      <c r="K144">
        <f>SmtRes!AF124</f>
        <v>89.99</v>
      </c>
      <c r="L144">
        <f>SmtRes!DB124</f>
        <v>148.766875</v>
      </c>
      <c r="M144">
        <f>ROUND(ROUND(L144*Source!I108, 6)*1, 2)</f>
        <v>361.5</v>
      </c>
      <c r="N144">
        <f>SmtRes!AB124</f>
        <v>89.99</v>
      </c>
      <c r="O144">
        <f>ROUND(ROUND(L144*Source!I108, 6)*SmtRes!DA124, 2)</f>
        <v>361.5</v>
      </c>
      <c r="P144">
        <f>SmtRes!AG124</f>
        <v>10.06</v>
      </c>
      <c r="Q144">
        <f>SmtRes!DC124</f>
        <v>16.631875000000001</v>
      </c>
      <c r="R144">
        <f>ROUND(ROUND(Q144*Source!I108, 6)*1, 2)</f>
        <v>40.42</v>
      </c>
      <c r="S144">
        <f>SmtRes!AC124</f>
        <v>10.06</v>
      </c>
      <c r="T144">
        <f>ROUND(ROUND(Q144*Source!I108, 6)*SmtRes!AK124, 2)</f>
        <v>40.42</v>
      </c>
      <c r="U144">
        <f>SmtRes!X124</f>
        <v>1225731627</v>
      </c>
      <c r="V144">
        <v>1013383888</v>
      </c>
      <c r="W144">
        <v>1423950272</v>
      </c>
    </row>
    <row r="145" spans="1:23" x14ac:dyDescent="0.2">
      <c r="A145">
        <f>Source!A108</f>
        <v>17</v>
      </c>
      <c r="C145">
        <v>1</v>
      </c>
      <c r="D145">
        <v>0</v>
      </c>
      <c r="E145">
        <f>SmtRes!AV123</f>
        <v>2</v>
      </c>
      <c r="F145" t="str">
        <f>SmtRes!I123</f>
        <v>4-100-00</v>
      </c>
      <c r="G145" t="str">
        <f>SmtRes!K123</f>
        <v>Затраты труда машинистов</v>
      </c>
      <c r="H145" t="str">
        <f>SmtRes!O123</f>
        <v>чел.-ч.</v>
      </c>
      <c r="I145">
        <f>SmtRes!Y123*Source!I108</f>
        <v>7.7031000000000001</v>
      </c>
      <c r="J145">
        <f>SmtRes!AO123</f>
        <v>1</v>
      </c>
      <c r="K145">
        <f>SmtRes!AH123</f>
        <v>0</v>
      </c>
      <c r="L145">
        <f>SmtRes!DB123</f>
        <v>0</v>
      </c>
      <c r="M145">
        <f>ROUND(ROUND(L145*Source!I108, 6)*1, 2)</f>
        <v>0</v>
      </c>
      <c r="N145">
        <f>SmtRes!AD123</f>
        <v>0</v>
      </c>
      <c r="O145">
        <f>ROUND(ROUND(L145*Source!I108, 6)*SmtRes!DA123, 2)</f>
        <v>0</v>
      </c>
      <c r="P145">
        <f>SmtRes!AG123</f>
        <v>0</v>
      </c>
      <c r="Q145">
        <f>SmtRes!DC123</f>
        <v>0</v>
      </c>
      <c r="R145">
        <f>ROUND(ROUND(Q145*Source!I108, 6)*1, 2)</f>
        <v>0</v>
      </c>
      <c r="S145">
        <f>SmtRes!AC123</f>
        <v>0</v>
      </c>
      <c r="T145">
        <f>ROUND(ROUND(Q145*Source!I108, 6)*SmtRes!AK123, 2)</f>
        <v>0</v>
      </c>
      <c r="U145">
        <f>SmtRes!X123</f>
        <v>-1417349443</v>
      </c>
      <c r="V145">
        <v>-189065469</v>
      </c>
      <c r="W145">
        <v>1122477533</v>
      </c>
    </row>
    <row r="146" spans="1:23" x14ac:dyDescent="0.2">
      <c r="A146">
        <f>Source!A108</f>
        <v>17</v>
      </c>
      <c r="C146">
        <v>1</v>
      </c>
      <c r="D146">
        <v>0</v>
      </c>
      <c r="E146">
        <f>SmtRes!AV122</f>
        <v>1</v>
      </c>
      <c r="F146" t="str">
        <f>SmtRes!I122</f>
        <v>1-100-29</v>
      </c>
      <c r="G146" t="str">
        <f>SmtRes!K122</f>
        <v>Рабочий среднего разряда 2.9</v>
      </c>
      <c r="H146" t="str">
        <f>SmtRes!O122</f>
        <v>чел.-ч.</v>
      </c>
      <c r="I146">
        <f>SmtRes!Y122*Source!I108</f>
        <v>84.326831999999982</v>
      </c>
      <c r="J146">
        <f>SmtRes!AO122</f>
        <v>1</v>
      </c>
      <c r="K146">
        <f>SmtRes!AH122</f>
        <v>8.4600000000000009</v>
      </c>
      <c r="L146">
        <f>SmtRes!DB122</f>
        <v>293.58177499999999</v>
      </c>
      <c r="M146">
        <f>ROUND(ROUND(L146*Source!I108, 6)*1, 2)</f>
        <v>713.4</v>
      </c>
      <c r="N146">
        <f>SmtRes!AD122</f>
        <v>8.4600000000000009</v>
      </c>
      <c r="O146">
        <f>ROUND(ROUND(L146*Source!I108, 6)*SmtRes!DA122, 2)</f>
        <v>713.4</v>
      </c>
      <c r="P146">
        <f>SmtRes!AG122</f>
        <v>0</v>
      </c>
      <c r="Q146">
        <f>SmtRes!DC122</f>
        <v>0</v>
      </c>
      <c r="R146">
        <f>ROUND(ROUND(Q146*Source!I108, 6)*1, 2)</f>
        <v>0</v>
      </c>
      <c r="S146">
        <f>SmtRes!AC122</f>
        <v>0</v>
      </c>
      <c r="T146">
        <f>ROUND(ROUND(Q146*Source!I108, 6)*SmtRes!AK122, 2)</f>
        <v>0</v>
      </c>
      <c r="U146">
        <f>SmtRes!X122</f>
        <v>-608433632</v>
      </c>
      <c r="V146">
        <v>-1772746697</v>
      </c>
      <c r="W146">
        <v>-1128529270</v>
      </c>
    </row>
    <row r="147" spans="1:23" x14ac:dyDescent="0.2">
      <c r="A147">
        <f>Source!A109</f>
        <v>18</v>
      </c>
      <c r="C147">
        <v>3</v>
      </c>
      <c r="D147">
        <f>Source!BI109</f>
        <v>1</v>
      </c>
      <c r="E147">
        <f>Source!FS109</f>
        <v>0</v>
      </c>
      <c r="F147" t="str">
        <f>Source!F109</f>
        <v>02.2.05.04-0046</v>
      </c>
      <c r="G147" t="str">
        <f>Source!G109</f>
        <v>Щебень из гравия для строительных работ марка 600, фракция 10-20 мм</v>
      </c>
      <c r="H147" t="str">
        <f>Source!H109</f>
        <v>м3</v>
      </c>
      <c r="I147">
        <f>Source!I109</f>
        <v>42.281999999999996</v>
      </c>
      <c r="J147">
        <v>1</v>
      </c>
      <c r="K147">
        <f>Source!AC109</f>
        <v>139.63</v>
      </c>
      <c r="M147">
        <f>ROUND(K147*I147, 2)</f>
        <v>5903.84</v>
      </c>
      <c r="N147">
        <f>Source!AC109*IF(Source!BC109&lt;&gt; 0, Source!BC109, 1)</f>
        <v>139.63</v>
      </c>
      <c r="O147">
        <f>ROUND(N147*I147, 2)</f>
        <v>5903.84</v>
      </c>
      <c r="P147">
        <f>Source!AE109</f>
        <v>0</v>
      </c>
      <c r="R147">
        <f>ROUND(P147*I147, 2)</f>
        <v>0</v>
      </c>
      <c r="S147">
        <f>Source!AE109*IF(Source!BS109&lt;&gt; 0, Source!BS109, 1)</f>
        <v>0</v>
      </c>
      <c r="T147">
        <f>ROUND(S147*I147, 2)</f>
        <v>0</v>
      </c>
      <c r="U147">
        <f>Source!GF109</f>
        <v>992648480</v>
      </c>
      <c r="V147">
        <v>1177234434</v>
      </c>
      <c r="W147">
        <v>624224960</v>
      </c>
    </row>
    <row r="148" spans="1:23" x14ac:dyDescent="0.2">
      <c r="A148">
        <f>Source!A110</f>
        <v>17</v>
      </c>
      <c r="C148">
        <v>2</v>
      </c>
      <c r="D148">
        <v>0</v>
      </c>
      <c r="E148">
        <f>SmtRes!AV131</f>
        <v>0</v>
      </c>
      <c r="F148" t="str">
        <f>SmtRes!I131</f>
        <v>91.06.05-011</v>
      </c>
      <c r="G148" t="str">
        <f>SmtRes!K131</f>
        <v>Погрузчик, грузоподъемность 5 т</v>
      </c>
      <c r="H148" t="str">
        <f>SmtRes!O131</f>
        <v>маш.-ч</v>
      </c>
      <c r="I148">
        <f>SmtRes!Y131*Source!I110</f>
        <v>0.34931249999999997</v>
      </c>
      <c r="J148">
        <f>SmtRes!AO131</f>
        <v>1</v>
      </c>
      <c r="K148">
        <f>SmtRes!AF131</f>
        <v>89.99</v>
      </c>
      <c r="L148">
        <f>SmtRes!DB131</f>
        <v>12.9375</v>
      </c>
      <c r="M148">
        <f>ROUND(ROUND(L148*Source!I110, 6)*1, 2)</f>
        <v>31.44</v>
      </c>
      <c r="N148">
        <f>SmtRes!AB131</f>
        <v>89.99</v>
      </c>
      <c r="O148">
        <f>ROUND(ROUND(L148*Source!I110, 6)*SmtRes!DA131, 2)</f>
        <v>31.44</v>
      </c>
      <c r="P148">
        <f>SmtRes!AG131</f>
        <v>10.06</v>
      </c>
      <c r="Q148">
        <f>SmtRes!DC131</f>
        <v>1.451875</v>
      </c>
      <c r="R148">
        <f>ROUND(ROUND(Q148*Source!I110, 6)*1, 2)</f>
        <v>3.53</v>
      </c>
      <c r="S148">
        <f>SmtRes!AC131</f>
        <v>10.06</v>
      </c>
      <c r="T148">
        <f>ROUND(ROUND(Q148*Source!I110, 6)*SmtRes!AK131, 2)</f>
        <v>3.53</v>
      </c>
      <c r="U148">
        <f>SmtRes!X131</f>
        <v>1225731627</v>
      </c>
      <c r="V148">
        <v>1013383888</v>
      </c>
      <c r="W148">
        <v>1423950272</v>
      </c>
    </row>
    <row r="149" spans="1:23" x14ac:dyDescent="0.2">
      <c r="A149">
        <f>Source!A110</f>
        <v>17</v>
      </c>
      <c r="C149">
        <v>1</v>
      </c>
      <c r="D149">
        <v>0</v>
      </c>
      <c r="E149">
        <f>SmtRes!AV130</f>
        <v>2</v>
      </c>
      <c r="F149" t="str">
        <f>SmtRes!I130</f>
        <v>4-100-00</v>
      </c>
      <c r="G149" t="str">
        <f>SmtRes!K130</f>
        <v>Затраты труда машинистов</v>
      </c>
      <c r="H149" t="str">
        <f>SmtRes!O130</f>
        <v>чел.-ч.</v>
      </c>
      <c r="I149">
        <f>SmtRes!Y130*Source!I110</f>
        <v>0.24300000000000002</v>
      </c>
      <c r="J149">
        <f>SmtRes!AO130</f>
        <v>1</v>
      </c>
      <c r="K149">
        <f>SmtRes!AH130</f>
        <v>0</v>
      </c>
      <c r="L149">
        <f>SmtRes!DB130</f>
        <v>0</v>
      </c>
      <c r="M149">
        <f>ROUND(ROUND(L149*Source!I110, 6)*1, 2)</f>
        <v>0</v>
      </c>
      <c r="N149">
        <f>SmtRes!AD130</f>
        <v>0</v>
      </c>
      <c r="O149">
        <f>ROUND(ROUND(L149*Source!I110, 6)*SmtRes!DA130, 2)</f>
        <v>0</v>
      </c>
      <c r="P149">
        <f>SmtRes!AG130</f>
        <v>0</v>
      </c>
      <c r="Q149">
        <f>SmtRes!DC130</f>
        <v>0</v>
      </c>
      <c r="R149">
        <f>ROUND(ROUND(Q149*Source!I110, 6)*1, 2)</f>
        <v>0</v>
      </c>
      <c r="S149">
        <f>SmtRes!AC130</f>
        <v>0</v>
      </c>
      <c r="T149">
        <f>ROUND(ROUND(Q149*Source!I110, 6)*SmtRes!AK130, 2)</f>
        <v>0</v>
      </c>
      <c r="U149">
        <f>SmtRes!X130</f>
        <v>-1417349443</v>
      </c>
      <c r="V149">
        <v>-189065469</v>
      </c>
      <c r="W149">
        <v>1122477533</v>
      </c>
    </row>
    <row r="150" spans="1:23" x14ac:dyDescent="0.2">
      <c r="A150">
        <f>Source!A110</f>
        <v>17</v>
      </c>
      <c r="C150">
        <v>1</v>
      </c>
      <c r="D150">
        <v>0</v>
      </c>
      <c r="E150">
        <f>SmtRes!AV129</f>
        <v>1</v>
      </c>
      <c r="F150" t="str">
        <f>SmtRes!I129</f>
        <v>1-100-29</v>
      </c>
      <c r="G150" t="str">
        <f>SmtRes!K129</f>
        <v>Рабочий среднего разряда 2.9</v>
      </c>
      <c r="H150" t="str">
        <f>SmtRes!O129</f>
        <v>чел.-ч.</v>
      </c>
      <c r="I150">
        <f>SmtRes!Y129*Source!I110</f>
        <v>1.7353844999999999</v>
      </c>
      <c r="J150">
        <f>SmtRes!AO129</f>
        <v>1</v>
      </c>
      <c r="K150">
        <f>SmtRes!AH129</f>
        <v>8.4600000000000009</v>
      </c>
      <c r="L150">
        <f>SmtRes!DB129</f>
        <v>6.043825</v>
      </c>
      <c r="M150">
        <f>ROUND(ROUND(L150*Source!I110, 6)*1, 2)</f>
        <v>14.69</v>
      </c>
      <c r="N150">
        <f>SmtRes!AD129</f>
        <v>8.4600000000000009</v>
      </c>
      <c r="O150">
        <f>ROUND(ROUND(L150*Source!I110, 6)*SmtRes!DA129, 2)</f>
        <v>14.69</v>
      </c>
      <c r="P150">
        <f>SmtRes!AG129</f>
        <v>0</v>
      </c>
      <c r="Q150">
        <f>SmtRes!DC129</f>
        <v>0</v>
      </c>
      <c r="R150">
        <f>ROUND(ROUND(Q150*Source!I110, 6)*1, 2)</f>
        <v>0</v>
      </c>
      <c r="S150">
        <f>SmtRes!AC129</f>
        <v>0</v>
      </c>
      <c r="T150">
        <f>ROUND(ROUND(Q150*Source!I110, 6)*SmtRes!AK129, 2)</f>
        <v>0</v>
      </c>
      <c r="U150">
        <f>SmtRes!X129</f>
        <v>-608433632</v>
      </c>
      <c r="V150">
        <v>-1772746697</v>
      </c>
      <c r="W150">
        <v>-1128529270</v>
      </c>
    </row>
    <row r="151" spans="1:23" x14ac:dyDescent="0.2">
      <c r="A151">
        <f>Source!A111</f>
        <v>18</v>
      </c>
      <c r="C151">
        <v>3</v>
      </c>
      <c r="D151">
        <f>Source!BI111</f>
        <v>1</v>
      </c>
      <c r="E151">
        <f>Source!FS111</f>
        <v>0</v>
      </c>
      <c r="F151" t="str">
        <f>Source!F111</f>
        <v>02.2.05.04-0046</v>
      </c>
      <c r="G151" t="str">
        <f>Source!G111</f>
        <v>Щебень из гравия для строительных работ марка 600, фракция 10-20 мм</v>
      </c>
      <c r="H151" t="str">
        <f>Source!H111</f>
        <v>м3</v>
      </c>
      <c r="I151">
        <f>Source!I111</f>
        <v>32.805</v>
      </c>
      <c r="J151">
        <v>1</v>
      </c>
      <c r="K151">
        <f>Source!AC111</f>
        <v>139.63</v>
      </c>
      <c r="M151">
        <f>ROUND(K151*I151, 2)</f>
        <v>4580.5600000000004</v>
      </c>
      <c r="N151">
        <f>Source!AC111*IF(Source!BC111&lt;&gt; 0, Source!BC111, 1)</f>
        <v>139.63</v>
      </c>
      <c r="O151">
        <f>ROUND(N151*I151, 2)</f>
        <v>4580.5600000000004</v>
      </c>
      <c r="P151">
        <f>Source!AE111</f>
        <v>0</v>
      </c>
      <c r="R151">
        <f>ROUND(P151*I151, 2)</f>
        <v>0</v>
      </c>
      <c r="S151">
        <f>Source!AE111*IF(Source!BS111&lt;&gt; 0, Source!BS111, 1)</f>
        <v>0</v>
      </c>
      <c r="T151">
        <f>ROUND(S151*I151, 2)</f>
        <v>0</v>
      </c>
      <c r="U151">
        <f>Source!GF111</f>
        <v>992648480</v>
      </c>
      <c r="V151">
        <v>1177234434</v>
      </c>
      <c r="W151">
        <v>624224960</v>
      </c>
    </row>
    <row r="152" spans="1:23" x14ac:dyDescent="0.2">
      <c r="A152">
        <f>Source!A112</f>
        <v>17</v>
      </c>
      <c r="C152">
        <v>3</v>
      </c>
      <c r="D152">
        <v>0</v>
      </c>
      <c r="E152">
        <f>SmtRes!AV139</f>
        <v>0</v>
      </c>
      <c r="F152" t="str">
        <f>SmtRes!I139</f>
        <v>01.2.01.01-0019</v>
      </c>
      <c r="G152" t="str">
        <f>SmtRes!K139</f>
        <v>Битумы нефтяные дорожные марки БНД-60/90, БНД 90/130</v>
      </c>
      <c r="H152" t="str">
        <f>SmtRes!O139</f>
        <v>т</v>
      </c>
      <c r="I152">
        <f>SmtRes!Y139*Source!I112</f>
        <v>0.14580000000000001</v>
      </c>
      <c r="J152">
        <f>SmtRes!AO139</f>
        <v>1</v>
      </c>
      <c r="K152">
        <f>SmtRes!AE139</f>
        <v>1690</v>
      </c>
      <c r="L152">
        <f>SmtRes!DB139</f>
        <v>101.4</v>
      </c>
      <c r="M152">
        <f>ROUND(ROUND(L152*Source!I112, 6)*1, 2)</f>
        <v>246.4</v>
      </c>
      <c r="N152">
        <f>SmtRes!AA139</f>
        <v>1690</v>
      </c>
      <c r="O152">
        <f>ROUND(ROUND(L152*Source!I112, 6)*SmtRes!DA139, 2)</f>
        <v>246.4</v>
      </c>
      <c r="P152">
        <f>SmtRes!AG139</f>
        <v>0</v>
      </c>
      <c r="Q152">
        <f>SmtRes!DC139</f>
        <v>0</v>
      </c>
      <c r="R152">
        <f>ROUND(ROUND(Q152*Source!I112, 6)*1, 2)</f>
        <v>0</v>
      </c>
      <c r="S152">
        <f>SmtRes!AC139</f>
        <v>0</v>
      </c>
      <c r="T152">
        <f>ROUND(ROUND(Q152*Source!I112, 6)*SmtRes!AK139, 2)</f>
        <v>0</v>
      </c>
      <c r="U152">
        <f>SmtRes!X139</f>
        <v>-940730847</v>
      </c>
      <c r="V152">
        <v>1923269726</v>
      </c>
      <c r="W152">
        <v>-60448066</v>
      </c>
    </row>
    <row r="153" spans="1:23" x14ac:dyDescent="0.2">
      <c r="A153">
        <f>Source!A112</f>
        <v>17</v>
      </c>
      <c r="C153">
        <v>2</v>
      </c>
      <c r="D153">
        <v>0</v>
      </c>
      <c r="E153">
        <f>SmtRes!AV138</f>
        <v>0</v>
      </c>
      <c r="F153" t="str">
        <f>SmtRes!I138</f>
        <v>91.14.02-001</v>
      </c>
      <c r="G153" t="str">
        <f>SmtRes!K138</f>
        <v>Автомобили бортовые, грузоподъемность до 5 т</v>
      </c>
      <c r="H153" t="str">
        <f>SmtRes!O138</f>
        <v>маш.-ч</v>
      </c>
      <c r="I153">
        <f>SmtRes!Y138*Source!I112</f>
        <v>6.9862499999999994E-2</v>
      </c>
      <c r="J153">
        <f>SmtRes!AO138</f>
        <v>1</v>
      </c>
      <c r="K153">
        <f>SmtRes!AF138</f>
        <v>65.709999999999994</v>
      </c>
      <c r="L153">
        <f>SmtRes!DB138</f>
        <v>1.8831249999999999</v>
      </c>
      <c r="M153">
        <f>ROUND(ROUND(L153*Source!I112, 6)*1, 2)</f>
        <v>4.58</v>
      </c>
      <c r="N153">
        <f>SmtRes!AB138</f>
        <v>65.709999999999994</v>
      </c>
      <c r="O153">
        <f>ROUND(ROUND(L153*Source!I112, 6)*SmtRes!DA138, 2)</f>
        <v>4.58</v>
      </c>
      <c r="P153">
        <f>SmtRes!AG138</f>
        <v>11.6</v>
      </c>
      <c r="Q153">
        <f>SmtRes!DC138</f>
        <v>0.330625</v>
      </c>
      <c r="R153">
        <f>ROUND(ROUND(Q153*Source!I112, 6)*1, 2)</f>
        <v>0.8</v>
      </c>
      <c r="S153">
        <f>SmtRes!AC138</f>
        <v>11.6</v>
      </c>
      <c r="T153">
        <f>ROUND(ROUND(Q153*Source!I112, 6)*SmtRes!AK138, 2)</f>
        <v>0.8</v>
      </c>
      <c r="U153">
        <f>SmtRes!X138</f>
        <v>1372534845</v>
      </c>
      <c r="V153">
        <v>-238339799</v>
      </c>
      <c r="W153">
        <v>1792116812</v>
      </c>
    </row>
    <row r="154" spans="1:23" x14ac:dyDescent="0.2">
      <c r="A154">
        <f>Source!A112</f>
        <v>17</v>
      </c>
      <c r="C154">
        <v>2</v>
      </c>
      <c r="D154">
        <v>0</v>
      </c>
      <c r="E154">
        <f>SmtRes!AV137</f>
        <v>0</v>
      </c>
      <c r="F154" t="str">
        <f>SmtRes!I137</f>
        <v>91.08.09-001</v>
      </c>
      <c r="G154" t="str">
        <f>SmtRes!K137</f>
        <v>Виброплита с двигателем внутреннего сгорания</v>
      </c>
      <c r="H154" t="str">
        <f>SmtRes!O137</f>
        <v>маш.-ч</v>
      </c>
      <c r="I154">
        <f>SmtRes!Y137*Source!I112</f>
        <v>2.9691562499999997</v>
      </c>
      <c r="J154">
        <f>SmtRes!AO137</f>
        <v>1</v>
      </c>
      <c r="K154">
        <f>SmtRes!AF137</f>
        <v>60</v>
      </c>
      <c r="L154">
        <f>SmtRes!DB137</f>
        <v>73.3125</v>
      </c>
      <c r="M154">
        <f>ROUND(ROUND(L154*Source!I112, 6)*1, 2)</f>
        <v>178.15</v>
      </c>
      <c r="N154">
        <f>SmtRes!AB137</f>
        <v>60</v>
      </c>
      <c r="O154">
        <f>ROUND(ROUND(L154*Source!I112, 6)*SmtRes!DA137, 2)</f>
        <v>178.15</v>
      </c>
      <c r="P154">
        <f>SmtRes!AG137</f>
        <v>0</v>
      </c>
      <c r="Q154">
        <f>SmtRes!DC137</f>
        <v>0</v>
      </c>
      <c r="R154">
        <f>ROUND(ROUND(Q154*Source!I112, 6)*1, 2)</f>
        <v>0</v>
      </c>
      <c r="S154">
        <f>SmtRes!AC137</f>
        <v>0</v>
      </c>
      <c r="T154">
        <f>ROUND(ROUND(Q154*Source!I112, 6)*SmtRes!AK137, 2)</f>
        <v>0</v>
      </c>
      <c r="U154">
        <f>SmtRes!X137</f>
        <v>-145686310</v>
      </c>
      <c r="V154">
        <v>324113933</v>
      </c>
      <c r="W154">
        <v>-1989545694</v>
      </c>
    </row>
    <row r="155" spans="1:23" x14ac:dyDescent="0.2">
      <c r="A155">
        <f>Source!A112</f>
        <v>17</v>
      </c>
      <c r="C155">
        <v>2</v>
      </c>
      <c r="D155">
        <v>0</v>
      </c>
      <c r="E155">
        <f>SmtRes!AV136</f>
        <v>0</v>
      </c>
      <c r="F155" t="str">
        <f>SmtRes!I136</f>
        <v>91.06.05-011</v>
      </c>
      <c r="G155" t="str">
        <f>SmtRes!K136</f>
        <v>Погрузчик, грузоподъемность 5 т</v>
      </c>
      <c r="H155" t="str">
        <f>SmtRes!O136</f>
        <v>маш.-ч</v>
      </c>
      <c r="I155">
        <f>SmtRes!Y136*Source!I112</f>
        <v>0.10479375</v>
      </c>
      <c r="J155">
        <f>SmtRes!AO136</f>
        <v>1</v>
      </c>
      <c r="K155">
        <f>SmtRes!AF136</f>
        <v>89.99</v>
      </c>
      <c r="L155">
        <f>SmtRes!DB136</f>
        <v>3.8812500000000001</v>
      </c>
      <c r="M155">
        <f>ROUND(ROUND(L155*Source!I112, 6)*1, 2)</f>
        <v>9.43</v>
      </c>
      <c r="N155">
        <f>SmtRes!AB136</f>
        <v>89.99</v>
      </c>
      <c r="O155">
        <f>ROUND(ROUND(L155*Source!I112, 6)*SmtRes!DA136, 2)</f>
        <v>9.43</v>
      </c>
      <c r="P155">
        <f>SmtRes!AG136</f>
        <v>10.06</v>
      </c>
      <c r="Q155">
        <f>SmtRes!DC136</f>
        <v>0.43125000000000002</v>
      </c>
      <c r="R155">
        <f>ROUND(ROUND(Q155*Source!I112, 6)*1, 2)</f>
        <v>1.05</v>
      </c>
      <c r="S155">
        <f>SmtRes!AC136</f>
        <v>10.06</v>
      </c>
      <c r="T155">
        <f>ROUND(ROUND(Q155*Source!I112, 6)*SmtRes!AK136, 2)</f>
        <v>1.05</v>
      </c>
      <c r="U155">
        <f>SmtRes!X136</f>
        <v>1225731627</v>
      </c>
      <c r="V155">
        <v>1013383888</v>
      </c>
      <c r="W155">
        <v>1423950272</v>
      </c>
    </row>
    <row r="156" spans="1:23" x14ac:dyDescent="0.2">
      <c r="A156">
        <f>Source!A112</f>
        <v>17</v>
      </c>
      <c r="C156">
        <v>2</v>
      </c>
      <c r="D156">
        <v>0</v>
      </c>
      <c r="E156">
        <f>SmtRes!AV135</f>
        <v>0</v>
      </c>
      <c r="F156" t="str">
        <f>SmtRes!I135</f>
        <v>91.05.05-014</v>
      </c>
      <c r="G156" t="str">
        <f>SmtRes!K135</f>
        <v>Краны на автомобильном ходу, грузоподъемность 10 т</v>
      </c>
      <c r="H156" t="str">
        <f>SmtRes!O135</f>
        <v>маш.-ч</v>
      </c>
      <c r="I156">
        <f>SmtRes!Y135*Source!I112</f>
        <v>6.9862499999999994E-2</v>
      </c>
      <c r="J156">
        <f>SmtRes!AO135</f>
        <v>1</v>
      </c>
      <c r="K156">
        <f>SmtRes!AF135</f>
        <v>111.99</v>
      </c>
      <c r="L156">
        <f>SmtRes!DB135</f>
        <v>3.22</v>
      </c>
      <c r="M156">
        <f>ROUND(ROUND(L156*Source!I112, 6)*1, 2)</f>
        <v>7.82</v>
      </c>
      <c r="N156">
        <f>SmtRes!AB135</f>
        <v>111.99</v>
      </c>
      <c r="O156">
        <f>ROUND(ROUND(L156*Source!I112, 6)*SmtRes!DA135, 2)</f>
        <v>7.82</v>
      </c>
      <c r="P156">
        <f>SmtRes!AG135</f>
        <v>13.5</v>
      </c>
      <c r="Q156">
        <f>SmtRes!DC135</f>
        <v>0.388125</v>
      </c>
      <c r="R156">
        <f>ROUND(ROUND(Q156*Source!I112, 6)*1, 2)</f>
        <v>0.94</v>
      </c>
      <c r="S156">
        <f>SmtRes!AC135</f>
        <v>13.5</v>
      </c>
      <c r="T156">
        <f>ROUND(ROUND(Q156*Source!I112, 6)*SmtRes!AK135, 2)</f>
        <v>0.94</v>
      </c>
      <c r="U156">
        <f>SmtRes!X135</f>
        <v>-1718674368</v>
      </c>
      <c r="V156">
        <v>-816987455</v>
      </c>
      <c r="W156">
        <v>-2122234393</v>
      </c>
    </row>
    <row r="157" spans="1:23" x14ac:dyDescent="0.2">
      <c r="A157">
        <f>Source!A112</f>
        <v>17</v>
      </c>
      <c r="C157">
        <v>1</v>
      </c>
      <c r="D157">
        <v>0</v>
      </c>
      <c r="E157">
        <f>SmtRes!AV134</f>
        <v>2</v>
      </c>
      <c r="F157" t="str">
        <f>SmtRes!I134</f>
        <v>4-100-00</v>
      </c>
      <c r="G157" t="str">
        <f>SmtRes!K134</f>
        <v>Затраты труда машинистов</v>
      </c>
      <c r="H157" t="str">
        <f>SmtRes!O134</f>
        <v>чел.-ч.</v>
      </c>
      <c r="I157">
        <f>SmtRes!Y134*Source!I112</f>
        <v>0.17010000000000003</v>
      </c>
      <c r="J157">
        <f>SmtRes!AO134</f>
        <v>1</v>
      </c>
      <c r="K157">
        <f>SmtRes!AH134</f>
        <v>0</v>
      </c>
      <c r="L157">
        <f>SmtRes!DB134</f>
        <v>0</v>
      </c>
      <c r="M157">
        <f>ROUND(ROUND(L157*Source!I112, 6)*1, 2)</f>
        <v>0</v>
      </c>
      <c r="N157">
        <f>SmtRes!AD134</f>
        <v>0</v>
      </c>
      <c r="O157">
        <f>ROUND(ROUND(L157*Source!I112, 6)*SmtRes!DA134, 2)</f>
        <v>0</v>
      </c>
      <c r="P157">
        <f>SmtRes!AG134</f>
        <v>0</v>
      </c>
      <c r="Q157">
        <f>SmtRes!DC134</f>
        <v>0</v>
      </c>
      <c r="R157">
        <f>ROUND(ROUND(Q157*Source!I112, 6)*1, 2)</f>
        <v>0</v>
      </c>
      <c r="S157">
        <f>SmtRes!AC134</f>
        <v>0</v>
      </c>
      <c r="T157">
        <f>ROUND(ROUND(Q157*Source!I112, 6)*SmtRes!AK134, 2)</f>
        <v>0</v>
      </c>
      <c r="U157">
        <f>SmtRes!X134</f>
        <v>-1417349443</v>
      </c>
      <c r="V157">
        <v>-189065469</v>
      </c>
      <c r="W157">
        <v>1122477533</v>
      </c>
    </row>
    <row r="158" spans="1:23" x14ac:dyDescent="0.2">
      <c r="A158">
        <f>Source!A112</f>
        <v>17</v>
      </c>
      <c r="C158">
        <v>1</v>
      </c>
      <c r="D158">
        <v>0</v>
      </c>
      <c r="E158">
        <f>SmtRes!AV133</f>
        <v>1</v>
      </c>
      <c r="F158" t="str">
        <f>SmtRes!I133</f>
        <v>1-100-37</v>
      </c>
      <c r="G158" t="str">
        <f>SmtRes!K133</f>
        <v>Рабочий среднего разряда 3.7</v>
      </c>
      <c r="H158" t="str">
        <f>SmtRes!O133</f>
        <v>чел.-ч.</v>
      </c>
      <c r="I158">
        <f>SmtRes!Y133*Source!I112</f>
        <v>48.590765999999988</v>
      </c>
      <c r="J158">
        <f>SmtRes!AO133</f>
        <v>1</v>
      </c>
      <c r="K158">
        <f>SmtRes!AH133</f>
        <v>9.2899999999999991</v>
      </c>
      <c r="L158">
        <f>SmtRes!DB133</f>
        <v>185.75835000000001</v>
      </c>
      <c r="M158">
        <f>ROUND(ROUND(L158*Source!I112, 6)*1, 2)</f>
        <v>451.39</v>
      </c>
      <c r="N158">
        <f>SmtRes!AD133</f>
        <v>9.2899999999999991</v>
      </c>
      <c r="O158">
        <f>ROUND(ROUND(L158*Source!I112, 6)*SmtRes!DA133, 2)</f>
        <v>451.39</v>
      </c>
      <c r="P158">
        <f>SmtRes!AG133</f>
        <v>0</v>
      </c>
      <c r="Q158">
        <f>SmtRes!DC133</f>
        <v>0</v>
      </c>
      <c r="R158">
        <f>ROUND(ROUND(Q158*Source!I112, 6)*1, 2)</f>
        <v>0</v>
      </c>
      <c r="S158">
        <f>SmtRes!AC133</f>
        <v>0</v>
      </c>
      <c r="T158">
        <f>ROUND(ROUND(Q158*Source!I112, 6)*SmtRes!AK133, 2)</f>
        <v>0</v>
      </c>
      <c r="U158">
        <f>SmtRes!X133</f>
        <v>-598469600</v>
      </c>
      <c r="V158">
        <v>-1655254406</v>
      </c>
      <c r="W158">
        <v>756385297</v>
      </c>
    </row>
    <row r="159" spans="1:23" x14ac:dyDescent="0.2">
      <c r="A159">
        <f>Source!A113</f>
        <v>18</v>
      </c>
      <c r="C159">
        <v>3</v>
      </c>
      <c r="D159">
        <f>Source!BI113</f>
        <v>1</v>
      </c>
      <c r="E159">
        <f>Source!FS113</f>
        <v>0</v>
      </c>
      <c r="F159" t="str">
        <f>Source!F113</f>
        <v>02.3.01.02-0015</v>
      </c>
      <c r="G159" t="str">
        <f>Source!G113</f>
        <v>Песок природный для строительных работ средний</v>
      </c>
      <c r="H159" t="str">
        <f>Source!H113</f>
        <v>м3</v>
      </c>
      <c r="I159">
        <f>Source!I113</f>
        <v>1.2150000000000001</v>
      </c>
      <c r="J159">
        <v>1</v>
      </c>
      <c r="K159">
        <f>Source!AC113</f>
        <v>55.26</v>
      </c>
      <c r="M159">
        <f>ROUND(K159*I159, 2)</f>
        <v>67.14</v>
      </c>
      <c r="N159">
        <f>Source!AC113*IF(Source!BC113&lt;&gt; 0, Source!BC113, 1)</f>
        <v>55.26</v>
      </c>
      <c r="O159">
        <f>ROUND(N159*I159, 2)</f>
        <v>67.14</v>
      </c>
      <c r="P159">
        <f>Source!AE113</f>
        <v>0</v>
      </c>
      <c r="R159">
        <f>ROUND(P159*I159, 2)</f>
        <v>0</v>
      </c>
      <c r="S159">
        <f>Source!AE113*IF(Source!BS113&lt;&gt; 0, Source!BS113, 1)</f>
        <v>0</v>
      </c>
      <c r="T159">
        <f>ROUND(S159*I159, 2)</f>
        <v>0</v>
      </c>
      <c r="U159">
        <f>Source!GF113</f>
        <v>-35545874</v>
      </c>
      <c r="V159">
        <v>1327291456</v>
      </c>
      <c r="W159">
        <v>1416435395</v>
      </c>
    </row>
    <row r="160" spans="1:23" x14ac:dyDescent="0.2">
      <c r="A160">
        <f>Source!A114</f>
        <v>18</v>
      </c>
      <c r="C160">
        <v>3</v>
      </c>
      <c r="D160">
        <f>Source!BI114</f>
        <v>1</v>
      </c>
      <c r="E160">
        <f>Source!FS114</f>
        <v>0</v>
      </c>
      <c r="F160" t="str">
        <f>Source!F114</f>
        <v>04.2.01.01-0031</v>
      </c>
      <c r="G160" t="str">
        <f>Source!G114</f>
        <v>Смеси асфальтобетонные дорожные, аэродромные и асфальтобетон (горячие для плотного асфальтобетона мелко и крупнозернистые, песчаные), марка I, тип А</v>
      </c>
      <c r="H160" t="str">
        <f>Source!H114</f>
        <v>т</v>
      </c>
      <c r="I160">
        <f>Source!I114</f>
        <v>17.350200000000001</v>
      </c>
      <c r="J160">
        <v>1</v>
      </c>
      <c r="K160">
        <f>Source!AC114</f>
        <v>535.5</v>
      </c>
      <c r="M160">
        <f>ROUND(K160*I160, 2)</f>
        <v>9291.0300000000007</v>
      </c>
      <c r="N160">
        <f>Source!AC114*IF(Source!BC114&lt;&gt; 0, Source!BC114, 1)</f>
        <v>535.5</v>
      </c>
      <c r="O160">
        <f>ROUND(N160*I160, 2)</f>
        <v>9291.0300000000007</v>
      </c>
      <c r="P160">
        <f>Source!AE114</f>
        <v>0</v>
      </c>
      <c r="R160">
        <f>ROUND(P160*I160, 2)</f>
        <v>0</v>
      </c>
      <c r="S160">
        <f>Source!AE114*IF(Source!BS114&lt;&gt; 0, Source!BS114, 1)</f>
        <v>0</v>
      </c>
      <c r="T160">
        <f>ROUND(S160*I160, 2)</f>
        <v>0</v>
      </c>
      <c r="U160">
        <f>Source!GF114</f>
        <v>1957326309</v>
      </c>
      <c r="V160">
        <v>-1117090964</v>
      </c>
      <c r="W160">
        <v>-1762041033</v>
      </c>
    </row>
    <row r="161" spans="1:23" x14ac:dyDescent="0.2">
      <c r="A161">
        <f>Source!A115</f>
        <v>17</v>
      </c>
      <c r="C161">
        <v>2</v>
      </c>
      <c r="D161">
        <v>0</v>
      </c>
      <c r="E161">
        <f>SmtRes!AV143</f>
        <v>0</v>
      </c>
      <c r="F161" t="str">
        <f>SmtRes!I143</f>
        <v>91.08.09-001</v>
      </c>
      <c r="G161" t="str">
        <f>SmtRes!K143</f>
        <v>Виброплита с двигателем внутреннего сгорания</v>
      </c>
      <c r="H161" t="str">
        <f>SmtRes!O143</f>
        <v>маш.-ч</v>
      </c>
      <c r="I161">
        <f>SmtRes!Y143*Source!I115</f>
        <v>0.48903750000000007</v>
      </c>
      <c r="J161">
        <f>SmtRes!AO143</f>
        <v>1</v>
      </c>
      <c r="K161">
        <f>SmtRes!AF143</f>
        <v>60</v>
      </c>
      <c r="L161">
        <f>SmtRes!DB143</f>
        <v>12.074999999999999</v>
      </c>
      <c r="M161">
        <f>ROUND(ROUND(L161*Source!I115, 6)*1, 2)</f>
        <v>29.34</v>
      </c>
      <c r="N161">
        <f>SmtRes!AB143</f>
        <v>60</v>
      </c>
      <c r="O161">
        <f>ROUND(ROUND(L161*Source!I115, 6)*SmtRes!DA143, 2)</f>
        <v>29.34</v>
      </c>
      <c r="P161">
        <f>SmtRes!AG143</f>
        <v>0</v>
      </c>
      <c r="Q161">
        <f>SmtRes!DC143</f>
        <v>0</v>
      </c>
      <c r="R161">
        <f>ROUND(ROUND(Q161*Source!I115, 6)*1, 2)</f>
        <v>0</v>
      </c>
      <c r="S161">
        <f>SmtRes!AC143</f>
        <v>0</v>
      </c>
      <c r="T161">
        <f>ROUND(ROUND(Q161*Source!I115, 6)*SmtRes!AK143, 2)</f>
        <v>0</v>
      </c>
      <c r="U161">
        <f>SmtRes!X143</f>
        <v>-145686310</v>
      </c>
      <c r="V161">
        <v>324113933</v>
      </c>
      <c r="W161">
        <v>-1989545694</v>
      </c>
    </row>
    <row r="162" spans="1:23" x14ac:dyDescent="0.2">
      <c r="A162">
        <f>Source!A115</f>
        <v>17</v>
      </c>
      <c r="C162">
        <v>1</v>
      </c>
      <c r="D162">
        <v>0</v>
      </c>
      <c r="E162">
        <f>SmtRes!AV142</f>
        <v>1</v>
      </c>
      <c r="F162" t="str">
        <f>SmtRes!I142</f>
        <v>1-100-37</v>
      </c>
      <c r="G162" t="str">
        <f>SmtRes!K142</f>
        <v>Рабочий среднего разряда 3.7</v>
      </c>
      <c r="H162" t="str">
        <f>SmtRes!O142</f>
        <v>чел.-ч.</v>
      </c>
      <c r="I162">
        <f>SmtRes!Y142*Source!I115</f>
        <v>7.4557259999999994</v>
      </c>
      <c r="J162">
        <f>SmtRes!AO142</f>
        <v>1</v>
      </c>
      <c r="K162">
        <f>SmtRes!AH142</f>
        <v>9.2899999999999991</v>
      </c>
      <c r="L162">
        <f>SmtRes!DB142</f>
        <v>28.499874999999999</v>
      </c>
      <c r="M162">
        <f>ROUND(ROUND(L162*Source!I115, 6)*1, 2)</f>
        <v>69.25</v>
      </c>
      <c r="N162">
        <f>SmtRes!AD142</f>
        <v>9.2899999999999991</v>
      </c>
      <c r="O162">
        <f>ROUND(ROUND(L162*Source!I115, 6)*SmtRes!DA142, 2)</f>
        <v>69.25</v>
      </c>
      <c r="P162">
        <f>SmtRes!AG142</f>
        <v>0</v>
      </c>
      <c r="Q162">
        <f>SmtRes!DC142</f>
        <v>0</v>
      </c>
      <c r="R162">
        <f>ROUND(ROUND(Q162*Source!I115, 6)*1, 2)</f>
        <v>0</v>
      </c>
      <c r="S162">
        <f>SmtRes!AC142</f>
        <v>0</v>
      </c>
      <c r="T162">
        <f>ROUND(ROUND(Q162*Source!I115, 6)*SmtRes!AK142, 2)</f>
        <v>0</v>
      </c>
      <c r="U162">
        <f>SmtRes!X142</f>
        <v>-598469600</v>
      </c>
      <c r="V162">
        <v>-1655254406</v>
      </c>
      <c r="W162">
        <v>756385297</v>
      </c>
    </row>
    <row r="163" spans="1:23" x14ac:dyDescent="0.2">
      <c r="A163">
        <f>Source!A116</f>
        <v>18</v>
      </c>
      <c r="C163">
        <v>3</v>
      </c>
      <c r="D163">
        <f>Source!BI116</f>
        <v>1</v>
      </c>
      <c r="E163">
        <f>Source!FS116</f>
        <v>0</v>
      </c>
      <c r="F163" t="str">
        <f>Source!F116</f>
        <v>04.2.01.01-0031</v>
      </c>
      <c r="G163" t="str">
        <f>Source!G116</f>
        <v>Смеси асфальтобетонные дорожные, аэродромные и асфальтобетон (горячие для плотного асфальтобетона мелко и крупнозернистые, песчаные), марка I, тип А</v>
      </c>
      <c r="H163" t="str">
        <f>Source!H116</f>
        <v>т</v>
      </c>
      <c r="I163">
        <f>Source!I116</f>
        <v>2.9403000000000001</v>
      </c>
      <c r="J163">
        <v>1</v>
      </c>
      <c r="K163">
        <f>Source!AC116</f>
        <v>535.5</v>
      </c>
      <c r="M163">
        <f>ROUND(K163*I163, 2)</f>
        <v>1574.53</v>
      </c>
      <c r="N163">
        <f>Source!AC116*IF(Source!BC116&lt;&gt; 0, Source!BC116, 1)</f>
        <v>535.5</v>
      </c>
      <c r="O163">
        <f>ROUND(N163*I163, 2)</f>
        <v>1574.53</v>
      </c>
      <c r="P163">
        <f>Source!AE116</f>
        <v>0</v>
      </c>
      <c r="R163">
        <f>ROUND(P163*I163, 2)</f>
        <v>0</v>
      </c>
      <c r="S163">
        <f>Source!AE116*IF(Source!BS116&lt;&gt; 0, Source!BS116, 1)</f>
        <v>0</v>
      </c>
      <c r="T163">
        <f>ROUND(S163*I163, 2)</f>
        <v>0</v>
      </c>
      <c r="U163">
        <f>Source!GF116</f>
        <v>1957326309</v>
      </c>
      <c r="V163">
        <v>-1117090964</v>
      </c>
      <c r="W163">
        <v>-1762041033</v>
      </c>
    </row>
    <row r="164" spans="1:23" x14ac:dyDescent="0.2">
      <c r="A164">
        <f>Source!A147</f>
        <v>5</v>
      </c>
      <c r="B164">
        <v>147</v>
      </c>
      <c r="G164" t="str">
        <f>Source!G147</f>
        <v>Востановление пожарных подъездов</v>
      </c>
    </row>
    <row r="165" spans="1:23" x14ac:dyDescent="0.2">
      <c r="A165">
        <f>Source!A151</f>
        <v>17</v>
      </c>
      <c r="C165">
        <v>2</v>
      </c>
      <c r="D165">
        <v>0</v>
      </c>
      <c r="E165">
        <f>SmtRes!AV148</f>
        <v>0</v>
      </c>
      <c r="F165" t="str">
        <f>SmtRes!I148</f>
        <v>91.21.10-003</v>
      </c>
      <c r="G165" t="str">
        <f>SmtRes!K148</f>
        <v>Молотки при работе от передвижных компрессорных станций отбойные пневматические</v>
      </c>
      <c r="H165" t="str">
        <f>SmtRes!O148</f>
        <v>маш.-ч</v>
      </c>
      <c r="I165">
        <f>SmtRes!Y148*Source!I151</f>
        <v>18.849419999999999</v>
      </c>
      <c r="J165">
        <f>SmtRes!AO148</f>
        <v>1</v>
      </c>
      <c r="K165">
        <f>SmtRes!AF148</f>
        <v>1.53</v>
      </c>
      <c r="L165">
        <f>SmtRes!DB148</f>
        <v>82.869</v>
      </c>
      <c r="M165">
        <f>ROUND(ROUND(L165*Source!I151, 6)*1, 2)</f>
        <v>28.84</v>
      </c>
      <c r="N165">
        <f>SmtRes!AB148</f>
        <v>1.53</v>
      </c>
      <c r="O165">
        <f>ROUND(ROUND(L165*Source!I151, 6)*SmtRes!DA148, 2)</f>
        <v>28.84</v>
      </c>
      <c r="P165">
        <f>SmtRes!AG148</f>
        <v>0</v>
      </c>
      <c r="Q165">
        <f>SmtRes!DC148</f>
        <v>0</v>
      </c>
      <c r="R165">
        <f>ROUND(ROUND(Q165*Source!I151, 6)*1, 2)</f>
        <v>0</v>
      </c>
      <c r="S165">
        <f>SmtRes!AC148</f>
        <v>0</v>
      </c>
      <c r="T165">
        <f>ROUND(ROUND(Q165*Source!I151, 6)*SmtRes!AK148, 2)</f>
        <v>0</v>
      </c>
      <c r="U165">
        <f>SmtRes!X148</f>
        <v>1518765163</v>
      </c>
      <c r="V165">
        <v>-1277244089</v>
      </c>
      <c r="W165">
        <v>-172744654</v>
      </c>
    </row>
    <row r="166" spans="1:23" x14ac:dyDescent="0.2">
      <c r="A166">
        <f>Source!A151</f>
        <v>17</v>
      </c>
      <c r="C166">
        <v>2</v>
      </c>
      <c r="D166">
        <v>0</v>
      </c>
      <c r="E166">
        <f>SmtRes!AV147</f>
        <v>0</v>
      </c>
      <c r="F166" t="str">
        <f>SmtRes!I147</f>
        <v>91.18.01-007</v>
      </c>
      <c r="G166" t="str">
        <f>SmtRes!K147</f>
        <v>Компрессоры передвижные с двигателем внутреннего сгорания, давлением до 686 кПа (7ат), производительность до 5мЗ/мин</v>
      </c>
      <c r="H166" t="str">
        <f>SmtRes!O147</f>
        <v>маш.-ч</v>
      </c>
      <c r="I166">
        <f>SmtRes!Y147*Source!I151</f>
        <v>6.2831399999999986</v>
      </c>
      <c r="J166">
        <f>SmtRes!AO147</f>
        <v>1</v>
      </c>
      <c r="K166">
        <f>SmtRes!AF147</f>
        <v>90</v>
      </c>
      <c r="L166">
        <f>SmtRes!DB147</f>
        <v>1624.95</v>
      </c>
      <c r="M166">
        <f>ROUND(ROUND(L166*Source!I151, 6)*1, 2)</f>
        <v>565.48</v>
      </c>
      <c r="N166">
        <f>SmtRes!AB147</f>
        <v>90</v>
      </c>
      <c r="O166">
        <f>ROUND(ROUND(L166*Source!I151, 6)*SmtRes!DA147, 2)</f>
        <v>565.48</v>
      </c>
      <c r="P166">
        <f>SmtRes!AG147</f>
        <v>10.06</v>
      </c>
      <c r="Q166">
        <f>SmtRes!DC147</f>
        <v>181.631</v>
      </c>
      <c r="R166">
        <f>ROUND(ROUND(Q166*Source!I151, 6)*1, 2)</f>
        <v>63.21</v>
      </c>
      <c r="S166">
        <f>SmtRes!AC147</f>
        <v>10.06</v>
      </c>
      <c r="T166">
        <f>ROUND(ROUND(Q166*Source!I151, 6)*SmtRes!AK147, 2)</f>
        <v>63.21</v>
      </c>
      <c r="U166">
        <f>SmtRes!X147</f>
        <v>-1589061407</v>
      </c>
      <c r="V166">
        <v>-1756222023</v>
      </c>
      <c r="W166">
        <v>954034734</v>
      </c>
    </row>
    <row r="167" spans="1:23" x14ac:dyDescent="0.2">
      <c r="A167">
        <f>Source!A151</f>
        <v>17</v>
      </c>
      <c r="C167">
        <v>1</v>
      </c>
      <c r="D167">
        <v>0</v>
      </c>
      <c r="E167">
        <f>SmtRes!AV146</f>
        <v>2</v>
      </c>
      <c r="F167" t="str">
        <f>SmtRes!I146</f>
        <v>4-100-00</v>
      </c>
      <c r="G167" t="str">
        <f>SmtRes!K146</f>
        <v>Затраты труда машинистов</v>
      </c>
      <c r="H167" t="str">
        <f>SmtRes!O146</f>
        <v>чел.-ч.</v>
      </c>
      <c r="I167">
        <f>SmtRes!Y146*Source!I151</f>
        <v>5.4635999999999996</v>
      </c>
      <c r="J167">
        <f>SmtRes!AO146</f>
        <v>1</v>
      </c>
      <c r="K167">
        <f>SmtRes!AH146</f>
        <v>0</v>
      </c>
      <c r="L167">
        <f>SmtRes!DB146</f>
        <v>0</v>
      </c>
      <c r="M167">
        <f>ROUND(ROUND(L167*Source!I151, 6)*1, 2)</f>
        <v>0</v>
      </c>
      <c r="N167">
        <f>SmtRes!AD146</f>
        <v>0</v>
      </c>
      <c r="O167">
        <f>ROUND(ROUND(L167*Source!I151, 6)*SmtRes!DA146, 2)</f>
        <v>0</v>
      </c>
      <c r="P167">
        <f>SmtRes!AG146</f>
        <v>0</v>
      </c>
      <c r="Q167">
        <f>SmtRes!DC146</f>
        <v>0</v>
      </c>
      <c r="R167">
        <f>ROUND(ROUND(Q167*Source!I151, 6)*1, 2)</f>
        <v>0</v>
      </c>
      <c r="S167">
        <f>SmtRes!AC146</f>
        <v>0</v>
      </c>
      <c r="T167">
        <f>ROUND(ROUND(Q167*Source!I151, 6)*SmtRes!AK146, 2)</f>
        <v>0</v>
      </c>
      <c r="U167">
        <f>SmtRes!X146</f>
        <v>-1417349443</v>
      </c>
      <c r="V167">
        <v>-189065469</v>
      </c>
      <c r="W167">
        <v>1122477533</v>
      </c>
    </row>
    <row r="168" spans="1:23" x14ac:dyDescent="0.2">
      <c r="A168">
        <f>Source!A151</f>
        <v>17</v>
      </c>
      <c r="C168">
        <v>1</v>
      </c>
      <c r="D168">
        <v>0</v>
      </c>
      <c r="E168">
        <f>SmtRes!AV145</f>
        <v>1</v>
      </c>
      <c r="F168" t="str">
        <f>SmtRes!I145</f>
        <v>1-100-27</v>
      </c>
      <c r="G168" t="str">
        <f>SmtRes!K145</f>
        <v>Рабочий среднего разряда 2.7</v>
      </c>
      <c r="H168" t="str">
        <f>SmtRes!O145</f>
        <v>чел.-ч.</v>
      </c>
      <c r="I168">
        <f>SmtRes!Y145*Source!I151</f>
        <v>23.115551999999997</v>
      </c>
      <c r="J168">
        <f>SmtRes!AO145</f>
        <v>1</v>
      </c>
      <c r="K168">
        <f>SmtRes!AH145</f>
        <v>8.31</v>
      </c>
      <c r="L168">
        <f>SmtRes!DB145</f>
        <v>551.98850000000004</v>
      </c>
      <c r="M168">
        <f>ROUND(ROUND(L168*Source!I151, 6)*1, 2)</f>
        <v>192.09</v>
      </c>
      <c r="N168">
        <f>SmtRes!AD145</f>
        <v>8.31</v>
      </c>
      <c r="O168">
        <f>ROUND(ROUND(L168*Source!I151, 6)*SmtRes!DA145, 2)</f>
        <v>192.09</v>
      </c>
      <c r="P168">
        <f>SmtRes!AG145</f>
        <v>0</v>
      </c>
      <c r="Q168">
        <f>SmtRes!DC145</f>
        <v>0</v>
      </c>
      <c r="R168">
        <f>ROUND(ROUND(Q168*Source!I151, 6)*1, 2)</f>
        <v>0</v>
      </c>
      <c r="S168">
        <f>SmtRes!AC145</f>
        <v>0</v>
      </c>
      <c r="T168">
        <f>ROUND(ROUND(Q168*Source!I151, 6)*SmtRes!AK145, 2)</f>
        <v>0</v>
      </c>
      <c r="U168">
        <f>SmtRes!X145</f>
        <v>1850719656</v>
      </c>
      <c r="V168">
        <v>1797986336</v>
      </c>
      <c r="W168">
        <v>1013964695</v>
      </c>
    </row>
    <row r="169" spans="1:23" x14ac:dyDescent="0.2">
      <c r="A169">
        <f>Source!A152</f>
        <v>17</v>
      </c>
      <c r="C169">
        <v>2</v>
      </c>
      <c r="D169">
        <v>0</v>
      </c>
      <c r="E169">
        <f>SmtRes!AV152</f>
        <v>0</v>
      </c>
      <c r="F169" t="str">
        <f>SmtRes!I152</f>
        <v>91.21.10-003</v>
      </c>
      <c r="G169" t="str">
        <f>SmtRes!K152</f>
        <v>Молотки при работе от передвижных компрессорных станций отбойные пневматические</v>
      </c>
      <c r="H169" t="str">
        <f>SmtRes!O152</f>
        <v>маш.-ч</v>
      </c>
      <c r="I169">
        <f>SmtRes!Y152*Source!I152</f>
        <v>18.849419999999999</v>
      </c>
      <c r="J169">
        <f>SmtRes!AO152</f>
        <v>1</v>
      </c>
      <c r="K169">
        <f>SmtRes!AF152</f>
        <v>1.53</v>
      </c>
      <c r="L169">
        <f>SmtRes!DB152</f>
        <v>82.869</v>
      </c>
      <c r="M169">
        <f>ROUND(ROUND(L169*Source!I152, 6)*1, 2)</f>
        <v>28.84</v>
      </c>
      <c r="N169">
        <f>SmtRes!AB152</f>
        <v>1.53</v>
      </c>
      <c r="O169">
        <f>ROUND(ROUND(L169*Source!I152, 6)*SmtRes!DA152, 2)</f>
        <v>28.84</v>
      </c>
      <c r="P169">
        <f>SmtRes!AG152</f>
        <v>0</v>
      </c>
      <c r="Q169">
        <f>SmtRes!DC152</f>
        <v>0</v>
      </c>
      <c r="R169">
        <f>ROUND(ROUND(Q169*Source!I152, 6)*1, 2)</f>
        <v>0</v>
      </c>
      <c r="S169">
        <f>SmtRes!AC152</f>
        <v>0</v>
      </c>
      <c r="T169">
        <f>ROUND(ROUND(Q169*Source!I152, 6)*SmtRes!AK152, 2)</f>
        <v>0</v>
      </c>
      <c r="U169">
        <f>SmtRes!X152</f>
        <v>1518765163</v>
      </c>
      <c r="V169">
        <v>-1277244089</v>
      </c>
      <c r="W169">
        <v>-172744654</v>
      </c>
    </row>
    <row r="170" spans="1:23" x14ac:dyDescent="0.2">
      <c r="A170">
        <f>Source!A152</f>
        <v>17</v>
      </c>
      <c r="C170">
        <v>2</v>
      </c>
      <c r="D170">
        <v>0</v>
      </c>
      <c r="E170">
        <f>SmtRes!AV151</f>
        <v>0</v>
      </c>
      <c r="F170" t="str">
        <f>SmtRes!I151</f>
        <v>91.18.01-007</v>
      </c>
      <c r="G170" t="str">
        <f>SmtRes!K151</f>
        <v>Компрессоры передвижные с двигателем внутреннего сгорания, давлением до 686 кПа (7ат), производительность до 5мЗ/мин</v>
      </c>
      <c r="H170" t="str">
        <f>SmtRes!O151</f>
        <v>маш.-ч</v>
      </c>
      <c r="I170">
        <f>SmtRes!Y151*Source!I152</f>
        <v>6.2831399999999986</v>
      </c>
      <c r="J170">
        <f>SmtRes!AO151</f>
        <v>1</v>
      </c>
      <c r="K170">
        <f>SmtRes!AF151</f>
        <v>90</v>
      </c>
      <c r="L170">
        <f>SmtRes!DB151</f>
        <v>1624.95</v>
      </c>
      <c r="M170">
        <f>ROUND(ROUND(L170*Source!I152, 6)*1, 2)</f>
        <v>565.48</v>
      </c>
      <c r="N170">
        <f>SmtRes!AB151</f>
        <v>90</v>
      </c>
      <c r="O170">
        <f>ROUND(ROUND(L170*Source!I152, 6)*SmtRes!DA151, 2)</f>
        <v>565.48</v>
      </c>
      <c r="P170">
        <f>SmtRes!AG151</f>
        <v>10.06</v>
      </c>
      <c r="Q170">
        <f>SmtRes!DC151</f>
        <v>181.631</v>
      </c>
      <c r="R170">
        <f>ROUND(ROUND(Q170*Source!I152, 6)*1, 2)</f>
        <v>63.21</v>
      </c>
      <c r="S170">
        <f>SmtRes!AC151</f>
        <v>10.06</v>
      </c>
      <c r="T170">
        <f>ROUND(ROUND(Q170*Source!I152, 6)*SmtRes!AK151, 2)</f>
        <v>63.21</v>
      </c>
      <c r="U170">
        <f>SmtRes!X151</f>
        <v>-1589061407</v>
      </c>
      <c r="V170">
        <v>-1756222023</v>
      </c>
      <c r="W170">
        <v>954034734</v>
      </c>
    </row>
    <row r="171" spans="1:23" x14ac:dyDescent="0.2">
      <c r="A171">
        <f>Source!A152</f>
        <v>17</v>
      </c>
      <c r="C171">
        <v>1</v>
      </c>
      <c r="D171">
        <v>0</v>
      </c>
      <c r="E171">
        <f>SmtRes!AV150</f>
        <v>2</v>
      </c>
      <c r="F171" t="str">
        <f>SmtRes!I150</f>
        <v>4-100-00</v>
      </c>
      <c r="G171" t="str">
        <f>SmtRes!K150</f>
        <v>Затраты труда машинистов</v>
      </c>
      <c r="H171" t="str">
        <f>SmtRes!O150</f>
        <v>чел.-ч.</v>
      </c>
      <c r="I171">
        <f>SmtRes!Y150*Source!I152</f>
        <v>5.4635999999999996</v>
      </c>
      <c r="J171">
        <f>SmtRes!AO150</f>
        <v>1</v>
      </c>
      <c r="K171">
        <f>SmtRes!AH150</f>
        <v>0</v>
      </c>
      <c r="L171">
        <f>SmtRes!DB150</f>
        <v>0</v>
      </c>
      <c r="M171">
        <f>ROUND(ROUND(L171*Source!I152, 6)*1, 2)</f>
        <v>0</v>
      </c>
      <c r="N171">
        <f>SmtRes!AD150</f>
        <v>0</v>
      </c>
      <c r="O171">
        <f>ROUND(ROUND(L171*Source!I152, 6)*SmtRes!DA150, 2)</f>
        <v>0</v>
      </c>
      <c r="P171">
        <f>SmtRes!AG150</f>
        <v>0</v>
      </c>
      <c r="Q171">
        <f>SmtRes!DC150</f>
        <v>0</v>
      </c>
      <c r="R171">
        <f>ROUND(ROUND(Q171*Source!I152, 6)*1, 2)</f>
        <v>0</v>
      </c>
      <c r="S171">
        <f>SmtRes!AC150</f>
        <v>0</v>
      </c>
      <c r="T171">
        <f>ROUND(ROUND(Q171*Source!I152, 6)*SmtRes!AK150, 2)</f>
        <v>0</v>
      </c>
      <c r="U171">
        <f>SmtRes!X150</f>
        <v>-1417349443</v>
      </c>
      <c r="V171">
        <v>-189065469</v>
      </c>
      <c r="W171">
        <v>1122477533</v>
      </c>
    </row>
    <row r="172" spans="1:23" x14ac:dyDescent="0.2">
      <c r="A172">
        <f>Source!A152</f>
        <v>17</v>
      </c>
      <c r="C172">
        <v>1</v>
      </c>
      <c r="D172">
        <v>0</v>
      </c>
      <c r="E172">
        <f>SmtRes!AV149</f>
        <v>1</v>
      </c>
      <c r="F172" t="str">
        <f>SmtRes!I149</f>
        <v>1-100-27</v>
      </c>
      <c r="G172" t="str">
        <f>SmtRes!K149</f>
        <v>Рабочий среднего разряда 2.7</v>
      </c>
      <c r="H172" t="str">
        <f>SmtRes!O149</f>
        <v>чел.-ч.</v>
      </c>
      <c r="I172">
        <f>SmtRes!Y149*Source!I152</f>
        <v>23.115551999999997</v>
      </c>
      <c r="J172">
        <f>SmtRes!AO149</f>
        <v>1</v>
      </c>
      <c r="K172">
        <f>SmtRes!AH149</f>
        <v>8.31</v>
      </c>
      <c r="L172">
        <f>SmtRes!DB149</f>
        <v>551.98850000000004</v>
      </c>
      <c r="M172">
        <f>ROUND(ROUND(L172*Source!I152, 6)*1, 2)</f>
        <v>192.09</v>
      </c>
      <c r="N172">
        <f>SmtRes!AD149</f>
        <v>8.31</v>
      </c>
      <c r="O172">
        <f>ROUND(ROUND(L172*Source!I152, 6)*SmtRes!DA149, 2)</f>
        <v>192.09</v>
      </c>
      <c r="P172">
        <f>SmtRes!AG149</f>
        <v>0</v>
      </c>
      <c r="Q172">
        <f>SmtRes!DC149</f>
        <v>0</v>
      </c>
      <c r="R172">
        <f>ROUND(ROUND(Q172*Source!I152, 6)*1, 2)</f>
        <v>0</v>
      </c>
      <c r="S172">
        <f>SmtRes!AC149</f>
        <v>0</v>
      </c>
      <c r="T172">
        <f>ROUND(ROUND(Q172*Source!I152, 6)*SmtRes!AK149, 2)</f>
        <v>0</v>
      </c>
      <c r="U172">
        <f>SmtRes!X149</f>
        <v>1850719656</v>
      </c>
      <c r="V172">
        <v>1797986336</v>
      </c>
      <c r="W172">
        <v>1013964695</v>
      </c>
    </row>
    <row r="173" spans="1:23" x14ac:dyDescent="0.2">
      <c r="A173">
        <f>Source!A153</f>
        <v>17</v>
      </c>
      <c r="C173">
        <v>2</v>
      </c>
      <c r="D173">
        <v>0</v>
      </c>
      <c r="E173">
        <f>SmtRes!AV156</f>
        <v>0</v>
      </c>
      <c r="F173" t="str">
        <f>SmtRes!I156</f>
        <v>91.13.01-051</v>
      </c>
      <c r="G173" t="str">
        <f>SmtRes!K156</f>
        <v>Трактор с щетками дорожными навесными</v>
      </c>
      <c r="H173" t="str">
        <f>SmtRes!O156</f>
        <v>маш.-ч</v>
      </c>
      <c r="I173">
        <f>SmtRes!Y156*Source!I153</f>
        <v>3.9619799999999996</v>
      </c>
      <c r="J173">
        <f>SmtRes!AO156</f>
        <v>1</v>
      </c>
      <c r="K173">
        <f>SmtRes!AF156</f>
        <v>62.3</v>
      </c>
      <c r="L173">
        <f>SmtRes!DB156</f>
        <v>141.85249999999999</v>
      </c>
      <c r="M173">
        <f>ROUND(ROUND(L173*Source!I153, 6)*1, 2)</f>
        <v>246.82</v>
      </c>
      <c r="N173">
        <f>SmtRes!AB156</f>
        <v>62.3</v>
      </c>
      <c r="O173">
        <f>ROUND(ROUND(L173*Source!I153, 6)*SmtRes!DA156, 2)</f>
        <v>246.82</v>
      </c>
      <c r="P173">
        <f>SmtRes!AG156</f>
        <v>11.6</v>
      </c>
      <c r="Q173">
        <f>SmtRes!DC156</f>
        <v>26.415500000000002</v>
      </c>
      <c r="R173">
        <f>ROUND(ROUND(Q173*Source!I153, 6)*1, 2)</f>
        <v>45.96</v>
      </c>
      <c r="S173">
        <f>SmtRes!AC156</f>
        <v>11.6</v>
      </c>
      <c r="T173">
        <f>ROUND(ROUND(Q173*Source!I153, 6)*SmtRes!AK156, 2)</f>
        <v>45.96</v>
      </c>
      <c r="U173">
        <f>SmtRes!X156</f>
        <v>1513269878</v>
      </c>
      <c r="V173">
        <v>-800426921</v>
      </c>
      <c r="W173">
        <v>-807963813</v>
      </c>
    </row>
    <row r="174" spans="1:23" x14ac:dyDescent="0.2">
      <c r="A174">
        <f>Source!A153</f>
        <v>17</v>
      </c>
      <c r="C174">
        <v>2</v>
      </c>
      <c r="D174">
        <v>0</v>
      </c>
      <c r="E174">
        <f>SmtRes!AV155</f>
        <v>0</v>
      </c>
      <c r="F174" t="str">
        <f>SmtRes!I155</f>
        <v>91.01.02-004</v>
      </c>
      <c r="G174" t="str">
        <f>SmtRes!K155</f>
        <v>Автогрейдеры среднего типа, мощность 99 кВт (135 л.с.)</v>
      </c>
      <c r="H174" t="str">
        <f>SmtRes!O155</f>
        <v>маш.-ч</v>
      </c>
      <c r="I174">
        <f>SmtRes!Y155*Source!I153</f>
        <v>5.3426699999999991</v>
      </c>
      <c r="J174">
        <f>SmtRes!AO155</f>
        <v>1</v>
      </c>
      <c r="K174">
        <f>SmtRes!AF155</f>
        <v>123</v>
      </c>
      <c r="L174">
        <f>SmtRes!DB155</f>
        <v>377.67149999999998</v>
      </c>
      <c r="M174">
        <f>ROUND(ROUND(L174*Source!I153, 6)*1, 2)</f>
        <v>657.15</v>
      </c>
      <c r="N174">
        <f>SmtRes!AB155</f>
        <v>123</v>
      </c>
      <c r="O174">
        <f>ROUND(ROUND(L174*Source!I153, 6)*SmtRes!DA155, 2)</f>
        <v>657.15</v>
      </c>
      <c r="P174">
        <f>SmtRes!AG155</f>
        <v>13.5</v>
      </c>
      <c r="Q174">
        <f>SmtRes!DC155</f>
        <v>41.457500000000003</v>
      </c>
      <c r="R174">
        <f>ROUND(ROUND(Q174*Source!I153, 6)*1, 2)</f>
        <v>72.14</v>
      </c>
      <c r="S174">
        <f>SmtRes!AC155</f>
        <v>13.5</v>
      </c>
      <c r="T174">
        <f>ROUND(ROUND(Q174*Source!I153, 6)*SmtRes!AK155, 2)</f>
        <v>72.14</v>
      </c>
      <c r="U174">
        <f>SmtRes!X155</f>
        <v>645023554</v>
      </c>
      <c r="V174">
        <v>768142974</v>
      </c>
      <c r="W174">
        <v>1262858537</v>
      </c>
    </row>
    <row r="175" spans="1:23" x14ac:dyDescent="0.2">
      <c r="A175">
        <f>Source!A153</f>
        <v>17</v>
      </c>
      <c r="C175">
        <v>1</v>
      </c>
      <c r="D175">
        <v>0</v>
      </c>
      <c r="E175">
        <f>SmtRes!AV154</f>
        <v>2</v>
      </c>
      <c r="F175" t="str">
        <f>SmtRes!I154</f>
        <v>4-100-00</v>
      </c>
      <c r="G175" t="str">
        <f>SmtRes!K154</f>
        <v>Затраты труда машинистов</v>
      </c>
      <c r="H175" t="str">
        <f>SmtRes!O154</f>
        <v>чел.-ч.</v>
      </c>
      <c r="I175">
        <f>SmtRes!Y154*Source!I153</f>
        <v>8.0910000000000011</v>
      </c>
      <c r="J175">
        <f>SmtRes!AO154</f>
        <v>1</v>
      </c>
      <c r="K175">
        <f>SmtRes!AH154</f>
        <v>0</v>
      </c>
      <c r="L175">
        <f>SmtRes!DB154</f>
        <v>0</v>
      </c>
      <c r="M175">
        <f>ROUND(ROUND(L175*Source!I153, 6)*1, 2)</f>
        <v>0</v>
      </c>
      <c r="N175">
        <f>SmtRes!AD154</f>
        <v>0</v>
      </c>
      <c r="O175">
        <f>ROUND(ROUND(L175*Source!I153, 6)*SmtRes!DA154, 2)</f>
        <v>0</v>
      </c>
      <c r="P175">
        <f>SmtRes!AG154</f>
        <v>0</v>
      </c>
      <c r="Q175">
        <f>SmtRes!DC154</f>
        <v>0</v>
      </c>
      <c r="R175">
        <f>ROUND(ROUND(Q175*Source!I153, 6)*1, 2)</f>
        <v>0</v>
      </c>
      <c r="S175">
        <f>SmtRes!AC154</f>
        <v>0</v>
      </c>
      <c r="T175">
        <f>ROUND(ROUND(Q175*Source!I153, 6)*SmtRes!AK154, 2)</f>
        <v>0</v>
      </c>
      <c r="U175">
        <f>SmtRes!X154</f>
        <v>-1417349443</v>
      </c>
      <c r="V175">
        <v>-189065469</v>
      </c>
      <c r="W175">
        <v>1122477533</v>
      </c>
    </row>
    <row r="176" spans="1:23" x14ac:dyDescent="0.2">
      <c r="A176">
        <f>Source!A153</f>
        <v>17</v>
      </c>
      <c r="C176">
        <v>1</v>
      </c>
      <c r="D176">
        <v>0</v>
      </c>
      <c r="E176">
        <f>SmtRes!AV153</f>
        <v>1</v>
      </c>
      <c r="F176" t="str">
        <f>SmtRes!I153</f>
        <v>1-100-21</v>
      </c>
      <c r="G176" t="str">
        <f>SmtRes!K153</f>
        <v>Рабочий среднего разряда 2.1</v>
      </c>
      <c r="H176" t="str">
        <f>SmtRes!O153</f>
        <v>чел.-ч.</v>
      </c>
      <c r="I176">
        <f>SmtRes!Y153*Source!I153</f>
        <v>36.758369999999999</v>
      </c>
      <c r="J176">
        <f>SmtRes!AO153</f>
        <v>1</v>
      </c>
      <c r="K176">
        <f>SmtRes!AH153</f>
        <v>7.87</v>
      </c>
      <c r="L176">
        <f>SmtRes!DB153</f>
        <v>166.25550000000001</v>
      </c>
      <c r="M176">
        <f>ROUND(ROUND(L176*Source!I153, 6)*1, 2)</f>
        <v>289.27999999999997</v>
      </c>
      <c r="N176">
        <f>SmtRes!AD153</f>
        <v>7.87</v>
      </c>
      <c r="O176">
        <f>ROUND(ROUND(L176*Source!I153, 6)*SmtRes!DA153, 2)</f>
        <v>289.27999999999997</v>
      </c>
      <c r="P176">
        <f>SmtRes!AG153</f>
        <v>0</v>
      </c>
      <c r="Q176">
        <f>SmtRes!DC153</f>
        <v>0</v>
      </c>
      <c r="R176">
        <f>ROUND(ROUND(Q176*Source!I153, 6)*1, 2)</f>
        <v>0</v>
      </c>
      <c r="S176">
        <f>SmtRes!AC153</f>
        <v>0</v>
      </c>
      <c r="T176">
        <f>ROUND(ROUND(Q176*Source!I153, 6)*SmtRes!AK153, 2)</f>
        <v>0</v>
      </c>
      <c r="U176">
        <f>SmtRes!X153</f>
        <v>152375061</v>
      </c>
      <c r="V176">
        <v>-630123793</v>
      </c>
      <c r="W176">
        <v>-1514152417</v>
      </c>
    </row>
    <row r="177" spans="1:23" x14ac:dyDescent="0.2">
      <c r="A177">
        <f>Source!A156</f>
        <v>17</v>
      </c>
      <c r="C177">
        <v>3</v>
      </c>
      <c r="D177">
        <v>0</v>
      </c>
      <c r="E177">
        <f>SmtRes!AV163</f>
        <v>0</v>
      </c>
      <c r="F177" t="str">
        <f>SmtRes!I163</f>
        <v>01.7.03.01-0001</v>
      </c>
      <c r="G177" t="str">
        <f>SmtRes!K163</f>
        <v>Вода</v>
      </c>
      <c r="H177" t="str">
        <f>SmtRes!O163</f>
        <v>м3</v>
      </c>
      <c r="I177">
        <f>SmtRes!Y163*Source!I156</f>
        <v>3.4799999999999995</v>
      </c>
      <c r="J177">
        <f>SmtRes!AO163</f>
        <v>1</v>
      </c>
      <c r="K177">
        <f>SmtRes!AE163</f>
        <v>2.44</v>
      </c>
      <c r="L177">
        <f>SmtRes!DB163</f>
        <v>12.2</v>
      </c>
      <c r="M177">
        <f>ROUND(ROUND(L177*Source!I156, 6)*1, 2)</f>
        <v>8.49</v>
      </c>
      <c r="N177">
        <f>SmtRes!AA163</f>
        <v>2.44</v>
      </c>
      <c r="O177">
        <f>ROUND(ROUND(L177*Source!I156, 6)*SmtRes!DA163, 2)</f>
        <v>8.49</v>
      </c>
      <c r="P177">
        <f>SmtRes!AG163</f>
        <v>0</v>
      </c>
      <c r="Q177">
        <f>SmtRes!DC163</f>
        <v>0</v>
      </c>
      <c r="R177">
        <f>ROUND(ROUND(Q177*Source!I156, 6)*1, 2)</f>
        <v>0</v>
      </c>
      <c r="S177">
        <f>SmtRes!AC163</f>
        <v>0</v>
      </c>
      <c r="T177">
        <f>ROUND(ROUND(Q177*Source!I156, 6)*SmtRes!AK163, 2)</f>
        <v>0</v>
      </c>
      <c r="U177">
        <f>SmtRes!X163</f>
        <v>-1660354250</v>
      </c>
      <c r="V177">
        <v>1600079109</v>
      </c>
      <c r="W177">
        <v>-1353927395</v>
      </c>
    </row>
    <row r="178" spans="1:23" x14ac:dyDescent="0.2">
      <c r="A178">
        <f>Source!A156</f>
        <v>17</v>
      </c>
      <c r="C178">
        <v>2</v>
      </c>
      <c r="D178">
        <v>0</v>
      </c>
      <c r="E178">
        <f>SmtRes!AV162</f>
        <v>0</v>
      </c>
      <c r="F178" t="str">
        <f>SmtRes!I162</f>
        <v>91.13.01-038</v>
      </c>
      <c r="G178" t="str">
        <f>SmtRes!K162</f>
        <v>Машины поливомоечные 6000 л</v>
      </c>
      <c r="H178" t="str">
        <f>SmtRes!O162</f>
        <v>маш.-ч</v>
      </c>
      <c r="I178">
        <f>SmtRes!Y162*Source!I156</f>
        <v>0.74036999999999997</v>
      </c>
      <c r="J178">
        <f>SmtRes!AO162</f>
        <v>1</v>
      </c>
      <c r="K178">
        <f>SmtRes!AF162</f>
        <v>110</v>
      </c>
      <c r="L178">
        <f>SmtRes!DB162</f>
        <v>117.0125</v>
      </c>
      <c r="M178">
        <f>ROUND(ROUND(L178*Source!I156, 6)*1, 2)</f>
        <v>81.44</v>
      </c>
      <c r="N178">
        <f>SmtRes!AB162</f>
        <v>110</v>
      </c>
      <c r="O178">
        <f>ROUND(ROUND(L178*Source!I156, 6)*SmtRes!DA162, 2)</f>
        <v>81.44</v>
      </c>
      <c r="P178">
        <f>SmtRes!AG162</f>
        <v>11.6</v>
      </c>
      <c r="Q178">
        <f>SmtRes!DC162</f>
        <v>12.33375</v>
      </c>
      <c r="R178">
        <f>ROUND(ROUND(Q178*Source!I156, 6)*1, 2)</f>
        <v>8.58</v>
      </c>
      <c r="S178">
        <f>SmtRes!AC162</f>
        <v>11.6</v>
      </c>
      <c r="T178">
        <f>ROUND(ROUND(Q178*Source!I156, 6)*SmtRes!AK162, 2)</f>
        <v>8.58</v>
      </c>
      <c r="U178">
        <f>SmtRes!X162</f>
        <v>1403266566</v>
      </c>
      <c r="V178">
        <v>-698064522</v>
      </c>
      <c r="W178">
        <v>1410473507</v>
      </c>
    </row>
    <row r="179" spans="1:23" x14ac:dyDescent="0.2">
      <c r="A179">
        <f>Source!A156</f>
        <v>17</v>
      </c>
      <c r="C179">
        <v>2</v>
      </c>
      <c r="D179">
        <v>0</v>
      </c>
      <c r="E179">
        <f>SmtRes!AV161</f>
        <v>0</v>
      </c>
      <c r="F179" t="str">
        <f>SmtRes!I161</f>
        <v>91.08.03-030</v>
      </c>
      <c r="G179" t="str">
        <f>SmtRes!K161</f>
        <v>Катки на пневмоколесном ходу, масса 30 т</v>
      </c>
      <c r="H179" t="str">
        <f>SmtRes!O161</f>
        <v>маш.-ч</v>
      </c>
      <c r="I179">
        <f>SmtRes!Y161*Source!I156</f>
        <v>7.0835399999999984</v>
      </c>
      <c r="J179">
        <f>SmtRes!AO161</f>
        <v>1</v>
      </c>
      <c r="K179">
        <f>SmtRes!AF161</f>
        <v>206.01</v>
      </c>
      <c r="L179">
        <f>SmtRes!DB161</f>
        <v>2096.6656250000001</v>
      </c>
      <c r="M179">
        <f>ROUND(ROUND(L179*Source!I156, 6)*1, 2)</f>
        <v>1459.28</v>
      </c>
      <c r="N179">
        <f>SmtRes!AB161</f>
        <v>206.01</v>
      </c>
      <c r="O179">
        <f>ROUND(ROUND(L179*Source!I156, 6)*SmtRes!DA161, 2)</f>
        <v>1459.28</v>
      </c>
      <c r="P179">
        <f>SmtRes!AG161</f>
        <v>14.4</v>
      </c>
      <c r="Q179">
        <f>SmtRes!DC161</f>
        <v>146.55312499999999</v>
      </c>
      <c r="R179">
        <f>ROUND(ROUND(Q179*Source!I156, 6)*1, 2)</f>
        <v>102</v>
      </c>
      <c r="S179">
        <f>SmtRes!AC161</f>
        <v>14.4</v>
      </c>
      <c r="T179">
        <f>ROUND(ROUND(Q179*Source!I156, 6)*SmtRes!AK161, 2)</f>
        <v>102</v>
      </c>
      <c r="U179">
        <f>SmtRes!X161</f>
        <v>1663826256</v>
      </c>
      <c r="V179">
        <v>1045291655</v>
      </c>
      <c r="W179">
        <v>-500549999</v>
      </c>
    </row>
    <row r="180" spans="1:23" x14ac:dyDescent="0.2">
      <c r="A180">
        <f>Source!A156</f>
        <v>17</v>
      </c>
      <c r="C180">
        <v>2</v>
      </c>
      <c r="D180">
        <v>0</v>
      </c>
      <c r="E180">
        <f>SmtRes!AV160</f>
        <v>0</v>
      </c>
      <c r="F180" t="str">
        <f>SmtRes!I160</f>
        <v>91.06.05-011</v>
      </c>
      <c r="G180" t="str">
        <f>SmtRes!K160</f>
        <v>Погрузчик, грузоподъемность 5 т</v>
      </c>
      <c r="H180" t="str">
        <f>SmtRes!O160</f>
        <v>маш.-ч</v>
      </c>
      <c r="I180">
        <f>SmtRes!Y160*Source!I156</f>
        <v>4.2921449999999988</v>
      </c>
      <c r="J180">
        <f>SmtRes!AO160</f>
        <v>1</v>
      </c>
      <c r="K180">
        <f>SmtRes!AF160</f>
        <v>89.99</v>
      </c>
      <c r="L180">
        <f>SmtRes!DB160</f>
        <v>554.96124999999995</v>
      </c>
      <c r="M180">
        <f>ROUND(ROUND(L180*Source!I156, 6)*1, 2)</f>
        <v>386.25</v>
      </c>
      <c r="N180">
        <f>SmtRes!AB160</f>
        <v>89.99</v>
      </c>
      <c r="O180">
        <f>ROUND(ROUND(L180*Source!I156, 6)*SmtRes!DA160, 2)</f>
        <v>386.25</v>
      </c>
      <c r="P180">
        <f>SmtRes!AG160</f>
        <v>10.06</v>
      </c>
      <c r="Q180">
        <f>SmtRes!DC160</f>
        <v>62.042499999999997</v>
      </c>
      <c r="R180">
        <f>ROUND(ROUND(Q180*Source!I156, 6)*1, 2)</f>
        <v>43.18</v>
      </c>
      <c r="S180">
        <f>SmtRes!AC160</f>
        <v>10.06</v>
      </c>
      <c r="T180">
        <f>ROUND(ROUND(Q180*Source!I156, 6)*SmtRes!AK160, 2)</f>
        <v>43.18</v>
      </c>
      <c r="U180">
        <f>SmtRes!X160</f>
        <v>-665367104</v>
      </c>
      <c r="V180">
        <v>-1911453925</v>
      </c>
      <c r="W180">
        <v>1793503583</v>
      </c>
    </row>
    <row r="181" spans="1:23" x14ac:dyDescent="0.2">
      <c r="A181">
        <f>Source!A156</f>
        <v>17</v>
      </c>
      <c r="C181">
        <v>2</v>
      </c>
      <c r="D181">
        <v>0</v>
      </c>
      <c r="E181">
        <f>SmtRes!AV159</f>
        <v>0</v>
      </c>
      <c r="F181" t="str">
        <f>SmtRes!I159</f>
        <v>91.01.02-004</v>
      </c>
      <c r="G181" t="str">
        <f>SmtRes!K159</f>
        <v>Автогрейдеры среднего типа, мощность 99 кВт (135 л.с.)</v>
      </c>
      <c r="H181" t="str">
        <f>SmtRes!O159</f>
        <v>маш.-ч</v>
      </c>
      <c r="I181">
        <f>SmtRes!Y159*Source!I156</f>
        <v>1.7708849999999996</v>
      </c>
      <c r="J181">
        <f>SmtRes!AO159</f>
        <v>1</v>
      </c>
      <c r="K181">
        <f>SmtRes!AF159</f>
        <v>123</v>
      </c>
      <c r="L181">
        <f>SmtRes!DB159</f>
        <v>312.958125</v>
      </c>
      <c r="M181">
        <f>ROUND(ROUND(L181*Source!I156, 6)*1, 2)</f>
        <v>217.82</v>
      </c>
      <c r="N181">
        <f>SmtRes!AB159</f>
        <v>123</v>
      </c>
      <c r="O181">
        <f>ROUND(ROUND(L181*Source!I156, 6)*SmtRes!DA159, 2)</f>
        <v>217.82</v>
      </c>
      <c r="P181">
        <f>SmtRes!AG159</f>
        <v>13.5</v>
      </c>
      <c r="Q181">
        <f>SmtRes!DC159</f>
        <v>34.356250000000003</v>
      </c>
      <c r="R181">
        <f>ROUND(ROUND(Q181*Source!I156, 6)*1, 2)</f>
        <v>23.91</v>
      </c>
      <c r="S181">
        <f>SmtRes!AC159</f>
        <v>13.5</v>
      </c>
      <c r="T181">
        <f>ROUND(ROUND(Q181*Source!I156, 6)*SmtRes!AK159, 2)</f>
        <v>23.91</v>
      </c>
      <c r="U181">
        <f>SmtRes!X159</f>
        <v>645023554</v>
      </c>
      <c r="V181">
        <v>768142974</v>
      </c>
      <c r="W181">
        <v>1262858537</v>
      </c>
    </row>
    <row r="182" spans="1:23" x14ac:dyDescent="0.2">
      <c r="A182">
        <f>Source!A156</f>
        <v>17</v>
      </c>
      <c r="C182">
        <v>1</v>
      </c>
      <c r="D182">
        <v>0</v>
      </c>
      <c r="E182">
        <f>SmtRes!AV158</f>
        <v>2</v>
      </c>
      <c r="F182" t="str">
        <f>SmtRes!I158</f>
        <v>4-100-00</v>
      </c>
      <c r="G182" t="str">
        <f>SmtRes!K158</f>
        <v>Затраты труда машинистов</v>
      </c>
      <c r="H182" t="str">
        <f>SmtRes!O158</f>
        <v>чел.-ч.</v>
      </c>
      <c r="I182">
        <f>SmtRes!Y158*Source!I156</f>
        <v>9.6604799999999997</v>
      </c>
      <c r="J182">
        <f>SmtRes!AO158</f>
        <v>1</v>
      </c>
      <c r="K182">
        <f>SmtRes!AH158</f>
        <v>0</v>
      </c>
      <c r="L182">
        <f>SmtRes!DB158</f>
        <v>0</v>
      </c>
      <c r="M182">
        <f>ROUND(ROUND(L182*Source!I156, 6)*1, 2)</f>
        <v>0</v>
      </c>
      <c r="N182">
        <f>SmtRes!AD158</f>
        <v>0</v>
      </c>
      <c r="O182">
        <f>ROUND(ROUND(L182*Source!I156, 6)*SmtRes!DA158, 2)</f>
        <v>0</v>
      </c>
      <c r="P182">
        <f>SmtRes!AG158</f>
        <v>0</v>
      </c>
      <c r="Q182">
        <f>SmtRes!DC158</f>
        <v>0</v>
      </c>
      <c r="R182">
        <f>ROUND(ROUND(Q182*Source!I156, 6)*1, 2)</f>
        <v>0</v>
      </c>
      <c r="S182">
        <f>SmtRes!AC158</f>
        <v>0</v>
      </c>
      <c r="T182">
        <f>ROUND(ROUND(Q182*Source!I156, 6)*SmtRes!AK158, 2)</f>
        <v>0</v>
      </c>
      <c r="U182">
        <f>SmtRes!X158</f>
        <v>-1417349443</v>
      </c>
      <c r="V182">
        <v>-189065469</v>
      </c>
      <c r="W182">
        <v>1122477533</v>
      </c>
    </row>
    <row r="183" spans="1:23" x14ac:dyDescent="0.2">
      <c r="A183">
        <f>Source!A156</f>
        <v>17</v>
      </c>
      <c r="C183">
        <v>1</v>
      </c>
      <c r="D183">
        <v>0</v>
      </c>
      <c r="E183">
        <f>SmtRes!AV157</f>
        <v>1</v>
      </c>
      <c r="F183" t="str">
        <f>SmtRes!I157</f>
        <v>1-100-23</v>
      </c>
      <c r="G183" t="str">
        <f>SmtRes!K157</f>
        <v>Рабочий среднего разряда 2.3</v>
      </c>
      <c r="H183" t="str">
        <f>SmtRes!O157</f>
        <v>чел.-ч.</v>
      </c>
      <c r="I183">
        <f>SmtRes!Y157*Source!I156</f>
        <v>14.469631199999997</v>
      </c>
      <c r="J183">
        <f>SmtRes!AO157</f>
        <v>1</v>
      </c>
      <c r="K183">
        <f>SmtRes!AH157</f>
        <v>8.02</v>
      </c>
      <c r="L183">
        <f>SmtRes!DB157</f>
        <v>166.727575</v>
      </c>
      <c r="M183">
        <f>ROUND(ROUND(L183*Source!I156, 6)*1, 2)</f>
        <v>116.04</v>
      </c>
      <c r="N183">
        <f>SmtRes!AD157</f>
        <v>8.02</v>
      </c>
      <c r="O183">
        <f>ROUND(ROUND(L183*Source!I156, 6)*SmtRes!DA157, 2)</f>
        <v>116.04</v>
      </c>
      <c r="P183">
        <f>SmtRes!AG157</f>
        <v>0</v>
      </c>
      <c r="Q183">
        <f>SmtRes!DC157</f>
        <v>0</v>
      </c>
      <c r="R183">
        <f>ROUND(ROUND(Q183*Source!I156, 6)*1, 2)</f>
        <v>0</v>
      </c>
      <c r="S183">
        <f>SmtRes!AC157</f>
        <v>0</v>
      </c>
      <c r="T183">
        <f>ROUND(ROUND(Q183*Source!I156, 6)*SmtRes!AK157, 2)</f>
        <v>0</v>
      </c>
      <c r="U183">
        <f>SmtRes!X157</f>
        <v>-228054128</v>
      </c>
      <c r="V183">
        <v>-1057066998</v>
      </c>
      <c r="W183">
        <v>-1107782587</v>
      </c>
    </row>
    <row r="184" spans="1:23" x14ac:dyDescent="0.2">
      <c r="A184">
        <f>Source!A157</f>
        <v>18</v>
      </c>
      <c r="C184">
        <v>3</v>
      </c>
      <c r="D184">
        <f>Source!BI157</f>
        <v>1</v>
      </c>
      <c r="E184">
        <f>Source!FS157</f>
        <v>0</v>
      </c>
      <c r="F184" t="str">
        <f>Source!F157</f>
        <v>02.3.01.02-0015</v>
      </c>
      <c r="G184" t="str">
        <f>Source!G157</f>
        <v>Песок природный для строительных работ средний</v>
      </c>
      <c r="H184" t="str">
        <f>Source!H157</f>
        <v>м3</v>
      </c>
      <c r="I184">
        <f>Source!I157</f>
        <v>71.34</v>
      </c>
      <c r="J184">
        <v>1</v>
      </c>
      <c r="K184">
        <f>Source!AC157</f>
        <v>55.26</v>
      </c>
      <c r="M184">
        <f>ROUND(K184*I184, 2)</f>
        <v>3942.25</v>
      </c>
      <c r="N184">
        <f>Source!AC157*IF(Source!BC157&lt;&gt; 0, Source!BC157, 1)</f>
        <v>55.26</v>
      </c>
      <c r="O184">
        <f>ROUND(N184*I184, 2)</f>
        <v>3942.25</v>
      </c>
      <c r="P184">
        <f>Source!AE157</f>
        <v>0</v>
      </c>
      <c r="R184">
        <f>ROUND(P184*I184, 2)</f>
        <v>0</v>
      </c>
      <c r="S184">
        <f>Source!AE157*IF(Source!BS157&lt;&gt; 0, Source!BS157, 1)</f>
        <v>0</v>
      </c>
      <c r="T184">
        <f>ROUND(S184*I184, 2)</f>
        <v>0</v>
      </c>
      <c r="U184">
        <f>Source!GF157</f>
        <v>-35545874</v>
      </c>
      <c r="V184">
        <v>1327291456</v>
      </c>
      <c r="W184">
        <v>1416435395</v>
      </c>
    </row>
    <row r="185" spans="1:23" x14ac:dyDescent="0.2">
      <c r="A185">
        <f>Source!A158</f>
        <v>17</v>
      </c>
      <c r="C185">
        <v>3</v>
      </c>
      <c r="D185">
        <v>0</v>
      </c>
      <c r="E185">
        <f>SmtRes!AV172</f>
        <v>0</v>
      </c>
      <c r="F185" t="str">
        <f>SmtRes!I172</f>
        <v>01.7.03.01-0001</v>
      </c>
      <c r="G185" t="str">
        <f>SmtRes!K172</f>
        <v>Вода</v>
      </c>
      <c r="H185" t="str">
        <f>SmtRes!O172</f>
        <v>м3</v>
      </c>
      <c r="I185">
        <f>SmtRes!Y172*Source!I158</f>
        <v>7.3079999999999998</v>
      </c>
      <c r="J185">
        <f>SmtRes!AO172</f>
        <v>1</v>
      </c>
      <c r="K185">
        <f>SmtRes!AE172</f>
        <v>2.44</v>
      </c>
      <c r="L185">
        <f>SmtRes!DB172</f>
        <v>17.079999999999998</v>
      </c>
      <c r="M185">
        <f>ROUND(ROUND(L185*Source!I158, 6)*1, 2)</f>
        <v>17.829999999999998</v>
      </c>
      <c r="N185">
        <f>SmtRes!AA172</f>
        <v>2.44</v>
      </c>
      <c r="O185">
        <f>ROUND(ROUND(L185*Source!I158, 6)*SmtRes!DA172, 2)</f>
        <v>17.829999999999998</v>
      </c>
      <c r="P185">
        <f>SmtRes!AG172</f>
        <v>0</v>
      </c>
      <c r="Q185">
        <f>SmtRes!DC172</f>
        <v>0</v>
      </c>
      <c r="R185">
        <f>ROUND(ROUND(Q185*Source!I158, 6)*1, 2)</f>
        <v>0</v>
      </c>
      <c r="S185">
        <f>SmtRes!AC172</f>
        <v>0</v>
      </c>
      <c r="T185">
        <f>ROUND(ROUND(Q185*Source!I158, 6)*SmtRes!AK172, 2)</f>
        <v>0</v>
      </c>
      <c r="U185">
        <f>SmtRes!X172</f>
        <v>-1660354250</v>
      </c>
      <c r="V185">
        <v>1600079109</v>
      </c>
      <c r="W185">
        <v>-1353927395</v>
      </c>
    </row>
    <row r="186" spans="1:23" x14ac:dyDescent="0.2">
      <c r="A186">
        <f>Source!A158</f>
        <v>17</v>
      </c>
      <c r="C186">
        <v>2</v>
      </c>
      <c r="D186">
        <v>0</v>
      </c>
      <c r="E186">
        <f>SmtRes!AV171</f>
        <v>0</v>
      </c>
      <c r="F186" t="str">
        <f>SmtRes!I171</f>
        <v>91.13.01-038</v>
      </c>
      <c r="G186" t="str">
        <f>SmtRes!K171</f>
        <v>Машины поливомоечные 6000 л</v>
      </c>
      <c r="H186" t="str">
        <f>SmtRes!O171</f>
        <v>маш.-ч</v>
      </c>
      <c r="I186">
        <f>SmtRes!Y171*Source!I158</f>
        <v>1.5607799999999998</v>
      </c>
      <c r="J186">
        <f>SmtRes!AO171</f>
        <v>1</v>
      </c>
      <c r="K186">
        <f>SmtRes!AF171</f>
        <v>110</v>
      </c>
      <c r="L186">
        <f>SmtRes!DB171</f>
        <v>164.45</v>
      </c>
      <c r="M186">
        <f>ROUND(ROUND(L186*Source!I158, 6)*1, 2)</f>
        <v>171.69</v>
      </c>
      <c r="N186">
        <f>SmtRes!AB171</f>
        <v>110</v>
      </c>
      <c r="O186">
        <f>ROUND(ROUND(L186*Source!I158, 6)*SmtRes!DA171, 2)</f>
        <v>171.69</v>
      </c>
      <c r="P186">
        <f>SmtRes!AG171</f>
        <v>11.6</v>
      </c>
      <c r="Q186">
        <f>SmtRes!DC171</f>
        <v>17.33625</v>
      </c>
      <c r="R186">
        <f>ROUND(ROUND(Q186*Source!I158, 6)*1, 2)</f>
        <v>18.100000000000001</v>
      </c>
      <c r="S186">
        <f>SmtRes!AC171</f>
        <v>11.6</v>
      </c>
      <c r="T186">
        <f>ROUND(ROUND(Q186*Source!I158, 6)*SmtRes!AK171, 2)</f>
        <v>18.100000000000001</v>
      </c>
      <c r="U186">
        <f>SmtRes!X171</f>
        <v>529073949</v>
      </c>
      <c r="V186">
        <v>1523196189</v>
      </c>
      <c r="W186">
        <v>-349103294</v>
      </c>
    </row>
    <row r="187" spans="1:23" x14ac:dyDescent="0.2">
      <c r="A187">
        <f>Source!A158</f>
        <v>17</v>
      </c>
      <c r="C187">
        <v>2</v>
      </c>
      <c r="D187">
        <v>0</v>
      </c>
      <c r="E187">
        <f>SmtRes!AV170</f>
        <v>0</v>
      </c>
      <c r="F187" t="str">
        <f>SmtRes!I170</f>
        <v>91.08.03-030</v>
      </c>
      <c r="G187" t="str">
        <f>SmtRes!K170</f>
        <v>Катки на пневмоколесном ходу, масса 30 т</v>
      </c>
      <c r="H187" t="str">
        <f>SmtRes!O170</f>
        <v>маш.-ч</v>
      </c>
      <c r="I187">
        <f>SmtRes!Y170*Source!I158</f>
        <v>18.324157499999998</v>
      </c>
      <c r="J187">
        <f>SmtRes!AO170</f>
        <v>1</v>
      </c>
      <c r="K187">
        <f>SmtRes!AF170</f>
        <v>206.01</v>
      </c>
      <c r="L187">
        <f>SmtRes!DB170</f>
        <v>3615.8587499999999</v>
      </c>
      <c r="M187">
        <f>ROUND(ROUND(L187*Source!I158, 6)*1, 2)</f>
        <v>3774.96</v>
      </c>
      <c r="N187">
        <f>SmtRes!AB170</f>
        <v>206.01</v>
      </c>
      <c r="O187">
        <f>ROUND(ROUND(L187*Source!I158, 6)*SmtRes!DA170, 2)</f>
        <v>3774.96</v>
      </c>
      <c r="P187">
        <f>SmtRes!AG170</f>
        <v>14.4</v>
      </c>
      <c r="Q187">
        <f>SmtRes!DC170</f>
        <v>252.74125000000001</v>
      </c>
      <c r="R187">
        <f>ROUND(ROUND(Q187*Source!I158, 6)*1, 2)</f>
        <v>263.86</v>
      </c>
      <c r="S187">
        <f>SmtRes!AC170</f>
        <v>14.4</v>
      </c>
      <c r="T187">
        <f>ROUND(ROUND(Q187*Source!I158, 6)*SmtRes!AK170, 2)</f>
        <v>263.86</v>
      </c>
      <c r="U187">
        <f>SmtRes!X170</f>
        <v>1663826256</v>
      </c>
      <c r="V187">
        <v>1045291655</v>
      </c>
      <c r="W187">
        <v>-500549999</v>
      </c>
    </row>
    <row r="188" spans="1:23" x14ac:dyDescent="0.2">
      <c r="A188">
        <f>Source!A158</f>
        <v>17</v>
      </c>
      <c r="C188">
        <v>2</v>
      </c>
      <c r="D188">
        <v>0</v>
      </c>
      <c r="E188">
        <f>SmtRes!AV169</f>
        <v>0</v>
      </c>
      <c r="F188" t="str">
        <f>SmtRes!I169</f>
        <v>91.06.05-011</v>
      </c>
      <c r="G188" t="str">
        <f>SmtRes!K169</f>
        <v>Погрузчик, грузоподъемность 5 т</v>
      </c>
      <c r="H188" t="str">
        <f>SmtRes!O169</f>
        <v>маш.-ч</v>
      </c>
      <c r="I188">
        <f>SmtRes!Y169*Source!I158</f>
        <v>3.6918449999999998</v>
      </c>
      <c r="J188">
        <f>SmtRes!AO169</f>
        <v>1</v>
      </c>
      <c r="K188">
        <f>SmtRes!AF169</f>
        <v>89.99</v>
      </c>
      <c r="L188">
        <f>SmtRes!DB169</f>
        <v>318.23374999999999</v>
      </c>
      <c r="M188">
        <f>ROUND(ROUND(L188*Source!I158, 6)*1, 2)</f>
        <v>332.24</v>
      </c>
      <c r="N188">
        <f>SmtRes!AB169</f>
        <v>89.99</v>
      </c>
      <c r="O188">
        <f>ROUND(ROUND(L188*Source!I158, 6)*SmtRes!DA169, 2)</f>
        <v>332.24</v>
      </c>
      <c r="P188">
        <f>SmtRes!AG169</f>
        <v>10.06</v>
      </c>
      <c r="Q188">
        <f>SmtRes!DC169</f>
        <v>35.578125</v>
      </c>
      <c r="R188">
        <f>ROUND(ROUND(Q188*Source!I158, 6)*1, 2)</f>
        <v>37.14</v>
      </c>
      <c r="S188">
        <f>SmtRes!AC169</f>
        <v>10.06</v>
      </c>
      <c r="T188">
        <f>ROUND(ROUND(Q188*Source!I158, 6)*SmtRes!AK169, 2)</f>
        <v>37.14</v>
      </c>
      <c r="U188">
        <f>SmtRes!X169</f>
        <v>1225731627</v>
      </c>
      <c r="V188">
        <v>1013383888</v>
      </c>
      <c r="W188">
        <v>1423950272</v>
      </c>
    </row>
    <row r="189" spans="1:23" x14ac:dyDescent="0.2">
      <c r="A189">
        <f>Source!A158</f>
        <v>17</v>
      </c>
      <c r="C189">
        <v>2</v>
      </c>
      <c r="D189">
        <v>0</v>
      </c>
      <c r="E189">
        <f>SmtRes!AV168</f>
        <v>0</v>
      </c>
      <c r="F189" t="str">
        <f>SmtRes!I168</f>
        <v>91.01.02-004</v>
      </c>
      <c r="G189" t="str">
        <f>SmtRes!K168</f>
        <v>Автогрейдеры среднего типа, мощность 99 кВт (135 л.с.)</v>
      </c>
      <c r="H189" t="str">
        <f>SmtRes!O168</f>
        <v>маш.-ч</v>
      </c>
      <c r="I189">
        <f>SmtRes!Y168*Source!I158</f>
        <v>3.4517249999999997</v>
      </c>
      <c r="J189">
        <f>SmtRes!AO168</f>
        <v>1</v>
      </c>
      <c r="K189">
        <f>SmtRes!AF168</f>
        <v>123</v>
      </c>
      <c r="L189">
        <f>SmtRes!DB168</f>
        <v>406.66874999999999</v>
      </c>
      <c r="M189">
        <f>ROUND(ROUND(L189*Source!I158, 6)*1, 2)</f>
        <v>424.56</v>
      </c>
      <c r="N189">
        <f>SmtRes!AB168</f>
        <v>123</v>
      </c>
      <c r="O189">
        <f>ROUND(ROUND(L189*Source!I158, 6)*SmtRes!DA168, 2)</f>
        <v>424.56</v>
      </c>
      <c r="P189">
        <f>SmtRes!AG168</f>
        <v>13.5</v>
      </c>
      <c r="Q189">
        <f>SmtRes!DC168</f>
        <v>44.634374999999999</v>
      </c>
      <c r="R189">
        <f>ROUND(ROUND(Q189*Source!I158, 6)*1, 2)</f>
        <v>46.6</v>
      </c>
      <c r="S189">
        <f>SmtRes!AC168</f>
        <v>13.5</v>
      </c>
      <c r="T189">
        <f>ROUND(ROUND(Q189*Source!I158, 6)*SmtRes!AK168, 2)</f>
        <v>46.6</v>
      </c>
      <c r="U189">
        <f>SmtRes!X168</f>
        <v>645023554</v>
      </c>
      <c r="V189">
        <v>768142974</v>
      </c>
      <c r="W189">
        <v>1262858537</v>
      </c>
    </row>
    <row r="190" spans="1:23" x14ac:dyDescent="0.2">
      <c r="A190">
        <f>Source!A158</f>
        <v>17</v>
      </c>
      <c r="C190">
        <v>2</v>
      </c>
      <c r="D190">
        <v>0</v>
      </c>
      <c r="E190">
        <f>SmtRes!AV167</f>
        <v>0</v>
      </c>
      <c r="F190" t="str">
        <f>SmtRes!I167</f>
        <v>91.01.01-035</v>
      </c>
      <c r="G190" t="str">
        <f>SmtRes!K167</f>
        <v>Бульдозеры, мощность 79 кВт (108 л.с.)</v>
      </c>
      <c r="H190" t="str">
        <f>SmtRes!O167</f>
        <v>маш.-ч</v>
      </c>
      <c r="I190">
        <f>SmtRes!Y167*Source!I158</f>
        <v>3.8869424999999995</v>
      </c>
      <c r="J190">
        <f>SmtRes!AO167</f>
        <v>1</v>
      </c>
      <c r="K190">
        <f>SmtRes!AF167</f>
        <v>79.069999999999993</v>
      </c>
      <c r="L190">
        <f>SmtRes!DB167</f>
        <v>294.385625</v>
      </c>
      <c r="M190">
        <f>ROUND(ROUND(L190*Source!I158, 6)*1, 2)</f>
        <v>307.33999999999997</v>
      </c>
      <c r="N190">
        <f>SmtRes!AB167</f>
        <v>79.069999999999993</v>
      </c>
      <c r="O190">
        <f>ROUND(ROUND(L190*Source!I158, 6)*SmtRes!DA167, 2)</f>
        <v>307.33999999999997</v>
      </c>
      <c r="P190">
        <f>SmtRes!AG167</f>
        <v>13.5</v>
      </c>
      <c r="Q190">
        <f>SmtRes!DC167</f>
        <v>50.269374999999997</v>
      </c>
      <c r="R190">
        <f>ROUND(ROUND(Q190*Source!I158, 6)*1, 2)</f>
        <v>52.48</v>
      </c>
      <c r="S190">
        <f>SmtRes!AC167</f>
        <v>13.5</v>
      </c>
      <c r="T190">
        <f>ROUND(ROUND(Q190*Source!I158, 6)*SmtRes!AK167, 2)</f>
        <v>52.48</v>
      </c>
      <c r="U190">
        <f>SmtRes!X167</f>
        <v>-1071764843</v>
      </c>
      <c r="V190">
        <v>1931967936</v>
      </c>
      <c r="W190">
        <v>1875679958</v>
      </c>
    </row>
    <row r="191" spans="1:23" x14ac:dyDescent="0.2">
      <c r="A191">
        <f>Source!A158</f>
        <v>17</v>
      </c>
      <c r="C191">
        <v>1</v>
      </c>
      <c r="D191">
        <v>0</v>
      </c>
      <c r="E191">
        <f>SmtRes!AV166</f>
        <v>2</v>
      </c>
      <c r="F191" t="str">
        <f>SmtRes!I166</f>
        <v>4-100-00</v>
      </c>
      <c r="G191" t="str">
        <f>SmtRes!K166</f>
        <v>Затраты труда машинистов</v>
      </c>
      <c r="H191" t="str">
        <f>SmtRes!O166</f>
        <v>чел.-ч.</v>
      </c>
      <c r="I191">
        <f>SmtRes!Y166*Source!I158</f>
        <v>21.506400000000003</v>
      </c>
      <c r="J191">
        <f>SmtRes!AO166</f>
        <v>1</v>
      </c>
      <c r="K191">
        <f>SmtRes!AH166</f>
        <v>0</v>
      </c>
      <c r="L191">
        <f>SmtRes!DB166</f>
        <v>0</v>
      </c>
      <c r="M191">
        <f>ROUND(ROUND(L191*Source!I158, 6)*1, 2)</f>
        <v>0</v>
      </c>
      <c r="N191">
        <f>SmtRes!AD166</f>
        <v>0</v>
      </c>
      <c r="O191">
        <f>ROUND(ROUND(L191*Source!I158, 6)*SmtRes!DA166, 2)</f>
        <v>0</v>
      </c>
      <c r="P191">
        <f>SmtRes!AG166</f>
        <v>0</v>
      </c>
      <c r="Q191">
        <f>SmtRes!DC166</f>
        <v>0</v>
      </c>
      <c r="R191">
        <f>ROUND(ROUND(Q191*Source!I158, 6)*1, 2)</f>
        <v>0</v>
      </c>
      <c r="S191">
        <f>SmtRes!AC166</f>
        <v>0</v>
      </c>
      <c r="T191">
        <f>ROUND(ROUND(Q191*Source!I158, 6)*SmtRes!AK166, 2)</f>
        <v>0</v>
      </c>
      <c r="U191">
        <f>SmtRes!X166</f>
        <v>-1417349443</v>
      </c>
      <c r="V191">
        <v>-189065469</v>
      </c>
      <c r="W191">
        <v>1122477533</v>
      </c>
    </row>
    <row r="192" spans="1:23" x14ac:dyDescent="0.2">
      <c r="A192">
        <f>Source!A158</f>
        <v>17</v>
      </c>
      <c r="C192">
        <v>1</v>
      </c>
      <c r="D192">
        <v>0</v>
      </c>
      <c r="E192">
        <f>SmtRes!AV165</f>
        <v>1</v>
      </c>
      <c r="F192" t="str">
        <f>SmtRes!I165</f>
        <v>1-100-24</v>
      </c>
      <c r="G192" t="str">
        <f>SmtRes!K165</f>
        <v>Рабочий среднего разряда 2.4</v>
      </c>
      <c r="H192" t="str">
        <f>SmtRes!O165</f>
        <v>чел.-ч.</v>
      </c>
      <c r="I192">
        <f>SmtRes!Y165*Source!I158</f>
        <v>33.3988911</v>
      </c>
      <c r="J192">
        <f>SmtRes!AO165</f>
        <v>1</v>
      </c>
      <c r="K192">
        <f>SmtRes!AH165</f>
        <v>8.09</v>
      </c>
      <c r="L192">
        <f>SmtRes!DB165</f>
        <v>258.81324999999998</v>
      </c>
      <c r="M192">
        <f>ROUND(ROUND(L192*Source!I158, 6)*1, 2)</f>
        <v>270.2</v>
      </c>
      <c r="N192">
        <f>SmtRes!AD165</f>
        <v>8.09</v>
      </c>
      <c r="O192">
        <f>ROUND(ROUND(L192*Source!I158, 6)*SmtRes!DA165, 2)</f>
        <v>270.2</v>
      </c>
      <c r="P192">
        <f>SmtRes!AG165</f>
        <v>0</v>
      </c>
      <c r="Q192">
        <f>SmtRes!DC165</f>
        <v>0</v>
      </c>
      <c r="R192">
        <f>ROUND(ROUND(Q192*Source!I158, 6)*1, 2)</f>
        <v>0</v>
      </c>
      <c r="S192">
        <f>SmtRes!AC165</f>
        <v>0</v>
      </c>
      <c r="T192">
        <f>ROUND(ROUND(Q192*Source!I158, 6)*SmtRes!AK165, 2)</f>
        <v>0</v>
      </c>
      <c r="U192">
        <f>SmtRes!X165</f>
        <v>371339561</v>
      </c>
      <c r="V192">
        <v>38492182</v>
      </c>
      <c r="W192">
        <v>135343476</v>
      </c>
    </row>
    <row r="193" spans="1:23" x14ac:dyDescent="0.2">
      <c r="A193">
        <f>Source!A159</f>
        <v>18</v>
      </c>
      <c r="C193">
        <v>3</v>
      </c>
      <c r="D193">
        <f>Source!BI159</f>
        <v>1</v>
      </c>
      <c r="E193">
        <f>Source!FS159</f>
        <v>0</v>
      </c>
      <c r="F193" t="str">
        <f>Source!F159</f>
        <v>02.2.05.04-0046</v>
      </c>
      <c r="G193" t="str">
        <f>Source!G159</f>
        <v>Щебень из гравия для строительных работ марка 600, фракция 10-20 мм</v>
      </c>
      <c r="H193" t="str">
        <f>Source!H159</f>
        <v>м3</v>
      </c>
      <c r="I193">
        <f>Source!I159</f>
        <v>106.488</v>
      </c>
      <c r="J193">
        <v>1</v>
      </c>
      <c r="K193">
        <f>Source!AC159</f>
        <v>139.63</v>
      </c>
      <c r="M193">
        <f>ROUND(K193*I193, 2)</f>
        <v>14868.92</v>
      </c>
      <c r="N193">
        <f>Source!AC159*IF(Source!BC159&lt;&gt; 0, Source!BC159, 1)</f>
        <v>139.63</v>
      </c>
      <c r="O193">
        <f>ROUND(N193*I193, 2)</f>
        <v>14868.92</v>
      </c>
      <c r="P193">
        <f>Source!AE159</f>
        <v>0</v>
      </c>
      <c r="R193">
        <f>ROUND(P193*I193, 2)</f>
        <v>0</v>
      </c>
      <c r="S193">
        <f>Source!AE159*IF(Source!BS159&lt;&gt; 0, Source!BS159, 1)</f>
        <v>0</v>
      </c>
      <c r="T193">
        <f>ROUND(S193*I193, 2)</f>
        <v>0</v>
      </c>
      <c r="U193">
        <f>Source!GF159</f>
        <v>992648480</v>
      </c>
      <c r="V193">
        <v>1177234434</v>
      </c>
      <c r="W193">
        <v>624224960</v>
      </c>
    </row>
    <row r="194" spans="1:23" x14ac:dyDescent="0.2">
      <c r="A194">
        <f>Source!A160</f>
        <v>17</v>
      </c>
      <c r="C194">
        <v>3</v>
      </c>
      <c r="D194">
        <v>0</v>
      </c>
      <c r="E194">
        <f>SmtRes!AV187</f>
        <v>0</v>
      </c>
      <c r="F194" t="str">
        <f>SmtRes!I187</f>
        <v>11.1.03.01-0079</v>
      </c>
      <c r="G194" t="str">
        <f>SmtRes!K187</f>
        <v>Бруски обрезные хвойных пород длиной 4-6,5 м, шириной 75-150 мм, толщиной 40-75 мм, III сорта</v>
      </c>
      <c r="H194" t="str">
        <f>SmtRes!O187</f>
        <v>м3</v>
      </c>
      <c r="I194">
        <f>SmtRes!Y187*Source!I160</f>
        <v>5.2199999999999996E-2</v>
      </c>
      <c r="J194">
        <f>SmtRes!AO187</f>
        <v>1</v>
      </c>
      <c r="K194">
        <f>SmtRes!AE187</f>
        <v>1287</v>
      </c>
      <c r="L194">
        <f>SmtRes!DB187</f>
        <v>193.05</v>
      </c>
      <c r="M194">
        <f>ROUND(ROUND(L194*Source!I160, 6)*1, 2)</f>
        <v>67.180000000000007</v>
      </c>
      <c r="N194">
        <f>SmtRes!AA187</f>
        <v>1287</v>
      </c>
      <c r="O194">
        <f>ROUND(ROUND(L194*Source!I160, 6)*SmtRes!DA187, 2)</f>
        <v>67.180000000000007</v>
      </c>
      <c r="P194">
        <f>SmtRes!AG187</f>
        <v>0</v>
      </c>
      <c r="Q194">
        <f>SmtRes!DC187</f>
        <v>0</v>
      </c>
      <c r="R194">
        <f>ROUND(ROUND(Q194*Source!I160, 6)*1, 2)</f>
        <v>0</v>
      </c>
      <c r="S194">
        <f>SmtRes!AC187</f>
        <v>0</v>
      </c>
      <c r="T194">
        <f>ROUND(ROUND(Q194*Source!I160, 6)*SmtRes!AK187, 2)</f>
        <v>0</v>
      </c>
      <c r="U194">
        <f>SmtRes!X187</f>
        <v>-395792271</v>
      </c>
      <c r="V194">
        <v>-345318393</v>
      </c>
      <c r="W194">
        <v>232585860</v>
      </c>
    </row>
    <row r="195" spans="1:23" x14ac:dyDescent="0.2">
      <c r="A195">
        <f>Source!A160</f>
        <v>17</v>
      </c>
      <c r="C195">
        <v>3</v>
      </c>
      <c r="D195">
        <v>0</v>
      </c>
      <c r="E195">
        <f>SmtRes!AV186</f>
        <v>0</v>
      </c>
      <c r="F195" t="str">
        <f>SmtRes!I186</f>
        <v>08.1.02.11-0001</v>
      </c>
      <c r="G195" t="str">
        <f>SmtRes!K186</f>
        <v>Поковки из квадратных заготовок, масса 1,8 кг</v>
      </c>
      <c r="H195" t="str">
        <f>SmtRes!O186</f>
        <v>т</v>
      </c>
      <c r="I195">
        <f>SmtRes!Y186*Source!I160</f>
        <v>2.1576E-3</v>
      </c>
      <c r="J195">
        <f>SmtRes!AO186</f>
        <v>1</v>
      </c>
      <c r="K195">
        <f>SmtRes!AE186</f>
        <v>5989</v>
      </c>
      <c r="L195">
        <f>SmtRes!DB186</f>
        <v>37.130000000000003</v>
      </c>
      <c r="M195">
        <f>ROUND(ROUND(L195*Source!I160, 6)*1, 2)</f>
        <v>12.92</v>
      </c>
      <c r="N195">
        <f>SmtRes!AA186</f>
        <v>5989</v>
      </c>
      <c r="O195">
        <f>ROUND(ROUND(L195*Source!I160, 6)*SmtRes!DA186, 2)</f>
        <v>12.92</v>
      </c>
      <c r="P195">
        <f>SmtRes!AG186</f>
        <v>0</v>
      </c>
      <c r="Q195">
        <f>SmtRes!DC186</f>
        <v>0</v>
      </c>
      <c r="R195">
        <f>ROUND(ROUND(Q195*Source!I160, 6)*1, 2)</f>
        <v>0</v>
      </c>
      <c r="S195">
        <f>SmtRes!AC186</f>
        <v>0</v>
      </c>
      <c r="T195">
        <f>ROUND(ROUND(Q195*Source!I160, 6)*SmtRes!AK186, 2)</f>
        <v>0</v>
      </c>
      <c r="U195">
        <f>SmtRes!X186</f>
        <v>-1756095795</v>
      </c>
      <c r="V195">
        <v>1262738784</v>
      </c>
      <c r="W195">
        <v>37467868</v>
      </c>
    </row>
    <row r="196" spans="1:23" x14ac:dyDescent="0.2">
      <c r="A196">
        <f>Source!A160</f>
        <v>17</v>
      </c>
      <c r="C196">
        <v>3</v>
      </c>
      <c r="D196">
        <v>0</v>
      </c>
      <c r="E196">
        <f>SmtRes!AV184</f>
        <v>0</v>
      </c>
      <c r="F196" t="str">
        <f>SmtRes!I184</f>
        <v>01.7.03.01-0001</v>
      </c>
      <c r="G196" t="str">
        <f>SmtRes!K184</f>
        <v>Вода</v>
      </c>
      <c r="H196" t="str">
        <f>SmtRes!O184</f>
        <v>м3</v>
      </c>
      <c r="I196">
        <f>SmtRes!Y184*Source!I160</f>
        <v>6.9599999999999995E-2</v>
      </c>
      <c r="J196">
        <f>SmtRes!AO184</f>
        <v>1</v>
      </c>
      <c r="K196">
        <f>SmtRes!AE184</f>
        <v>2.44</v>
      </c>
      <c r="L196">
        <f>SmtRes!DB184</f>
        <v>0.49</v>
      </c>
      <c r="M196">
        <f>ROUND(ROUND(L196*Source!I160, 6)*1, 2)</f>
        <v>0.17</v>
      </c>
      <c r="N196">
        <f>SmtRes!AA184</f>
        <v>2.44</v>
      </c>
      <c r="O196">
        <f>ROUND(ROUND(L196*Source!I160, 6)*SmtRes!DA184, 2)</f>
        <v>0.17</v>
      </c>
      <c r="P196">
        <f>SmtRes!AG184</f>
        <v>0</v>
      </c>
      <c r="Q196">
        <f>SmtRes!DC184</f>
        <v>0</v>
      </c>
      <c r="R196">
        <f>ROUND(ROUND(Q196*Source!I160, 6)*1, 2)</f>
        <v>0</v>
      </c>
      <c r="S196">
        <f>SmtRes!AC184</f>
        <v>0</v>
      </c>
      <c r="T196">
        <f>ROUND(ROUND(Q196*Source!I160, 6)*SmtRes!AK184, 2)</f>
        <v>0</v>
      </c>
      <c r="U196">
        <f>SmtRes!X184</f>
        <v>-1660354250</v>
      </c>
      <c r="V196">
        <v>1600079109</v>
      </c>
      <c r="W196">
        <v>-1353927395</v>
      </c>
    </row>
    <row r="197" spans="1:23" x14ac:dyDescent="0.2">
      <c r="A197">
        <f>Source!A160</f>
        <v>17</v>
      </c>
      <c r="C197">
        <v>2</v>
      </c>
      <c r="D197">
        <v>0</v>
      </c>
      <c r="E197">
        <f>SmtRes!AV182</f>
        <v>0</v>
      </c>
      <c r="F197" t="str">
        <f>SmtRes!I182</f>
        <v>91.14.02-001</v>
      </c>
      <c r="G197" t="str">
        <f>SmtRes!K182</f>
        <v>Автомобили бортовые, грузоподъемность до 5 т</v>
      </c>
      <c r="H197" t="str">
        <f>SmtRes!O182</f>
        <v>маш.-ч</v>
      </c>
      <c r="I197">
        <f>SmtRes!Y182*Source!I160</f>
        <v>2.0009999999999997E-2</v>
      </c>
      <c r="J197">
        <f>SmtRes!AO182</f>
        <v>1</v>
      </c>
      <c r="K197">
        <f>SmtRes!AF182</f>
        <v>65.709999999999994</v>
      </c>
      <c r="L197">
        <f>SmtRes!DB182</f>
        <v>3.7806250000000001</v>
      </c>
      <c r="M197">
        <f>ROUND(ROUND(L197*Source!I160, 6)*1, 2)</f>
        <v>1.32</v>
      </c>
      <c r="N197">
        <f>SmtRes!AB182</f>
        <v>65.709999999999994</v>
      </c>
      <c r="O197">
        <f>ROUND(ROUND(L197*Source!I160, 6)*SmtRes!DA182, 2)</f>
        <v>1.32</v>
      </c>
      <c r="P197">
        <f>SmtRes!AG182</f>
        <v>11.6</v>
      </c>
      <c r="Q197">
        <f>SmtRes!DC182</f>
        <v>0.66125</v>
      </c>
      <c r="R197">
        <f>ROUND(ROUND(Q197*Source!I160, 6)*1, 2)</f>
        <v>0.23</v>
      </c>
      <c r="S197">
        <f>SmtRes!AC182</f>
        <v>11.6</v>
      </c>
      <c r="T197">
        <f>ROUND(ROUND(Q197*Source!I160, 6)*SmtRes!AK182, 2)</f>
        <v>0.23</v>
      </c>
      <c r="U197">
        <f>SmtRes!X182</f>
        <v>1372534845</v>
      </c>
      <c r="V197">
        <v>-238339799</v>
      </c>
      <c r="W197">
        <v>1792116812</v>
      </c>
    </row>
    <row r="198" spans="1:23" x14ac:dyDescent="0.2">
      <c r="A198">
        <f>Source!A160</f>
        <v>17</v>
      </c>
      <c r="C198">
        <v>2</v>
      </c>
      <c r="D198">
        <v>0</v>
      </c>
      <c r="E198">
        <f>SmtRes!AV181</f>
        <v>0</v>
      </c>
      <c r="F198" t="str">
        <f>SmtRes!I181</f>
        <v>91.13.01-038</v>
      </c>
      <c r="G198" t="str">
        <f>SmtRes!K181</f>
        <v>Машины поливомоечные 6000 л</v>
      </c>
      <c r="H198" t="str">
        <f>SmtRes!O181</f>
        <v>маш.-ч</v>
      </c>
      <c r="I198">
        <f>SmtRes!Y181*Source!I160</f>
        <v>0.19509749999999995</v>
      </c>
      <c r="J198">
        <f>SmtRes!AO181</f>
        <v>1</v>
      </c>
      <c r="K198">
        <f>SmtRes!AF181</f>
        <v>110</v>
      </c>
      <c r="L198">
        <f>SmtRes!DB181</f>
        <v>61.668750000000003</v>
      </c>
      <c r="M198">
        <f>ROUND(ROUND(L198*Source!I160, 6)*1, 2)</f>
        <v>21.46</v>
      </c>
      <c r="N198">
        <f>SmtRes!AB181</f>
        <v>110</v>
      </c>
      <c r="O198">
        <f>ROUND(ROUND(L198*Source!I160, 6)*SmtRes!DA181, 2)</f>
        <v>21.46</v>
      </c>
      <c r="P198">
        <f>SmtRes!AG181</f>
        <v>11.6</v>
      </c>
      <c r="Q198">
        <f>SmtRes!DC181</f>
        <v>6.4974999999999996</v>
      </c>
      <c r="R198">
        <f>ROUND(ROUND(Q198*Source!I160, 6)*1, 2)</f>
        <v>2.2599999999999998</v>
      </c>
      <c r="S198">
        <f>SmtRes!AC181</f>
        <v>11.6</v>
      </c>
      <c r="T198">
        <f>ROUND(ROUND(Q198*Source!I160, 6)*SmtRes!AK181, 2)</f>
        <v>2.2599999999999998</v>
      </c>
      <c r="U198">
        <f>SmtRes!X181</f>
        <v>529073949</v>
      </c>
      <c r="V198">
        <v>1523196189</v>
      </c>
      <c r="W198">
        <v>-349103294</v>
      </c>
    </row>
    <row r="199" spans="1:23" x14ac:dyDescent="0.2">
      <c r="A199">
        <f>Source!A160</f>
        <v>17</v>
      </c>
      <c r="C199">
        <v>2</v>
      </c>
      <c r="D199">
        <v>0</v>
      </c>
      <c r="E199">
        <f>SmtRes!AV180</f>
        <v>0</v>
      </c>
      <c r="F199" t="str">
        <f>SmtRes!I180</f>
        <v>91.08.03-018</v>
      </c>
      <c r="G199" t="str">
        <f>SmtRes!K180</f>
        <v>Катки дорожные самоходные гладкие, масса 13 т</v>
      </c>
      <c r="H199" t="str">
        <f>SmtRes!O180</f>
        <v>маш.-ч</v>
      </c>
      <c r="I199">
        <f>SmtRes!Y180*Source!I160</f>
        <v>5.7578775000000002</v>
      </c>
      <c r="J199">
        <f>SmtRes!AO180</f>
        <v>1</v>
      </c>
      <c r="K199">
        <f>SmtRes!AF180</f>
        <v>121</v>
      </c>
      <c r="L199">
        <f>SmtRes!DB180</f>
        <v>2002.0206250000001</v>
      </c>
      <c r="M199">
        <f>ROUND(ROUND(L199*Source!I160, 6)*1, 2)</f>
        <v>696.7</v>
      </c>
      <c r="N199">
        <f>SmtRes!AB180</f>
        <v>121</v>
      </c>
      <c r="O199">
        <f>ROUND(ROUND(L199*Source!I160, 6)*SmtRes!DA180, 2)</f>
        <v>696.7</v>
      </c>
      <c r="P199">
        <f>SmtRes!AG180</f>
        <v>14.4</v>
      </c>
      <c r="Q199">
        <f>SmtRes!DC180</f>
        <v>238.25125</v>
      </c>
      <c r="R199">
        <f>ROUND(ROUND(Q199*Source!I160, 6)*1, 2)</f>
        <v>82.91</v>
      </c>
      <c r="S199">
        <f>SmtRes!AC180</f>
        <v>14.4</v>
      </c>
      <c r="T199">
        <f>ROUND(ROUND(Q199*Source!I160, 6)*SmtRes!AK180, 2)</f>
        <v>82.91</v>
      </c>
      <c r="U199">
        <f>SmtRes!X180</f>
        <v>-1649076460</v>
      </c>
      <c r="V199">
        <v>-1872977298</v>
      </c>
      <c r="W199">
        <v>-207381279</v>
      </c>
    </row>
    <row r="200" spans="1:23" x14ac:dyDescent="0.2">
      <c r="A200">
        <f>Source!A160</f>
        <v>17</v>
      </c>
      <c r="C200">
        <v>2</v>
      </c>
      <c r="D200">
        <v>0</v>
      </c>
      <c r="E200">
        <f>SmtRes!AV179</f>
        <v>0</v>
      </c>
      <c r="F200" t="str">
        <f>SmtRes!I179</f>
        <v>91.08.03-016</v>
      </c>
      <c r="G200" t="str">
        <f>SmtRes!K179</f>
        <v>Катки дорожные самоходные гладкие, масса 8 т</v>
      </c>
      <c r="H200" t="str">
        <f>SmtRes!O179</f>
        <v>маш.-ч</v>
      </c>
      <c r="I200">
        <f>SmtRes!Y179*Source!I160</f>
        <v>1.9809899999999996</v>
      </c>
      <c r="J200">
        <f>SmtRes!AO179</f>
        <v>1</v>
      </c>
      <c r="K200">
        <f>SmtRes!AF179</f>
        <v>75</v>
      </c>
      <c r="L200">
        <f>SmtRes!DB179</f>
        <v>426.9375</v>
      </c>
      <c r="M200">
        <f>ROUND(ROUND(L200*Source!I160, 6)*1, 2)</f>
        <v>148.57</v>
      </c>
      <c r="N200">
        <f>SmtRes!AB179</f>
        <v>75</v>
      </c>
      <c r="O200">
        <f>ROUND(ROUND(L200*Source!I160, 6)*SmtRes!DA179, 2)</f>
        <v>148.57</v>
      </c>
      <c r="P200">
        <f>SmtRes!AG179</f>
        <v>11.6</v>
      </c>
      <c r="Q200">
        <f>SmtRes!DC179</f>
        <v>66.038749999999993</v>
      </c>
      <c r="R200">
        <f>ROUND(ROUND(Q200*Source!I160, 6)*1, 2)</f>
        <v>22.98</v>
      </c>
      <c r="S200">
        <f>SmtRes!AC179</f>
        <v>11.6</v>
      </c>
      <c r="T200">
        <f>ROUND(ROUND(Q200*Source!I160, 6)*SmtRes!AK179, 2)</f>
        <v>22.98</v>
      </c>
      <c r="U200">
        <f>SmtRes!X179</f>
        <v>-891970060</v>
      </c>
      <c r="V200">
        <v>-358451234</v>
      </c>
      <c r="W200">
        <v>1930194365</v>
      </c>
    </row>
    <row r="201" spans="1:23" x14ac:dyDescent="0.2">
      <c r="A201">
        <f>Source!A160</f>
        <v>17</v>
      </c>
      <c r="C201">
        <v>2</v>
      </c>
      <c r="D201">
        <v>0</v>
      </c>
      <c r="E201">
        <f>SmtRes!AV178</f>
        <v>0</v>
      </c>
      <c r="F201" t="str">
        <f>SmtRes!I178</f>
        <v>91.08.02-011</v>
      </c>
      <c r="G201" t="str">
        <f>SmtRes!K178</f>
        <v>Гудронаторы ручные</v>
      </c>
      <c r="H201" t="str">
        <f>SmtRes!O178</f>
        <v>маш.-ч</v>
      </c>
      <c r="I201">
        <f>SmtRes!Y178*Source!I160</f>
        <v>0.70034999999999981</v>
      </c>
      <c r="J201">
        <f>SmtRes!AO178</f>
        <v>1</v>
      </c>
      <c r="K201">
        <f>SmtRes!AF178</f>
        <v>17.2</v>
      </c>
      <c r="L201">
        <f>SmtRes!DB178</f>
        <v>34.615000000000002</v>
      </c>
      <c r="M201">
        <f>ROUND(ROUND(L201*Source!I160, 6)*1, 2)</f>
        <v>12.05</v>
      </c>
      <c r="N201">
        <f>SmtRes!AB178</f>
        <v>17.2</v>
      </c>
      <c r="O201">
        <f>ROUND(ROUND(L201*Source!I160, 6)*SmtRes!DA178, 2)</f>
        <v>12.05</v>
      </c>
      <c r="P201">
        <f>SmtRes!AG178</f>
        <v>0</v>
      </c>
      <c r="Q201">
        <f>SmtRes!DC178</f>
        <v>0</v>
      </c>
      <c r="R201">
        <f>ROUND(ROUND(Q201*Source!I160, 6)*1, 2)</f>
        <v>0</v>
      </c>
      <c r="S201">
        <f>SmtRes!AC178</f>
        <v>0</v>
      </c>
      <c r="T201">
        <f>ROUND(ROUND(Q201*Source!I160, 6)*SmtRes!AK178, 2)</f>
        <v>0</v>
      </c>
      <c r="U201">
        <f>SmtRes!X178</f>
        <v>1213144090</v>
      </c>
      <c r="V201">
        <v>-552330242</v>
      </c>
      <c r="W201">
        <v>-152577158</v>
      </c>
    </row>
    <row r="202" spans="1:23" x14ac:dyDescent="0.2">
      <c r="A202">
        <f>Source!A160</f>
        <v>17</v>
      </c>
      <c r="C202">
        <v>2</v>
      </c>
      <c r="D202">
        <v>0</v>
      </c>
      <c r="E202">
        <f>SmtRes!AV177</f>
        <v>0</v>
      </c>
      <c r="F202" t="str">
        <f>SmtRes!I177</f>
        <v>91.08.01-021</v>
      </c>
      <c r="G202" t="str">
        <f>SmtRes!K177</f>
        <v>Укладчики асфальтобетона</v>
      </c>
      <c r="H202" t="str">
        <f>SmtRes!O177</f>
        <v>маш.-ч</v>
      </c>
      <c r="I202">
        <f>SmtRes!Y177*Source!I160</f>
        <v>1.5957975</v>
      </c>
      <c r="J202">
        <f>SmtRes!AO177</f>
        <v>1</v>
      </c>
      <c r="K202">
        <f>SmtRes!AF177</f>
        <v>195.2</v>
      </c>
      <c r="L202">
        <f>SmtRes!DB177</f>
        <v>895.11687500000005</v>
      </c>
      <c r="M202">
        <f>ROUND(ROUND(L202*Source!I160, 6)*1, 2)</f>
        <v>311.5</v>
      </c>
      <c r="N202">
        <f>SmtRes!AB177</f>
        <v>195.2</v>
      </c>
      <c r="O202">
        <f>ROUND(ROUND(L202*Source!I160, 6)*SmtRes!DA177, 2)</f>
        <v>311.5</v>
      </c>
      <c r="P202">
        <f>SmtRes!AG177</f>
        <v>14.4</v>
      </c>
      <c r="Q202">
        <f>SmtRes!DC177</f>
        <v>66.038749999999993</v>
      </c>
      <c r="R202">
        <f>ROUND(ROUND(Q202*Source!I160, 6)*1, 2)</f>
        <v>22.98</v>
      </c>
      <c r="S202">
        <f>SmtRes!AC177</f>
        <v>14.4</v>
      </c>
      <c r="T202">
        <f>ROUND(ROUND(Q202*Source!I160, 6)*SmtRes!AK177, 2)</f>
        <v>22.98</v>
      </c>
      <c r="U202">
        <f>SmtRes!X177</f>
        <v>-1615467626</v>
      </c>
      <c r="V202">
        <v>525247616</v>
      </c>
      <c r="W202">
        <v>756830587</v>
      </c>
    </row>
    <row r="203" spans="1:23" x14ac:dyDescent="0.2">
      <c r="A203">
        <f>Source!A160</f>
        <v>17</v>
      </c>
      <c r="C203">
        <v>2</v>
      </c>
      <c r="D203">
        <v>0</v>
      </c>
      <c r="E203">
        <f>SmtRes!AV176</f>
        <v>0</v>
      </c>
      <c r="F203" t="str">
        <f>SmtRes!I176</f>
        <v>91.05.05-014</v>
      </c>
      <c r="G203" t="str">
        <f>SmtRes!K176</f>
        <v>Краны на автомобильном ходу, грузоподъемность 10 т</v>
      </c>
      <c r="H203" t="str">
        <f>SmtRes!O176</f>
        <v>маш.-ч</v>
      </c>
      <c r="I203">
        <f>SmtRes!Y176*Source!I160</f>
        <v>1.5007499999999998E-2</v>
      </c>
      <c r="J203">
        <f>SmtRes!AO176</f>
        <v>1</v>
      </c>
      <c r="K203">
        <f>SmtRes!AF176</f>
        <v>111.99</v>
      </c>
      <c r="L203">
        <f>SmtRes!DB176</f>
        <v>4.83</v>
      </c>
      <c r="M203">
        <f>ROUND(ROUND(L203*Source!I160, 6)*1, 2)</f>
        <v>1.68</v>
      </c>
      <c r="N203">
        <f>SmtRes!AB176</f>
        <v>111.99</v>
      </c>
      <c r="O203">
        <f>ROUND(ROUND(L203*Source!I160, 6)*SmtRes!DA176, 2)</f>
        <v>1.68</v>
      </c>
      <c r="P203">
        <f>SmtRes!AG176</f>
        <v>13.5</v>
      </c>
      <c r="Q203">
        <f>SmtRes!DC176</f>
        <v>0.58937499999999998</v>
      </c>
      <c r="R203">
        <f>ROUND(ROUND(Q203*Source!I160, 6)*1, 2)</f>
        <v>0.21</v>
      </c>
      <c r="S203">
        <f>SmtRes!AC176</f>
        <v>13.5</v>
      </c>
      <c r="T203">
        <f>ROUND(ROUND(Q203*Source!I160, 6)*SmtRes!AK176, 2)</f>
        <v>0.21</v>
      </c>
      <c r="U203">
        <f>SmtRes!X176</f>
        <v>-1718674368</v>
      </c>
      <c r="V203">
        <v>-816987455</v>
      </c>
      <c r="W203">
        <v>-2122234393</v>
      </c>
    </row>
    <row r="204" spans="1:23" x14ac:dyDescent="0.2">
      <c r="A204">
        <f>Source!A160</f>
        <v>17</v>
      </c>
      <c r="C204">
        <v>1</v>
      </c>
      <c r="D204">
        <v>0</v>
      </c>
      <c r="E204">
        <f>SmtRes!AV175</f>
        <v>2</v>
      </c>
      <c r="F204" t="str">
        <f>SmtRes!I175</f>
        <v>4-100-00</v>
      </c>
      <c r="G204" t="str">
        <f>SmtRes!K175</f>
        <v>Затраты труда машинистов</v>
      </c>
      <c r="H204" t="str">
        <f>SmtRes!O175</f>
        <v>чел.-ч.</v>
      </c>
      <c r="I204">
        <f>SmtRes!Y175*Source!I160</f>
        <v>6.6537600000000001</v>
      </c>
      <c r="J204">
        <f>SmtRes!AO175</f>
        <v>1</v>
      </c>
      <c r="K204">
        <f>SmtRes!AH175</f>
        <v>0</v>
      </c>
      <c r="L204">
        <f>SmtRes!DB175</f>
        <v>0</v>
      </c>
      <c r="M204">
        <f>ROUND(ROUND(L204*Source!I160, 6)*1, 2)</f>
        <v>0</v>
      </c>
      <c r="N204">
        <f>SmtRes!AD175</f>
        <v>0</v>
      </c>
      <c r="O204">
        <f>ROUND(ROUND(L204*Source!I160, 6)*SmtRes!DA175, 2)</f>
        <v>0</v>
      </c>
      <c r="P204">
        <f>SmtRes!AG175</f>
        <v>0</v>
      </c>
      <c r="Q204">
        <f>SmtRes!DC175</f>
        <v>0</v>
      </c>
      <c r="R204">
        <f>ROUND(ROUND(Q204*Source!I160, 6)*1, 2)</f>
        <v>0</v>
      </c>
      <c r="S204">
        <f>SmtRes!AC175</f>
        <v>0</v>
      </c>
      <c r="T204">
        <f>ROUND(ROUND(Q204*Source!I160, 6)*SmtRes!AK175, 2)</f>
        <v>0</v>
      </c>
      <c r="U204">
        <f>SmtRes!X175</f>
        <v>-1417349443</v>
      </c>
      <c r="V204">
        <v>-189065469</v>
      </c>
      <c r="W204">
        <v>1122477533</v>
      </c>
    </row>
    <row r="205" spans="1:23" x14ac:dyDescent="0.2">
      <c r="A205">
        <f>Source!A160</f>
        <v>17</v>
      </c>
      <c r="C205">
        <v>1</v>
      </c>
      <c r="D205">
        <v>0</v>
      </c>
      <c r="E205">
        <f>SmtRes!AV174</f>
        <v>1</v>
      </c>
      <c r="F205" t="str">
        <f>SmtRes!I174</f>
        <v>1-100-40</v>
      </c>
      <c r="G205" t="str">
        <f>SmtRes!K174</f>
        <v>Рабочий среднего разряда 4</v>
      </c>
      <c r="H205" t="str">
        <f>SmtRes!O174</f>
        <v>чел.-ч.</v>
      </c>
      <c r="I205">
        <f>SmtRes!Y174*Source!I160</f>
        <v>17.626808999999998</v>
      </c>
      <c r="J205">
        <f>SmtRes!AO174</f>
        <v>1</v>
      </c>
      <c r="K205">
        <f>SmtRes!AH174</f>
        <v>9.6199999999999992</v>
      </c>
      <c r="L205">
        <f>SmtRes!DB174</f>
        <v>487.275125</v>
      </c>
      <c r="M205">
        <f>ROUND(ROUND(L205*Source!I160, 6)*1, 2)</f>
        <v>169.57</v>
      </c>
      <c r="N205">
        <f>SmtRes!AD174</f>
        <v>9.6199999999999992</v>
      </c>
      <c r="O205">
        <f>ROUND(ROUND(L205*Source!I160, 6)*SmtRes!DA174, 2)</f>
        <v>169.57</v>
      </c>
      <c r="P205">
        <f>SmtRes!AG174</f>
        <v>0</v>
      </c>
      <c r="Q205">
        <f>SmtRes!DC174</f>
        <v>0</v>
      </c>
      <c r="R205">
        <f>ROUND(ROUND(Q205*Source!I160, 6)*1, 2)</f>
        <v>0</v>
      </c>
      <c r="S205">
        <f>SmtRes!AC174</f>
        <v>0</v>
      </c>
      <c r="T205">
        <f>ROUND(ROUND(Q205*Source!I160, 6)*SmtRes!AK174, 2)</f>
        <v>0</v>
      </c>
      <c r="U205">
        <f>SmtRes!X174</f>
        <v>1069510174</v>
      </c>
      <c r="V205">
        <v>2066261080</v>
      </c>
      <c r="W205">
        <v>-1620489650</v>
      </c>
    </row>
    <row r="206" spans="1:23" x14ac:dyDescent="0.2">
      <c r="A206">
        <f>Source!A161</f>
        <v>18</v>
      </c>
      <c r="C206">
        <v>3</v>
      </c>
      <c r="D206">
        <f>Source!BI161</f>
        <v>1</v>
      </c>
      <c r="E206">
        <f>Source!FS161</f>
        <v>0</v>
      </c>
      <c r="F206" t="str">
        <f>Source!F161</f>
        <v>01.2.01.02-0001</v>
      </c>
      <c r="G206" t="str">
        <f>Source!G161</f>
        <v>Битум горячий</v>
      </c>
      <c r="H206" t="str">
        <f>Source!H161</f>
        <v>т</v>
      </c>
      <c r="I206">
        <f>Source!I161</f>
        <v>3.7580000000000001E-3</v>
      </c>
      <c r="J206">
        <v>1</v>
      </c>
      <c r="K206">
        <f>Source!AC161</f>
        <v>1946.91</v>
      </c>
      <c r="M206">
        <f>ROUND(K206*I206, 2)</f>
        <v>7.32</v>
      </c>
      <c r="N206">
        <f>Source!AC161*IF(Source!BC161&lt;&gt; 0, Source!BC161, 1)</f>
        <v>1946.91</v>
      </c>
      <c r="O206">
        <f>ROUND(N206*I206, 2)</f>
        <v>7.32</v>
      </c>
      <c r="P206">
        <f>Source!AE161</f>
        <v>0</v>
      </c>
      <c r="R206">
        <f>ROUND(P206*I206, 2)</f>
        <v>0</v>
      </c>
      <c r="S206">
        <f>Source!AE161*IF(Source!BS161&lt;&gt; 0, Source!BS161, 1)</f>
        <v>0</v>
      </c>
      <c r="T206">
        <f>ROUND(S206*I206, 2)</f>
        <v>0</v>
      </c>
      <c r="U206">
        <f>Source!GF161</f>
        <v>1401058849</v>
      </c>
      <c r="V206">
        <v>1408483191</v>
      </c>
      <c r="W206">
        <v>1400565996</v>
      </c>
    </row>
    <row r="207" spans="1:23" x14ac:dyDescent="0.2">
      <c r="A207">
        <f>Source!A162</f>
        <v>18</v>
      </c>
      <c r="C207">
        <v>3</v>
      </c>
      <c r="D207">
        <f>Source!BI162</f>
        <v>1</v>
      </c>
      <c r="E207">
        <f>Source!FS162</f>
        <v>0</v>
      </c>
      <c r="F207" t="str">
        <f>Source!F162</f>
        <v>04.2.03.01-0003</v>
      </c>
      <c r="G207" t="str">
        <f>Source!G162</f>
        <v>Асфальтобетон щебеночно-мастичный, вид ЩМА-20</v>
      </c>
      <c r="H207" t="str">
        <f>Source!H162</f>
        <v>т</v>
      </c>
      <c r="I207">
        <f>Source!I162</f>
        <v>33.3384</v>
      </c>
      <c r="J207">
        <v>1</v>
      </c>
      <c r="K207">
        <f>Source!AC162</f>
        <v>390.88</v>
      </c>
      <c r="M207">
        <f>ROUND(K207*I207, 2)</f>
        <v>13031.31</v>
      </c>
      <c r="N207">
        <f>Source!AC162*IF(Source!BC162&lt;&gt; 0, Source!BC162, 1)</f>
        <v>390.88</v>
      </c>
      <c r="O207">
        <f>ROUND(N207*I207, 2)</f>
        <v>13031.31</v>
      </c>
      <c r="P207">
        <f>Source!AE162</f>
        <v>0</v>
      </c>
      <c r="R207">
        <f>ROUND(P207*I207, 2)</f>
        <v>0</v>
      </c>
      <c r="S207">
        <f>Source!AE162*IF(Source!BS162&lt;&gt; 0, Source!BS162, 1)</f>
        <v>0</v>
      </c>
      <c r="T207">
        <f>ROUND(S207*I207, 2)</f>
        <v>0</v>
      </c>
      <c r="U207">
        <f>Source!GF162</f>
        <v>1955294855</v>
      </c>
      <c r="V207">
        <v>706304333</v>
      </c>
      <c r="W207">
        <v>-352328264</v>
      </c>
    </row>
    <row r="208" spans="1:23" x14ac:dyDescent="0.2">
      <c r="A208">
        <f>Source!A163</f>
        <v>17</v>
      </c>
      <c r="C208">
        <v>2</v>
      </c>
      <c r="D208">
        <v>0</v>
      </c>
      <c r="E208">
        <f>SmtRes!AV189</f>
        <v>0</v>
      </c>
      <c r="F208" t="str">
        <f>SmtRes!I189</f>
        <v>91.08.02-011</v>
      </c>
      <c r="G208" t="str">
        <f>SmtRes!K189</f>
        <v>Гудронаторы ручные</v>
      </c>
      <c r="H208" t="str">
        <f>SmtRes!O189</f>
        <v>маш.-ч</v>
      </c>
      <c r="I208">
        <f>SmtRes!Y189*Source!I163</f>
        <v>0.23663999999999999</v>
      </c>
      <c r="J208">
        <f>SmtRes!AO189</f>
        <v>1</v>
      </c>
      <c r="K208">
        <f>SmtRes!AF189</f>
        <v>17.2</v>
      </c>
      <c r="L208">
        <f>SmtRes!DB189</f>
        <v>11.68</v>
      </c>
      <c r="M208">
        <f>ROUND(ROUND(L208*Source!I163, 6)*1, 2)</f>
        <v>4.0599999999999996</v>
      </c>
      <c r="N208">
        <f>SmtRes!AB189</f>
        <v>17.2</v>
      </c>
      <c r="O208">
        <f>ROUND(ROUND(L208*Source!I163, 6)*SmtRes!DA189, 2)</f>
        <v>4.0599999999999996</v>
      </c>
      <c r="P208">
        <f>SmtRes!AG189</f>
        <v>0</v>
      </c>
      <c r="Q208">
        <f>SmtRes!DC189</f>
        <v>0</v>
      </c>
      <c r="R208">
        <f>ROUND(ROUND(Q208*Source!I163, 6)*1, 2)</f>
        <v>0</v>
      </c>
      <c r="S208">
        <f>SmtRes!AC189</f>
        <v>0</v>
      </c>
      <c r="T208">
        <f>ROUND(ROUND(Q208*Source!I163, 6)*SmtRes!AK189, 2)</f>
        <v>0</v>
      </c>
      <c r="U208">
        <f>SmtRes!X189</f>
        <v>1213144090</v>
      </c>
      <c r="V208">
        <v>-552330242</v>
      </c>
      <c r="W208">
        <v>-152577158</v>
      </c>
    </row>
    <row r="209" spans="1:23" x14ac:dyDescent="0.2">
      <c r="A209">
        <f>Source!A163</f>
        <v>17</v>
      </c>
      <c r="C209">
        <v>1</v>
      </c>
      <c r="D209">
        <v>0</v>
      </c>
      <c r="E209">
        <f>SmtRes!AV188</f>
        <v>1</v>
      </c>
      <c r="F209" t="str">
        <f>SmtRes!I188</f>
        <v>1-100-40</v>
      </c>
      <c r="G209" t="str">
        <f>SmtRes!K188</f>
        <v>Рабочий среднего разряда 4</v>
      </c>
      <c r="H209" t="str">
        <f>SmtRes!O188</f>
        <v>чел.-ч.</v>
      </c>
      <c r="I209">
        <f>SmtRes!Y188*Source!I163</f>
        <v>0.12527999999999997</v>
      </c>
      <c r="J209">
        <f>SmtRes!AO188</f>
        <v>1</v>
      </c>
      <c r="K209">
        <f>SmtRes!AH188</f>
        <v>9.6199999999999992</v>
      </c>
      <c r="L209">
        <f>SmtRes!DB188</f>
        <v>3.48</v>
      </c>
      <c r="M209">
        <f>ROUND(ROUND(L209*Source!I163, 6)*1, 2)</f>
        <v>1.21</v>
      </c>
      <c r="N209">
        <f>SmtRes!AD188</f>
        <v>9.6199999999999992</v>
      </c>
      <c r="O209">
        <f>ROUND(ROUND(L209*Source!I163, 6)*SmtRes!DA188, 2)</f>
        <v>1.21</v>
      </c>
      <c r="P209">
        <f>SmtRes!AG188</f>
        <v>0</v>
      </c>
      <c r="Q209">
        <f>SmtRes!DC188</f>
        <v>0</v>
      </c>
      <c r="R209">
        <f>ROUND(ROUND(Q209*Source!I163, 6)*1, 2)</f>
        <v>0</v>
      </c>
      <c r="S209">
        <f>SmtRes!AC188</f>
        <v>0</v>
      </c>
      <c r="T209">
        <f>ROUND(ROUND(Q209*Source!I163, 6)*SmtRes!AK188, 2)</f>
        <v>0</v>
      </c>
      <c r="U209">
        <f>SmtRes!X188</f>
        <v>1069510174</v>
      </c>
      <c r="V209">
        <v>2066261080</v>
      </c>
      <c r="W209">
        <v>-1620489650</v>
      </c>
    </row>
    <row r="210" spans="1:23" x14ac:dyDescent="0.2">
      <c r="A210">
        <f>Source!A164</f>
        <v>18</v>
      </c>
      <c r="C210">
        <v>3</v>
      </c>
      <c r="D210">
        <f>Source!BI164</f>
        <v>1</v>
      </c>
      <c r="E210">
        <f>Source!FS164</f>
        <v>0</v>
      </c>
      <c r="F210" t="str">
        <f>Source!F164</f>
        <v>01.2.01.02-0001</v>
      </c>
      <c r="G210" t="str">
        <f>Source!G164</f>
        <v>Битум горячий</v>
      </c>
      <c r="H210" t="str">
        <f>Source!H164</f>
        <v>т</v>
      </c>
      <c r="I210">
        <f>Source!I164</f>
        <v>7.7949999999999998E-3</v>
      </c>
      <c r="J210">
        <v>1</v>
      </c>
      <c r="K210">
        <f>Source!AC164</f>
        <v>1946.91</v>
      </c>
      <c r="M210">
        <f>ROUND(K210*I210, 2)</f>
        <v>15.18</v>
      </c>
      <c r="N210">
        <f>Source!AC164*IF(Source!BC164&lt;&gt; 0, Source!BC164, 1)</f>
        <v>1946.91</v>
      </c>
      <c r="O210">
        <f>ROUND(N210*I210, 2)</f>
        <v>15.18</v>
      </c>
      <c r="P210">
        <f>Source!AE164</f>
        <v>0</v>
      </c>
      <c r="R210">
        <f>ROUND(P210*I210, 2)</f>
        <v>0</v>
      </c>
      <c r="S210">
        <f>Source!AE164*IF(Source!BS164&lt;&gt; 0, Source!BS164, 1)</f>
        <v>0</v>
      </c>
      <c r="T210">
        <f>ROUND(S210*I210, 2)</f>
        <v>0</v>
      </c>
      <c r="U210">
        <f>Source!GF164</f>
        <v>1401058849</v>
      </c>
      <c r="V210">
        <v>1408483191</v>
      </c>
      <c r="W210">
        <v>1400565996</v>
      </c>
    </row>
    <row r="211" spans="1:23" x14ac:dyDescent="0.2">
      <c r="A211">
        <f>Source!A165</f>
        <v>18</v>
      </c>
      <c r="C211">
        <v>3</v>
      </c>
      <c r="D211">
        <f>Source!BI165</f>
        <v>1</v>
      </c>
      <c r="E211">
        <f>Source!FS165</f>
        <v>0</v>
      </c>
      <c r="F211" t="str">
        <f>Source!F165</f>
        <v>04.2.03.01-0003</v>
      </c>
      <c r="G211" t="str">
        <f>Source!G165</f>
        <v>Асфальтобетон щебеночно-мастичный, вид ЩМА-20</v>
      </c>
      <c r="H211" t="str">
        <f>Source!H165</f>
        <v>т</v>
      </c>
      <c r="I211">
        <f>Source!I165</f>
        <v>16.704000000000001</v>
      </c>
      <c r="J211">
        <v>1</v>
      </c>
      <c r="K211">
        <f>Source!AC165</f>
        <v>390.88</v>
      </c>
      <c r="M211">
        <f>ROUND(K211*I211, 2)</f>
        <v>6529.26</v>
      </c>
      <c r="N211">
        <f>Source!AC165*IF(Source!BC165&lt;&gt; 0, Source!BC165, 1)</f>
        <v>390.88</v>
      </c>
      <c r="O211">
        <f>ROUND(N211*I211, 2)</f>
        <v>6529.26</v>
      </c>
      <c r="P211">
        <f>Source!AE165</f>
        <v>0</v>
      </c>
      <c r="R211">
        <f>ROUND(P211*I211, 2)</f>
        <v>0</v>
      </c>
      <c r="S211">
        <f>Source!AE165*IF(Source!BS165&lt;&gt; 0, Source!BS165, 1)</f>
        <v>0</v>
      </c>
      <c r="T211">
        <f>ROUND(S211*I211, 2)</f>
        <v>0</v>
      </c>
      <c r="U211">
        <f>Source!GF165</f>
        <v>1955294855</v>
      </c>
      <c r="V211">
        <v>706304333</v>
      </c>
      <c r="W211">
        <v>-352328264</v>
      </c>
    </row>
    <row r="212" spans="1:23" x14ac:dyDescent="0.2">
      <c r="A212">
        <f>Source!A166</f>
        <v>17</v>
      </c>
      <c r="C212">
        <v>3</v>
      </c>
      <c r="D212">
        <v>0</v>
      </c>
      <c r="E212">
        <f>SmtRes!AV205</f>
        <v>0</v>
      </c>
      <c r="F212" t="str">
        <f>SmtRes!I205</f>
        <v>11.1.03.01-0079</v>
      </c>
      <c r="G212" t="str">
        <f>SmtRes!K205</f>
        <v>Бруски обрезные хвойных пород длиной 4-6,5 м, шириной 75-150 мм, толщиной 40-75 мм, III сорта</v>
      </c>
      <c r="H212" t="str">
        <f>SmtRes!O205</f>
        <v>м3</v>
      </c>
      <c r="I212">
        <f>SmtRes!Y205*Source!I166</f>
        <v>5.2199999999999996E-2</v>
      </c>
      <c r="J212">
        <f>SmtRes!AO205</f>
        <v>1</v>
      </c>
      <c r="K212">
        <f>SmtRes!AE205</f>
        <v>1287</v>
      </c>
      <c r="L212">
        <f>SmtRes!DB205</f>
        <v>193.05</v>
      </c>
      <c r="M212">
        <f>ROUND(ROUND(L212*Source!I166, 6)*1, 2)</f>
        <v>67.180000000000007</v>
      </c>
      <c r="N212">
        <f>SmtRes!AA205</f>
        <v>1287</v>
      </c>
      <c r="O212">
        <f>ROUND(ROUND(L212*Source!I166, 6)*SmtRes!DA205, 2)</f>
        <v>67.180000000000007</v>
      </c>
      <c r="P212">
        <f>SmtRes!AG205</f>
        <v>0</v>
      </c>
      <c r="Q212">
        <f>SmtRes!DC205</f>
        <v>0</v>
      </c>
      <c r="R212">
        <f>ROUND(ROUND(Q212*Source!I166, 6)*1, 2)</f>
        <v>0</v>
      </c>
      <c r="S212">
        <f>SmtRes!AC205</f>
        <v>0</v>
      </c>
      <c r="T212">
        <f>ROUND(ROUND(Q212*Source!I166, 6)*SmtRes!AK205, 2)</f>
        <v>0</v>
      </c>
      <c r="U212">
        <f>SmtRes!X205</f>
        <v>-395792271</v>
      </c>
      <c r="V212">
        <v>-345318393</v>
      </c>
      <c r="W212">
        <v>232585860</v>
      </c>
    </row>
    <row r="213" spans="1:23" x14ac:dyDescent="0.2">
      <c r="A213">
        <f>Source!A166</f>
        <v>17</v>
      </c>
      <c r="C213">
        <v>3</v>
      </c>
      <c r="D213">
        <v>0</v>
      </c>
      <c r="E213">
        <f>SmtRes!AV204</f>
        <v>0</v>
      </c>
      <c r="F213" t="str">
        <f>SmtRes!I204</f>
        <v>08.1.02.11-0001</v>
      </c>
      <c r="G213" t="str">
        <f>SmtRes!K204</f>
        <v>Поковки из квадратных заготовок, масса 1,8 кг</v>
      </c>
      <c r="H213" t="str">
        <f>SmtRes!O204</f>
        <v>т</v>
      </c>
      <c r="I213">
        <f>SmtRes!Y204*Source!I166</f>
        <v>2.1576E-3</v>
      </c>
      <c r="J213">
        <f>SmtRes!AO204</f>
        <v>1</v>
      </c>
      <c r="K213">
        <f>SmtRes!AE204</f>
        <v>5989</v>
      </c>
      <c r="L213">
        <f>SmtRes!DB204</f>
        <v>37.130000000000003</v>
      </c>
      <c r="M213">
        <f>ROUND(ROUND(L213*Source!I166, 6)*1, 2)</f>
        <v>12.92</v>
      </c>
      <c r="N213">
        <f>SmtRes!AA204</f>
        <v>5989</v>
      </c>
      <c r="O213">
        <f>ROUND(ROUND(L213*Source!I166, 6)*SmtRes!DA204, 2)</f>
        <v>12.92</v>
      </c>
      <c r="P213">
        <f>SmtRes!AG204</f>
        <v>0</v>
      </c>
      <c r="Q213">
        <f>SmtRes!DC204</f>
        <v>0</v>
      </c>
      <c r="R213">
        <f>ROUND(ROUND(Q213*Source!I166, 6)*1, 2)</f>
        <v>0</v>
      </c>
      <c r="S213">
        <f>SmtRes!AC204</f>
        <v>0</v>
      </c>
      <c r="T213">
        <f>ROUND(ROUND(Q213*Source!I166, 6)*SmtRes!AK204, 2)</f>
        <v>0</v>
      </c>
      <c r="U213">
        <f>SmtRes!X204</f>
        <v>-1756095795</v>
      </c>
      <c r="V213">
        <v>1262738784</v>
      </c>
      <c r="W213">
        <v>37467868</v>
      </c>
    </row>
    <row r="214" spans="1:23" x14ac:dyDescent="0.2">
      <c r="A214">
        <f>Source!A166</f>
        <v>17</v>
      </c>
      <c r="C214">
        <v>3</v>
      </c>
      <c r="D214">
        <v>0</v>
      </c>
      <c r="E214">
        <f>SmtRes!AV202</f>
        <v>0</v>
      </c>
      <c r="F214" t="str">
        <f>SmtRes!I202</f>
        <v>01.7.03.01-0001</v>
      </c>
      <c r="G214" t="str">
        <f>SmtRes!K202</f>
        <v>Вода</v>
      </c>
      <c r="H214" t="str">
        <f>SmtRes!O202</f>
        <v>м3</v>
      </c>
      <c r="I214">
        <f>SmtRes!Y202*Source!I166</f>
        <v>6.9599999999999995E-2</v>
      </c>
      <c r="J214">
        <f>SmtRes!AO202</f>
        <v>1</v>
      </c>
      <c r="K214">
        <f>SmtRes!AE202</f>
        <v>2.44</v>
      </c>
      <c r="L214">
        <f>SmtRes!DB202</f>
        <v>0.49</v>
      </c>
      <c r="M214">
        <f>ROUND(ROUND(L214*Source!I166, 6)*1, 2)</f>
        <v>0.17</v>
      </c>
      <c r="N214">
        <f>SmtRes!AA202</f>
        <v>2.44</v>
      </c>
      <c r="O214">
        <f>ROUND(ROUND(L214*Source!I166, 6)*SmtRes!DA202, 2)</f>
        <v>0.17</v>
      </c>
      <c r="P214">
        <f>SmtRes!AG202</f>
        <v>0</v>
      </c>
      <c r="Q214">
        <f>SmtRes!DC202</f>
        <v>0</v>
      </c>
      <c r="R214">
        <f>ROUND(ROUND(Q214*Source!I166, 6)*1, 2)</f>
        <v>0</v>
      </c>
      <c r="S214">
        <f>SmtRes!AC202</f>
        <v>0</v>
      </c>
      <c r="T214">
        <f>ROUND(ROUND(Q214*Source!I166, 6)*SmtRes!AK202, 2)</f>
        <v>0</v>
      </c>
      <c r="U214">
        <f>SmtRes!X202</f>
        <v>-1660354250</v>
      </c>
      <c r="V214">
        <v>1600079109</v>
      </c>
      <c r="W214">
        <v>-1353927395</v>
      </c>
    </row>
    <row r="215" spans="1:23" x14ac:dyDescent="0.2">
      <c r="A215">
        <f>Source!A166</f>
        <v>17</v>
      </c>
      <c r="C215">
        <v>2</v>
      </c>
      <c r="D215">
        <v>0</v>
      </c>
      <c r="E215">
        <f>SmtRes!AV200</f>
        <v>0</v>
      </c>
      <c r="F215" t="str">
        <f>SmtRes!I200</f>
        <v>91.14.02-001</v>
      </c>
      <c r="G215" t="str">
        <f>SmtRes!K200</f>
        <v>Автомобили бортовые, грузоподъемность до 5 т</v>
      </c>
      <c r="H215" t="str">
        <f>SmtRes!O200</f>
        <v>маш.-ч</v>
      </c>
      <c r="I215">
        <f>SmtRes!Y200*Source!I166</f>
        <v>2.0009999999999997E-2</v>
      </c>
      <c r="J215">
        <f>SmtRes!AO200</f>
        <v>1</v>
      </c>
      <c r="K215">
        <f>SmtRes!AF200</f>
        <v>65.709999999999994</v>
      </c>
      <c r="L215">
        <f>SmtRes!DB200</f>
        <v>3.7806250000000001</v>
      </c>
      <c r="M215">
        <f>ROUND(ROUND(L215*Source!I166, 6)*1, 2)</f>
        <v>1.32</v>
      </c>
      <c r="N215">
        <f>SmtRes!AB200</f>
        <v>65.709999999999994</v>
      </c>
      <c r="O215">
        <f>ROUND(ROUND(L215*Source!I166, 6)*SmtRes!DA200, 2)</f>
        <v>1.32</v>
      </c>
      <c r="P215">
        <f>SmtRes!AG200</f>
        <v>11.6</v>
      </c>
      <c r="Q215">
        <f>SmtRes!DC200</f>
        <v>0.66125</v>
      </c>
      <c r="R215">
        <f>ROUND(ROUND(Q215*Source!I166, 6)*1, 2)</f>
        <v>0.23</v>
      </c>
      <c r="S215">
        <f>SmtRes!AC200</f>
        <v>11.6</v>
      </c>
      <c r="T215">
        <f>ROUND(ROUND(Q215*Source!I166, 6)*SmtRes!AK200, 2)</f>
        <v>0.23</v>
      </c>
      <c r="U215">
        <f>SmtRes!X200</f>
        <v>1372534845</v>
      </c>
      <c r="V215">
        <v>-238339799</v>
      </c>
      <c r="W215">
        <v>1792116812</v>
      </c>
    </row>
    <row r="216" spans="1:23" x14ac:dyDescent="0.2">
      <c r="A216">
        <f>Source!A166</f>
        <v>17</v>
      </c>
      <c r="C216">
        <v>2</v>
      </c>
      <c r="D216">
        <v>0</v>
      </c>
      <c r="E216">
        <f>SmtRes!AV199</f>
        <v>0</v>
      </c>
      <c r="F216" t="str">
        <f>SmtRes!I199</f>
        <v>91.13.01-038</v>
      </c>
      <c r="G216" t="str">
        <f>SmtRes!K199</f>
        <v>Машины поливомоечные 6000 л</v>
      </c>
      <c r="H216" t="str">
        <f>SmtRes!O199</f>
        <v>маш.-ч</v>
      </c>
      <c r="I216">
        <f>SmtRes!Y199*Source!I166</f>
        <v>0.19509749999999995</v>
      </c>
      <c r="J216">
        <f>SmtRes!AO199</f>
        <v>1</v>
      </c>
      <c r="K216">
        <f>SmtRes!AF199</f>
        <v>110</v>
      </c>
      <c r="L216">
        <f>SmtRes!DB199</f>
        <v>61.668750000000003</v>
      </c>
      <c r="M216">
        <f>ROUND(ROUND(L216*Source!I166, 6)*1, 2)</f>
        <v>21.46</v>
      </c>
      <c r="N216">
        <f>SmtRes!AB199</f>
        <v>110</v>
      </c>
      <c r="O216">
        <f>ROUND(ROUND(L216*Source!I166, 6)*SmtRes!DA199, 2)</f>
        <v>21.46</v>
      </c>
      <c r="P216">
        <f>SmtRes!AG199</f>
        <v>11.6</v>
      </c>
      <c r="Q216">
        <f>SmtRes!DC199</f>
        <v>6.4974999999999996</v>
      </c>
      <c r="R216">
        <f>ROUND(ROUND(Q216*Source!I166, 6)*1, 2)</f>
        <v>2.2599999999999998</v>
      </c>
      <c r="S216">
        <f>SmtRes!AC199</f>
        <v>11.6</v>
      </c>
      <c r="T216">
        <f>ROUND(ROUND(Q216*Source!I166, 6)*SmtRes!AK199, 2)</f>
        <v>2.2599999999999998</v>
      </c>
      <c r="U216">
        <f>SmtRes!X199</f>
        <v>529073949</v>
      </c>
      <c r="V216">
        <v>1523196189</v>
      </c>
      <c r="W216">
        <v>-349103294</v>
      </c>
    </row>
    <row r="217" spans="1:23" x14ac:dyDescent="0.2">
      <c r="A217">
        <f>Source!A166</f>
        <v>17</v>
      </c>
      <c r="C217">
        <v>2</v>
      </c>
      <c r="D217">
        <v>0</v>
      </c>
      <c r="E217">
        <f>SmtRes!AV198</f>
        <v>0</v>
      </c>
      <c r="F217" t="str">
        <f>SmtRes!I198</f>
        <v>91.08.03-018</v>
      </c>
      <c r="G217" t="str">
        <f>SmtRes!K198</f>
        <v>Катки дорожные самоходные гладкие, масса 13 т</v>
      </c>
      <c r="H217" t="str">
        <f>SmtRes!O198</f>
        <v>маш.-ч</v>
      </c>
      <c r="I217">
        <f>SmtRes!Y198*Source!I166</f>
        <v>5.7578775000000002</v>
      </c>
      <c r="J217">
        <f>SmtRes!AO198</f>
        <v>1</v>
      </c>
      <c r="K217">
        <f>SmtRes!AF198</f>
        <v>121</v>
      </c>
      <c r="L217">
        <f>SmtRes!DB198</f>
        <v>2002.0206250000001</v>
      </c>
      <c r="M217">
        <f>ROUND(ROUND(L217*Source!I166, 6)*1, 2)</f>
        <v>696.7</v>
      </c>
      <c r="N217">
        <f>SmtRes!AB198</f>
        <v>121</v>
      </c>
      <c r="O217">
        <f>ROUND(ROUND(L217*Source!I166, 6)*SmtRes!DA198, 2)</f>
        <v>696.7</v>
      </c>
      <c r="P217">
        <f>SmtRes!AG198</f>
        <v>14.4</v>
      </c>
      <c r="Q217">
        <f>SmtRes!DC198</f>
        <v>238.25125</v>
      </c>
      <c r="R217">
        <f>ROUND(ROUND(Q217*Source!I166, 6)*1, 2)</f>
        <v>82.91</v>
      </c>
      <c r="S217">
        <f>SmtRes!AC198</f>
        <v>14.4</v>
      </c>
      <c r="T217">
        <f>ROUND(ROUND(Q217*Source!I166, 6)*SmtRes!AK198, 2)</f>
        <v>82.91</v>
      </c>
      <c r="U217">
        <f>SmtRes!X198</f>
        <v>-1649076460</v>
      </c>
      <c r="V217">
        <v>-1872977298</v>
      </c>
      <c r="W217">
        <v>-207381279</v>
      </c>
    </row>
    <row r="218" spans="1:23" x14ac:dyDescent="0.2">
      <c r="A218">
        <f>Source!A166</f>
        <v>17</v>
      </c>
      <c r="C218">
        <v>2</v>
      </c>
      <c r="D218">
        <v>0</v>
      </c>
      <c r="E218">
        <f>SmtRes!AV197</f>
        <v>0</v>
      </c>
      <c r="F218" t="str">
        <f>SmtRes!I197</f>
        <v>91.08.03-016</v>
      </c>
      <c r="G218" t="str">
        <f>SmtRes!K197</f>
        <v>Катки дорожные самоходные гладкие, масса 8 т</v>
      </c>
      <c r="H218" t="str">
        <f>SmtRes!O197</f>
        <v>маш.-ч</v>
      </c>
      <c r="I218">
        <f>SmtRes!Y197*Source!I166</f>
        <v>1.9809899999999996</v>
      </c>
      <c r="J218">
        <f>SmtRes!AO197</f>
        <v>1</v>
      </c>
      <c r="K218">
        <f>SmtRes!AF197</f>
        <v>75</v>
      </c>
      <c r="L218">
        <f>SmtRes!DB197</f>
        <v>426.9375</v>
      </c>
      <c r="M218">
        <f>ROUND(ROUND(L218*Source!I166, 6)*1, 2)</f>
        <v>148.57</v>
      </c>
      <c r="N218">
        <f>SmtRes!AB197</f>
        <v>75</v>
      </c>
      <c r="O218">
        <f>ROUND(ROUND(L218*Source!I166, 6)*SmtRes!DA197, 2)</f>
        <v>148.57</v>
      </c>
      <c r="P218">
        <f>SmtRes!AG197</f>
        <v>11.6</v>
      </c>
      <c r="Q218">
        <f>SmtRes!DC197</f>
        <v>66.038749999999993</v>
      </c>
      <c r="R218">
        <f>ROUND(ROUND(Q218*Source!I166, 6)*1, 2)</f>
        <v>22.98</v>
      </c>
      <c r="S218">
        <f>SmtRes!AC197</f>
        <v>11.6</v>
      </c>
      <c r="T218">
        <f>ROUND(ROUND(Q218*Source!I166, 6)*SmtRes!AK197, 2)</f>
        <v>22.98</v>
      </c>
      <c r="U218">
        <f>SmtRes!X197</f>
        <v>-891970060</v>
      </c>
      <c r="V218">
        <v>-358451234</v>
      </c>
      <c r="W218">
        <v>1930194365</v>
      </c>
    </row>
    <row r="219" spans="1:23" x14ac:dyDescent="0.2">
      <c r="A219">
        <f>Source!A166</f>
        <v>17</v>
      </c>
      <c r="C219">
        <v>2</v>
      </c>
      <c r="D219">
        <v>0</v>
      </c>
      <c r="E219">
        <f>SmtRes!AV196</f>
        <v>0</v>
      </c>
      <c r="F219" t="str">
        <f>SmtRes!I196</f>
        <v>91.08.02-011</v>
      </c>
      <c r="G219" t="str">
        <f>SmtRes!K196</f>
        <v>Гудронаторы ручные</v>
      </c>
      <c r="H219" t="str">
        <f>SmtRes!O196</f>
        <v>маш.-ч</v>
      </c>
      <c r="I219">
        <f>SmtRes!Y196*Source!I166</f>
        <v>0.70034999999999981</v>
      </c>
      <c r="J219">
        <f>SmtRes!AO196</f>
        <v>1</v>
      </c>
      <c r="K219">
        <f>SmtRes!AF196</f>
        <v>17.2</v>
      </c>
      <c r="L219">
        <f>SmtRes!DB196</f>
        <v>34.615000000000002</v>
      </c>
      <c r="M219">
        <f>ROUND(ROUND(L219*Source!I166, 6)*1, 2)</f>
        <v>12.05</v>
      </c>
      <c r="N219">
        <f>SmtRes!AB196</f>
        <v>17.2</v>
      </c>
      <c r="O219">
        <f>ROUND(ROUND(L219*Source!I166, 6)*SmtRes!DA196, 2)</f>
        <v>12.05</v>
      </c>
      <c r="P219">
        <f>SmtRes!AG196</f>
        <v>0</v>
      </c>
      <c r="Q219">
        <f>SmtRes!DC196</f>
        <v>0</v>
      </c>
      <c r="R219">
        <f>ROUND(ROUND(Q219*Source!I166, 6)*1, 2)</f>
        <v>0</v>
      </c>
      <c r="S219">
        <f>SmtRes!AC196</f>
        <v>0</v>
      </c>
      <c r="T219">
        <f>ROUND(ROUND(Q219*Source!I166, 6)*SmtRes!AK196, 2)</f>
        <v>0</v>
      </c>
      <c r="U219">
        <f>SmtRes!X196</f>
        <v>1213144090</v>
      </c>
      <c r="V219">
        <v>-552330242</v>
      </c>
      <c r="W219">
        <v>-152577158</v>
      </c>
    </row>
    <row r="220" spans="1:23" x14ac:dyDescent="0.2">
      <c r="A220">
        <f>Source!A166</f>
        <v>17</v>
      </c>
      <c r="C220">
        <v>2</v>
      </c>
      <c r="D220">
        <v>0</v>
      </c>
      <c r="E220">
        <f>SmtRes!AV195</f>
        <v>0</v>
      </c>
      <c r="F220" t="str">
        <f>SmtRes!I195</f>
        <v>91.08.01-021</v>
      </c>
      <c r="G220" t="str">
        <f>SmtRes!K195</f>
        <v>Укладчики асфальтобетона</v>
      </c>
      <c r="H220" t="str">
        <f>SmtRes!O195</f>
        <v>маш.-ч</v>
      </c>
      <c r="I220">
        <f>SmtRes!Y195*Source!I166</f>
        <v>1.5957975</v>
      </c>
      <c r="J220">
        <f>SmtRes!AO195</f>
        <v>1</v>
      </c>
      <c r="K220">
        <f>SmtRes!AF195</f>
        <v>195.2</v>
      </c>
      <c r="L220">
        <f>SmtRes!DB195</f>
        <v>895.11687500000005</v>
      </c>
      <c r="M220">
        <f>ROUND(ROUND(L220*Source!I166, 6)*1, 2)</f>
        <v>311.5</v>
      </c>
      <c r="N220">
        <f>SmtRes!AB195</f>
        <v>195.2</v>
      </c>
      <c r="O220">
        <f>ROUND(ROUND(L220*Source!I166, 6)*SmtRes!DA195, 2)</f>
        <v>311.5</v>
      </c>
      <c r="P220">
        <f>SmtRes!AG195</f>
        <v>14.4</v>
      </c>
      <c r="Q220">
        <f>SmtRes!DC195</f>
        <v>66.038749999999993</v>
      </c>
      <c r="R220">
        <f>ROUND(ROUND(Q220*Source!I166, 6)*1, 2)</f>
        <v>22.98</v>
      </c>
      <c r="S220">
        <f>SmtRes!AC195</f>
        <v>14.4</v>
      </c>
      <c r="T220">
        <f>ROUND(ROUND(Q220*Source!I166, 6)*SmtRes!AK195, 2)</f>
        <v>22.98</v>
      </c>
      <c r="U220">
        <f>SmtRes!X195</f>
        <v>-1615467626</v>
      </c>
      <c r="V220">
        <v>525247616</v>
      </c>
      <c r="W220">
        <v>756830587</v>
      </c>
    </row>
    <row r="221" spans="1:23" x14ac:dyDescent="0.2">
      <c r="A221">
        <f>Source!A166</f>
        <v>17</v>
      </c>
      <c r="C221">
        <v>2</v>
      </c>
      <c r="D221">
        <v>0</v>
      </c>
      <c r="E221">
        <f>SmtRes!AV194</f>
        <v>0</v>
      </c>
      <c r="F221" t="str">
        <f>SmtRes!I194</f>
        <v>91.05.05-014</v>
      </c>
      <c r="G221" t="str">
        <f>SmtRes!K194</f>
        <v>Краны на автомобильном ходу, грузоподъемность 10 т</v>
      </c>
      <c r="H221" t="str">
        <f>SmtRes!O194</f>
        <v>маш.-ч</v>
      </c>
      <c r="I221">
        <f>SmtRes!Y194*Source!I166</f>
        <v>1.5007499999999998E-2</v>
      </c>
      <c r="J221">
        <f>SmtRes!AO194</f>
        <v>1</v>
      </c>
      <c r="K221">
        <f>SmtRes!AF194</f>
        <v>111.99</v>
      </c>
      <c r="L221">
        <f>SmtRes!DB194</f>
        <v>4.83</v>
      </c>
      <c r="M221">
        <f>ROUND(ROUND(L221*Source!I166, 6)*1, 2)</f>
        <v>1.68</v>
      </c>
      <c r="N221">
        <f>SmtRes!AB194</f>
        <v>111.99</v>
      </c>
      <c r="O221">
        <f>ROUND(ROUND(L221*Source!I166, 6)*SmtRes!DA194, 2)</f>
        <v>1.68</v>
      </c>
      <c r="P221">
        <f>SmtRes!AG194</f>
        <v>13.5</v>
      </c>
      <c r="Q221">
        <f>SmtRes!DC194</f>
        <v>0.58937499999999998</v>
      </c>
      <c r="R221">
        <f>ROUND(ROUND(Q221*Source!I166, 6)*1, 2)</f>
        <v>0.21</v>
      </c>
      <c r="S221">
        <f>SmtRes!AC194</f>
        <v>13.5</v>
      </c>
      <c r="T221">
        <f>ROUND(ROUND(Q221*Source!I166, 6)*SmtRes!AK194, 2)</f>
        <v>0.21</v>
      </c>
      <c r="U221">
        <f>SmtRes!X194</f>
        <v>-1718674368</v>
      </c>
      <c r="V221">
        <v>-816987455</v>
      </c>
      <c r="W221">
        <v>-2122234393</v>
      </c>
    </row>
    <row r="222" spans="1:23" x14ac:dyDescent="0.2">
      <c r="A222">
        <f>Source!A166</f>
        <v>17</v>
      </c>
      <c r="C222">
        <v>1</v>
      </c>
      <c r="D222">
        <v>0</v>
      </c>
      <c r="E222">
        <f>SmtRes!AV193</f>
        <v>2</v>
      </c>
      <c r="F222" t="str">
        <f>SmtRes!I193</f>
        <v>4-100-00</v>
      </c>
      <c r="G222" t="str">
        <f>SmtRes!K193</f>
        <v>Затраты труда машинистов</v>
      </c>
      <c r="H222" t="str">
        <f>SmtRes!O193</f>
        <v>чел.-ч.</v>
      </c>
      <c r="I222">
        <f>SmtRes!Y193*Source!I166</f>
        <v>6.6537600000000001</v>
      </c>
      <c r="J222">
        <f>SmtRes!AO193</f>
        <v>1</v>
      </c>
      <c r="K222">
        <f>SmtRes!AH193</f>
        <v>0</v>
      </c>
      <c r="L222">
        <f>SmtRes!DB193</f>
        <v>0</v>
      </c>
      <c r="M222">
        <f>ROUND(ROUND(L222*Source!I166, 6)*1, 2)</f>
        <v>0</v>
      </c>
      <c r="N222">
        <f>SmtRes!AD193</f>
        <v>0</v>
      </c>
      <c r="O222">
        <f>ROUND(ROUND(L222*Source!I166, 6)*SmtRes!DA193, 2)</f>
        <v>0</v>
      </c>
      <c r="P222">
        <f>SmtRes!AG193</f>
        <v>0</v>
      </c>
      <c r="Q222">
        <f>SmtRes!DC193</f>
        <v>0</v>
      </c>
      <c r="R222">
        <f>ROUND(ROUND(Q222*Source!I166, 6)*1, 2)</f>
        <v>0</v>
      </c>
      <c r="S222">
        <f>SmtRes!AC193</f>
        <v>0</v>
      </c>
      <c r="T222">
        <f>ROUND(ROUND(Q222*Source!I166, 6)*SmtRes!AK193, 2)</f>
        <v>0</v>
      </c>
      <c r="U222">
        <f>SmtRes!X193</f>
        <v>-1417349443</v>
      </c>
      <c r="V222">
        <v>-189065469</v>
      </c>
      <c r="W222">
        <v>1122477533</v>
      </c>
    </row>
    <row r="223" spans="1:23" x14ac:dyDescent="0.2">
      <c r="A223">
        <f>Source!A166</f>
        <v>17</v>
      </c>
      <c r="C223">
        <v>1</v>
      </c>
      <c r="D223">
        <v>0</v>
      </c>
      <c r="E223">
        <f>SmtRes!AV192</f>
        <v>1</v>
      </c>
      <c r="F223" t="str">
        <f>SmtRes!I192</f>
        <v>1-100-40</v>
      </c>
      <c r="G223" t="str">
        <f>SmtRes!K192</f>
        <v>Рабочий среднего разряда 4</v>
      </c>
      <c r="H223" t="str">
        <f>SmtRes!O192</f>
        <v>чел.-ч.</v>
      </c>
      <c r="I223">
        <f>SmtRes!Y192*Source!I166</f>
        <v>17.626808999999998</v>
      </c>
      <c r="J223">
        <f>SmtRes!AO192</f>
        <v>1</v>
      </c>
      <c r="K223">
        <f>SmtRes!AH192</f>
        <v>9.6199999999999992</v>
      </c>
      <c r="L223">
        <f>SmtRes!DB192</f>
        <v>487.275125</v>
      </c>
      <c r="M223">
        <f>ROUND(ROUND(L223*Source!I166, 6)*1, 2)</f>
        <v>169.57</v>
      </c>
      <c r="N223">
        <f>SmtRes!AD192</f>
        <v>9.6199999999999992</v>
      </c>
      <c r="O223">
        <f>ROUND(ROUND(L223*Source!I166, 6)*SmtRes!DA192, 2)</f>
        <v>169.57</v>
      </c>
      <c r="P223">
        <f>SmtRes!AG192</f>
        <v>0</v>
      </c>
      <c r="Q223">
        <f>SmtRes!DC192</f>
        <v>0</v>
      </c>
      <c r="R223">
        <f>ROUND(ROUND(Q223*Source!I166, 6)*1, 2)</f>
        <v>0</v>
      </c>
      <c r="S223">
        <f>SmtRes!AC192</f>
        <v>0</v>
      </c>
      <c r="T223">
        <f>ROUND(ROUND(Q223*Source!I166, 6)*SmtRes!AK192, 2)</f>
        <v>0</v>
      </c>
      <c r="U223">
        <f>SmtRes!X192</f>
        <v>1069510174</v>
      </c>
      <c r="V223">
        <v>2066261080</v>
      </c>
      <c r="W223">
        <v>-1620489650</v>
      </c>
    </row>
    <row r="224" spans="1:23" x14ac:dyDescent="0.2">
      <c r="A224">
        <f>Source!A167</f>
        <v>18</v>
      </c>
      <c r="C224">
        <v>3</v>
      </c>
      <c r="D224">
        <f>Source!BI167</f>
        <v>1</v>
      </c>
      <c r="E224">
        <f>Source!FS167</f>
        <v>0</v>
      </c>
      <c r="F224" t="str">
        <f>Source!F167</f>
        <v>01.2.01.02-0001</v>
      </c>
      <c r="G224" t="str">
        <f>Source!G167</f>
        <v>Битум горячий</v>
      </c>
      <c r="H224" t="str">
        <f>Source!H167</f>
        <v>т</v>
      </c>
      <c r="I224">
        <f>Source!I167</f>
        <v>3.7580000000000001E-3</v>
      </c>
      <c r="J224">
        <v>1</v>
      </c>
      <c r="K224">
        <f>Source!AC167</f>
        <v>1946.91</v>
      </c>
      <c r="M224">
        <f>ROUND(K224*I224, 2)</f>
        <v>7.32</v>
      </c>
      <c r="N224">
        <f>Source!AC167*IF(Source!BC167&lt;&gt; 0, Source!BC167, 1)</f>
        <v>1946.91</v>
      </c>
      <c r="O224">
        <f>ROUND(N224*I224, 2)</f>
        <v>7.32</v>
      </c>
      <c r="P224">
        <f>Source!AE167</f>
        <v>0</v>
      </c>
      <c r="R224">
        <f>ROUND(P224*I224, 2)</f>
        <v>0</v>
      </c>
      <c r="S224">
        <f>Source!AE167*IF(Source!BS167&lt;&gt; 0, Source!BS167, 1)</f>
        <v>0</v>
      </c>
      <c r="T224">
        <f>ROUND(S224*I224, 2)</f>
        <v>0</v>
      </c>
      <c r="U224">
        <f>Source!GF167</f>
        <v>1401058849</v>
      </c>
      <c r="V224">
        <v>1408483191</v>
      </c>
      <c r="W224">
        <v>1400565996</v>
      </c>
    </row>
    <row r="225" spans="1:23" x14ac:dyDescent="0.2">
      <c r="A225">
        <f>Source!A168</f>
        <v>18</v>
      </c>
      <c r="C225">
        <v>3</v>
      </c>
      <c r="D225">
        <f>Source!BI168</f>
        <v>1</v>
      </c>
      <c r="E225">
        <f>Source!FS168</f>
        <v>0</v>
      </c>
      <c r="F225" t="str">
        <f>Source!F168</f>
        <v>04.2.01.04-0001</v>
      </c>
      <c r="G225" t="str">
        <f>Source!G168</f>
        <v>Смеси асфальтобетонные дорожные мелкозернистые щебеночные типа Б марки 1</v>
      </c>
      <c r="H225" t="str">
        <f>Source!H168</f>
        <v>т</v>
      </c>
      <c r="I225">
        <f>Source!I168</f>
        <v>33.616799999999998</v>
      </c>
      <c r="J225">
        <v>1</v>
      </c>
      <c r="K225">
        <f>Source!AC168</f>
        <v>460</v>
      </c>
      <c r="M225">
        <f>ROUND(K225*I225, 2)</f>
        <v>15463.73</v>
      </c>
      <c r="N225">
        <f>Source!AC168*IF(Source!BC168&lt;&gt; 0, Source!BC168, 1)</f>
        <v>460</v>
      </c>
      <c r="O225">
        <f>ROUND(N225*I225, 2)</f>
        <v>15463.73</v>
      </c>
      <c r="P225">
        <f>Source!AE168</f>
        <v>0</v>
      </c>
      <c r="R225">
        <f>ROUND(P225*I225, 2)</f>
        <v>0</v>
      </c>
      <c r="S225">
        <f>Source!AE168*IF(Source!BS168&lt;&gt; 0, Source!BS168, 1)</f>
        <v>0</v>
      </c>
      <c r="T225">
        <f>ROUND(S225*I225, 2)</f>
        <v>0</v>
      </c>
      <c r="U225">
        <f>Source!GF168</f>
        <v>2047521922</v>
      </c>
      <c r="V225">
        <v>-1756801065</v>
      </c>
      <c r="W225">
        <v>-1955182557</v>
      </c>
    </row>
    <row r="226" spans="1:23" x14ac:dyDescent="0.2">
      <c r="A226">
        <f>Source!A199</f>
        <v>5</v>
      </c>
      <c r="B226">
        <v>199</v>
      </c>
      <c r="G226" t="str">
        <f>Source!G199</f>
        <v>Востановление общественной зоны</v>
      </c>
    </row>
    <row r="227" spans="1:23" x14ac:dyDescent="0.2">
      <c r="A227">
        <f>Source!A203</f>
        <v>17</v>
      </c>
      <c r="C227">
        <v>2</v>
      </c>
      <c r="D227">
        <v>0</v>
      </c>
      <c r="E227">
        <f>SmtRes!AV209</f>
        <v>0</v>
      </c>
      <c r="F227" t="str">
        <f>SmtRes!I209</f>
        <v>91.21.10-003</v>
      </c>
      <c r="G227" t="str">
        <f>SmtRes!K209</f>
        <v>Молотки при работе от передвижных компрессорных станций отбойные пневматические</v>
      </c>
      <c r="H227" t="str">
        <f>SmtRes!O209</f>
        <v>маш.-ч</v>
      </c>
      <c r="I227">
        <f>SmtRes!Y209*Source!I203</f>
        <v>19.93272</v>
      </c>
      <c r="J227">
        <f>SmtRes!AO209</f>
        <v>1</v>
      </c>
      <c r="K227">
        <f>SmtRes!AF209</f>
        <v>1.53</v>
      </c>
      <c r="L227">
        <f>SmtRes!DB209</f>
        <v>82.869</v>
      </c>
      <c r="M227">
        <f>ROUND(ROUND(L227*Source!I203, 6)*1, 2)</f>
        <v>30.5</v>
      </c>
      <c r="N227">
        <f>SmtRes!AB209</f>
        <v>1.53</v>
      </c>
      <c r="O227">
        <f>ROUND(ROUND(L227*Source!I203, 6)*SmtRes!DA209, 2)</f>
        <v>30.5</v>
      </c>
      <c r="P227">
        <f>SmtRes!AG209</f>
        <v>0</v>
      </c>
      <c r="Q227">
        <f>SmtRes!DC209</f>
        <v>0</v>
      </c>
      <c r="R227">
        <f>ROUND(ROUND(Q227*Source!I203, 6)*1, 2)</f>
        <v>0</v>
      </c>
      <c r="S227">
        <f>SmtRes!AC209</f>
        <v>0</v>
      </c>
      <c r="T227">
        <f>ROUND(ROUND(Q227*Source!I203, 6)*SmtRes!AK209, 2)</f>
        <v>0</v>
      </c>
      <c r="U227">
        <f>SmtRes!X209</f>
        <v>1518765163</v>
      </c>
      <c r="V227">
        <v>-1277244089</v>
      </c>
      <c r="W227">
        <v>-172744654</v>
      </c>
    </row>
    <row r="228" spans="1:23" x14ac:dyDescent="0.2">
      <c r="A228">
        <f>Source!A203</f>
        <v>17</v>
      </c>
      <c r="C228">
        <v>2</v>
      </c>
      <c r="D228">
        <v>0</v>
      </c>
      <c r="E228">
        <f>SmtRes!AV208</f>
        <v>0</v>
      </c>
      <c r="F228" t="str">
        <f>SmtRes!I208</f>
        <v>91.18.01-007</v>
      </c>
      <c r="G228" t="str">
        <f>SmtRes!K208</f>
        <v>Компрессоры передвижные с двигателем внутреннего сгорания, давлением до 686 кПа (7ат), производительность до 5мЗ/мин</v>
      </c>
      <c r="H228" t="str">
        <f>SmtRes!O208</f>
        <v>маш.-ч</v>
      </c>
      <c r="I228">
        <f>SmtRes!Y208*Source!I203</f>
        <v>6.6442399999999981</v>
      </c>
      <c r="J228">
        <f>SmtRes!AO208</f>
        <v>1</v>
      </c>
      <c r="K228">
        <f>SmtRes!AF208</f>
        <v>90</v>
      </c>
      <c r="L228">
        <f>SmtRes!DB208</f>
        <v>1624.95</v>
      </c>
      <c r="M228">
        <f>ROUND(ROUND(L228*Source!I203, 6)*1, 2)</f>
        <v>597.98</v>
      </c>
      <c r="N228">
        <f>SmtRes!AB208</f>
        <v>90</v>
      </c>
      <c r="O228">
        <f>ROUND(ROUND(L228*Source!I203, 6)*SmtRes!DA208, 2)</f>
        <v>597.98</v>
      </c>
      <c r="P228">
        <f>SmtRes!AG208</f>
        <v>10.06</v>
      </c>
      <c r="Q228">
        <f>SmtRes!DC208</f>
        <v>181.631</v>
      </c>
      <c r="R228">
        <f>ROUND(ROUND(Q228*Source!I203, 6)*1, 2)</f>
        <v>66.84</v>
      </c>
      <c r="S228">
        <f>SmtRes!AC208</f>
        <v>10.06</v>
      </c>
      <c r="T228">
        <f>ROUND(ROUND(Q228*Source!I203, 6)*SmtRes!AK208, 2)</f>
        <v>66.84</v>
      </c>
      <c r="U228">
        <f>SmtRes!X208</f>
        <v>-1589061407</v>
      </c>
      <c r="V228">
        <v>-1756222023</v>
      </c>
      <c r="W228">
        <v>954034734</v>
      </c>
    </row>
    <row r="229" spans="1:23" x14ac:dyDescent="0.2">
      <c r="A229">
        <f>Source!A203</f>
        <v>17</v>
      </c>
      <c r="C229">
        <v>1</v>
      </c>
      <c r="D229">
        <v>0</v>
      </c>
      <c r="E229">
        <f>SmtRes!AV207</f>
        <v>2</v>
      </c>
      <c r="F229" t="str">
        <f>SmtRes!I207</f>
        <v>4-100-00</v>
      </c>
      <c r="G229" t="str">
        <f>SmtRes!K207</f>
        <v>Затраты труда машинистов</v>
      </c>
      <c r="H229" t="str">
        <f>SmtRes!O207</f>
        <v>чел.-ч.</v>
      </c>
      <c r="I229">
        <f>SmtRes!Y207*Source!I203</f>
        <v>5.7775999999999996</v>
      </c>
      <c r="J229">
        <f>SmtRes!AO207</f>
        <v>1</v>
      </c>
      <c r="K229">
        <f>SmtRes!AH207</f>
        <v>0</v>
      </c>
      <c r="L229">
        <f>SmtRes!DB207</f>
        <v>0</v>
      </c>
      <c r="M229">
        <f>ROUND(ROUND(L229*Source!I203, 6)*1, 2)</f>
        <v>0</v>
      </c>
      <c r="N229">
        <f>SmtRes!AD207</f>
        <v>0</v>
      </c>
      <c r="O229">
        <f>ROUND(ROUND(L229*Source!I203, 6)*SmtRes!DA207, 2)</f>
        <v>0</v>
      </c>
      <c r="P229">
        <f>SmtRes!AG207</f>
        <v>0</v>
      </c>
      <c r="Q229">
        <f>SmtRes!DC207</f>
        <v>0</v>
      </c>
      <c r="R229">
        <f>ROUND(ROUND(Q229*Source!I203, 6)*1, 2)</f>
        <v>0</v>
      </c>
      <c r="S229">
        <f>SmtRes!AC207</f>
        <v>0</v>
      </c>
      <c r="T229">
        <f>ROUND(ROUND(Q229*Source!I203, 6)*SmtRes!AK207, 2)</f>
        <v>0</v>
      </c>
      <c r="U229">
        <f>SmtRes!X207</f>
        <v>-1417349443</v>
      </c>
      <c r="V229">
        <v>-189065469</v>
      </c>
      <c r="W229">
        <v>1122477533</v>
      </c>
    </row>
    <row r="230" spans="1:23" x14ac:dyDescent="0.2">
      <c r="A230">
        <f>Source!A203</f>
        <v>17</v>
      </c>
      <c r="C230">
        <v>1</v>
      </c>
      <c r="D230">
        <v>0</v>
      </c>
      <c r="E230">
        <f>SmtRes!AV206</f>
        <v>1</v>
      </c>
      <c r="F230" t="str">
        <f>SmtRes!I206</f>
        <v>1-100-27</v>
      </c>
      <c r="G230" t="str">
        <f>SmtRes!K206</f>
        <v>Рабочий среднего разряда 2.7</v>
      </c>
      <c r="H230" t="str">
        <f>SmtRes!O206</f>
        <v>чел.-ч.</v>
      </c>
      <c r="I230">
        <f>SmtRes!Y206*Source!I203</f>
        <v>24.444031999999996</v>
      </c>
      <c r="J230">
        <f>SmtRes!AO206</f>
        <v>1</v>
      </c>
      <c r="K230">
        <f>SmtRes!AH206</f>
        <v>8.31</v>
      </c>
      <c r="L230">
        <f>SmtRes!DB206</f>
        <v>551.98850000000004</v>
      </c>
      <c r="M230">
        <f>ROUND(ROUND(L230*Source!I203, 6)*1, 2)</f>
        <v>203.13</v>
      </c>
      <c r="N230">
        <f>SmtRes!AD206</f>
        <v>8.31</v>
      </c>
      <c r="O230">
        <f>ROUND(ROUND(L230*Source!I203, 6)*SmtRes!DA206, 2)</f>
        <v>203.13</v>
      </c>
      <c r="P230">
        <f>SmtRes!AG206</f>
        <v>0</v>
      </c>
      <c r="Q230">
        <f>SmtRes!DC206</f>
        <v>0</v>
      </c>
      <c r="R230">
        <f>ROUND(ROUND(Q230*Source!I203, 6)*1, 2)</f>
        <v>0</v>
      </c>
      <c r="S230">
        <f>SmtRes!AC206</f>
        <v>0</v>
      </c>
      <c r="T230">
        <f>ROUND(ROUND(Q230*Source!I203, 6)*SmtRes!AK206, 2)</f>
        <v>0</v>
      </c>
      <c r="U230">
        <f>SmtRes!X206</f>
        <v>1850719656</v>
      </c>
      <c r="V230">
        <v>1797986336</v>
      </c>
      <c r="W230">
        <v>1013964695</v>
      </c>
    </row>
    <row r="231" spans="1:23" x14ac:dyDescent="0.2">
      <c r="A231">
        <f>Source!A204</f>
        <v>17</v>
      </c>
      <c r="C231">
        <v>2</v>
      </c>
      <c r="D231">
        <v>0</v>
      </c>
      <c r="E231">
        <f>SmtRes!AV213</f>
        <v>0</v>
      </c>
      <c r="F231" t="str">
        <f>SmtRes!I213</f>
        <v>91.21.10-003</v>
      </c>
      <c r="G231" t="str">
        <f>SmtRes!K213</f>
        <v>Молотки при работе от передвижных компрессорных станций отбойные пневматические</v>
      </c>
      <c r="H231" t="str">
        <f>SmtRes!O213</f>
        <v>маш.-ч</v>
      </c>
      <c r="I231">
        <f>SmtRes!Y213*Source!I204</f>
        <v>9.9663599999999999</v>
      </c>
      <c r="J231">
        <f>SmtRes!AO213</f>
        <v>1</v>
      </c>
      <c r="K231">
        <f>SmtRes!AF213</f>
        <v>1.53</v>
      </c>
      <c r="L231">
        <f>SmtRes!DB213</f>
        <v>82.869</v>
      </c>
      <c r="M231">
        <f>ROUND(ROUND(L231*Source!I204, 6)*1, 2)</f>
        <v>15.25</v>
      </c>
      <c r="N231">
        <f>SmtRes!AB213</f>
        <v>1.53</v>
      </c>
      <c r="O231">
        <f>ROUND(ROUND(L231*Source!I204, 6)*SmtRes!DA213, 2)</f>
        <v>15.25</v>
      </c>
      <c r="P231">
        <f>SmtRes!AG213</f>
        <v>0</v>
      </c>
      <c r="Q231">
        <f>SmtRes!DC213</f>
        <v>0</v>
      </c>
      <c r="R231">
        <f>ROUND(ROUND(Q231*Source!I204, 6)*1, 2)</f>
        <v>0</v>
      </c>
      <c r="S231">
        <f>SmtRes!AC213</f>
        <v>0</v>
      </c>
      <c r="T231">
        <f>ROUND(ROUND(Q231*Source!I204, 6)*SmtRes!AK213, 2)</f>
        <v>0</v>
      </c>
      <c r="U231">
        <f>SmtRes!X213</f>
        <v>1518765163</v>
      </c>
      <c r="V231">
        <v>-1277244089</v>
      </c>
      <c r="W231">
        <v>-172744654</v>
      </c>
    </row>
    <row r="232" spans="1:23" x14ac:dyDescent="0.2">
      <c r="A232">
        <f>Source!A204</f>
        <v>17</v>
      </c>
      <c r="C232">
        <v>2</v>
      </c>
      <c r="D232">
        <v>0</v>
      </c>
      <c r="E232">
        <f>SmtRes!AV212</f>
        <v>0</v>
      </c>
      <c r="F232" t="str">
        <f>SmtRes!I212</f>
        <v>91.18.01-007</v>
      </c>
      <c r="G232" t="str">
        <f>SmtRes!K212</f>
        <v>Компрессоры передвижные с двигателем внутреннего сгорания, давлением до 686 кПа (7ат), производительность до 5мЗ/мин</v>
      </c>
      <c r="H232" t="str">
        <f>SmtRes!O212</f>
        <v>маш.-ч</v>
      </c>
      <c r="I232">
        <f>SmtRes!Y212*Source!I204</f>
        <v>3.3221199999999991</v>
      </c>
      <c r="J232">
        <f>SmtRes!AO212</f>
        <v>1</v>
      </c>
      <c r="K232">
        <f>SmtRes!AF212</f>
        <v>90</v>
      </c>
      <c r="L232">
        <f>SmtRes!DB212</f>
        <v>1624.95</v>
      </c>
      <c r="M232">
        <f>ROUND(ROUND(L232*Source!I204, 6)*1, 2)</f>
        <v>298.99</v>
      </c>
      <c r="N232">
        <f>SmtRes!AB212</f>
        <v>90</v>
      </c>
      <c r="O232">
        <f>ROUND(ROUND(L232*Source!I204, 6)*SmtRes!DA212, 2)</f>
        <v>298.99</v>
      </c>
      <c r="P232">
        <f>SmtRes!AG212</f>
        <v>10.06</v>
      </c>
      <c r="Q232">
        <f>SmtRes!DC212</f>
        <v>181.631</v>
      </c>
      <c r="R232">
        <f>ROUND(ROUND(Q232*Source!I204, 6)*1, 2)</f>
        <v>33.42</v>
      </c>
      <c r="S232">
        <f>SmtRes!AC212</f>
        <v>10.06</v>
      </c>
      <c r="T232">
        <f>ROUND(ROUND(Q232*Source!I204, 6)*SmtRes!AK212, 2)</f>
        <v>33.42</v>
      </c>
      <c r="U232">
        <f>SmtRes!X212</f>
        <v>-1589061407</v>
      </c>
      <c r="V232">
        <v>-1756222023</v>
      </c>
      <c r="W232">
        <v>954034734</v>
      </c>
    </row>
    <row r="233" spans="1:23" x14ac:dyDescent="0.2">
      <c r="A233">
        <f>Source!A204</f>
        <v>17</v>
      </c>
      <c r="C233">
        <v>1</v>
      </c>
      <c r="D233">
        <v>0</v>
      </c>
      <c r="E233">
        <f>SmtRes!AV211</f>
        <v>2</v>
      </c>
      <c r="F233" t="str">
        <f>SmtRes!I211</f>
        <v>4-100-00</v>
      </c>
      <c r="G233" t="str">
        <f>SmtRes!K211</f>
        <v>Затраты труда машинистов</v>
      </c>
      <c r="H233" t="str">
        <f>SmtRes!O211</f>
        <v>чел.-ч.</v>
      </c>
      <c r="I233">
        <f>SmtRes!Y211*Source!I204</f>
        <v>2.8887999999999998</v>
      </c>
      <c r="J233">
        <f>SmtRes!AO211</f>
        <v>1</v>
      </c>
      <c r="K233">
        <f>SmtRes!AH211</f>
        <v>0</v>
      </c>
      <c r="L233">
        <f>SmtRes!DB211</f>
        <v>0</v>
      </c>
      <c r="M233">
        <f>ROUND(ROUND(L233*Source!I204, 6)*1, 2)</f>
        <v>0</v>
      </c>
      <c r="N233">
        <f>SmtRes!AD211</f>
        <v>0</v>
      </c>
      <c r="O233">
        <f>ROUND(ROUND(L233*Source!I204, 6)*SmtRes!DA211, 2)</f>
        <v>0</v>
      </c>
      <c r="P233">
        <f>SmtRes!AG211</f>
        <v>0</v>
      </c>
      <c r="Q233">
        <f>SmtRes!DC211</f>
        <v>0</v>
      </c>
      <c r="R233">
        <f>ROUND(ROUND(Q233*Source!I204, 6)*1, 2)</f>
        <v>0</v>
      </c>
      <c r="S233">
        <f>SmtRes!AC211</f>
        <v>0</v>
      </c>
      <c r="T233">
        <f>ROUND(ROUND(Q233*Source!I204, 6)*SmtRes!AK211, 2)</f>
        <v>0</v>
      </c>
      <c r="U233">
        <f>SmtRes!X211</f>
        <v>-1417349443</v>
      </c>
      <c r="V233">
        <v>-189065469</v>
      </c>
      <c r="W233">
        <v>1122477533</v>
      </c>
    </row>
    <row r="234" spans="1:23" x14ac:dyDescent="0.2">
      <c r="A234">
        <f>Source!A204</f>
        <v>17</v>
      </c>
      <c r="C234">
        <v>1</v>
      </c>
      <c r="D234">
        <v>0</v>
      </c>
      <c r="E234">
        <f>SmtRes!AV210</f>
        <v>1</v>
      </c>
      <c r="F234" t="str">
        <f>SmtRes!I210</f>
        <v>1-100-27</v>
      </c>
      <c r="G234" t="str">
        <f>SmtRes!K210</f>
        <v>Рабочий среднего разряда 2.7</v>
      </c>
      <c r="H234" t="str">
        <f>SmtRes!O210</f>
        <v>чел.-ч.</v>
      </c>
      <c r="I234">
        <f>SmtRes!Y210*Source!I204</f>
        <v>12.222015999999998</v>
      </c>
      <c r="J234">
        <f>SmtRes!AO210</f>
        <v>1</v>
      </c>
      <c r="K234">
        <f>SmtRes!AH210</f>
        <v>8.31</v>
      </c>
      <c r="L234">
        <f>SmtRes!DB210</f>
        <v>551.98850000000004</v>
      </c>
      <c r="M234">
        <f>ROUND(ROUND(L234*Source!I204, 6)*1, 2)</f>
        <v>101.57</v>
      </c>
      <c r="N234">
        <f>SmtRes!AD210</f>
        <v>8.31</v>
      </c>
      <c r="O234">
        <f>ROUND(ROUND(L234*Source!I204, 6)*SmtRes!DA210, 2)</f>
        <v>101.57</v>
      </c>
      <c r="P234">
        <f>SmtRes!AG210</f>
        <v>0</v>
      </c>
      <c r="Q234">
        <f>SmtRes!DC210</f>
        <v>0</v>
      </c>
      <c r="R234">
        <f>ROUND(ROUND(Q234*Source!I204, 6)*1, 2)</f>
        <v>0</v>
      </c>
      <c r="S234">
        <f>SmtRes!AC210</f>
        <v>0</v>
      </c>
      <c r="T234">
        <f>ROUND(ROUND(Q234*Source!I204, 6)*SmtRes!AK210, 2)</f>
        <v>0</v>
      </c>
      <c r="U234">
        <f>SmtRes!X210</f>
        <v>1850719656</v>
      </c>
      <c r="V234">
        <v>1797986336</v>
      </c>
      <c r="W234">
        <v>1013964695</v>
      </c>
    </row>
    <row r="235" spans="1:23" x14ac:dyDescent="0.2">
      <c r="A235">
        <f>Source!A205</f>
        <v>17</v>
      </c>
      <c r="C235">
        <v>2</v>
      </c>
      <c r="D235">
        <v>0</v>
      </c>
      <c r="E235">
        <f>SmtRes!AV217</f>
        <v>0</v>
      </c>
      <c r="F235" t="str">
        <f>SmtRes!I217</f>
        <v>91.13.01-051</v>
      </c>
      <c r="G235" t="str">
        <f>SmtRes!K217</f>
        <v>Трактор с щетками дорожными навесными</v>
      </c>
      <c r="H235" t="str">
        <f>SmtRes!O217</f>
        <v>маш.-ч</v>
      </c>
      <c r="I235">
        <f>SmtRes!Y217*Source!I205</f>
        <v>4.1896799999999992</v>
      </c>
      <c r="J235">
        <f>SmtRes!AO217</f>
        <v>1</v>
      </c>
      <c r="K235">
        <f>SmtRes!AF217</f>
        <v>62.3</v>
      </c>
      <c r="L235">
        <f>SmtRes!DB217</f>
        <v>141.85249999999999</v>
      </c>
      <c r="M235">
        <f>ROUND(ROUND(L235*Source!I205, 6)*1, 2)</f>
        <v>261.01</v>
      </c>
      <c r="N235">
        <f>SmtRes!AB217</f>
        <v>62.3</v>
      </c>
      <c r="O235">
        <f>ROUND(ROUND(L235*Source!I205, 6)*SmtRes!DA217, 2)</f>
        <v>261.01</v>
      </c>
      <c r="P235">
        <f>SmtRes!AG217</f>
        <v>11.6</v>
      </c>
      <c r="Q235">
        <f>SmtRes!DC217</f>
        <v>26.415500000000002</v>
      </c>
      <c r="R235">
        <f>ROUND(ROUND(Q235*Source!I205, 6)*1, 2)</f>
        <v>48.6</v>
      </c>
      <c r="S235">
        <f>SmtRes!AC217</f>
        <v>11.6</v>
      </c>
      <c r="T235">
        <f>ROUND(ROUND(Q235*Source!I205, 6)*SmtRes!AK217, 2)</f>
        <v>48.6</v>
      </c>
      <c r="U235">
        <f>SmtRes!X217</f>
        <v>1513269878</v>
      </c>
      <c r="V235">
        <v>-800426921</v>
      </c>
      <c r="W235">
        <v>-807963813</v>
      </c>
    </row>
    <row r="236" spans="1:23" x14ac:dyDescent="0.2">
      <c r="A236">
        <f>Source!A205</f>
        <v>17</v>
      </c>
      <c r="C236">
        <v>2</v>
      </c>
      <c r="D236">
        <v>0</v>
      </c>
      <c r="E236">
        <f>SmtRes!AV216</f>
        <v>0</v>
      </c>
      <c r="F236" t="str">
        <f>SmtRes!I216</f>
        <v>91.01.02-004</v>
      </c>
      <c r="G236" t="str">
        <f>SmtRes!K216</f>
        <v>Автогрейдеры среднего типа, мощность 99 кВт (135 л.с.)</v>
      </c>
      <c r="H236" t="str">
        <f>SmtRes!O216</f>
        <v>маш.-ч</v>
      </c>
      <c r="I236">
        <f>SmtRes!Y216*Source!I205</f>
        <v>5.6497199999999994</v>
      </c>
      <c r="J236">
        <f>SmtRes!AO216</f>
        <v>1</v>
      </c>
      <c r="K236">
        <f>SmtRes!AF216</f>
        <v>123</v>
      </c>
      <c r="L236">
        <f>SmtRes!DB216</f>
        <v>377.67149999999998</v>
      </c>
      <c r="M236">
        <f>ROUND(ROUND(L236*Source!I205, 6)*1, 2)</f>
        <v>694.92</v>
      </c>
      <c r="N236">
        <f>SmtRes!AB216</f>
        <v>123</v>
      </c>
      <c r="O236">
        <f>ROUND(ROUND(L236*Source!I205, 6)*SmtRes!DA216, 2)</f>
        <v>694.92</v>
      </c>
      <c r="P236">
        <f>SmtRes!AG216</f>
        <v>13.5</v>
      </c>
      <c r="Q236">
        <f>SmtRes!DC216</f>
        <v>41.457500000000003</v>
      </c>
      <c r="R236">
        <f>ROUND(ROUND(Q236*Source!I205, 6)*1, 2)</f>
        <v>76.28</v>
      </c>
      <c r="S236">
        <f>SmtRes!AC216</f>
        <v>13.5</v>
      </c>
      <c r="T236">
        <f>ROUND(ROUND(Q236*Source!I205, 6)*SmtRes!AK216, 2)</f>
        <v>76.28</v>
      </c>
      <c r="U236">
        <f>SmtRes!X216</f>
        <v>645023554</v>
      </c>
      <c r="V236">
        <v>768142974</v>
      </c>
      <c r="W236">
        <v>1262858537</v>
      </c>
    </row>
    <row r="237" spans="1:23" x14ac:dyDescent="0.2">
      <c r="A237">
        <f>Source!A205</f>
        <v>17</v>
      </c>
      <c r="C237">
        <v>1</v>
      </c>
      <c r="D237">
        <v>0</v>
      </c>
      <c r="E237">
        <f>SmtRes!AV215</f>
        <v>2</v>
      </c>
      <c r="F237" t="str">
        <f>SmtRes!I215</f>
        <v>4-100-00</v>
      </c>
      <c r="G237" t="str">
        <f>SmtRes!K215</f>
        <v>Затраты труда машинистов</v>
      </c>
      <c r="H237" t="str">
        <f>SmtRes!O215</f>
        <v>чел.-ч.</v>
      </c>
      <c r="I237">
        <f>SmtRes!Y215*Source!I205</f>
        <v>8.5560000000000009</v>
      </c>
      <c r="J237">
        <f>SmtRes!AO215</f>
        <v>1</v>
      </c>
      <c r="K237">
        <f>SmtRes!AH215</f>
        <v>0</v>
      </c>
      <c r="L237">
        <f>SmtRes!DB215</f>
        <v>0</v>
      </c>
      <c r="M237">
        <f>ROUND(ROUND(L237*Source!I205, 6)*1, 2)</f>
        <v>0</v>
      </c>
      <c r="N237">
        <f>SmtRes!AD215</f>
        <v>0</v>
      </c>
      <c r="O237">
        <f>ROUND(ROUND(L237*Source!I205, 6)*SmtRes!DA215, 2)</f>
        <v>0</v>
      </c>
      <c r="P237">
        <f>SmtRes!AG215</f>
        <v>0</v>
      </c>
      <c r="Q237">
        <f>SmtRes!DC215</f>
        <v>0</v>
      </c>
      <c r="R237">
        <f>ROUND(ROUND(Q237*Source!I205, 6)*1, 2)</f>
        <v>0</v>
      </c>
      <c r="S237">
        <f>SmtRes!AC215</f>
        <v>0</v>
      </c>
      <c r="T237">
        <f>ROUND(ROUND(Q237*Source!I205, 6)*SmtRes!AK215, 2)</f>
        <v>0</v>
      </c>
      <c r="U237">
        <f>SmtRes!X215</f>
        <v>-1417349443</v>
      </c>
      <c r="V237">
        <v>-189065469</v>
      </c>
      <c r="W237">
        <v>1122477533</v>
      </c>
    </row>
    <row r="238" spans="1:23" x14ac:dyDescent="0.2">
      <c r="A238">
        <f>Source!A205</f>
        <v>17</v>
      </c>
      <c r="C238">
        <v>1</v>
      </c>
      <c r="D238">
        <v>0</v>
      </c>
      <c r="E238">
        <f>SmtRes!AV214</f>
        <v>1</v>
      </c>
      <c r="F238" t="str">
        <f>SmtRes!I214</f>
        <v>1-100-21</v>
      </c>
      <c r="G238" t="str">
        <f>SmtRes!K214</f>
        <v>Рабочий среднего разряда 2.1</v>
      </c>
      <c r="H238" t="str">
        <f>SmtRes!O214</f>
        <v>чел.-ч.</v>
      </c>
      <c r="I238">
        <f>SmtRes!Y214*Source!I205</f>
        <v>38.870919999999998</v>
      </c>
      <c r="J238">
        <f>SmtRes!AO214</f>
        <v>1</v>
      </c>
      <c r="K238">
        <f>SmtRes!AH214</f>
        <v>7.87</v>
      </c>
      <c r="L238">
        <f>SmtRes!DB214</f>
        <v>166.25550000000001</v>
      </c>
      <c r="M238">
        <f>ROUND(ROUND(L238*Source!I205, 6)*1, 2)</f>
        <v>305.91000000000003</v>
      </c>
      <c r="N238">
        <f>SmtRes!AD214</f>
        <v>7.87</v>
      </c>
      <c r="O238">
        <f>ROUND(ROUND(L238*Source!I205, 6)*SmtRes!DA214, 2)</f>
        <v>305.91000000000003</v>
      </c>
      <c r="P238">
        <f>SmtRes!AG214</f>
        <v>0</v>
      </c>
      <c r="Q238">
        <f>SmtRes!DC214</f>
        <v>0</v>
      </c>
      <c r="R238">
        <f>ROUND(ROUND(Q238*Source!I205, 6)*1, 2)</f>
        <v>0</v>
      </c>
      <c r="S238">
        <f>SmtRes!AC214</f>
        <v>0</v>
      </c>
      <c r="T238">
        <f>ROUND(ROUND(Q238*Source!I205, 6)*SmtRes!AK214, 2)</f>
        <v>0</v>
      </c>
      <c r="U238">
        <f>SmtRes!X214</f>
        <v>152375061</v>
      </c>
      <c r="V238">
        <v>-630123793</v>
      </c>
      <c r="W238">
        <v>-1514152417</v>
      </c>
    </row>
    <row r="239" spans="1:23" x14ac:dyDescent="0.2">
      <c r="A239">
        <f>Source!A209</f>
        <v>17</v>
      </c>
      <c r="C239">
        <v>3</v>
      </c>
      <c r="D239">
        <v>0</v>
      </c>
      <c r="E239">
        <f>SmtRes!AV224</f>
        <v>0</v>
      </c>
      <c r="F239" t="str">
        <f>SmtRes!I224</f>
        <v>01.7.03.01-0001</v>
      </c>
      <c r="G239" t="str">
        <f>SmtRes!K224</f>
        <v>Вода</v>
      </c>
      <c r="H239" t="str">
        <f>SmtRes!O224</f>
        <v>м3</v>
      </c>
      <c r="I239">
        <f>SmtRes!Y224*Source!I209</f>
        <v>1.8399999999999999</v>
      </c>
      <c r="J239">
        <f>SmtRes!AO224</f>
        <v>1</v>
      </c>
      <c r="K239">
        <f>SmtRes!AE224</f>
        <v>2.44</v>
      </c>
      <c r="L239">
        <f>SmtRes!DB224</f>
        <v>12.2</v>
      </c>
      <c r="M239">
        <f>ROUND(ROUND(L239*Source!I209, 6)*1, 2)</f>
        <v>4.49</v>
      </c>
      <c r="N239">
        <f>SmtRes!AA224</f>
        <v>2.44</v>
      </c>
      <c r="O239">
        <f>ROUND(ROUND(L239*Source!I209, 6)*SmtRes!DA224, 2)</f>
        <v>4.49</v>
      </c>
      <c r="P239">
        <f>SmtRes!AG224</f>
        <v>0</v>
      </c>
      <c r="Q239">
        <f>SmtRes!DC224</f>
        <v>0</v>
      </c>
      <c r="R239">
        <f>ROUND(ROUND(Q239*Source!I209, 6)*1, 2)</f>
        <v>0</v>
      </c>
      <c r="S239">
        <f>SmtRes!AC224</f>
        <v>0</v>
      </c>
      <c r="T239">
        <f>ROUND(ROUND(Q239*Source!I209, 6)*SmtRes!AK224, 2)</f>
        <v>0</v>
      </c>
      <c r="U239">
        <f>SmtRes!X224</f>
        <v>-1660354250</v>
      </c>
      <c r="V239">
        <v>1600079109</v>
      </c>
      <c r="W239">
        <v>-1353927395</v>
      </c>
    </row>
    <row r="240" spans="1:23" x14ac:dyDescent="0.2">
      <c r="A240">
        <f>Source!A209</f>
        <v>17</v>
      </c>
      <c r="C240">
        <v>2</v>
      </c>
      <c r="D240">
        <v>0</v>
      </c>
      <c r="E240">
        <f>SmtRes!AV223</f>
        <v>0</v>
      </c>
      <c r="F240" t="str">
        <f>SmtRes!I223</f>
        <v>91.13.01-038</v>
      </c>
      <c r="G240" t="str">
        <f>SmtRes!K223</f>
        <v>Машины поливомоечные 6000 л</v>
      </c>
      <c r="H240" t="str">
        <f>SmtRes!O223</f>
        <v>маш.-ч</v>
      </c>
      <c r="I240">
        <f>SmtRes!Y223*Source!I209</f>
        <v>0.39145999999999997</v>
      </c>
      <c r="J240">
        <f>SmtRes!AO223</f>
        <v>1</v>
      </c>
      <c r="K240">
        <f>SmtRes!AF223</f>
        <v>110</v>
      </c>
      <c r="L240">
        <f>SmtRes!DB223</f>
        <v>117.0125</v>
      </c>
      <c r="M240">
        <f>ROUND(ROUND(L240*Source!I209, 6)*1, 2)</f>
        <v>43.06</v>
      </c>
      <c r="N240">
        <f>SmtRes!AB223</f>
        <v>110</v>
      </c>
      <c r="O240">
        <f>ROUND(ROUND(L240*Source!I209, 6)*SmtRes!DA223, 2)</f>
        <v>43.06</v>
      </c>
      <c r="P240">
        <f>SmtRes!AG223</f>
        <v>11.6</v>
      </c>
      <c r="Q240">
        <f>SmtRes!DC223</f>
        <v>12.33375</v>
      </c>
      <c r="R240">
        <f>ROUND(ROUND(Q240*Source!I209, 6)*1, 2)</f>
        <v>4.54</v>
      </c>
      <c r="S240">
        <f>SmtRes!AC223</f>
        <v>11.6</v>
      </c>
      <c r="T240">
        <f>ROUND(ROUND(Q240*Source!I209, 6)*SmtRes!AK223, 2)</f>
        <v>4.54</v>
      </c>
      <c r="U240">
        <f>SmtRes!X223</f>
        <v>1403266566</v>
      </c>
      <c r="V240">
        <v>-698064522</v>
      </c>
      <c r="W240">
        <v>1410473507</v>
      </c>
    </row>
    <row r="241" spans="1:23" x14ac:dyDescent="0.2">
      <c r="A241">
        <f>Source!A209</f>
        <v>17</v>
      </c>
      <c r="C241">
        <v>2</v>
      </c>
      <c r="D241">
        <v>0</v>
      </c>
      <c r="E241">
        <f>SmtRes!AV222</f>
        <v>0</v>
      </c>
      <c r="F241" t="str">
        <f>SmtRes!I222</f>
        <v>91.08.03-030</v>
      </c>
      <c r="G241" t="str">
        <f>SmtRes!K222</f>
        <v>Катки на пневмоколесном ходу, масса 30 т</v>
      </c>
      <c r="H241" t="str">
        <f>SmtRes!O222</f>
        <v>маш.-ч</v>
      </c>
      <c r="I241">
        <f>SmtRes!Y222*Source!I209</f>
        <v>3.7453199999999995</v>
      </c>
      <c r="J241">
        <f>SmtRes!AO222</f>
        <v>1</v>
      </c>
      <c r="K241">
        <f>SmtRes!AF222</f>
        <v>206.01</v>
      </c>
      <c r="L241">
        <f>SmtRes!DB222</f>
        <v>2096.6656250000001</v>
      </c>
      <c r="M241">
        <f>ROUND(ROUND(L241*Source!I209, 6)*1, 2)</f>
        <v>771.57</v>
      </c>
      <c r="N241">
        <f>SmtRes!AB222</f>
        <v>206.01</v>
      </c>
      <c r="O241">
        <f>ROUND(ROUND(L241*Source!I209, 6)*SmtRes!DA222, 2)</f>
        <v>771.57</v>
      </c>
      <c r="P241">
        <f>SmtRes!AG222</f>
        <v>14.4</v>
      </c>
      <c r="Q241">
        <f>SmtRes!DC222</f>
        <v>146.55312499999999</v>
      </c>
      <c r="R241">
        <f>ROUND(ROUND(Q241*Source!I209, 6)*1, 2)</f>
        <v>53.93</v>
      </c>
      <c r="S241">
        <f>SmtRes!AC222</f>
        <v>14.4</v>
      </c>
      <c r="T241">
        <f>ROUND(ROUND(Q241*Source!I209, 6)*SmtRes!AK222, 2)</f>
        <v>53.93</v>
      </c>
      <c r="U241">
        <f>SmtRes!X222</f>
        <v>1663826256</v>
      </c>
      <c r="V241">
        <v>1045291655</v>
      </c>
      <c r="W241">
        <v>-500549999</v>
      </c>
    </row>
    <row r="242" spans="1:23" x14ac:dyDescent="0.2">
      <c r="A242">
        <f>Source!A209</f>
        <v>17</v>
      </c>
      <c r="C242">
        <v>2</v>
      </c>
      <c r="D242">
        <v>0</v>
      </c>
      <c r="E242">
        <f>SmtRes!AV221</f>
        <v>0</v>
      </c>
      <c r="F242" t="str">
        <f>SmtRes!I221</f>
        <v>91.06.05-011</v>
      </c>
      <c r="G242" t="str">
        <f>SmtRes!K221</f>
        <v>Погрузчик, грузоподъемность 5 т</v>
      </c>
      <c r="H242" t="str">
        <f>SmtRes!O221</f>
        <v>маш.-ч</v>
      </c>
      <c r="I242">
        <f>SmtRes!Y221*Source!I209</f>
        <v>2.2694099999999997</v>
      </c>
      <c r="J242">
        <f>SmtRes!AO221</f>
        <v>1</v>
      </c>
      <c r="K242">
        <f>SmtRes!AF221</f>
        <v>89.99</v>
      </c>
      <c r="L242">
        <f>SmtRes!DB221</f>
        <v>554.96124999999995</v>
      </c>
      <c r="M242">
        <f>ROUND(ROUND(L242*Source!I209, 6)*1, 2)</f>
        <v>204.23</v>
      </c>
      <c r="N242">
        <f>SmtRes!AB221</f>
        <v>89.99</v>
      </c>
      <c r="O242">
        <f>ROUND(ROUND(L242*Source!I209, 6)*SmtRes!DA221, 2)</f>
        <v>204.23</v>
      </c>
      <c r="P242">
        <f>SmtRes!AG221</f>
        <v>10.06</v>
      </c>
      <c r="Q242">
        <f>SmtRes!DC221</f>
        <v>62.042499999999997</v>
      </c>
      <c r="R242">
        <f>ROUND(ROUND(Q242*Source!I209, 6)*1, 2)</f>
        <v>22.83</v>
      </c>
      <c r="S242">
        <f>SmtRes!AC221</f>
        <v>10.06</v>
      </c>
      <c r="T242">
        <f>ROUND(ROUND(Q242*Source!I209, 6)*SmtRes!AK221, 2)</f>
        <v>22.83</v>
      </c>
      <c r="U242">
        <f>SmtRes!X221</f>
        <v>-665367104</v>
      </c>
      <c r="V242">
        <v>-1911453925</v>
      </c>
      <c r="W242">
        <v>1793503583</v>
      </c>
    </row>
    <row r="243" spans="1:23" x14ac:dyDescent="0.2">
      <c r="A243">
        <f>Source!A209</f>
        <v>17</v>
      </c>
      <c r="C243">
        <v>2</v>
      </c>
      <c r="D243">
        <v>0</v>
      </c>
      <c r="E243">
        <f>SmtRes!AV220</f>
        <v>0</v>
      </c>
      <c r="F243" t="str">
        <f>SmtRes!I220</f>
        <v>91.01.02-004</v>
      </c>
      <c r="G243" t="str">
        <f>SmtRes!K220</f>
        <v>Автогрейдеры среднего типа, мощность 99 кВт (135 л.с.)</v>
      </c>
      <c r="H243" t="str">
        <f>SmtRes!O220</f>
        <v>маш.-ч</v>
      </c>
      <c r="I243">
        <f>SmtRes!Y220*Source!I209</f>
        <v>0.93632999999999988</v>
      </c>
      <c r="J243">
        <f>SmtRes!AO220</f>
        <v>1</v>
      </c>
      <c r="K243">
        <f>SmtRes!AF220</f>
        <v>123</v>
      </c>
      <c r="L243">
        <f>SmtRes!DB220</f>
        <v>312.958125</v>
      </c>
      <c r="M243">
        <f>ROUND(ROUND(L243*Source!I209, 6)*1, 2)</f>
        <v>115.17</v>
      </c>
      <c r="N243">
        <f>SmtRes!AB220</f>
        <v>123</v>
      </c>
      <c r="O243">
        <f>ROUND(ROUND(L243*Source!I209, 6)*SmtRes!DA220, 2)</f>
        <v>115.17</v>
      </c>
      <c r="P243">
        <f>SmtRes!AG220</f>
        <v>13.5</v>
      </c>
      <c r="Q243">
        <f>SmtRes!DC220</f>
        <v>34.356250000000003</v>
      </c>
      <c r="R243">
        <f>ROUND(ROUND(Q243*Source!I209, 6)*1, 2)</f>
        <v>12.64</v>
      </c>
      <c r="S243">
        <f>SmtRes!AC220</f>
        <v>13.5</v>
      </c>
      <c r="T243">
        <f>ROUND(ROUND(Q243*Source!I209, 6)*SmtRes!AK220, 2)</f>
        <v>12.64</v>
      </c>
      <c r="U243">
        <f>SmtRes!X220</f>
        <v>645023554</v>
      </c>
      <c r="V243">
        <v>768142974</v>
      </c>
      <c r="W243">
        <v>1262858537</v>
      </c>
    </row>
    <row r="244" spans="1:23" x14ac:dyDescent="0.2">
      <c r="A244">
        <f>Source!A209</f>
        <v>17</v>
      </c>
      <c r="C244">
        <v>1</v>
      </c>
      <c r="D244">
        <v>0</v>
      </c>
      <c r="E244">
        <f>SmtRes!AV219</f>
        <v>2</v>
      </c>
      <c r="F244" t="str">
        <f>SmtRes!I219</f>
        <v>4-100-00</v>
      </c>
      <c r="G244" t="str">
        <f>SmtRes!K219</f>
        <v>Затраты труда машинистов</v>
      </c>
      <c r="H244" t="str">
        <f>SmtRes!O219</f>
        <v>чел.-ч.</v>
      </c>
      <c r="I244">
        <f>SmtRes!Y219*Source!I209</f>
        <v>5.1078400000000004</v>
      </c>
      <c r="J244">
        <f>SmtRes!AO219</f>
        <v>1</v>
      </c>
      <c r="K244">
        <f>SmtRes!AH219</f>
        <v>0</v>
      </c>
      <c r="L244">
        <f>SmtRes!DB219</f>
        <v>0</v>
      </c>
      <c r="M244">
        <f>ROUND(ROUND(L244*Source!I209, 6)*1, 2)</f>
        <v>0</v>
      </c>
      <c r="N244">
        <f>SmtRes!AD219</f>
        <v>0</v>
      </c>
      <c r="O244">
        <f>ROUND(ROUND(L244*Source!I209, 6)*SmtRes!DA219, 2)</f>
        <v>0</v>
      </c>
      <c r="P244">
        <f>SmtRes!AG219</f>
        <v>0</v>
      </c>
      <c r="Q244">
        <f>SmtRes!DC219</f>
        <v>0</v>
      </c>
      <c r="R244">
        <f>ROUND(ROUND(Q244*Source!I209, 6)*1, 2)</f>
        <v>0</v>
      </c>
      <c r="S244">
        <f>SmtRes!AC219</f>
        <v>0</v>
      </c>
      <c r="T244">
        <f>ROUND(ROUND(Q244*Source!I209, 6)*SmtRes!AK219, 2)</f>
        <v>0</v>
      </c>
      <c r="U244">
        <f>SmtRes!X219</f>
        <v>-1417349443</v>
      </c>
      <c r="V244">
        <v>-189065469</v>
      </c>
      <c r="W244">
        <v>1122477533</v>
      </c>
    </row>
    <row r="245" spans="1:23" x14ac:dyDescent="0.2">
      <c r="A245">
        <f>Source!A209</f>
        <v>17</v>
      </c>
      <c r="C245">
        <v>1</v>
      </c>
      <c r="D245">
        <v>0</v>
      </c>
      <c r="E245">
        <f>SmtRes!AV218</f>
        <v>1</v>
      </c>
      <c r="F245" t="str">
        <f>SmtRes!I218</f>
        <v>1-100-23</v>
      </c>
      <c r="G245" t="str">
        <f>SmtRes!K218</f>
        <v>Рабочий среднего разряда 2.3</v>
      </c>
      <c r="H245" t="str">
        <f>SmtRes!O218</f>
        <v>чел.-ч.</v>
      </c>
      <c r="I245">
        <f>SmtRes!Y218*Source!I209</f>
        <v>7.6506095999999983</v>
      </c>
      <c r="J245">
        <f>SmtRes!AO218</f>
        <v>1</v>
      </c>
      <c r="K245">
        <f>SmtRes!AH218</f>
        <v>8.02</v>
      </c>
      <c r="L245">
        <f>SmtRes!DB218</f>
        <v>166.727575</v>
      </c>
      <c r="M245">
        <f>ROUND(ROUND(L245*Source!I209, 6)*1, 2)</f>
        <v>61.36</v>
      </c>
      <c r="N245">
        <f>SmtRes!AD218</f>
        <v>8.02</v>
      </c>
      <c r="O245">
        <f>ROUND(ROUND(L245*Source!I209, 6)*SmtRes!DA218, 2)</f>
        <v>61.36</v>
      </c>
      <c r="P245">
        <f>SmtRes!AG218</f>
        <v>0</v>
      </c>
      <c r="Q245">
        <f>SmtRes!DC218</f>
        <v>0</v>
      </c>
      <c r="R245">
        <f>ROUND(ROUND(Q245*Source!I209, 6)*1, 2)</f>
        <v>0</v>
      </c>
      <c r="S245">
        <f>SmtRes!AC218</f>
        <v>0</v>
      </c>
      <c r="T245">
        <f>ROUND(ROUND(Q245*Source!I209, 6)*SmtRes!AK218, 2)</f>
        <v>0</v>
      </c>
      <c r="U245">
        <f>SmtRes!X218</f>
        <v>-228054128</v>
      </c>
      <c r="V245">
        <v>-1057066998</v>
      </c>
      <c r="W245">
        <v>-1107782587</v>
      </c>
    </row>
    <row r="246" spans="1:23" x14ac:dyDescent="0.2">
      <c r="A246">
        <f>Source!A210</f>
        <v>18</v>
      </c>
      <c r="C246">
        <v>3</v>
      </c>
      <c r="D246">
        <f>Source!BI210</f>
        <v>1</v>
      </c>
      <c r="E246">
        <f>Source!FS210</f>
        <v>0</v>
      </c>
      <c r="F246" t="str">
        <f>Source!F210</f>
        <v>02.3.01.02-0015</v>
      </c>
      <c r="G246" t="str">
        <f>Source!G210</f>
        <v>Песок природный для строительных работ средний</v>
      </c>
      <c r="H246" t="str">
        <f>Source!H210</f>
        <v>м3</v>
      </c>
      <c r="I246">
        <f>Source!I210</f>
        <v>37.72</v>
      </c>
      <c r="J246">
        <v>1</v>
      </c>
      <c r="K246">
        <f>Source!AC210</f>
        <v>55.26</v>
      </c>
      <c r="M246">
        <f>ROUND(K246*I246, 2)</f>
        <v>2084.41</v>
      </c>
      <c r="N246">
        <f>Source!AC210*IF(Source!BC210&lt;&gt; 0, Source!BC210, 1)</f>
        <v>55.26</v>
      </c>
      <c r="O246">
        <f>ROUND(N246*I246, 2)</f>
        <v>2084.41</v>
      </c>
      <c r="P246">
        <f>Source!AE210</f>
        <v>0</v>
      </c>
      <c r="R246">
        <f>ROUND(P246*I246, 2)</f>
        <v>0</v>
      </c>
      <c r="S246">
        <f>Source!AE210*IF(Source!BS210&lt;&gt; 0, Source!BS210, 1)</f>
        <v>0</v>
      </c>
      <c r="T246">
        <f>ROUND(S246*I246, 2)</f>
        <v>0</v>
      </c>
      <c r="U246">
        <f>Source!GF210</f>
        <v>-35545874</v>
      </c>
      <c r="V246">
        <v>1327291456</v>
      </c>
      <c r="W246">
        <v>1416435395</v>
      </c>
    </row>
    <row r="247" spans="1:23" x14ac:dyDescent="0.2">
      <c r="A247">
        <f>Source!A211</f>
        <v>17</v>
      </c>
      <c r="C247">
        <v>3</v>
      </c>
      <c r="D247">
        <v>0</v>
      </c>
      <c r="E247">
        <f>SmtRes!AV233</f>
        <v>0</v>
      </c>
      <c r="F247" t="str">
        <f>SmtRes!I233</f>
        <v>01.7.03.01-0001</v>
      </c>
      <c r="G247" t="str">
        <f>SmtRes!K233</f>
        <v>Вода</v>
      </c>
      <c r="H247" t="str">
        <f>SmtRes!O233</f>
        <v>м3</v>
      </c>
      <c r="I247">
        <f>SmtRes!Y233*Source!I211</f>
        <v>7.7280000000000006</v>
      </c>
      <c r="J247">
        <f>SmtRes!AO233</f>
        <v>1</v>
      </c>
      <c r="K247">
        <f>SmtRes!AE233</f>
        <v>2.44</v>
      </c>
      <c r="L247">
        <f>SmtRes!DB233</f>
        <v>17.079999999999998</v>
      </c>
      <c r="M247">
        <f>ROUND(ROUND(L247*Source!I211, 6)*1, 2)</f>
        <v>18.86</v>
      </c>
      <c r="N247">
        <f>SmtRes!AA233</f>
        <v>2.44</v>
      </c>
      <c r="O247">
        <f>ROUND(ROUND(L247*Source!I211, 6)*SmtRes!DA233, 2)</f>
        <v>18.86</v>
      </c>
      <c r="P247">
        <f>SmtRes!AG233</f>
        <v>0</v>
      </c>
      <c r="Q247">
        <f>SmtRes!DC233</f>
        <v>0</v>
      </c>
      <c r="R247">
        <f>ROUND(ROUND(Q247*Source!I211, 6)*1, 2)</f>
        <v>0</v>
      </c>
      <c r="S247">
        <f>SmtRes!AC233</f>
        <v>0</v>
      </c>
      <c r="T247">
        <f>ROUND(ROUND(Q247*Source!I211, 6)*SmtRes!AK233, 2)</f>
        <v>0</v>
      </c>
      <c r="U247">
        <f>SmtRes!X233</f>
        <v>-1660354250</v>
      </c>
      <c r="V247">
        <v>1600079109</v>
      </c>
      <c r="W247">
        <v>-1353927395</v>
      </c>
    </row>
    <row r="248" spans="1:23" x14ac:dyDescent="0.2">
      <c r="A248">
        <f>Source!A211</f>
        <v>17</v>
      </c>
      <c r="C248">
        <v>2</v>
      </c>
      <c r="D248">
        <v>0</v>
      </c>
      <c r="E248">
        <f>SmtRes!AV232</f>
        <v>0</v>
      </c>
      <c r="F248" t="str">
        <f>SmtRes!I232</f>
        <v>91.13.01-038</v>
      </c>
      <c r="G248" t="str">
        <f>SmtRes!K232</f>
        <v>Машины поливомоечные 6000 л</v>
      </c>
      <c r="H248" t="str">
        <f>SmtRes!O232</f>
        <v>маш.-ч</v>
      </c>
      <c r="I248">
        <f>SmtRes!Y232*Source!I211</f>
        <v>1.6504799999999999</v>
      </c>
      <c r="J248">
        <f>SmtRes!AO232</f>
        <v>1</v>
      </c>
      <c r="K248">
        <f>SmtRes!AF232</f>
        <v>110</v>
      </c>
      <c r="L248">
        <f>SmtRes!DB232</f>
        <v>164.45</v>
      </c>
      <c r="M248">
        <f>ROUND(ROUND(L248*Source!I211, 6)*1, 2)</f>
        <v>181.55</v>
      </c>
      <c r="N248">
        <f>SmtRes!AB232</f>
        <v>110</v>
      </c>
      <c r="O248">
        <f>ROUND(ROUND(L248*Source!I211, 6)*SmtRes!DA232, 2)</f>
        <v>181.55</v>
      </c>
      <c r="P248">
        <f>SmtRes!AG232</f>
        <v>11.6</v>
      </c>
      <c r="Q248">
        <f>SmtRes!DC232</f>
        <v>17.33625</v>
      </c>
      <c r="R248">
        <f>ROUND(ROUND(Q248*Source!I211, 6)*1, 2)</f>
        <v>19.14</v>
      </c>
      <c r="S248">
        <f>SmtRes!AC232</f>
        <v>11.6</v>
      </c>
      <c r="T248">
        <f>ROUND(ROUND(Q248*Source!I211, 6)*SmtRes!AK232, 2)</f>
        <v>19.14</v>
      </c>
      <c r="U248">
        <f>SmtRes!X232</f>
        <v>1403266566</v>
      </c>
      <c r="V248">
        <v>-698064522</v>
      </c>
      <c r="W248">
        <v>1410473507</v>
      </c>
    </row>
    <row r="249" spans="1:23" x14ac:dyDescent="0.2">
      <c r="A249">
        <f>Source!A211</f>
        <v>17</v>
      </c>
      <c r="C249">
        <v>2</v>
      </c>
      <c r="D249">
        <v>0</v>
      </c>
      <c r="E249">
        <f>SmtRes!AV231</f>
        <v>0</v>
      </c>
      <c r="F249" t="str">
        <f>SmtRes!I231</f>
        <v>91.08.03-030</v>
      </c>
      <c r="G249" t="str">
        <f>SmtRes!K231</f>
        <v>Катки на пневмоколесном ходу, масса 30 т</v>
      </c>
      <c r="H249" t="str">
        <f>SmtRes!O231</f>
        <v>маш.-ч</v>
      </c>
      <c r="I249">
        <f>SmtRes!Y231*Source!I211</f>
        <v>19.377269999999999</v>
      </c>
      <c r="J249">
        <f>SmtRes!AO231</f>
        <v>1</v>
      </c>
      <c r="K249">
        <f>SmtRes!AF231</f>
        <v>206.01</v>
      </c>
      <c r="L249">
        <f>SmtRes!DB231</f>
        <v>3615.8587499999999</v>
      </c>
      <c r="M249">
        <f>ROUND(ROUND(L249*Source!I211, 6)*1, 2)</f>
        <v>3991.91</v>
      </c>
      <c r="N249">
        <f>SmtRes!AB231</f>
        <v>206.01</v>
      </c>
      <c r="O249">
        <f>ROUND(ROUND(L249*Source!I211, 6)*SmtRes!DA231, 2)</f>
        <v>3991.91</v>
      </c>
      <c r="P249">
        <f>SmtRes!AG231</f>
        <v>14.4</v>
      </c>
      <c r="Q249">
        <f>SmtRes!DC231</f>
        <v>252.74125000000001</v>
      </c>
      <c r="R249">
        <f>ROUND(ROUND(Q249*Source!I211, 6)*1, 2)</f>
        <v>279.02999999999997</v>
      </c>
      <c r="S249">
        <f>SmtRes!AC231</f>
        <v>14.4</v>
      </c>
      <c r="T249">
        <f>ROUND(ROUND(Q249*Source!I211, 6)*SmtRes!AK231, 2)</f>
        <v>279.02999999999997</v>
      </c>
      <c r="U249">
        <f>SmtRes!X231</f>
        <v>1663826256</v>
      </c>
      <c r="V249">
        <v>1045291655</v>
      </c>
      <c r="W249">
        <v>-500549999</v>
      </c>
    </row>
    <row r="250" spans="1:23" x14ac:dyDescent="0.2">
      <c r="A250">
        <f>Source!A211</f>
        <v>17</v>
      </c>
      <c r="C250">
        <v>2</v>
      </c>
      <c r="D250">
        <v>0</v>
      </c>
      <c r="E250">
        <f>SmtRes!AV230</f>
        <v>0</v>
      </c>
      <c r="F250" t="str">
        <f>SmtRes!I230</f>
        <v>91.06.05-011</v>
      </c>
      <c r="G250" t="str">
        <f>SmtRes!K230</f>
        <v>Погрузчик, грузоподъемность 5 т</v>
      </c>
      <c r="H250" t="str">
        <f>SmtRes!O230</f>
        <v>маш.-ч</v>
      </c>
      <c r="I250">
        <f>SmtRes!Y230*Source!I211</f>
        <v>3.90402</v>
      </c>
      <c r="J250">
        <f>SmtRes!AO230</f>
        <v>1</v>
      </c>
      <c r="K250">
        <f>SmtRes!AF230</f>
        <v>89.99</v>
      </c>
      <c r="L250">
        <f>SmtRes!DB230</f>
        <v>318.23374999999999</v>
      </c>
      <c r="M250">
        <f>ROUND(ROUND(L250*Source!I211, 6)*1, 2)</f>
        <v>351.33</v>
      </c>
      <c r="N250">
        <f>SmtRes!AB230</f>
        <v>89.99</v>
      </c>
      <c r="O250">
        <f>ROUND(ROUND(L250*Source!I211, 6)*SmtRes!DA230, 2)</f>
        <v>351.33</v>
      </c>
      <c r="P250">
        <f>SmtRes!AG230</f>
        <v>10.06</v>
      </c>
      <c r="Q250">
        <f>SmtRes!DC230</f>
        <v>35.578125</v>
      </c>
      <c r="R250">
        <f>ROUND(ROUND(Q250*Source!I211, 6)*1, 2)</f>
        <v>39.28</v>
      </c>
      <c r="S250">
        <f>SmtRes!AC230</f>
        <v>10.06</v>
      </c>
      <c r="T250">
        <f>ROUND(ROUND(Q250*Source!I211, 6)*SmtRes!AK230, 2)</f>
        <v>39.28</v>
      </c>
      <c r="U250">
        <f>SmtRes!X230</f>
        <v>-665367104</v>
      </c>
      <c r="V250">
        <v>-1911453925</v>
      </c>
      <c r="W250">
        <v>1793503583</v>
      </c>
    </row>
    <row r="251" spans="1:23" x14ac:dyDescent="0.2">
      <c r="A251">
        <f>Source!A211</f>
        <v>17</v>
      </c>
      <c r="C251">
        <v>2</v>
      </c>
      <c r="D251">
        <v>0</v>
      </c>
      <c r="E251">
        <f>SmtRes!AV229</f>
        <v>0</v>
      </c>
      <c r="F251" t="str">
        <f>SmtRes!I229</f>
        <v>91.01.02-004</v>
      </c>
      <c r="G251" t="str">
        <f>SmtRes!K229</f>
        <v>Автогрейдеры среднего типа, мощность 99 кВт (135 л.с.)</v>
      </c>
      <c r="H251" t="str">
        <f>SmtRes!O229</f>
        <v>маш.-ч</v>
      </c>
      <c r="I251">
        <f>SmtRes!Y229*Source!I211</f>
        <v>3.6500999999999997</v>
      </c>
      <c r="J251">
        <f>SmtRes!AO229</f>
        <v>1</v>
      </c>
      <c r="K251">
        <f>SmtRes!AF229</f>
        <v>123</v>
      </c>
      <c r="L251">
        <f>SmtRes!DB229</f>
        <v>406.66874999999999</v>
      </c>
      <c r="M251">
        <f>ROUND(ROUND(L251*Source!I211, 6)*1, 2)</f>
        <v>448.96</v>
      </c>
      <c r="N251">
        <f>SmtRes!AB229</f>
        <v>123</v>
      </c>
      <c r="O251">
        <f>ROUND(ROUND(L251*Source!I211, 6)*SmtRes!DA229, 2)</f>
        <v>448.96</v>
      </c>
      <c r="P251">
        <f>SmtRes!AG229</f>
        <v>13.5</v>
      </c>
      <c r="Q251">
        <f>SmtRes!DC229</f>
        <v>44.634374999999999</v>
      </c>
      <c r="R251">
        <f>ROUND(ROUND(Q251*Source!I211, 6)*1, 2)</f>
        <v>49.28</v>
      </c>
      <c r="S251">
        <f>SmtRes!AC229</f>
        <v>13.5</v>
      </c>
      <c r="T251">
        <f>ROUND(ROUND(Q251*Source!I211, 6)*SmtRes!AK229, 2)</f>
        <v>49.28</v>
      </c>
      <c r="U251">
        <f>SmtRes!X229</f>
        <v>645023554</v>
      </c>
      <c r="V251">
        <v>768142974</v>
      </c>
      <c r="W251">
        <v>1262858537</v>
      </c>
    </row>
    <row r="252" spans="1:23" x14ac:dyDescent="0.2">
      <c r="A252">
        <f>Source!A211</f>
        <v>17</v>
      </c>
      <c r="C252">
        <v>2</v>
      </c>
      <c r="D252">
        <v>0</v>
      </c>
      <c r="E252">
        <f>SmtRes!AV228</f>
        <v>0</v>
      </c>
      <c r="F252" t="str">
        <f>SmtRes!I228</f>
        <v>91.01.01-035</v>
      </c>
      <c r="G252" t="str">
        <f>SmtRes!K228</f>
        <v>Бульдозеры, мощность 79 кВт (108 л.с.)</v>
      </c>
      <c r="H252" t="str">
        <f>SmtRes!O228</f>
        <v>маш.-ч</v>
      </c>
      <c r="I252">
        <f>SmtRes!Y228*Source!I211</f>
        <v>4.1103300000000003</v>
      </c>
      <c r="J252">
        <f>SmtRes!AO228</f>
        <v>1</v>
      </c>
      <c r="K252">
        <f>SmtRes!AF228</f>
        <v>79.069999999999993</v>
      </c>
      <c r="L252">
        <f>SmtRes!DB228</f>
        <v>294.385625</v>
      </c>
      <c r="M252">
        <f>ROUND(ROUND(L252*Source!I211, 6)*1, 2)</f>
        <v>325</v>
      </c>
      <c r="N252">
        <f>SmtRes!AB228</f>
        <v>79.069999999999993</v>
      </c>
      <c r="O252">
        <f>ROUND(ROUND(L252*Source!I211, 6)*SmtRes!DA228, 2)</f>
        <v>325</v>
      </c>
      <c r="P252">
        <f>SmtRes!AG228</f>
        <v>13.5</v>
      </c>
      <c r="Q252">
        <f>SmtRes!DC228</f>
        <v>50.269374999999997</v>
      </c>
      <c r="R252">
        <f>ROUND(ROUND(Q252*Source!I211, 6)*1, 2)</f>
        <v>55.5</v>
      </c>
      <c r="S252">
        <f>SmtRes!AC228</f>
        <v>13.5</v>
      </c>
      <c r="T252">
        <f>ROUND(ROUND(Q252*Source!I211, 6)*SmtRes!AK228, 2)</f>
        <v>55.5</v>
      </c>
      <c r="U252">
        <f>SmtRes!X228</f>
        <v>-1071764843</v>
      </c>
      <c r="V252">
        <v>1931967936</v>
      </c>
      <c r="W252">
        <v>1875679958</v>
      </c>
    </row>
    <row r="253" spans="1:23" x14ac:dyDescent="0.2">
      <c r="A253">
        <f>Source!A211</f>
        <v>17</v>
      </c>
      <c r="C253">
        <v>1</v>
      </c>
      <c r="D253">
        <v>0</v>
      </c>
      <c r="E253">
        <f>SmtRes!AV227</f>
        <v>2</v>
      </c>
      <c r="F253" t="str">
        <f>SmtRes!I227</f>
        <v>4-100-00</v>
      </c>
      <c r="G253" t="str">
        <f>SmtRes!K227</f>
        <v>Затраты труда машинистов</v>
      </c>
      <c r="H253" t="str">
        <f>SmtRes!O227</f>
        <v>чел.-ч.</v>
      </c>
      <c r="I253">
        <f>SmtRes!Y227*Source!I211</f>
        <v>22.742400000000004</v>
      </c>
      <c r="J253">
        <f>SmtRes!AO227</f>
        <v>1</v>
      </c>
      <c r="K253">
        <f>SmtRes!AH227</f>
        <v>0</v>
      </c>
      <c r="L253">
        <f>SmtRes!DB227</f>
        <v>0</v>
      </c>
      <c r="M253">
        <f>ROUND(ROUND(L253*Source!I211, 6)*1, 2)</f>
        <v>0</v>
      </c>
      <c r="N253">
        <f>SmtRes!AD227</f>
        <v>0</v>
      </c>
      <c r="O253">
        <f>ROUND(ROUND(L253*Source!I211, 6)*SmtRes!DA227, 2)</f>
        <v>0</v>
      </c>
      <c r="P253">
        <f>SmtRes!AG227</f>
        <v>0</v>
      </c>
      <c r="Q253">
        <f>SmtRes!DC227</f>
        <v>0</v>
      </c>
      <c r="R253">
        <f>ROUND(ROUND(Q253*Source!I211, 6)*1, 2)</f>
        <v>0</v>
      </c>
      <c r="S253">
        <f>SmtRes!AC227</f>
        <v>0</v>
      </c>
      <c r="T253">
        <f>ROUND(ROUND(Q253*Source!I211, 6)*SmtRes!AK227, 2)</f>
        <v>0</v>
      </c>
      <c r="U253">
        <f>SmtRes!X227</f>
        <v>-1417349443</v>
      </c>
      <c r="V253">
        <v>-189065469</v>
      </c>
      <c r="W253">
        <v>1122477533</v>
      </c>
    </row>
    <row r="254" spans="1:23" x14ac:dyDescent="0.2">
      <c r="A254">
        <f>Source!A211</f>
        <v>17</v>
      </c>
      <c r="C254">
        <v>1</v>
      </c>
      <c r="D254">
        <v>0</v>
      </c>
      <c r="E254">
        <f>SmtRes!AV226</f>
        <v>1</v>
      </c>
      <c r="F254" t="str">
        <f>SmtRes!I226</f>
        <v>1-100-24</v>
      </c>
      <c r="G254" t="str">
        <f>SmtRes!K226</f>
        <v>Рабочий среднего разряда 2.4</v>
      </c>
      <c r="H254" t="str">
        <f>SmtRes!O226</f>
        <v>чел.-ч.</v>
      </c>
      <c r="I254">
        <f>SmtRes!Y226*Source!I211</f>
        <v>35.318367600000002</v>
      </c>
      <c r="J254">
        <f>SmtRes!AO226</f>
        <v>1</v>
      </c>
      <c r="K254">
        <f>SmtRes!AH226</f>
        <v>8.09</v>
      </c>
      <c r="L254">
        <f>SmtRes!DB226</f>
        <v>258.81324999999998</v>
      </c>
      <c r="M254">
        <f>ROUND(ROUND(L254*Source!I211, 6)*1, 2)</f>
        <v>285.73</v>
      </c>
      <c r="N254">
        <f>SmtRes!AD226</f>
        <v>8.09</v>
      </c>
      <c r="O254">
        <f>ROUND(ROUND(L254*Source!I211, 6)*SmtRes!DA226, 2)</f>
        <v>285.73</v>
      </c>
      <c r="P254">
        <f>SmtRes!AG226</f>
        <v>0</v>
      </c>
      <c r="Q254">
        <f>SmtRes!DC226</f>
        <v>0</v>
      </c>
      <c r="R254">
        <f>ROUND(ROUND(Q254*Source!I211, 6)*1, 2)</f>
        <v>0</v>
      </c>
      <c r="S254">
        <f>SmtRes!AC226</f>
        <v>0</v>
      </c>
      <c r="T254">
        <f>ROUND(ROUND(Q254*Source!I211, 6)*SmtRes!AK226, 2)</f>
        <v>0</v>
      </c>
      <c r="U254">
        <f>SmtRes!X226</f>
        <v>371339561</v>
      </c>
      <c r="V254">
        <v>38492182</v>
      </c>
      <c r="W254">
        <v>135343476</v>
      </c>
    </row>
    <row r="255" spans="1:23" x14ac:dyDescent="0.2">
      <c r="A255">
        <f>Source!A212</f>
        <v>18</v>
      </c>
      <c r="C255">
        <v>3</v>
      </c>
      <c r="D255">
        <f>Source!BI212</f>
        <v>1</v>
      </c>
      <c r="E255">
        <f>Source!FS212</f>
        <v>0</v>
      </c>
      <c r="F255" t="str">
        <f>Source!F212</f>
        <v>02.2.05.04-0046</v>
      </c>
      <c r="G255" t="str">
        <f>Source!G212</f>
        <v>Щебень из гравия для строительных работ марка 600, фракция 10-20 мм</v>
      </c>
      <c r="H255" t="str">
        <f>Source!H212</f>
        <v>м3</v>
      </c>
      <c r="I255">
        <f>Source!I212</f>
        <v>112.608</v>
      </c>
      <c r="J255">
        <v>1</v>
      </c>
      <c r="K255">
        <f>Source!AC212</f>
        <v>139.63</v>
      </c>
      <c r="M255">
        <f>ROUND(K255*I255, 2)</f>
        <v>15723.46</v>
      </c>
      <c r="N255">
        <f>Source!AC212*IF(Source!BC212&lt;&gt; 0, Source!BC212, 1)</f>
        <v>139.63</v>
      </c>
      <c r="O255">
        <f>ROUND(N255*I255, 2)</f>
        <v>15723.46</v>
      </c>
      <c r="P255">
        <f>Source!AE212</f>
        <v>0</v>
      </c>
      <c r="R255">
        <f>ROUND(P255*I255, 2)</f>
        <v>0</v>
      </c>
      <c r="S255">
        <f>Source!AE212*IF(Source!BS212&lt;&gt; 0, Source!BS212, 1)</f>
        <v>0</v>
      </c>
      <c r="T255">
        <f>ROUND(S255*I255, 2)</f>
        <v>0</v>
      </c>
      <c r="U255">
        <f>Source!GF212</f>
        <v>992648480</v>
      </c>
      <c r="V255">
        <v>1177234434</v>
      </c>
      <c r="W255">
        <v>624224960</v>
      </c>
    </row>
    <row r="256" spans="1:23" x14ac:dyDescent="0.2">
      <c r="A256">
        <f>Source!A213</f>
        <v>17</v>
      </c>
      <c r="C256">
        <v>3</v>
      </c>
      <c r="D256">
        <v>0</v>
      </c>
      <c r="E256">
        <f>SmtRes!AV248</f>
        <v>0</v>
      </c>
      <c r="F256" t="str">
        <f>SmtRes!I248</f>
        <v>11.1.03.01-0079</v>
      </c>
      <c r="G256" t="str">
        <f>SmtRes!K248</f>
        <v>Бруски обрезные хвойных пород длиной 4-6,5 м, шириной 75-150 мм, толщиной 40-75 мм, III сорта</v>
      </c>
      <c r="H256" t="str">
        <f>SmtRes!O248</f>
        <v>м3</v>
      </c>
      <c r="I256">
        <f>SmtRes!Y248*Source!I213</f>
        <v>2.76E-2</v>
      </c>
      <c r="J256">
        <f>SmtRes!AO248</f>
        <v>1</v>
      </c>
      <c r="K256">
        <f>SmtRes!AE248</f>
        <v>1287</v>
      </c>
      <c r="L256">
        <f>SmtRes!DB248</f>
        <v>193.05</v>
      </c>
      <c r="M256">
        <f>ROUND(ROUND(L256*Source!I213, 6)*1, 2)</f>
        <v>35.520000000000003</v>
      </c>
      <c r="N256">
        <f>SmtRes!AA248</f>
        <v>1287</v>
      </c>
      <c r="O256">
        <f>ROUND(ROUND(L256*Source!I213, 6)*SmtRes!DA248, 2)</f>
        <v>35.520000000000003</v>
      </c>
      <c r="P256">
        <f>SmtRes!AG248</f>
        <v>0</v>
      </c>
      <c r="Q256">
        <f>SmtRes!DC248</f>
        <v>0</v>
      </c>
      <c r="R256">
        <f>ROUND(ROUND(Q256*Source!I213, 6)*1, 2)</f>
        <v>0</v>
      </c>
      <c r="S256">
        <f>SmtRes!AC248</f>
        <v>0</v>
      </c>
      <c r="T256">
        <f>ROUND(ROUND(Q256*Source!I213, 6)*SmtRes!AK248, 2)</f>
        <v>0</v>
      </c>
      <c r="U256">
        <f>SmtRes!X248</f>
        <v>-395792271</v>
      </c>
      <c r="V256">
        <v>-345318393</v>
      </c>
      <c r="W256">
        <v>232585860</v>
      </c>
    </row>
    <row r="257" spans="1:23" x14ac:dyDescent="0.2">
      <c r="A257">
        <f>Source!A213</f>
        <v>17</v>
      </c>
      <c r="C257">
        <v>3</v>
      </c>
      <c r="D257">
        <v>0</v>
      </c>
      <c r="E257">
        <f>SmtRes!AV247</f>
        <v>0</v>
      </c>
      <c r="F257" t="str">
        <f>SmtRes!I247</f>
        <v>08.1.02.11-0001</v>
      </c>
      <c r="G257" t="str">
        <f>SmtRes!K247</f>
        <v>Поковки из квадратных заготовок, масса 1,8 кг</v>
      </c>
      <c r="H257" t="str">
        <f>SmtRes!O247</f>
        <v>т</v>
      </c>
      <c r="I257">
        <f>SmtRes!Y247*Source!I213</f>
        <v>1.1408E-3</v>
      </c>
      <c r="J257">
        <f>SmtRes!AO247</f>
        <v>1</v>
      </c>
      <c r="K257">
        <f>SmtRes!AE247</f>
        <v>5989</v>
      </c>
      <c r="L257">
        <f>SmtRes!DB247</f>
        <v>37.130000000000003</v>
      </c>
      <c r="M257">
        <f>ROUND(ROUND(L257*Source!I213, 6)*1, 2)</f>
        <v>6.83</v>
      </c>
      <c r="N257">
        <f>SmtRes!AA247</f>
        <v>5989</v>
      </c>
      <c r="O257">
        <f>ROUND(ROUND(L257*Source!I213, 6)*SmtRes!DA247, 2)</f>
        <v>6.83</v>
      </c>
      <c r="P257">
        <f>SmtRes!AG247</f>
        <v>0</v>
      </c>
      <c r="Q257">
        <f>SmtRes!DC247</f>
        <v>0</v>
      </c>
      <c r="R257">
        <f>ROUND(ROUND(Q257*Source!I213, 6)*1, 2)</f>
        <v>0</v>
      </c>
      <c r="S257">
        <f>SmtRes!AC247</f>
        <v>0</v>
      </c>
      <c r="T257">
        <f>ROUND(ROUND(Q257*Source!I213, 6)*SmtRes!AK247, 2)</f>
        <v>0</v>
      </c>
      <c r="U257">
        <f>SmtRes!X247</f>
        <v>-1756095795</v>
      </c>
      <c r="V257">
        <v>1262738784</v>
      </c>
      <c r="W257">
        <v>37467868</v>
      </c>
    </row>
    <row r="258" spans="1:23" x14ac:dyDescent="0.2">
      <c r="A258">
        <f>Source!A213</f>
        <v>17</v>
      </c>
      <c r="C258">
        <v>3</v>
      </c>
      <c r="D258">
        <v>0</v>
      </c>
      <c r="E258">
        <f>SmtRes!AV245</f>
        <v>0</v>
      </c>
      <c r="F258" t="str">
        <f>SmtRes!I245</f>
        <v>01.7.03.01-0001</v>
      </c>
      <c r="G258" t="str">
        <f>SmtRes!K245</f>
        <v>Вода</v>
      </c>
      <c r="H258" t="str">
        <f>SmtRes!O245</f>
        <v>м3</v>
      </c>
      <c r="I258">
        <f>SmtRes!Y245*Source!I213</f>
        <v>3.6799999999999999E-2</v>
      </c>
      <c r="J258">
        <f>SmtRes!AO245</f>
        <v>1</v>
      </c>
      <c r="K258">
        <f>SmtRes!AE245</f>
        <v>2.44</v>
      </c>
      <c r="L258">
        <f>SmtRes!DB245</f>
        <v>0.49</v>
      </c>
      <c r="M258">
        <f>ROUND(ROUND(L258*Source!I213, 6)*1, 2)</f>
        <v>0.09</v>
      </c>
      <c r="N258">
        <f>SmtRes!AA245</f>
        <v>2.44</v>
      </c>
      <c r="O258">
        <f>ROUND(ROUND(L258*Source!I213, 6)*SmtRes!DA245, 2)</f>
        <v>0.09</v>
      </c>
      <c r="P258">
        <f>SmtRes!AG245</f>
        <v>0</v>
      </c>
      <c r="Q258">
        <f>SmtRes!DC245</f>
        <v>0</v>
      </c>
      <c r="R258">
        <f>ROUND(ROUND(Q258*Source!I213, 6)*1, 2)</f>
        <v>0</v>
      </c>
      <c r="S258">
        <f>SmtRes!AC245</f>
        <v>0</v>
      </c>
      <c r="T258">
        <f>ROUND(ROUND(Q258*Source!I213, 6)*SmtRes!AK245, 2)</f>
        <v>0</v>
      </c>
      <c r="U258">
        <f>SmtRes!X245</f>
        <v>-1660354250</v>
      </c>
      <c r="V258">
        <v>1600079109</v>
      </c>
      <c r="W258">
        <v>-1353927395</v>
      </c>
    </row>
    <row r="259" spans="1:23" x14ac:dyDescent="0.2">
      <c r="A259">
        <f>Source!A213</f>
        <v>17</v>
      </c>
      <c r="C259">
        <v>2</v>
      </c>
      <c r="D259">
        <v>0</v>
      </c>
      <c r="E259">
        <f>SmtRes!AV243</f>
        <v>0</v>
      </c>
      <c r="F259" t="str">
        <f>SmtRes!I243</f>
        <v>91.14.02-001</v>
      </c>
      <c r="G259" t="str">
        <f>SmtRes!K243</f>
        <v>Автомобили бортовые, грузоподъемность до 5 т</v>
      </c>
      <c r="H259" t="str">
        <f>SmtRes!O243</f>
        <v>маш.-ч</v>
      </c>
      <c r="I259">
        <f>SmtRes!Y243*Source!I213</f>
        <v>1.0579999999999999E-2</v>
      </c>
      <c r="J259">
        <f>SmtRes!AO243</f>
        <v>1</v>
      </c>
      <c r="K259">
        <f>SmtRes!AF243</f>
        <v>65.709999999999994</v>
      </c>
      <c r="L259">
        <f>SmtRes!DB243</f>
        <v>3.7806250000000001</v>
      </c>
      <c r="M259">
        <f>ROUND(ROUND(L259*Source!I213, 6)*1, 2)</f>
        <v>0.7</v>
      </c>
      <c r="N259">
        <f>SmtRes!AB243</f>
        <v>65.709999999999994</v>
      </c>
      <c r="O259">
        <f>ROUND(ROUND(L259*Source!I213, 6)*SmtRes!DA243, 2)</f>
        <v>0.7</v>
      </c>
      <c r="P259">
        <f>SmtRes!AG243</f>
        <v>11.6</v>
      </c>
      <c r="Q259">
        <f>SmtRes!DC243</f>
        <v>0.66125</v>
      </c>
      <c r="R259">
        <f>ROUND(ROUND(Q259*Source!I213, 6)*1, 2)</f>
        <v>0.12</v>
      </c>
      <c r="S259">
        <f>SmtRes!AC243</f>
        <v>11.6</v>
      </c>
      <c r="T259">
        <f>ROUND(ROUND(Q259*Source!I213, 6)*SmtRes!AK243, 2)</f>
        <v>0.12</v>
      </c>
      <c r="U259">
        <f>SmtRes!X243</f>
        <v>1372534845</v>
      </c>
      <c r="V259">
        <v>-238339799</v>
      </c>
      <c r="W259">
        <v>1792116812</v>
      </c>
    </row>
    <row r="260" spans="1:23" x14ac:dyDescent="0.2">
      <c r="A260">
        <f>Source!A213</f>
        <v>17</v>
      </c>
      <c r="C260">
        <v>2</v>
      </c>
      <c r="D260">
        <v>0</v>
      </c>
      <c r="E260">
        <f>SmtRes!AV242</f>
        <v>0</v>
      </c>
      <c r="F260" t="str">
        <f>SmtRes!I242</f>
        <v>91.13.01-038</v>
      </c>
      <c r="G260" t="str">
        <f>SmtRes!K242</f>
        <v>Машины поливомоечные 6000 л</v>
      </c>
      <c r="H260" t="str">
        <f>SmtRes!O242</f>
        <v>маш.-ч</v>
      </c>
      <c r="I260">
        <f>SmtRes!Y242*Source!I213</f>
        <v>0.10315499999999998</v>
      </c>
      <c r="J260">
        <f>SmtRes!AO242</f>
        <v>1</v>
      </c>
      <c r="K260">
        <f>SmtRes!AF242</f>
        <v>110</v>
      </c>
      <c r="L260">
        <f>SmtRes!DB242</f>
        <v>61.668750000000003</v>
      </c>
      <c r="M260">
        <f>ROUND(ROUND(L260*Source!I213, 6)*1, 2)</f>
        <v>11.35</v>
      </c>
      <c r="N260">
        <f>SmtRes!AB242</f>
        <v>110</v>
      </c>
      <c r="O260">
        <f>ROUND(ROUND(L260*Source!I213, 6)*SmtRes!DA242, 2)</f>
        <v>11.35</v>
      </c>
      <c r="P260">
        <f>SmtRes!AG242</f>
        <v>11.6</v>
      </c>
      <c r="Q260">
        <f>SmtRes!DC242</f>
        <v>6.4974999999999996</v>
      </c>
      <c r="R260">
        <f>ROUND(ROUND(Q260*Source!I213, 6)*1, 2)</f>
        <v>1.2</v>
      </c>
      <c r="S260">
        <f>SmtRes!AC242</f>
        <v>11.6</v>
      </c>
      <c r="T260">
        <f>ROUND(ROUND(Q260*Source!I213, 6)*SmtRes!AK242, 2)</f>
        <v>1.2</v>
      </c>
      <c r="U260">
        <f>SmtRes!X242</f>
        <v>1403266566</v>
      </c>
      <c r="V260">
        <v>-698064522</v>
      </c>
      <c r="W260">
        <v>1410473507</v>
      </c>
    </row>
    <row r="261" spans="1:23" x14ac:dyDescent="0.2">
      <c r="A261">
        <f>Source!A213</f>
        <v>17</v>
      </c>
      <c r="C261">
        <v>2</v>
      </c>
      <c r="D261">
        <v>0</v>
      </c>
      <c r="E261">
        <f>SmtRes!AV241</f>
        <v>0</v>
      </c>
      <c r="F261" t="str">
        <f>SmtRes!I241</f>
        <v>91.08.03-018</v>
      </c>
      <c r="G261" t="str">
        <f>SmtRes!K241</f>
        <v>Катки дорожные самоходные гладкие, масса 13 т</v>
      </c>
      <c r="H261" t="str">
        <f>SmtRes!O241</f>
        <v>маш.-ч</v>
      </c>
      <c r="I261">
        <f>SmtRes!Y241*Source!I213</f>
        <v>3.0443950000000002</v>
      </c>
      <c r="J261">
        <f>SmtRes!AO241</f>
        <v>1</v>
      </c>
      <c r="K261">
        <f>SmtRes!AF241</f>
        <v>121</v>
      </c>
      <c r="L261">
        <f>SmtRes!DB241</f>
        <v>2002.0206250000001</v>
      </c>
      <c r="M261">
        <f>ROUND(ROUND(L261*Source!I213, 6)*1, 2)</f>
        <v>368.37</v>
      </c>
      <c r="N261">
        <f>SmtRes!AB241</f>
        <v>121</v>
      </c>
      <c r="O261">
        <f>ROUND(ROUND(L261*Source!I213, 6)*SmtRes!DA241, 2)</f>
        <v>368.37</v>
      </c>
      <c r="P261">
        <f>SmtRes!AG241</f>
        <v>14.4</v>
      </c>
      <c r="Q261">
        <f>SmtRes!DC241</f>
        <v>238.25125</v>
      </c>
      <c r="R261">
        <f>ROUND(ROUND(Q261*Source!I213, 6)*1, 2)</f>
        <v>43.84</v>
      </c>
      <c r="S261">
        <f>SmtRes!AC241</f>
        <v>14.4</v>
      </c>
      <c r="T261">
        <f>ROUND(ROUND(Q261*Source!I213, 6)*SmtRes!AK241, 2)</f>
        <v>43.84</v>
      </c>
      <c r="U261">
        <f>SmtRes!X241</f>
        <v>-1649076460</v>
      </c>
      <c r="V261">
        <v>-1872977298</v>
      </c>
      <c r="W261">
        <v>-207381279</v>
      </c>
    </row>
    <row r="262" spans="1:23" x14ac:dyDescent="0.2">
      <c r="A262">
        <f>Source!A213</f>
        <v>17</v>
      </c>
      <c r="C262">
        <v>2</v>
      </c>
      <c r="D262">
        <v>0</v>
      </c>
      <c r="E262">
        <f>SmtRes!AV240</f>
        <v>0</v>
      </c>
      <c r="F262" t="str">
        <f>SmtRes!I240</f>
        <v>91.08.03-016</v>
      </c>
      <c r="G262" t="str">
        <f>SmtRes!K240</f>
        <v>Катки дорожные самоходные гладкие, масса 8 т</v>
      </c>
      <c r="H262" t="str">
        <f>SmtRes!O240</f>
        <v>маш.-ч</v>
      </c>
      <c r="I262">
        <f>SmtRes!Y240*Source!I213</f>
        <v>1.0474199999999998</v>
      </c>
      <c r="J262">
        <f>SmtRes!AO240</f>
        <v>1</v>
      </c>
      <c r="K262">
        <f>SmtRes!AF240</f>
        <v>75</v>
      </c>
      <c r="L262">
        <f>SmtRes!DB240</f>
        <v>426.9375</v>
      </c>
      <c r="M262">
        <f>ROUND(ROUND(L262*Source!I213, 6)*1, 2)</f>
        <v>78.56</v>
      </c>
      <c r="N262">
        <f>SmtRes!AB240</f>
        <v>75</v>
      </c>
      <c r="O262">
        <f>ROUND(ROUND(L262*Source!I213, 6)*SmtRes!DA240, 2)</f>
        <v>78.56</v>
      </c>
      <c r="P262">
        <f>SmtRes!AG240</f>
        <v>11.6</v>
      </c>
      <c r="Q262">
        <f>SmtRes!DC240</f>
        <v>66.038749999999993</v>
      </c>
      <c r="R262">
        <f>ROUND(ROUND(Q262*Source!I213, 6)*1, 2)</f>
        <v>12.15</v>
      </c>
      <c r="S262">
        <f>SmtRes!AC240</f>
        <v>11.6</v>
      </c>
      <c r="T262">
        <f>ROUND(ROUND(Q262*Source!I213, 6)*SmtRes!AK240, 2)</f>
        <v>12.15</v>
      </c>
      <c r="U262">
        <f>SmtRes!X240</f>
        <v>-891970060</v>
      </c>
      <c r="V262">
        <v>-358451234</v>
      </c>
      <c r="W262">
        <v>1930194365</v>
      </c>
    </row>
    <row r="263" spans="1:23" x14ac:dyDescent="0.2">
      <c r="A263">
        <f>Source!A213</f>
        <v>17</v>
      </c>
      <c r="C263">
        <v>2</v>
      </c>
      <c r="D263">
        <v>0</v>
      </c>
      <c r="E263">
        <f>SmtRes!AV239</f>
        <v>0</v>
      </c>
      <c r="F263" t="str">
        <f>SmtRes!I239</f>
        <v>91.08.02-011</v>
      </c>
      <c r="G263" t="str">
        <f>SmtRes!K239</f>
        <v>Гудронаторы ручные</v>
      </c>
      <c r="H263" t="str">
        <f>SmtRes!O239</f>
        <v>маш.-ч</v>
      </c>
      <c r="I263">
        <f>SmtRes!Y239*Source!I213</f>
        <v>0.37029999999999996</v>
      </c>
      <c r="J263">
        <f>SmtRes!AO239</f>
        <v>1</v>
      </c>
      <c r="K263">
        <f>SmtRes!AF239</f>
        <v>17.2</v>
      </c>
      <c r="L263">
        <f>SmtRes!DB239</f>
        <v>34.615000000000002</v>
      </c>
      <c r="M263">
        <f>ROUND(ROUND(L263*Source!I213, 6)*1, 2)</f>
        <v>6.37</v>
      </c>
      <c r="N263">
        <f>SmtRes!AB239</f>
        <v>17.2</v>
      </c>
      <c r="O263">
        <f>ROUND(ROUND(L263*Source!I213, 6)*SmtRes!DA239, 2)</f>
        <v>6.37</v>
      </c>
      <c r="P263">
        <f>SmtRes!AG239</f>
        <v>0</v>
      </c>
      <c r="Q263">
        <f>SmtRes!DC239</f>
        <v>0</v>
      </c>
      <c r="R263">
        <f>ROUND(ROUND(Q263*Source!I213, 6)*1, 2)</f>
        <v>0</v>
      </c>
      <c r="S263">
        <f>SmtRes!AC239</f>
        <v>0</v>
      </c>
      <c r="T263">
        <f>ROUND(ROUND(Q263*Source!I213, 6)*SmtRes!AK239, 2)</f>
        <v>0</v>
      </c>
      <c r="U263">
        <f>SmtRes!X239</f>
        <v>954928212</v>
      </c>
      <c r="V263">
        <v>30324279</v>
      </c>
      <c r="W263">
        <v>-155116088</v>
      </c>
    </row>
    <row r="264" spans="1:23" x14ac:dyDescent="0.2">
      <c r="A264">
        <f>Source!A213</f>
        <v>17</v>
      </c>
      <c r="C264">
        <v>2</v>
      </c>
      <c r="D264">
        <v>0</v>
      </c>
      <c r="E264">
        <f>SmtRes!AV238</f>
        <v>0</v>
      </c>
      <c r="F264" t="str">
        <f>SmtRes!I238</f>
        <v>91.08.01-021</v>
      </c>
      <c r="G264" t="str">
        <f>SmtRes!K238</f>
        <v>Укладчики асфальтобетона</v>
      </c>
      <c r="H264" t="str">
        <f>SmtRes!O238</f>
        <v>маш.-ч</v>
      </c>
      <c r="I264">
        <f>SmtRes!Y238*Source!I213</f>
        <v>0.84375500000000003</v>
      </c>
      <c r="J264">
        <f>SmtRes!AO238</f>
        <v>1</v>
      </c>
      <c r="K264">
        <f>SmtRes!AF238</f>
        <v>195.2</v>
      </c>
      <c r="L264">
        <f>SmtRes!DB238</f>
        <v>895.11687500000005</v>
      </c>
      <c r="M264">
        <f>ROUND(ROUND(L264*Source!I213, 6)*1, 2)</f>
        <v>164.7</v>
      </c>
      <c r="N264">
        <f>SmtRes!AB238</f>
        <v>195.2</v>
      </c>
      <c r="O264">
        <f>ROUND(ROUND(L264*Source!I213, 6)*SmtRes!DA238, 2)</f>
        <v>164.7</v>
      </c>
      <c r="P264">
        <f>SmtRes!AG238</f>
        <v>14.4</v>
      </c>
      <c r="Q264">
        <f>SmtRes!DC238</f>
        <v>66.038749999999993</v>
      </c>
      <c r="R264">
        <f>ROUND(ROUND(Q264*Source!I213, 6)*1, 2)</f>
        <v>12.15</v>
      </c>
      <c r="S264">
        <f>SmtRes!AC238</f>
        <v>14.4</v>
      </c>
      <c r="T264">
        <f>ROUND(ROUND(Q264*Source!I213, 6)*SmtRes!AK238, 2)</f>
        <v>12.15</v>
      </c>
      <c r="U264">
        <f>SmtRes!X238</f>
        <v>-1161260467</v>
      </c>
      <c r="V264">
        <v>1957551166</v>
      </c>
      <c r="W264">
        <v>-477141524</v>
      </c>
    </row>
    <row r="265" spans="1:23" x14ac:dyDescent="0.2">
      <c r="A265">
        <f>Source!A213</f>
        <v>17</v>
      </c>
      <c r="C265">
        <v>2</v>
      </c>
      <c r="D265">
        <v>0</v>
      </c>
      <c r="E265">
        <f>SmtRes!AV237</f>
        <v>0</v>
      </c>
      <c r="F265" t="str">
        <f>SmtRes!I237</f>
        <v>91.05.05-014</v>
      </c>
      <c r="G265" t="str">
        <f>SmtRes!K237</f>
        <v>Краны на автомобильном ходу, грузоподъемность 10 т</v>
      </c>
      <c r="H265" t="str">
        <f>SmtRes!O237</f>
        <v>маш.-ч</v>
      </c>
      <c r="I265">
        <f>SmtRes!Y237*Source!I213</f>
        <v>7.9349999999999993E-3</v>
      </c>
      <c r="J265">
        <f>SmtRes!AO237</f>
        <v>1</v>
      </c>
      <c r="K265">
        <f>SmtRes!AF237</f>
        <v>111.99</v>
      </c>
      <c r="L265">
        <f>SmtRes!DB237</f>
        <v>4.83</v>
      </c>
      <c r="M265">
        <f>ROUND(ROUND(L265*Source!I213, 6)*1, 2)</f>
        <v>0.89</v>
      </c>
      <c r="N265">
        <f>SmtRes!AB237</f>
        <v>111.99</v>
      </c>
      <c r="O265">
        <f>ROUND(ROUND(L265*Source!I213, 6)*SmtRes!DA237, 2)</f>
        <v>0.89</v>
      </c>
      <c r="P265">
        <f>SmtRes!AG237</f>
        <v>13.5</v>
      </c>
      <c r="Q265">
        <f>SmtRes!DC237</f>
        <v>0.58937499999999998</v>
      </c>
      <c r="R265">
        <f>ROUND(ROUND(Q265*Source!I213, 6)*1, 2)</f>
        <v>0.11</v>
      </c>
      <c r="S265">
        <f>SmtRes!AC237</f>
        <v>13.5</v>
      </c>
      <c r="T265">
        <f>ROUND(ROUND(Q265*Source!I213, 6)*SmtRes!AK237, 2)</f>
        <v>0.11</v>
      </c>
      <c r="U265">
        <f>SmtRes!X237</f>
        <v>-1718674368</v>
      </c>
      <c r="V265">
        <v>-816987455</v>
      </c>
      <c r="W265">
        <v>-2122234393</v>
      </c>
    </row>
    <row r="266" spans="1:23" x14ac:dyDescent="0.2">
      <c r="A266">
        <f>Source!A213</f>
        <v>17</v>
      </c>
      <c r="C266">
        <v>1</v>
      </c>
      <c r="D266">
        <v>0</v>
      </c>
      <c r="E266">
        <f>SmtRes!AV236</f>
        <v>2</v>
      </c>
      <c r="F266" t="str">
        <f>SmtRes!I236</f>
        <v>4-100-00</v>
      </c>
      <c r="G266" t="str">
        <f>SmtRes!K236</f>
        <v>Затраты труда машинистов</v>
      </c>
      <c r="H266" t="str">
        <f>SmtRes!O236</f>
        <v>чел.-ч.</v>
      </c>
      <c r="I266">
        <f>SmtRes!Y236*Source!I213</f>
        <v>3.5180800000000003</v>
      </c>
      <c r="J266">
        <f>SmtRes!AO236</f>
        <v>1</v>
      </c>
      <c r="K266">
        <f>SmtRes!AH236</f>
        <v>0</v>
      </c>
      <c r="L266">
        <f>SmtRes!DB236</f>
        <v>0</v>
      </c>
      <c r="M266">
        <f>ROUND(ROUND(L266*Source!I213, 6)*1, 2)</f>
        <v>0</v>
      </c>
      <c r="N266">
        <f>SmtRes!AD236</f>
        <v>0</v>
      </c>
      <c r="O266">
        <f>ROUND(ROUND(L266*Source!I213, 6)*SmtRes!DA236, 2)</f>
        <v>0</v>
      </c>
      <c r="P266">
        <f>SmtRes!AG236</f>
        <v>0</v>
      </c>
      <c r="Q266">
        <f>SmtRes!DC236</f>
        <v>0</v>
      </c>
      <c r="R266">
        <f>ROUND(ROUND(Q266*Source!I213, 6)*1, 2)</f>
        <v>0</v>
      </c>
      <c r="S266">
        <f>SmtRes!AC236</f>
        <v>0</v>
      </c>
      <c r="T266">
        <f>ROUND(ROUND(Q266*Source!I213, 6)*SmtRes!AK236, 2)</f>
        <v>0</v>
      </c>
      <c r="U266">
        <f>SmtRes!X236</f>
        <v>-1417349443</v>
      </c>
      <c r="V266">
        <v>-189065469</v>
      </c>
      <c r="W266">
        <v>1122477533</v>
      </c>
    </row>
    <row r="267" spans="1:23" x14ac:dyDescent="0.2">
      <c r="A267">
        <f>Source!A213</f>
        <v>17</v>
      </c>
      <c r="C267">
        <v>1</v>
      </c>
      <c r="D267">
        <v>0</v>
      </c>
      <c r="E267">
        <f>SmtRes!AV235</f>
        <v>1</v>
      </c>
      <c r="F267" t="str">
        <f>SmtRes!I235</f>
        <v>1-100-40</v>
      </c>
      <c r="G267" t="str">
        <f>SmtRes!K235</f>
        <v>Рабочий среднего разряда 4</v>
      </c>
      <c r="H267" t="str">
        <f>SmtRes!O235</f>
        <v>чел.-ч.</v>
      </c>
      <c r="I267">
        <f>SmtRes!Y235*Source!I213</f>
        <v>9.3199219999999983</v>
      </c>
      <c r="J267">
        <f>SmtRes!AO235</f>
        <v>1</v>
      </c>
      <c r="K267">
        <f>SmtRes!AH235</f>
        <v>9.6199999999999992</v>
      </c>
      <c r="L267">
        <f>SmtRes!DB235</f>
        <v>487.275125</v>
      </c>
      <c r="M267">
        <f>ROUND(ROUND(L267*Source!I213, 6)*1, 2)</f>
        <v>89.66</v>
      </c>
      <c r="N267">
        <f>SmtRes!AD235</f>
        <v>9.6199999999999992</v>
      </c>
      <c r="O267">
        <f>ROUND(ROUND(L267*Source!I213, 6)*SmtRes!DA235, 2)</f>
        <v>89.66</v>
      </c>
      <c r="P267">
        <f>SmtRes!AG235</f>
        <v>0</v>
      </c>
      <c r="Q267">
        <f>SmtRes!DC235</f>
        <v>0</v>
      </c>
      <c r="R267">
        <f>ROUND(ROUND(Q267*Source!I213, 6)*1, 2)</f>
        <v>0</v>
      </c>
      <c r="S267">
        <f>SmtRes!AC235</f>
        <v>0</v>
      </c>
      <c r="T267">
        <f>ROUND(ROUND(Q267*Source!I213, 6)*SmtRes!AK235, 2)</f>
        <v>0</v>
      </c>
      <c r="U267">
        <f>SmtRes!X235</f>
        <v>1069510174</v>
      </c>
      <c r="V267">
        <v>2066261080</v>
      </c>
      <c r="W267">
        <v>-1620489650</v>
      </c>
    </row>
    <row r="268" spans="1:23" x14ac:dyDescent="0.2">
      <c r="A268">
        <f>Source!A214</f>
        <v>18</v>
      </c>
      <c r="C268">
        <v>3</v>
      </c>
      <c r="D268">
        <f>Source!BI214</f>
        <v>1</v>
      </c>
      <c r="E268">
        <f>Source!FS214</f>
        <v>0</v>
      </c>
      <c r="F268" t="str">
        <f>Source!F214</f>
        <v>01.2.01.02-0001</v>
      </c>
      <c r="G268" t="str">
        <f>Source!G214</f>
        <v>Битум горячий</v>
      </c>
      <c r="H268" t="str">
        <f>Source!H214</f>
        <v>т</v>
      </c>
      <c r="I268">
        <f>Source!I214</f>
        <v>1.9870000000000001E-3</v>
      </c>
      <c r="J268">
        <v>1</v>
      </c>
      <c r="K268">
        <f>Source!AC214</f>
        <v>1946.91</v>
      </c>
      <c r="M268">
        <f>ROUND(K268*I268, 2)</f>
        <v>3.87</v>
      </c>
      <c r="N268">
        <f>Source!AC214*IF(Source!BC214&lt;&gt; 0, Source!BC214, 1)</f>
        <v>1946.91</v>
      </c>
      <c r="O268">
        <f>ROUND(N268*I268, 2)</f>
        <v>3.87</v>
      </c>
      <c r="P268">
        <f>Source!AE214</f>
        <v>0</v>
      </c>
      <c r="R268">
        <f>ROUND(P268*I268, 2)</f>
        <v>0</v>
      </c>
      <c r="S268">
        <f>Source!AE214*IF(Source!BS214&lt;&gt; 0, Source!BS214, 1)</f>
        <v>0</v>
      </c>
      <c r="T268">
        <f>ROUND(S268*I268, 2)</f>
        <v>0</v>
      </c>
      <c r="U268">
        <f>Source!GF214</f>
        <v>1401058849</v>
      </c>
      <c r="V268">
        <v>1408483191</v>
      </c>
      <c r="W268">
        <v>1400565996</v>
      </c>
    </row>
    <row r="269" spans="1:23" x14ac:dyDescent="0.2">
      <c r="A269">
        <f>Source!A215</f>
        <v>18</v>
      </c>
      <c r="C269">
        <v>3</v>
      </c>
      <c r="D269">
        <f>Source!BI215</f>
        <v>1</v>
      </c>
      <c r="E269">
        <f>Source!FS215</f>
        <v>0</v>
      </c>
      <c r="F269" t="str">
        <f>Source!F215</f>
        <v>04.2.03.01-0003</v>
      </c>
      <c r="G269" t="str">
        <f>Source!G215</f>
        <v>Асфальтобетон щебеночно-мастичный, вид ЩМА-20</v>
      </c>
      <c r="H269" t="str">
        <f>Source!H215</f>
        <v>т</v>
      </c>
      <c r="I269">
        <f>Source!I215</f>
        <v>17.627199999999998</v>
      </c>
      <c r="J269">
        <v>1</v>
      </c>
      <c r="K269">
        <f>Source!AC215</f>
        <v>390.88</v>
      </c>
      <c r="M269">
        <f>ROUND(K269*I269, 2)</f>
        <v>6890.12</v>
      </c>
      <c r="N269">
        <f>Source!AC215*IF(Source!BC215&lt;&gt; 0, Source!BC215, 1)</f>
        <v>390.88</v>
      </c>
      <c r="O269">
        <f>ROUND(N269*I269, 2)</f>
        <v>6890.12</v>
      </c>
      <c r="P269">
        <f>Source!AE215</f>
        <v>0</v>
      </c>
      <c r="R269">
        <f>ROUND(P269*I269, 2)</f>
        <v>0</v>
      </c>
      <c r="S269">
        <f>Source!AE215*IF(Source!BS215&lt;&gt; 0, Source!BS215, 1)</f>
        <v>0</v>
      </c>
      <c r="T269">
        <f>ROUND(S269*I269, 2)</f>
        <v>0</v>
      </c>
      <c r="U269">
        <f>Source!GF215</f>
        <v>1955294855</v>
      </c>
      <c r="V269">
        <v>706304333</v>
      </c>
      <c r="W269">
        <v>-352328264</v>
      </c>
    </row>
    <row r="270" spans="1:23" x14ac:dyDescent="0.2">
      <c r="A270">
        <f>Source!A216</f>
        <v>17</v>
      </c>
      <c r="C270">
        <v>2</v>
      </c>
      <c r="D270">
        <v>0</v>
      </c>
      <c r="E270">
        <f>SmtRes!AV250</f>
        <v>0</v>
      </c>
      <c r="F270" t="str">
        <f>SmtRes!I250</f>
        <v>91.08.02-011</v>
      </c>
      <c r="G270" t="str">
        <f>SmtRes!K250</f>
        <v>Гудронаторы ручные</v>
      </c>
      <c r="H270" t="str">
        <f>SmtRes!O250</f>
        <v>маш.-ч</v>
      </c>
      <c r="I270">
        <f>SmtRes!Y250*Source!I216</f>
        <v>0.12512000000000001</v>
      </c>
      <c r="J270">
        <f>SmtRes!AO250</f>
        <v>1</v>
      </c>
      <c r="K270">
        <f>SmtRes!AF250</f>
        <v>17.2</v>
      </c>
      <c r="L270">
        <f>SmtRes!DB250</f>
        <v>11.68</v>
      </c>
      <c r="M270">
        <f>ROUND(ROUND(L270*Source!I216, 6)*1, 2)</f>
        <v>2.15</v>
      </c>
      <c r="N270">
        <f>SmtRes!AB250</f>
        <v>17.2</v>
      </c>
      <c r="O270">
        <f>ROUND(ROUND(L270*Source!I216, 6)*SmtRes!DA250, 2)</f>
        <v>2.15</v>
      </c>
      <c r="P270">
        <f>SmtRes!AG250</f>
        <v>0</v>
      </c>
      <c r="Q270">
        <f>SmtRes!DC250</f>
        <v>0</v>
      </c>
      <c r="R270">
        <f>ROUND(ROUND(Q270*Source!I216, 6)*1, 2)</f>
        <v>0</v>
      </c>
      <c r="S270">
        <f>SmtRes!AC250</f>
        <v>0</v>
      </c>
      <c r="T270">
        <f>ROUND(ROUND(Q270*Source!I216, 6)*SmtRes!AK250, 2)</f>
        <v>0</v>
      </c>
      <c r="U270">
        <f>SmtRes!X250</f>
        <v>954928212</v>
      </c>
      <c r="V270">
        <v>30324279</v>
      </c>
      <c r="W270">
        <v>-155116088</v>
      </c>
    </row>
    <row r="271" spans="1:23" x14ac:dyDescent="0.2">
      <c r="A271">
        <f>Source!A216</f>
        <v>17</v>
      </c>
      <c r="C271">
        <v>1</v>
      </c>
      <c r="D271">
        <v>0</v>
      </c>
      <c r="E271">
        <f>SmtRes!AV249</f>
        <v>1</v>
      </c>
      <c r="F271" t="str">
        <f>SmtRes!I249</f>
        <v>1-100-40</v>
      </c>
      <c r="G271" t="str">
        <f>SmtRes!K249</f>
        <v>Рабочий среднего разряда 4</v>
      </c>
      <c r="H271" t="str">
        <f>SmtRes!O249</f>
        <v>чел.-ч.</v>
      </c>
      <c r="I271">
        <f>SmtRes!Y249*Source!I216</f>
        <v>6.6239999999999993E-2</v>
      </c>
      <c r="J271">
        <f>SmtRes!AO249</f>
        <v>1</v>
      </c>
      <c r="K271">
        <f>SmtRes!AH249</f>
        <v>9.6199999999999992</v>
      </c>
      <c r="L271">
        <f>SmtRes!DB249</f>
        <v>3.48</v>
      </c>
      <c r="M271">
        <f>ROUND(ROUND(L271*Source!I216, 6)*1, 2)</f>
        <v>0.64</v>
      </c>
      <c r="N271">
        <f>SmtRes!AD249</f>
        <v>9.6199999999999992</v>
      </c>
      <c r="O271">
        <f>ROUND(ROUND(L271*Source!I216, 6)*SmtRes!DA249, 2)</f>
        <v>0.64</v>
      </c>
      <c r="P271">
        <f>SmtRes!AG249</f>
        <v>0</v>
      </c>
      <c r="Q271">
        <f>SmtRes!DC249</f>
        <v>0</v>
      </c>
      <c r="R271">
        <f>ROUND(ROUND(Q271*Source!I216, 6)*1, 2)</f>
        <v>0</v>
      </c>
      <c r="S271">
        <f>SmtRes!AC249</f>
        <v>0</v>
      </c>
      <c r="T271">
        <f>ROUND(ROUND(Q271*Source!I216, 6)*SmtRes!AK249, 2)</f>
        <v>0</v>
      </c>
      <c r="U271">
        <f>SmtRes!X249</f>
        <v>1069510174</v>
      </c>
      <c r="V271">
        <v>2066261080</v>
      </c>
      <c r="W271">
        <v>-1620489650</v>
      </c>
    </row>
    <row r="272" spans="1:23" x14ac:dyDescent="0.2">
      <c r="A272">
        <f>Source!A217</f>
        <v>18</v>
      </c>
      <c r="C272">
        <v>3</v>
      </c>
      <c r="D272">
        <f>Source!BI217</f>
        <v>1</v>
      </c>
      <c r="E272">
        <f>Source!FS217</f>
        <v>0</v>
      </c>
      <c r="F272" t="str">
        <f>Source!F217</f>
        <v>01.2.01.02-0001</v>
      </c>
      <c r="G272" t="str">
        <f>Source!G217</f>
        <v>Битум горячий</v>
      </c>
      <c r="H272" t="str">
        <f>Source!H217</f>
        <v>т</v>
      </c>
      <c r="I272">
        <f>Source!I217</f>
        <v>4.1219999999999998E-3</v>
      </c>
      <c r="J272">
        <v>1</v>
      </c>
      <c r="K272">
        <f>Source!AC217</f>
        <v>1946.91</v>
      </c>
      <c r="M272">
        <f>ROUND(K272*I272, 2)</f>
        <v>8.0299999999999994</v>
      </c>
      <c r="N272">
        <f>Source!AC217*IF(Source!BC217&lt;&gt; 0, Source!BC217, 1)</f>
        <v>1946.91</v>
      </c>
      <c r="O272">
        <f>ROUND(N272*I272, 2)</f>
        <v>8.0299999999999994</v>
      </c>
      <c r="P272">
        <f>Source!AE217</f>
        <v>0</v>
      </c>
      <c r="R272">
        <f>ROUND(P272*I272, 2)</f>
        <v>0</v>
      </c>
      <c r="S272">
        <f>Source!AE217*IF(Source!BS217&lt;&gt; 0, Source!BS217, 1)</f>
        <v>0</v>
      </c>
      <c r="T272">
        <f>ROUND(S272*I272, 2)</f>
        <v>0</v>
      </c>
      <c r="U272">
        <f>Source!GF217</f>
        <v>1401058849</v>
      </c>
      <c r="V272">
        <v>1408483191</v>
      </c>
      <c r="W272">
        <v>1400565996</v>
      </c>
    </row>
    <row r="273" spans="1:23" x14ac:dyDescent="0.2">
      <c r="A273">
        <f>Source!A218</f>
        <v>18</v>
      </c>
      <c r="C273">
        <v>3</v>
      </c>
      <c r="D273">
        <f>Source!BI218</f>
        <v>1</v>
      </c>
      <c r="E273">
        <f>Source!FS218</f>
        <v>0</v>
      </c>
      <c r="F273" t="str">
        <f>Source!F218</f>
        <v>04.2.03.01-0003</v>
      </c>
      <c r="G273" t="str">
        <f>Source!G218</f>
        <v>Асфальтобетон щебеночно-мастичный, вид ЩМА-20</v>
      </c>
      <c r="H273" t="str">
        <f>Source!H218</f>
        <v>т</v>
      </c>
      <c r="I273">
        <f>Source!I218</f>
        <v>8.8320000000000007</v>
      </c>
      <c r="J273">
        <v>1</v>
      </c>
      <c r="K273">
        <f>Source!AC218</f>
        <v>390.88</v>
      </c>
      <c r="M273">
        <f>ROUND(K273*I273, 2)</f>
        <v>3452.25</v>
      </c>
      <c r="N273">
        <f>Source!AC218*IF(Source!BC218&lt;&gt; 0, Source!BC218, 1)</f>
        <v>390.88</v>
      </c>
      <c r="O273">
        <f>ROUND(N273*I273, 2)</f>
        <v>3452.25</v>
      </c>
      <c r="P273">
        <f>Source!AE218</f>
        <v>0</v>
      </c>
      <c r="R273">
        <f>ROUND(P273*I273, 2)</f>
        <v>0</v>
      </c>
      <c r="S273">
        <f>Source!AE218*IF(Source!BS218&lt;&gt; 0, Source!BS218, 1)</f>
        <v>0</v>
      </c>
      <c r="T273">
        <f>ROUND(S273*I273, 2)</f>
        <v>0</v>
      </c>
      <c r="U273">
        <f>Source!GF218</f>
        <v>1955294855</v>
      </c>
      <c r="V273">
        <v>706304333</v>
      </c>
      <c r="W273">
        <v>-352328264</v>
      </c>
    </row>
    <row r="274" spans="1:23" x14ac:dyDescent="0.2">
      <c r="A274">
        <f>Source!A219</f>
        <v>17</v>
      </c>
      <c r="C274">
        <v>3</v>
      </c>
      <c r="D274">
        <v>0</v>
      </c>
      <c r="E274">
        <f>SmtRes!AV266</f>
        <v>0</v>
      </c>
      <c r="F274" t="str">
        <f>SmtRes!I266</f>
        <v>11.1.03.01-0079</v>
      </c>
      <c r="G274" t="str">
        <f>SmtRes!K266</f>
        <v>Бруски обрезные хвойных пород длиной 4-6,5 м, шириной 75-150 мм, толщиной 40-75 мм, III сорта</v>
      </c>
      <c r="H274" t="str">
        <f>SmtRes!O266</f>
        <v>м3</v>
      </c>
      <c r="I274">
        <f>SmtRes!Y266*Source!I219</f>
        <v>2.76E-2</v>
      </c>
      <c r="J274">
        <f>SmtRes!AO266</f>
        <v>1</v>
      </c>
      <c r="K274">
        <f>SmtRes!AE266</f>
        <v>1287</v>
      </c>
      <c r="L274">
        <f>SmtRes!DB266</f>
        <v>193.05</v>
      </c>
      <c r="M274">
        <f>ROUND(ROUND(L274*Source!I219, 6)*1, 2)</f>
        <v>35.520000000000003</v>
      </c>
      <c r="N274">
        <f>SmtRes!AA266</f>
        <v>1287</v>
      </c>
      <c r="O274">
        <f>ROUND(ROUND(L274*Source!I219, 6)*SmtRes!DA266, 2)</f>
        <v>35.520000000000003</v>
      </c>
      <c r="P274">
        <f>SmtRes!AG266</f>
        <v>0</v>
      </c>
      <c r="Q274">
        <f>SmtRes!DC266</f>
        <v>0</v>
      </c>
      <c r="R274">
        <f>ROUND(ROUND(Q274*Source!I219, 6)*1, 2)</f>
        <v>0</v>
      </c>
      <c r="S274">
        <f>SmtRes!AC266</f>
        <v>0</v>
      </c>
      <c r="T274">
        <f>ROUND(ROUND(Q274*Source!I219, 6)*SmtRes!AK266, 2)</f>
        <v>0</v>
      </c>
      <c r="U274">
        <f>SmtRes!X266</f>
        <v>-395792271</v>
      </c>
      <c r="V274">
        <v>-345318393</v>
      </c>
      <c r="W274">
        <v>232585860</v>
      </c>
    </row>
    <row r="275" spans="1:23" x14ac:dyDescent="0.2">
      <c r="A275">
        <f>Source!A219</f>
        <v>17</v>
      </c>
      <c r="C275">
        <v>3</v>
      </c>
      <c r="D275">
        <v>0</v>
      </c>
      <c r="E275">
        <f>SmtRes!AV265</f>
        <v>0</v>
      </c>
      <c r="F275" t="str">
        <f>SmtRes!I265</f>
        <v>08.1.02.11-0001</v>
      </c>
      <c r="G275" t="str">
        <f>SmtRes!K265</f>
        <v>Поковки из квадратных заготовок, масса 1,8 кг</v>
      </c>
      <c r="H275" t="str">
        <f>SmtRes!O265</f>
        <v>т</v>
      </c>
      <c r="I275">
        <f>SmtRes!Y265*Source!I219</f>
        <v>1.1408E-3</v>
      </c>
      <c r="J275">
        <f>SmtRes!AO265</f>
        <v>1</v>
      </c>
      <c r="K275">
        <f>SmtRes!AE265</f>
        <v>5989</v>
      </c>
      <c r="L275">
        <f>SmtRes!DB265</f>
        <v>37.130000000000003</v>
      </c>
      <c r="M275">
        <f>ROUND(ROUND(L275*Source!I219, 6)*1, 2)</f>
        <v>6.83</v>
      </c>
      <c r="N275">
        <f>SmtRes!AA265</f>
        <v>5989</v>
      </c>
      <c r="O275">
        <f>ROUND(ROUND(L275*Source!I219, 6)*SmtRes!DA265, 2)</f>
        <v>6.83</v>
      </c>
      <c r="P275">
        <f>SmtRes!AG265</f>
        <v>0</v>
      </c>
      <c r="Q275">
        <f>SmtRes!DC265</f>
        <v>0</v>
      </c>
      <c r="R275">
        <f>ROUND(ROUND(Q275*Source!I219, 6)*1, 2)</f>
        <v>0</v>
      </c>
      <c r="S275">
        <f>SmtRes!AC265</f>
        <v>0</v>
      </c>
      <c r="T275">
        <f>ROUND(ROUND(Q275*Source!I219, 6)*SmtRes!AK265, 2)</f>
        <v>0</v>
      </c>
      <c r="U275">
        <f>SmtRes!X265</f>
        <v>-1756095795</v>
      </c>
      <c r="V275">
        <v>1262738784</v>
      </c>
      <c r="W275">
        <v>37467868</v>
      </c>
    </row>
    <row r="276" spans="1:23" x14ac:dyDescent="0.2">
      <c r="A276">
        <f>Source!A219</f>
        <v>17</v>
      </c>
      <c r="C276">
        <v>3</v>
      </c>
      <c r="D276">
        <v>0</v>
      </c>
      <c r="E276">
        <f>SmtRes!AV263</f>
        <v>0</v>
      </c>
      <c r="F276" t="str">
        <f>SmtRes!I263</f>
        <v>01.7.03.01-0001</v>
      </c>
      <c r="G276" t="str">
        <f>SmtRes!K263</f>
        <v>Вода</v>
      </c>
      <c r="H276" t="str">
        <f>SmtRes!O263</f>
        <v>м3</v>
      </c>
      <c r="I276">
        <f>SmtRes!Y263*Source!I219</f>
        <v>3.6799999999999999E-2</v>
      </c>
      <c r="J276">
        <f>SmtRes!AO263</f>
        <v>1</v>
      </c>
      <c r="K276">
        <f>SmtRes!AE263</f>
        <v>2.44</v>
      </c>
      <c r="L276">
        <f>SmtRes!DB263</f>
        <v>0.49</v>
      </c>
      <c r="M276">
        <f>ROUND(ROUND(L276*Source!I219, 6)*1, 2)</f>
        <v>0.09</v>
      </c>
      <c r="N276">
        <f>SmtRes!AA263</f>
        <v>2.44</v>
      </c>
      <c r="O276">
        <f>ROUND(ROUND(L276*Source!I219, 6)*SmtRes!DA263, 2)</f>
        <v>0.09</v>
      </c>
      <c r="P276">
        <f>SmtRes!AG263</f>
        <v>0</v>
      </c>
      <c r="Q276">
        <f>SmtRes!DC263</f>
        <v>0</v>
      </c>
      <c r="R276">
        <f>ROUND(ROUND(Q276*Source!I219, 6)*1, 2)</f>
        <v>0</v>
      </c>
      <c r="S276">
        <f>SmtRes!AC263</f>
        <v>0</v>
      </c>
      <c r="T276">
        <f>ROUND(ROUND(Q276*Source!I219, 6)*SmtRes!AK263, 2)</f>
        <v>0</v>
      </c>
      <c r="U276">
        <f>SmtRes!X263</f>
        <v>-1660354250</v>
      </c>
      <c r="V276">
        <v>1600079109</v>
      </c>
      <c r="W276">
        <v>-1353927395</v>
      </c>
    </row>
    <row r="277" spans="1:23" x14ac:dyDescent="0.2">
      <c r="A277">
        <f>Source!A219</f>
        <v>17</v>
      </c>
      <c r="C277">
        <v>2</v>
      </c>
      <c r="D277">
        <v>0</v>
      </c>
      <c r="E277">
        <f>SmtRes!AV261</f>
        <v>0</v>
      </c>
      <c r="F277" t="str">
        <f>SmtRes!I261</f>
        <v>91.14.02-001</v>
      </c>
      <c r="G277" t="str">
        <f>SmtRes!K261</f>
        <v>Автомобили бортовые, грузоподъемность до 5 т</v>
      </c>
      <c r="H277" t="str">
        <f>SmtRes!O261</f>
        <v>маш.-ч</v>
      </c>
      <c r="I277">
        <f>SmtRes!Y261*Source!I219</f>
        <v>1.0579999999999999E-2</v>
      </c>
      <c r="J277">
        <f>SmtRes!AO261</f>
        <v>1</v>
      </c>
      <c r="K277">
        <f>SmtRes!AF261</f>
        <v>65.709999999999994</v>
      </c>
      <c r="L277">
        <f>SmtRes!DB261</f>
        <v>3.7806250000000001</v>
      </c>
      <c r="M277">
        <f>ROUND(ROUND(L277*Source!I219, 6)*1, 2)</f>
        <v>0.7</v>
      </c>
      <c r="N277">
        <f>SmtRes!AB261</f>
        <v>65.709999999999994</v>
      </c>
      <c r="O277">
        <f>ROUND(ROUND(L277*Source!I219, 6)*SmtRes!DA261, 2)</f>
        <v>0.7</v>
      </c>
      <c r="P277">
        <f>SmtRes!AG261</f>
        <v>11.6</v>
      </c>
      <c r="Q277">
        <f>SmtRes!DC261</f>
        <v>0.66125</v>
      </c>
      <c r="R277">
        <f>ROUND(ROUND(Q277*Source!I219, 6)*1, 2)</f>
        <v>0.12</v>
      </c>
      <c r="S277">
        <f>SmtRes!AC261</f>
        <v>11.6</v>
      </c>
      <c r="T277">
        <f>ROUND(ROUND(Q277*Source!I219, 6)*SmtRes!AK261, 2)</f>
        <v>0.12</v>
      </c>
      <c r="U277">
        <f>SmtRes!X261</f>
        <v>1372534845</v>
      </c>
      <c r="V277">
        <v>-238339799</v>
      </c>
      <c r="W277">
        <v>1792116812</v>
      </c>
    </row>
    <row r="278" spans="1:23" x14ac:dyDescent="0.2">
      <c r="A278">
        <f>Source!A219</f>
        <v>17</v>
      </c>
      <c r="C278">
        <v>2</v>
      </c>
      <c r="D278">
        <v>0</v>
      </c>
      <c r="E278">
        <f>SmtRes!AV260</f>
        <v>0</v>
      </c>
      <c r="F278" t="str">
        <f>SmtRes!I260</f>
        <v>91.13.01-038</v>
      </c>
      <c r="G278" t="str">
        <f>SmtRes!K260</f>
        <v>Машины поливомоечные 6000 л</v>
      </c>
      <c r="H278" t="str">
        <f>SmtRes!O260</f>
        <v>маш.-ч</v>
      </c>
      <c r="I278">
        <f>SmtRes!Y260*Source!I219</f>
        <v>0.10315499999999998</v>
      </c>
      <c r="J278">
        <f>SmtRes!AO260</f>
        <v>1</v>
      </c>
      <c r="K278">
        <f>SmtRes!AF260</f>
        <v>110</v>
      </c>
      <c r="L278">
        <f>SmtRes!DB260</f>
        <v>61.668750000000003</v>
      </c>
      <c r="M278">
        <f>ROUND(ROUND(L278*Source!I219, 6)*1, 2)</f>
        <v>11.35</v>
      </c>
      <c r="N278">
        <f>SmtRes!AB260</f>
        <v>110</v>
      </c>
      <c r="O278">
        <f>ROUND(ROUND(L278*Source!I219, 6)*SmtRes!DA260, 2)</f>
        <v>11.35</v>
      </c>
      <c r="P278">
        <f>SmtRes!AG260</f>
        <v>11.6</v>
      </c>
      <c r="Q278">
        <f>SmtRes!DC260</f>
        <v>6.4974999999999996</v>
      </c>
      <c r="R278">
        <f>ROUND(ROUND(Q278*Source!I219, 6)*1, 2)</f>
        <v>1.2</v>
      </c>
      <c r="S278">
        <f>SmtRes!AC260</f>
        <v>11.6</v>
      </c>
      <c r="T278">
        <f>ROUND(ROUND(Q278*Source!I219, 6)*SmtRes!AK260, 2)</f>
        <v>1.2</v>
      </c>
      <c r="U278">
        <f>SmtRes!X260</f>
        <v>1403266566</v>
      </c>
      <c r="V278">
        <v>-698064522</v>
      </c>
      <c r="W278">
        <v>1410473507</v>
      </c>
    </row>
    <row r="279" spans="1:23" x14ac:dyDescent="0.2">
      <c r="A279">
        <f>Source!A219</f>
        <v>17</v>
      </c>
      <c r="C279">
        <v>2</v>
      </c>
      <c r="D279">
        <v>0</v>
      </c>
      <c r="E279">
        <f>SmtRes!AV259</f>
        <v>0</v>
      </c>
      <c r="F279" t="str">
        <f>SmtRes!I259</f>
        <v>91.08.03-018</v>
      </c>
      <c r="G279" t="str">
        <f>SmtRes!K259</f>
        <v>Катки дорожные самоходные гладкие, масса 13 т</v>
      </c>
      <c r="H279" t="str">
        <f>SmtRes!O259</f>
        <v>маш.-ч</v>
      </c>
      <c r="I279">
        <f>SmtRes!Y259*Source!I219</f>
        <v>3.0443950000000002</v>
      </c>
      <c r="J279">
        <f>SmtRes!AO259</f>
        <v>1</v>
      </c>
      <c r="K279">
        <f>SmtRes!AF259</f>
        <v>121</v>
      </c>
      <c r="L279">
        <f>SmtRes!DB259</f>
        <v>2002.0206250000001</v>
      </c>
      <c r="M279">
        <f>ROUND(ROUND(L279*Source!I219, 6)*1, 2)</f>
        <v>368.37</v>
      </c>
      <c r="N279">
        <f>SmtRes!AB259</f>
        <v>121</v>
      </c>
      <c r="O279">
        <f>ROUND(ROUND(L279*Source!I219, 6)*SmtRes!DA259, 2)</f>
        <v>368.37</v>
      </c>
      <c r="P279">
        <f>SmtRes!AG259</f>
        <v>14.4</v>
      </c>
      <c r="Q279">
        <f>SmtRes!DC259</f>
        <v>238.25125</v>
      </c>
      <c r="R279">
        <f>ROUND(ROUND(Q279*Source!I219, 6)*1, 2)</f>
        <v>43.84</v>
      </c>
      <c r="S279">
        <f>SmtRes!AC259</f>
        <v>14.4</v>
      </c>
      <c r="T279">
        <f>ROUND(ROUND(Q279*Source!I219, 6)*SmtRes!AK259, 2)</f>
        <v>43.84</v>
      </c>
      <c r="U279">
        <f>SmtRes!X259</f>
        <v>-1649076460</v>
      </c>
      <c r="V279">
        <v>-1872977298</v>
      </c>
      <c r="W279">
        <v>-207381279</v>
      </c>
    </row>
    <row r="280" spans="1:23" x14ac:dyDescent="0.2">
      <c r="A280">
        <f>Source!A219</f>
        <v>17</v>
      </c>
      <c r="C280">
        <v>2</v>
      </c>
      <c r="D280">
        <v>0</v>
      </c>
      <c r="E280">
        <f>SmtRes!AV258</f>
        <v>0</v>
      </c>
      <c r="F280" t="str">
        <f>SmtRes!I258</f>
        <v>91.08.03-016</v>
      </c>
      <c r="G280" t="str">
        <f>SmtRes!K258</f>
        <v>Катки дорожные самоходные гладкие, масса 8 т</v>
      </c>
      <c r="H280" t="str">
        <f>SmtRes!O258</f>
        <v>маш.-ч</v>
      </c>
      <c r="I280">
        <f>SmtRes!Y258*Source!I219</f>
        <v>1.0474199999999998</v>
      </c>
      <c r="J280">
        <f>SmtRes!AO258</f>
        <v>1</v>
      </c>
      <c r="K280">
        <f>SmtRes!AF258</f>
        <v>75</v>
      </c>
      <c r="L280">
        <f>SmtRes!DB258</f>
        <v>426.9375</v>
      </c>
      <c r="M280">
        <f>ROUND(ROUND(L280*Source!I219, 6)*1, 2)</f>
        <v>78.56</v>
      </c>
      <c r="N280">
        <f>SmtRes!AB258</f>
        <v>75</v>
      </c>
      <c r="O280">
        <f>ROUND(ROUND(L280*Source!I219, 6)*SmtRes!DA258, 2)</f>
        <v>78.56</v>
      </c>
      <c r="P280">
        <f>SmtRes!AG258</f>
        <v>11.6</v>
      </c>
      <c r="Q280">
        <f>SmtRes!DC258</f>
        <v>66.038749999999993</v>
      </c>
      <c r="R280">
        <f>ROUND(ROUND(Q280*Source!I219, 6)*1, 2)</f>
        <v>12.15</v>
      </c>
      <c r="S280">
        <f>SmtRes!AC258</f>
        <v>11.6</v>
      </c>
      <c r="T280">
        <f>ROUND(ROUND(Q280*Source!I219, 6)*SmtRes!AK258, 2)</f>
        <v>12.15</v>
      </c>
      <c r="U280">
        <f>SmtRes!X258</f>
        <v>-891970060</v>
      </c>
      <c r="V280">
        <v>-358451234</v>
      </c>
      <c r="W280">
        <v>1930194365</v>
      </c>
    </row>
    <row r="281" spans="1:23" x14ac:dyDescent="0.2">
      <c r="A281">
        <f>Source!A219</f>
        <v>17</v>
      </c>
      <c r="C281">
        <v>2</v>
      </c>
      <c r="D281">
        <v>0</v>
      </c>
      <c r="E281">
        <f>SmtRes!AV257</f>
        <v>0</v>
      </c>
      <c r="F281" t="str">
        <f>SmtRes!I257</f>
        <v>91.08.02-011</v>
      </c>
      <c r="G281" t="str">
        <f>SmtRes!K257</f>
        <v>Гудронаторы ручные</v>
      </c>
      <c r="H281" t="str">
        <f>SmtRes!O257</f>
        <v>маш.-ч</v>
      </c>
      <c r="I281">
        <f>SmtRes!Y257*Source!I219</f>
        <v>0.37029999999999996</v>
      </c>
      <c r="J281">
        <f>SmtRes!AO257</f>
        <v>1</v>
      </c>
      <c r="K281">
        <f>SmtRes!AF257</f>
        <v>17.2</v>
      </c>
      <c r="L281">
        <f>SmtRes!DB257</f>
        <v>34.615000000000002</v>
      </c>
      <c r="M281">
        <f>ROUND(ROUND(L281*Source!I219, 6)*1, 2)</f>
        <v>6.37</v>
      </c>
      <c r="N281">
        <f>SmtRes!AB257</f>
        <v>17.2</v>
      </c>
      <c r="O281">
        <f>ROUND(ROUND(L281*Source!I219, 6)*SmtRes!DA257, 2)</f>
        <v>6.37</v>
      </c>
      <c r="P281">
        <f>SmtRes!AG257</f>
        <v>0</v>
      </c>
      <c r="Q281">
        <f>SmtRes!DC257</f>
        <v>0</v>
      </c>
      <c r="R281">
        <f>ROUND(ROUND(Q281*Source!I219, 6)*1, 2)</f>
        <v>0</v>
      </c>
      <c r="S281">
        <f>SmtRes!AC257</f>
        <v>0</v>
      </c>
      <c r="T281">
        <f>ROUND(ROUND(Q281*Source!I219, 6)*SmtRes!AK257, 2)</f>
        <v>0</v>
      </c>
      <c r="U281">
        <f>SmtRes!X257</f>
        <v>954928212</v>
      </c>
      <c r="V281">
        <v>30324279</v>
      </c>
      <c r="W281">
        <v>-155116088</v>
      </c>
    </row>
    <row r="282" spans="1:23" x14ac:dyDescent="0.2">
      <c r="A282">
        <f>Source!A219</f>
        <v>17</v>
      </c>
      <c r="C282">
        <v>2</v>
      </c>
      <c r="D282">
        <v>0</v>
      </c>
      <c r="E282">
        <f>SmtRes!AV256</f>
        <v>0</v>
      </c>
      <c r="F282" t="str">
        <f>SmtRes!I256</f>
        <v>91.08.01-021</v>
      </c>
      <c r="G282" t="str">
        <f>SmtRes!K256</f>
        <v>Укладчики асфальтобетона</v>
      </c>
      <c r="H282" t="str">
        <f>SmtRes!O256</f>
        <v>маш.-ч</v>
      </c>
      <c r="I282">
        <f>SmtRes!Y256*Source!I219</f>
        <v>0.84375500000000003</v>
      </c>
      <c r="J282">
        <f>SmtRes!AO256</f>
        <v>1</v>
      </c>
      <c r="K282">
        <f>SmtRes!AF256</f>
        <v>195.2</v>
      </c>
      <c r="L282">
        <f>SmtRes!DB256</f>
        <v>895.11687500000005</v>
      </c>
      <c r="M282">
        <f>ROUND(ROUND(L282*Source!I219, 6)*1, 2)</f>
        <v>164.7</v>
      </c>
      <c r="N282">
        <f>SmtRes!AB256</f>
        <v>195.2</v>
      </c>
      <c r="O282">
        <f>ROUND(ROUND(L282*Source!I219, 6)*SmtRes!DA256, 2)</f>
        <v>164.7</v>
      </c>
      <c r="P282">
        <f>SmtRes!AG256</f>
        <v>14.4</v>
      </c>
      <c r="Q282">
        <f>SmtRes!DC256</f>
        <v>66.038749999999993</v>
      </c>
      <c r="R282">
        <f>ROUND(ROUND(Q282*Source!I219, 6)*1, 2)</f>
        <v>12.15</v>
      </c>
      <c r="S282">
        <f>SmtRes!AC256</f>
        <v>14.4</v>
      </c>
      <c r="T282">
        <f>ROUND(ROUND(Q282*Source!I219, 6)*SmtRes!AK256, 2)</f>
        <v>12.15</v>
      </c>
      <c r="U282">
        <f>SmtRes!X256</f>
        <v>-1161260467</v>
      </c>
      <c r="V282">
        <v>1957551166</v>
      </c>
      <c r="W282">
        <v>-477141524</v>
      </c>
    </row>
    <row r="283" spans="1:23" x14ac:dyDescent="0.2">
      <c r="A283">
        <f>Source!A219</f>
        <v>17</v>
      </c>
      <c r="C283">
        <v>2</v>
      </c>
      <c r="D283">
        <v>0</v>
      </c>
      <c r="E283">
        <f>SmtRes!AV255</f>
        <v>0</v>
      </c>
      <c r="F283" t="str">
        <f>SmtRes!I255</f>
        <v>91.05.05-014</v>
      </c>
      <c r="G283" t="str">
        <f>SmtRes!K255</f>
        <v>Краны на автомобильном ходу, грузоподъемность 10 т</v>
      </c>
      <c r="H283" t="str">
        <f>SmtRes!O255</f>
        <v>маш.-ч</v>
      </c>
      <c r="I283">
        <f>SmtRes!Y255*Source!I219</f>
        <v>7.9349999999999993E-3</v>
      </c>
      <c r="J283">
        <f>SmtRes!AO255</f>
        <v>1</v>
      </c>
      <c r="K283">
        <f>SmtRes!AF255</f>
        <v>111.99</v>
      </c>
      <c r="L283">
        <f>SmtRes!DB255</f>
        <v>4.83</v>
      </c>
      <c r="M283">
        <f>ROUND(ROUND(L283*Source!I219, 6)*1, 2)</f>
        <v>0.89</v>
      </c>
      <c r="N283">
        <f>SmtRes!AB255</f>
        <v>111.99</v>
      </c>
      <c r="O283">
        <f>ROUND(ROUND(L283*Source!I219, 6)*SmtRes!DA255, 2)</f>
        <v>0.89</v>
      </c>
      <c r="P283">
        <f>SmtRes!AG255</f>
        <v>13.5</v>
      </c>
      <c r="Q283">
        <f>SmtRes!DC255</f>
        <v>0.58937499999999998</v>
      </c>
      <c r="R283">
        <f>ROUND(ROUND(Q283*Source!I219, 6)*1, 2)</f>
        <v>0.11</v>
      </c>
      <c r="S283">
        <f>SmtRes!AC255</f>
        <v>13.5</v>
      </c>
      <c r="T283">
        <f>ROUND(ROUND(Q283*Source!I219, 6)*SmtRes!AK255, 2)</f>
        <v>0.11</v>
      </c>
      <c r="U283">
        <f>SmtRes!X255</f>
        <v>-1718674368</v>
      </c>
      <c r="V283">
        <v>-816987455</v>
      </c>
      <c r="W283">
        <v>-2122234393</v>
      </c>
    </row>
    <row r="284" spans="1:23" x14ac:dyDescent="0.2">
      <c r="A284">
        <f>Source!A219</f>
        <v>17</v>
      </c>
      <c r="C284">
        <v>1</v>
      </c>
      <c r="D284">
        <v>0</v>
      </c>
      <c r="E284">
        <f>SmtRes!AV254</f>
        <v>2</v>
      </c>
      <c r="F284" t="str">
        <f>SmtRes!I254</f>
        <v>4-100-00</v>
      </c>
      <c r="G284" t="str">
        <f>SmtRes!K254</f>
        <v>Затраты труда машинистов</v>
      </c>
      <c r="H284" t="str">
        <f>SmtRes!O254</f>
        <v>чел.-ч.</v>
      </c>
      <c r="I284">
        <f>SmtRes!Y254*Source!I219</f>
        <v>3.5180800000000003</v>
      </c>
      <c r="J284">
        <f>SmtRes!AO254</f>
        <v>1</v>
      </c>
      <c r="K284">
        <f>SmtRes!AH254</f>
        <v>0</v>
      </c>
      <c r="L284">
        <f>SmtRes!DB254</f>
        <v>0</v>
      </c>
      <c r="M284">
        <f>ROUND(ROUND(L284*Source!I219, 6)*1, 2)</f>
        <v>0</v>
      </c>
      <c r="N284">
        <f>SmtRes!AD254</f>
        <v>0</v>
      </c>
      <c r="O284">
        <f>ROUND(ROUND(L284*Source!I219, 6)*SmtRes!DA254, 2)</f>
        <v>0</v>
      </c>
      <c r="P284">
        <f>SmtRes!AG254</f>
        <v>0</v>
      </c>
      <c r="Q284">
        <f>SmtRes!DC254</f>
        <v>0</v>
      </c>
      <c r="R284">
        <f>ROUND(ROUND(Q284*Source!I219, 6)*1, 2)</f>
        <v>0</v>
      </c>
      <c r="S284">
        <f>SmtRes!AC254</f>
        <v>0</v>
      </c>
      <c r="T284">
        <f>ROUND(ROUND(Q284*Source!I219, 6)*SmtRes!AK254, 2)</f>
        <v>0</v>
      </c>
      <c r="U284">
        <f>SmtRes!X254</f>
        <v>-1417349443</v>
      </c>
      <c r="V284">
        <v>-189065469</v>
      </c>
      <c r="W284">
        <v>1122477533</v>
      </c>
    </row>
    <row r="285" spans="1:23" x14ac:dyDescent="0.2">
      <c r="A285">
        <f>Source!A219</f>
        <v>17</v>
      </c>
      <c r="C285">
        <v>1</v>
      </c>
      <c r="D285">
        <v>0</v>
      </c>
      <c r="E285">
        <f>SmtRes!AV253</f>
        <v>1</v>
      </c>
      <c r="F285" t="str">
        <f>SmtRes!I253</f>
        <v>1-100-40</v>
      </c>
      <c r="G285" t="str">
        <f>SmtRes!K253</f>
        <v>Рабочий среднего разряда 4</v>
      </c>
      <c r="H285" t="str">
        <f>SmtRes!O253</f>
        <v>чел.-ч.</v>
      </c>
      <c r="I285">
        <f>SmtRes!Y253*Source!I219</f>
        <v>9.3199219999999983</v>
      </c>
      <c r="J285">
        <f>SmtRes!AO253</f>
        <v>1</v>
      </c>
      <c r="K285">
        <f>SmtRes!AH253</f>
        <v>9.6199999999999992</v>
      </c>
      <c r="L285">
        <f>SmtRes!DB253</f>
        <v>487.275125</v>
      </c>
      <c r="M285">
        <f>ROUND(ROUND(L285*Source!I219, 6)*1, 2)</f>
        <v>89.66</v>
      </c>
      <c r="N285">
        <f>SmtRes!AD253</f>
        <v>9.6199999999999992</v>
      </c>
      <c r="O285">
        <f>ROUND(ROUND(L285*Source!I219, 6)*SmtRes!DA253, 2)</f>
        <v>89.66</v>
      </c>
      <c r="P285">
        <f>SmtRes!AG253</f>
        <v>0</v>
      </c>
      <c r="Q285">
        <f>SmtRes!DC253</f>
        <v>0</v>
      </c>
      <c r="R285">
        <f>ROUND(ROUND(Q285*Source!I219, 6)*1, 2)</f>
        <v>0</v>
      </c>
      <c r="S285">
        <f>SmtRes!AC253</f>
        <v>0</v>
      </c>
      <c r="T285">
        <f>ROUND(ROUND(Q285*Source!I219, 6)*SmtRes!AK253, 2)</f>
        <v>0</v>
      </c>
      <c r="U285">
        <f>SmtRes!X253</f>
        <v>1069510174</v>
      </c>
      <c r="V285">
        <v>2066261080</v>
      </c>
      <c r="W285">
        <v>-1620489650</v>
      </c>
    </row>
    <row r="286" spans="1:23" x14ac:dyDescent="0.2">
      <c r="A286">
        <f>Source!A220</f>
        <v>18</v>
      </c>
      <c r="C286">
        <v>3</v>
      </c>
      <c r="D286">
        <f>Source!BI220</f>
        <v>1</v>
      </c>
      <c r="E286">
        <f>Source!FS220</f>
        <v>0</v>
      </c>
      <c r="F286" t="str">
        <f>Source!F220</f>
        <v>01.2.01.02-0001</v>
      </c>
      <c r="G286" t="str">
        <f>Source!G220</f>
        <v>Битум горячий</v>
      </c>
      <c r="H286" t="str">
        <f>Source!H220</f>
        <v>т</v>
      </c>
      <c r="I286">
        <f>Source!I220</f>
        <v>1.9870000000000001E-3</v>
      </c>
      <c r="J286">
        <v>1</v>
      </c>
      <c r="K286">
        <f>Source!AC220</f>
        <v>1946.91</v>
      </c>
      <c r="M286">
        <f>ROUND(K286*I286, 2)</f>
        <v>3.87</v>
      </c>
      <c r="N286">
        <f>Source!AC220*IF(Source!BC220&lt;&gt; 0, Source!BC220, 1)</f>
        <v>1946.91</v>
      </c>
      <c r="O286">
        <f>ROUND(N286*I286, 2)</f>
        <v>3.87</v>
      </c>
      <c r="P286">
        <f>Source!AE220</f>
        <v>0</v>
      </c>
      <c r="R286">
        <f>ROUND(P286*I286, 2)</f>
        <v>0</v>
      </c>
      <c r="S286">
        <f>Source!AE220*IF(Source!BS220&lt;&gt; 0, Source!BS220, 1)</f>
        <v>0</v>
      </c>
      <c r="T286">
        <f>ROUND(S286*I286, 2)</f>
        <v>0</v>
      </c>
      <c r="U286">
        <f>Source!GF220</f>
        <v>1401058849</v>
      </c>
      <c r="V286">
        <v>1408483191</v>
      </c>
      <c r="W286">
        <v>1400565996</v>
      </c>
    </row>
    <row r="287" spans="1:23" x14ac:dyDescent="0.2">
      <c r="A287">
        <f>Source!A221</f>
        <v>18</v>
      </c>
      <c r="C287">
        <v>3</v>
      </c>
      <c r="D287">
        <f>Source!BI221</f>
        <v>1</v>
      </c>
      <c r="E287">
        <f>Source!FS221</f>
        <v>0</v>
      </c>
      <c r="F287" t="str">
        <f>Source!F221</f>
        <v>04.2.01.04-0001</v>
      </c>
      <c r="G287" t="str">
        <f>Source!G221</f>
        <v>Смеси асфальтобетонные дорожные мелкозернистые щебеночные типа Б марки 1</v>
      </c>
      <c r="H287" t="str">
        <f>Source!H221</f>
        <v>т</v>
      </c>
      <c r="I287">
        <f>Source!I221</f>
        <v>17.7744</v>
      </c>
      <c r="J287">
        <v>1</v>
      </c>
      <c r="K287">
        <f>Source!AC221</f>
        <v>460</v>
      </c>
      <c r="M287">
        <f>ROUND(K287*I287, 2)</f>
        <v>8176.22</v>
      </c>
      <c r="N287">
        <f>Source!AC221*IF(Source!BC221&lt;&gt; 0, Source!BC221, 1)</f>
        <v>460</v>
      </c>
      <c r="O287">
        <f>ROUND(N287*I287, 2)</f>
        <v>8176.22</v>
      </c>
      <c r="P287">
        <f>Source!AE221</f>
        <v>0</v>
      </c>
      <c r="R287">
        <f>ROUND(P287*I287, 2)</f>
        <v>0</v>
      </c>
      <c r="S287">
        <f>Source!AE221*IF(Source!BS221&lt;&gt; 0, Source!BS221, 1)</f>
        <v>0</v>
      </c>
      <c r="T287">
        <f>ROUND(S287*I287, 2)</f>
        <v>0</v>
      </c>
      <c r="U287">
        <f>Source!GF221</f>
        <v>2047521922</v>
      </c>
      <c r="V287">
        <v>-1756801065</v>
      </c>
      <c r="W287">
        <v>-1955182557</v>
      </c>
    </row>
    <row r="288" spans="1:23" x14ac:dyDescent="0.2">
      <c r="A288">
        <f>Source!A223</f>
        <v>17</v>
      </c>
      <c r="C288">
        <v>3</v>
      </c>
      <c r="D288">
        <v>0</v>
      </c>
      <c r="E288">
        <f>SmtRes!AV273</f>
        <v>0</v>
      </c>
      <c r="F288" t="str">
        <f>SmtRes!I273</f>
        <v>01.7.03.01-0001</v>
      </c>
      <c r="G288" t="str">
        <f>SmtRes!K273</f>
        <v>Вода</v>
      </c>
      <c r="H288" t="str">
        <f>SmtRes!O273</f>
        <v>м3</v>
      </c>
      <c r="I288">
        <f>SmtRes!Y273*Source!I223</f>
        <v>0.91999999999999993</v>
      </c>
      <c r="J288">
        <f>SmtRes!AO273</f>
        <v>1</v>
      </c>
      <c r="K288">
        <f>SmtRes!AE273</f>
        <v>2.44</v>
      </c>
      <c r="L288">
        <f>SmtRes!DB273</f>
        <v>12.2</v>
      </c>
      <c r="M288">
        <f>ROUND(ROUND(L288*Source!I223, 6)*1, 2)</f>
        <v>2.2400000000000002</v>
      </c>
      <c r="N288">
        <f>SmtRes!AA273</f>
        <v>2.44</v>
      </c>
      <c r="O288">
        <f>ROUND(ROUND(L288*Source!I223, 6)*SmtRes!DA273, 2)</f>
        <v>2.2400000000000002</v>
      </c>
      <c r="P288">
        <f>SmtRes!AG273</f>
        <v>0</v>
      </c>
      <c r="Q288">
        <f>SmtRes!DC273</f>
        <v>0</v>
      </c>
      <c r="R288">
        <f>ROUND(ROUND(Q288*Source!I223, 6)*1, 2)</f>
        <v>0</v>
      </c>
      <c r="S288">
        <f>SmtRes!AC273</f>
        <v>0</v>
      </c>
      <c r="T288">
        <f>ROUND(ROUND(Q288*Source!I223, 6)*SmtRes!AK273, 2)</f>
        <v>0</v>
      </c>
      <c r="U288">
        <f>SmtRes!X273</f>
        <v>-1660354250</v>
      </c>
      <c r="V288">
        <v>1600079109</v>
      </c>
      <c r="W288">
        <v>-1353927395</v>
      </c>
    </row>
    <row r="289" spans="1:23" x14ac:dyDescent="0.2">
      <c r="A289">
        <f>Source!A223</f>
        <v>17</v>
      </c>
      <c r="C289">
        <v>2</v>
      </c>
      <c r="D289">
        <v>0</v>
      </c>
      <c r="E289">
        <f>SmtRes!AV272</f>
        <v>0</v>
      </c>
      <c r="F289" t="str">
        <f>SmtRes!I272</f>
        <v>91.13.01-038</v>
      </c>
      <c r="G289" t="str">
        <f>SmtRes!K272</f>
        <v>Машины поливомоечные 6000 л</v>
      </c>
      <c r="H289" t="str">
        <f>SmtRes!O272</f>
        <v>маш.-ч</v>
      </c>
      <c r="I289">
        <f>SmtRes!Y272*Source!I223</f>
        <v>0.19572999999999999</v>
      </c>
      <c r="J289">
        <f>SmtRes!AO272</f>
        <v>1</v>
      </c>
      <c r="K289">
        <f>SmtRes!AF272</f>
        <v>110</v>
      </c>
      <c r="L289">
        <f>SmtRes!DB272</f>
        <v>117.0125</v>
      </c>
      <c r="M289">
        <f>ROUND(ROUND(L289*Source!I223, 6)*1, 2)</f>
        <v>21.53</v>
      </c>
      <c r="N289">
        <f>SmtRes!AB272</f>
        <v>110</v>
      </c>
      <c r="O289">
        <f>ROUND(ROUND(L289*Source!I223, 6)*SmtRes!DA272, 2)</f>
        <v>21.53</v>
      </c>
      <c r="P289">
        <f>SmtRes!AG272</f>
        <v>11.6</v>
      </c>
      <c r="Q289">
        <f>SmtRes!DC272</f>
        <v>12.33375</v>
      </c>
      <c r="R289">
        <f>ROUND(ROUND(Q289*Source!I223, 6)*1, 2)</f>
        <v>2.27</v>
      </c>
      <c r="S289">
        <f>SmtRes!AC272</f>
        <v>11.6</v>
      </c>
      <c r="T289">
        <f>ROUND(ROUND(Q289*Source!I223, 6)*SmtRes!AK272, 2)</f>
        <v>2.27</v>
      </c>
      <c r="U289">
        <f>SmtRes!X272</f>
        <v>1403266566</v>
      </c>
      <c r="V289">
        <v>-698064522</v>
      </c>
      <c r="W289">
        <v>1410473507</v>
      </c>
    </row>
    <row r="290" spans="1:23" x14ac:dyDescent="0.2">
      <c r="A290">
        <f>Source!A223</f>
        <v>17</v>
      </c>
      <c r="C290">
        <v>2</v>
      </c>
      <c r="D290">
        <v>0</v>
      </c>
      <c r="E290">
        <f>SmtRes!AV271</f>
        <v>0</v>
      </c>
      <c r="F290" t="str">
        <f>SmtRes!I271</f>
        <v>91.08.03-030</v>
      </c>
      <c r="G290" t="str">
        <f>SmtRes!K271</f>
        <v>Катки на пневмоколесном ходу, масса 30 т</v>
      </c>
      <c r="H290" t="str">
        <f>SmtRes!O271</f>
        <v>маш.-ч</v>
      </c>
      <c r="I290">
        <f>SmtRes!Y271*Source!I223</f>
        <v>1.8726599999999998</v>
      </c>
      <c r="J290">
        <f>SmtRes!AO271</f>
        <v>1</v>
      </c>
      <c r="K290">
        <f>SmtRes!AF271</f>
        <v>206.01</v>
      </c>
      <c r="L290">
        <f>SmtRes!DB271</f>
        <v>2096.6656250000001</v>
      </c>
      <c r="M290">
        <f>ROUND(ROUND(L290*Source!I223, 6)*1, 2)</f>
        <v>385.79</v>
      </c>
      <c r="N290">
        <f>SmtRes!AB271</f>
        <v>206.01</v>
      </c>
      <c r="O290">
        <f>ROUND(ROUND(L290*Source!I223, 6)*SmtRes!DA271, 2)</f>
        <v>385.79</v>
      </c>
      <c r="P290">
        <f>SmtRes!AG271</f>
        <v>14.4</v>
      </c>
      <c r="Q290">
        <f>SmtRes!DC271</f>
        <v>146.55312499999999</v>
      </c>
      <c r="R290">
        <f>ROUND(ROUND(Q290*Source!I223, 6)*1, 2)</f>
        <v>26.97</v>
      </c>
      <c r="S290">
        <f>SmtRes!AC271</f>
        <v>14.4</v>
      </c>
      <c r="T290">
        <f>ROUND(ROUND(Q290*Source!I223, 6)*SmtRes!AK271, 2)</f>
        <v>26.97</v>
      </c>
      <c r="U290">
        <f>SmtRes!X271</f>
        <v>1663826256</v>
      </c>
      <c r="V290">
        <v>1045291655</v>
      </c>
      <c r="W290">
        <v>-500549999</v>
      </c>
    </row>
    <row r="291" spans="1:23" x14ac:dyDescent="0.2">
      <c r="A291">
        <f>Source!A223</f>
        <v>17</v>
      </c>
      <c r="C291">
        <v>2</v>
      </c>
      <c r="D291">
        <v>0</v>
      </c>
      <c r="E291">
        <f>SmtRes!AV270</f>
        <v>0</v>
      </c>
      <c r="F291" t="str">
        <f>SmtRes!I270</f>
        <v>91.06.05-011</v>
      </c>
      <c r="G291" t="str">
        <f>SmtRes!K270</f>
        <v>Погрузчик, грузоподъемность 5 т</v>
      </c>
      <c r="H291" t="str">
        <f>SmtRes!O270</f>
        <v>маш.-ч</v>
      </c>
      <c r="I291">
        <f>SmtRes!Y270*Source!I223</f>
        <v>1.1347049999999999</v>
      </c>
      <c r="J291">
        <f>SmtRes!AO270</f>
        <v>1</v>
      </c>
      <c r="K291">
        <f>SmtRes!AF270</f>
        <v>89.99</v>
      </c>
      <c r="L291">
        <f>SmtRes!DB270</f>
        <v>554.96124999999995</v>
      </c>
      <c r="M291">
        <f>ROUND(ROUND(L291*Source!I223, 6)*1, 2)</f>
        <v>102.11</v>
      </c>
      <c r="N291">
        <f>SmtRes!AB270</f>
        <v>89.99</v>
      </c>
      <c r="O291">
        <f>ROUND(ROUND(L291*Source!I223, 6)*SmtRes!DA270, 2)</f>
        <v>102.11</v>
      </c>
      <c r="P291">
        <f>SmtRes!AG270</f>
        <v>10.06</v>
      </c>
      <c r="Q291">
        <f>SmtRes!DC270</f>
        <v>62.042499999999997</v>
      </c>
      <c r="R291">
        <f>ROUND(ROUND(Q291*Source!I223, 6)*1, 2)</f>
        <v>11.42</v>
      </c>
      <c r="S291">
        <f>SmtRes!AC270</f>
        <v>10.06</v>
      </c>
      <c r="T291">
        <f>ROUND(ROUND(Q291*Source!I223, 6)*SmtRes!AK270, 2)</f>
        <v>11.42</v>
      </c>
      <c r="U291">
        <f>SmtRes!X270</f>
        <v>-665367104</v>
      </c>
      <c r="V291">
        <v>-1911453925</v>
      </c>
      <c r="W291">
        <v>1793503583</v>
      </c>
    </row>
    <row r="292" spans="1:23" x14ac:dyDescent="0.2">
      <c r="A292">
        <f>Source!A223</f>
        <v>17</v>
      </c>
      <c r="C292">
        <v>2</v>
      </c>
      <c r="D292">
        <v>0</v>
      </c>
      <c r="E292">
        <f>SmtRes!AV269</f>
        <v>0</v>
      </c>
      <c r="F292" t="str">
        <f>SmtRes!I269</f>
        <v>91.01.02-004</v>
      </c>
      <c r="G292" t="str">
        <f>SmtRes!K269</f>
        <v>Автогрейдеры среднего типа, мощность 99 кВт (135 л.с.)</v>
      </c>
      <c r="H292" t="str">
        <f>SmtRes!O269</f>
        <v>маш.-ч</v>
      </c>
      <c r="I292">
        <f>SmtRes!Y269*Source!I223</f>
        <v>0.46816499999999994</v>
      </c>
      <c r="J292">
        <f>SmtRes!AO269</f>
        <v>1</v>
      </c>
      <c r="K292">
        <f>SmtRes!AF269</f>
        <v>123</v>
      </c>
      <c r="L292">
        <f>SmtRes!DB269</f>
        <v>312.958125</v>
      </c>
      <c r="M292">
        <f>ROUND(ROUND(L292*Source!I223, 6)*1, 2)</f>
        <v>57.58</v>
      </c>
      <c r="N292">
        <f>SmtRes!AB269</f>
        <v>123</v>
      </c>
      <c r="O292">
        <f>ROUND(ROUND(L292*Source!I223, 6)*SmtRes!DA269, 2)</f>
        <v>57.58</v>
      </c>
      <c r="P292">
        <f>SmtRes!AG269</f>
        <v>13.5</v>
      </c>
      <c r="Q292">
        <f>SmtRes!DC269</f>
        <v>34.356250000000003</v>
      </c>
      <c r="R292">
        <f>ROUND(ROUND(Q292*Source!I223, 6)*1, 2)</f>
        <v>6.32</v>
      </c>
      <c r="S292">
        <f>SmtRes!AC269</f>
        <v>13.5</v>
      </c>
      <c r="T292">
        <f>ROUND(ROUND(Q292*Source!I223, 6)*SmtRes!AK269, 2)</f>
        <v>6.32</v>
      </c>
      <c r="U292">
        <f>SmtRes!X269</f>
        <v>645023554</v>
      </c>
      <c r="V292">
        <v>768142974</v>
      </c>
      <c r="W292">
        <v>1262858537</v>
      </c>
    </row>
    <row r="293" spans="1:23" x14ac:dyDescent="0.2">
      <c r="A293">
        <f>Source!A223</f>
        <v>17</v>
      </c>
      <c r="C293">
        <v>1</v>
      </c>
      <c r="D293">
        <v>0</v>
      </c>
      <c r="E293">
        <f>SmtRes!AV268</f>
        <v>2</v>
      </c>
      <c r="F293" t="str">
        <f>SmtRes!I268</f>
        <v>4-100-00</v>
      </c>
      <c r="G293" t="str">
        <f>SmtRes!K268</f>
        <v>Затраты труда машинистов</v>
      </c>
      <c r="H293" t="str">
        <f>SmtRes!O268</f>
        <v>чел.-ч.</v>
      </c>
      <c r="I293">
        <f>SmtRes!Y268*Source!I223</f>
        <v>2.5539200000000002</v>
      </c>
      <c r="J293">
        <f>SmtRes!AO268</f>
        <v>1</v>
      </c>
      <c r="K293">
        <f>SmtRes!AH268</f>
        <v>0</v>
      </c>
      <c r="L293">
        <f>SmtRes!DB268</f>
        <v>0</v>
      </c>
      <c r="M293">
        <f>ROUND(ROUND(L293*Source!I223, 6)*1, 2)</f>
        <v>0</v>
      </c>
      <c r="N293">
        <f>SmtRes!AD268</f>
        <v>0</v>
      </c>
      <c r="O293">
        <f>ROUND(ROUND(L293*Source!I223, 6)*SmtRes!DA268, 2)</f>
        <v>0</v>
      </c>
      <c r="P293">
        <f>SmtRes!AG268</f>
        <v>0</v>
      </c>
      <c r="Q293">
        <f>SmtRes!DC268</f>
        <v>0</v>
      </c>
      <c r="R293">
        <f>ROUND(ROUND(Q293*Source!I223, 6)*1, 2)</f>
        <v>0</v>
      </c>
      <c r="S293">
        <f>SmtRes!AC268</f>
        <v>0</v>
      </c>
      <c r="T293">
        <f>ROUND(ROUND(Q293*Source!I223, 6)*SmtRes!AK268, 2)</f>
        <v>0</v>
      </c>
      <c r="U293">
        <f>SmtRes!X268</f>
        <v>-1417349443</v>
      </c>
      <c r="V293">
        <v>-189065469</v>
      </c>
      <c r="W293">
        <v>1122477533</v>
      </c>
    </row>
    <row r="294" spans="1:23" x14ac:dyDescent="0.2">
      <c r="A294">
        <f>Source!A223</f>
        <v>17</v>
      </c>
      <c r="C294">
        <v>1</v>
      </c>
      <c r="D294">
        <v>0</v>
      </c>
      <c r="E294">
        <f>SmtRes!AV267</f>
        <v>1</v>
      </c>
      <c r="F294" t="str">
        <f>SmtRes!I267</f>
        <v>1-100-23</v>
      </c>
      <c r="G294" t="str">
        <f>SmtRes!K267</f>
        <v>Рабочий среднего разряда 2.3</v>
      </c>
      <c r="H294" t="str">
        <f>SmtRes!O267</f>
        <v>чел.-ч.</v>
      </c>
      <c r="I294">
        <f>SmtRes!Y267*Source!I223</f>
        <v>3.8253047999999992</v>
      </c>
      <c r="J294">
        <f>SmtRes!AO267</f>
        <v>1</v>
      </c>
      <c r="K294">
        <f>SmtRes!AH267</f>
        <v>8.02</v>
      </c>
      <c r="L294">
        <f>SmtRes!DB267</f>
        <v>166.727575</v>
      </c>
      <c r="M294">
        <f>ROUND(ROUND(L294*Source!I223, 6)*1, 2)</f>
        <v>30.68</v>
      </c>
      <c r="N294">
        <f>SmtRes!AD267</f>
        <v>8.02</v>
      </c>
      <c r="O294">
        <f>ROUND(ROUND(L294*Source!I223, 6)*SmtRes!DA267, 2)</f>
        <v>30.68</v>
      </c>
      <c r="P294">
        <f>SmtRes!AG267</f>
        <v>0</v>
      </c>
      <c r="Q294">
        <f>SmtRes!DC267</f>
        <v>0</v>
      </c>
      <c r="R294">
        <f>ROUND(ROUND(Q294*Source!I223, 6)*1, 2)</f>
        <v>0</v>
      </c>
      <c r="S294">
        <f>SmtRes!AC267</f>
        <v>0</v>
      </c>
      <c r="T294">
        <f>ROUND(ROUND(Q294*Source!I223, 6)*SmtRes!AK267, 2)</f>
        <v>0</v>
      </c>
      <c r="U294">
        <f>SmtRes!X267</f>
        <v>-228054128</v>
      </c>
      <c r="V294">
        <v>-1057066998</v>
      </c>
      <c r="W294">
        <v>-1107782587</v>
      </c>
    </row>
    <row r="295" spans="1:23" x14ac:dyDescent="0.2">
      <c r="A295">
        <f>Source!A224</f>
        <v>18</v>
      </c>
      <c r="C295">
        <v>3</v>
      </c>
      <c r="D295">
        <f>Source!BI224</f>
        <v>1</v>
      </c>
      <c r="E295">
        <f>Source!FS224</f>
        <v>0</v>
      </c>
      <c r="F295" t="str">
        <f>Source!F224</f>
        <v>02.3.01.02-0015</v>
      </c>
      <c r="G295" t="str">
        <f>Source!G224</f>
        <v>Песок природный для строительных работ средний</v>
      </c>
      <c r="H295" t="str">
        <f>Source!H224</f>
        <v>м3</v>
      </c>
      <c r="I295">
        <f>Source!I224</f>
        <v>18.768000000000001</v>
      </c>
      <c r="J295">
        <v>1</v>
      </c>
      <c r="K295">
        <f>Source!AC224</f>
        <v>55.26</v>
      </c>
      <c r="M295">
        <f>ROUND(K295*I295, 2)</f>
        <v>1037.1199999999999</v>
      </c>
      <c r="N295">
        <f>Source!AC224*IF(Source!BC224&lt;&gt; 0, Source!BC224, 1)</f>
        <v>55.26</v>
      </c>
      <c r="O295">
        <f>ROUND(N295*I295, 2)</f>
        <v>1037.1199999999999</v>
      </c>
      <c r="P295">
        <f>Source!AE224</f>
        <v>0</v>
      </c>
      <c r="R295">
        <f>ROUND(P295*I295, 2)</f>
        <v>0</v>
      </c>
      <c r="S295">
        <f>Source!AE224*IF(Source!BS224&lt;&gt; 0, Source!BS224, 1)</f>
        <v>0</v>
      </c>
      <c r="T295">
        <f>ROUND(S295*I295, 2)</f>
        <v>0</v>
      </c>
      <c r="U295">
        <f>Source!GF224</f>
        <v>-35545874</v>
      </c>
      <c r="V295">
        <v>1327291456</v>
      </c>
      <c r="W295">
        <v>1416435395</v>
      </c>
    </row>
    <row r="296" spans="1:23" x14ac:dyDescent="0.2">
      <c r="A296">
        <f>Source!A225</f>
        <v>17</v>
      </c>
      <c r="C296">
        <v>3</v>
      </c>
      <c r="D296">
        <v>0</v>
      </c>
      <c r="E296">
        <f>SmtRes!AV280</f>
        <v>0</v>
      </c>
      <c r="F296" t="str">
        <f>SmtRes!I280</f>
        <v>01.7.03.01-0001</v>
      </c>
      <c r="G296" t="str">
        <f>SmtRes!K280</f>
        <v>Вода</v>
      </c>
      <c r="H296" t="str">
        <f>SmtRes!O280</f>
        <v>м3</v>
      </c>
      <c r="I296">
        <f>SmtRes!Y280*Source!I225</f>
        <v>3.68</v>
      </c>
      <c r="J296">
        <f>SmtRes!AO280</f>
        <v>1</v>
      </c>
      <c r="K296">
        <f>SmtRes!AE280</f>
        <v>2.44</v>
      </c>
      <c r="L296">
        <f>SmtRes!DB280</f>
        <v>4.88</v>
      </c>
      <c r="M296">
        <f>ROUND(ROUND(L296*Source!I225, 6)*1, 2)</f>
        <v>8.98</v>
      </c>
      <c r="N296">
        <f>SmtRes!AA280</f>
        <v>2.44</v>
      </c>
      <c r="O296">
        <f>ROUND(ROUND(L296*Source!I225, 6)*SmtRes!DA280, 2)</f>
        <v>8.98</v>
      </c>
      <c r="P296">
        <f>SmtRes!AG280</f>
        <v>0</v>
      </c>
      <c r="Q296">
        <f>SmtRes!DC280</f>
        <v>0</v>
      </c>
      <c r="R296">
        <f>ROUND(ROUND(Q296*Source!I225, 6)*1, 2)</f>
        <v>0</v>
      </c>
      <c r="S296">
        <f>SmtRes!AC280</f>
        <v>0</v>
      </c>
      <c r="T296">
        <f>ROUND(ROUND(Q296*Source!I225, 6)*SmtRes!AK280, 2)</f>
        <v>0</v>
      </c>
      <c r="U296">
        <f>SmtRes!X280</f>
        <v>-1660354250</v>
      </c>
      <c r="V296">
        <v>1600079109</v>
      </c>
      <c r="W296">
        <v>-1353927395</v>
      </c>
    </row>
    <row r="297" spans="1:23" x14ac:dyDescent="0.2">
      <c r="A297">
        <f>Source!A225</f>
        <v>17</v>
      </c>
      <c r="C297">
        <v>2</v>
      </c>
      <c r="D297">
        <v>0</v>
      </c>
      <c r="E297">
        <f>SmtRes!AV279</f>
        <v>0</v>
      </c>
      <c r="F297" t="str">
        <f>SmtRes!I279</f>
        <v>91.13.01-038</v>
      </c>
      <c r="G297" t="str">
        <f>SmtRes!K279</f>
        <v>Машины поливомоечные 6000 л</v>
      </c>
      <c r="H297" t="str">
        <f>SmtRes!O279</f>
        <v>маш.-ч</v>
      </c>
      <c r="I297">
        <f>SmtRes!Y279*Source!I225</f>
        <v>1.4283000000000001</v>
      </c>
      <c r="J297">
        <f>SmtRes!AO279</f>
        <v>1</v>
      </c>
      <c r="K297">
        <f>SmtRes!AF279</f>
        <v>110</v>
      </c>
      <c r="L297">
        <f>SmtRes!DB279</f>
        <v>85.387500000000003</v>
      </c>
      <c r="M297">
        <f>ROUND(ROUND(L297*Source!I225, 6)*1, 2)</f>
        <v>157.11000000000001</v>
      </c>
      <c r="N297">
        <f>SmtRes!AB279</f>
        <v>110</v>
      </c>
      <c r="O297">
        <f>ROUND(ROUND(L297*Source!I225, 6)*SmtRes!DA279, 2)</f>
        <v>157.11000000000001</v>
      </c>
      <c r="P297">
        <f>SmtRes!AG279</f>
        <v>11.6</v>
      </c>
      <c r="Q297">
        <f>SmtRes!DC279</f>
        <v>8.9987499999999994</v>
      </c>
      <c r="R297">
        <f>ROUND(ROUND(Q297*Source!I225, 6)*1, 2)</f>
        <v>16.559999999999999</v>
      </c>
      <c r="S297">
        <f>SmtRes!AC279</f>
        <v>11.6</v>
      </c>
      <c r="T297">
        <f>ROUND(ROUND(Q297*Source!I225, 6)*SmtRes!AK279, 2)</f>
        <v>16.559999999999999</v>
      </c>
      <c r="U297">
        <f>SmtRes!X279</f>
        <v>1403266566</v>
      </c>
      <c r="V297">
        <v>-698064522</v>
      </c>
      <c r="W297">
        <v>1410473507</v>
      </c>
    </row>
    <row r="298" spans="1:23" x14ac:dyDescent="0.2">
      <c r="A298">
        <f>Source!A225</f>
        <v>17</v>
      </c>
      <c r="C298">
        <v>2</v>
      </c>
      <c r="D298">
        <v>0</v>
      </c>
      <c r="E298">
        <f>SmtRes!AV278</f>
        <v>0</v>
      </c>
      <c r="F298" t="str">
        <f>SmtRes!I278</f>
        <v>91.08.03-016</v>
      </c>
      <c r="G298" t="str">
        <f>SmtRes!K278</f>
        <v>Катки дорожные самоходные гладкие, масса 8 т</v>
      </c>
      <c r="H298" t="str">
        <f>SmtRes!O278</f>
        <v>маш.-ч</v>
      </c>
      <c r="I298">
        <f>SmtRes!Y278*Source!I225</f>
        <v>3.9146000000000001</v>
      </c>
      <c r="J298">
        <f>SmtRes!AO278</f>
        <v>1</v>
      </c>
      <c r="K298">
        <f>SmtRes!AF278</f>
        <v>75</v>
      </c>
      <c r="L298">
        <f>SmtRes!DB278</f>
        <v>159.5625</v>
      </c>
      <c r="M298">
        <f>ROUND(ROUND(L298*Source!I225, 6)*1, 2)</f>
        <v>293.60000000000002</v>
      </c>
      <c r="N298">
        <f>SmtRes!AB278</f>
        <v>75</v>
      </c>
      <c r="O298">
        <f>ROUND(ROUND(L298*Source!I225, 6)*SmtRes!DA278, 2)</f>
        <v>293.60000000000002</v>
      </c>
      <c r="P298">
        <f>SmtRes!AG278</f>
        <v>11.6</v>
      </c>
      <c r="Q298">
        <f>SmtRes!DC278</f>
        <v>24.681875000000002</v>
      </c>
      <c r="R298">
        <f>ROUND(ROUND(Q298*Source!I225, 6)*1, 2)</f>
        <v>45.41</v>
      </c>
      <c r="S298">
        <f>SmtRes!AC278</f>
        <v>11.6</v>
      </c>
      <c r="T298">
        <f>ROUND(ROUND(Q298*Source!I225, 6)*SmtRes!AK278, 2)</f>
        <v>45.41</v>
      </c>
      <c r="U298">
        <f>SmtRes!X278</f>
        <v>-891970060</v>
      </c>
      <c r="V298">
        <v>-358451234</v>
      </c>
      <c r="W298">
        <v>1930194365</v>
      </c>
    </row>
    <row r="299" spans="1:23" x14ac:dyDescent="0.2">
      <c r="A299">
        <f>Source!A225</f>
        <v>17</v>
      </c>
      <c r="C299">
        <v>2</v>
      </c>
      <c r="D299">
        <v>0</v>
      </c>
      <c r="E299">
        <f>SmtRes!AV277</f>
        <v>0</v>
      </c>
      <c r="F299" t="str">
        <f>SmtRes!I277</f>
        <v>91.06.05-011</v>
      </c>
      <c r="G299" t="str">
        <f>SmtRes!K277</f>
        <v>Погрузчик, грузоподъемность 5 т</v>
      </c>
      <c r="H299" t="str">
        <f>SmtRes!O277</f>
        <v>маш.-ч</v>
      </c>
      <c r="I299">
        <f>SmtRes!Y277*Source!I225</f>
        <v>3.0417499999999995</v>
      </c>
      <c r="J299">
        <f>SmtRes!AO277</f>
        <v>1</v>
      </c>
      <c r="K299">
        <f>SmtRes!AF277</f>
        <v>89.99</v>
      </c>
      <c r="L299">
        <f>SmtRes!DB277</f>
        <v>148.766875</v>
      </c>
      <c r="M299">
        <f>ROUND(ROUND(L299*Source!I225, 6)*1, 2)</f>
        <v>273.73</v>
      </c>
      <c r="N299">
        <f>SmtRes!AB277</f>
        <v>89.99</v>
      </c>
      <c r="O299">
        <f>ROUND(ROUND(L299*Source!I225, 6)*SmtRes!DA277, 2)</f>
        <v>273.73</v>
      </c>
      <c r="P299">
        <f>SmtRes!AG277</f>
        <v>10.06</v>
      </c>
      <c r="Q299">
        <f>SmtRes!DC277</f>
        <v>16.631875000000001</v>
      </c>
      <c r="R299">
        <f>ROUND(ROUND(Q299*Source!I225, 6)*1, 2)</f>
        <v>30.6</v>
      </c>
      <c r="S299">
        <f>SmtRes!AC277</f>
        <v>10.06</v>
      </c>
      <c r="T299">
        <f>ROUND(ROUND(Q299*Source!I225, 6)*SmtRes!AK277, 2)</f>
        <v>30.6</v>
      </c>
      <c r="U299">
        <f>SmtRes!X277</f>
        <v>-665367104</v>
      </c>
      <c r="V299">
        <v>-1911453925</v>
      </c>
      <c r="W299">
        <v>1793503583</v>
      </c>
    </row>
    <row r="300" spans="1:23" x14ac:dyDescent="0.2">
      <c r="A300">
        <f>Source!A225</f>
        <v>17</v>
      </c>
      <c r="C300">
        <v>1</v>
      </c>
      <c r="D300">
        <v>0</v>
      </c>
      <c r="E300">
        <f>SmtRes!AV276</f>
        <v>2</v>
      </c>
      <c r="F300" t="str">
        <f>SmtRes!I276</f>
        <v>4-100-00</v>
      </c>
      <c r="G300" t="str">
        <f>SmtRes!K276</f>
        <v>Затраты труда машинистов</v>
      </c>
      <c r="H300" t="str">
        <f>SmtRes!O276</f>
        <v>чел.-ч.</v>
      </c>
      <c r="I300">
        <f>SmtRes!Y276*Source!I225</f>
        <v>5.8327999999999998</v>
      </c>
      <c r="J300">
        <f>SmtRes!AO276</f>
        <v>1</v>
      </c>
      <c r="K300">
        <f>SmtRes!AH276</f>
        <v>0</v>
      </c>
      <c r="L300">
        <f>SmtRes!DB276</f>
        <v>0</v>
      </c>
      <c r="M300">
        <f>ROUND(ROUND(L300*Source!I225, 6)*1, 2)</f>
        <v>0</v>
      </c>
      <c r="N300">
        <f>SmtRes!AD276</f>
        <v>0</v>
      </c>
      <c r="O300">
        <f>ROUND(ROUND(L300*Source!I225, 6)*SmtRes!DA276, 2)</f>
        <v>0</v>
      </c>
      <c r="P300">
        <f>SmtRes!AG276</f>
        <v>0</v>
      </c>
      <c r="Q300">
        <f>SmtRes!DC276</f>
        <v>0</v>
      </c>
      <c r="R300">
        <f>ROUND(ROUND(Q300*Source!I225, 6)*1, 2)</f>
        <v>0</v>
      </c>
      <c r="S300">
        <f>SmtRes!AC276</f>
        <v>0</v>
      </c>
      <c r="T300">
        <f>ROUND(ROUND(Q300*Source!I225, 6)*SmtRes!AK276, 2)</f>
        <v>0</v>
      </c>
      <c r="U300">
        <f>SmtRes!X276</f>
        <v>-1417349443</v>
      </c>
      <c r="V300">
        <v>-189065469</v>
      </c>
      <c r="W300">
        <v>1122477533</v>
      </c>
    </row>
    <row r="301" spans="1:23" x14ac:dyDescent="0.2">
      <c r="A301">
        <f>Source!A225</f>
        <v>17</v>
      </c>
      <c r="C301">
        <v>1</v>
      </c>
      <c r="D301">
        <v>0</v>
      </c>
      <c r="E301">
        <f>SmtRes!AV275</f>
        <v>1</v>
      </c>
      <c r="F301" t="str">
        <f>SmtRes!I275</f>
        <v>1-100-29</v>
      </c>
      <c r="G301" t="str">
        <f>SmtRes!K275</f>
        <v>Рабочий среднего разряда 2.9</v>
      </c>
      <c r="H301" t="str">
        <f>SmtRes!O275</f>
        <v>чел.-ч.</v>
      </c>
      <c r="I301">
        <f>SmtRes!Y275*Source!I225</f>
        <v>63.852415999999984</v>
      </c>
      <c r="J301">
        <f>SmtRes!AO275</f>
        <v>1</v>
      </c>
      <c r="K301">
        <f>SmtRes!AH275</f>
        <v>8.4600000000000009</v>
      </c>
      <c r="L301">
        <f>SmtRes!DB275</f>
        <v>293.58177499999999</v>
      </c>
      <c r="M301">
        <f>ROUND(ROUND(L301*Source!I225, 6)*1, 2)</f>
        <v>540.19000000000005</v>
      </c>
      <c r="N301">
        <f>SmtRes!AD275</f>
        <v>8.4600000000000009</v>
      </c>
      <c r="O301">
        <f>ROUND(ROUND(L301*Source!I225, 6)*SmtRes!DA275, 2)</f>
        <v>540.19000000000005</v>
      </c>
      <c r="P301">
        <f>SmtRes!AG275</f>
        <v>0</v>
      </c>
      <c r="Q301">
        <f>SmtRes!DC275</f>
        <v>0</v>
      </c>
      <c r="R301">
        <f>ROUND(ROUND(Q301*Source!I225, 6)*1, 2)</f>
        <v>0</v>
      </c>
      <c r="S301">
        <f>SmtRes!AC275</f>
        <v>0</v>
      </c>
      <c r="T301">
        <f>ROUND(ROUND(Q301*Source!I225, 6)*SmtRes!AK275, 2)</f>
        <v>0</v>
      </c>
      <c r="U301">
        <f>SmtRes!X275</f>
        <v>-608433632</v>
      </c>
      <c r="V301">
        <v>-1772746697</v>
      </c>
      <c r="W301">
        <v>-1128529270</v>
      </c>
    </row>
    <row r="302" spans="1:23" x14ac:dyDescent="0.2">
      <c r="A302">
        <f>Source!A226</f>
        <v>18</v>
      </c>
      <c r="C302">
        <v>3</v>
      </c>
      <c r="D302">
        <f>Source!BI226</f>
        <v>1</v>
      </c>
      <c r="E302">
        <f>Source!FS226</f>
        <v>0</v>
      </c>
      <c r="F302" t="str">
        <f>Source!F226</f>
        <v>02.2.05.04-0046</v>
      </c>
      <c r="G302" t="str">
        <f>Source!G226</f>
        <v>Щебень из гравия для строительных работ марка 600, фракция 10-20 мм</v>
      </c>
      <c r="H302" t="str">
        <f>Source!H226</f>
        <v>м3</v>
      </c>
      <c r="I302">
        <f>Source!I226</f>
        <v>32.015999999999998</v>
      </c>
      <c r="J302">
        <v>1</v>
      </c>
      <c r="K302">
        <f>Source!AC226</f>
        <v>139.63</v>
      </c>
      <c r="M302">
        <f>ROUND(K302*I302, 2)</f>
        <v>4470.3900000000003</v>
      </c>
      <c r="N302">
        <f>Source!AC226*IF(Source!BC226&lt;&gt; 0, Source!BC226, 1)</f>
        <v>139.63</v>
      </c>
      <c r="O302">
        <f>ROUND(N302*I302, 2)</f>
        <v>4470.3900000000003</v>
      </c>
      <c r="P302">
        <f>Source!AE226</f>
        <v>0</v>
      </c>
      <c r="R302">
        <f>ROUND(P302*I302, 2)</f>
        <v>0</v>
      </c>
      <c r="S302">
        <f>Source!AE226*IF(Source!BS226&lt;&gt; 0, Source!BS226, 1)</f>
        <v>0</v>
      </c>
      <c r="T302">
        <f>ROUND(S302*I302, 2)</f>
        <v>0</v>
      </c>
      <c r="U302">
        <f>Source!GF226</f>
        <v>992648480</v>
      </c>
      <c r="V302">
        <v>1177234434</v>
      </c>
      <c r="W302">
        <v>624224960</v>
      </c>
    </row>
    <row r="303" spans="1:23" x14ac:dyDescent="0.2">
      <c r="A303">
        <f>Source!A227</f>
        <v>17</v>
      </c>
      <c r="C303">
        <v>2</v>
      </c>
      <c r="D303">
        <v>0</v>
      </c>
      <c r="E303">
        <f>SmtRes!AV284</f>
        <v>0</v>
      </c>
      <c r="F303" t="str">
        <f>SmtRes!I284</f>
        <v>91.06.05-011</v>
      </c>
      <c r="G303" t="str">
        <f>SmtRes!K284</f>
        <v>Погрузчик, грузоподъемность 5 т</v>
      </c>
      <c r="H303" t="str">
        <f>SmtRes!O284</f>
        <v>маш.-ч</v>
      </c>
      <c r="I303">
        <f>SmtRes!Y284*Source!I227</f>
        <v>0.79350000000000009</v>
      </c>
      <c r="J303">
        <f>SmtRes!AO284</f>
        <v>1</v>
      </c>
      <c r="K303">
        <f>SmtRes!AF284</f>
        <v>89.99</v>
      </c>
      <c r="L303">
        <f>SmtRes!DB284</f>
        <v>38.8125</v>
      </c>
      <c r="M303">
        <f>ROUND(ROUND(L303*Source!I227, 6)*1, 2)</f>
        <v>71.42</v>
      </c>
      <c r="N303">
        <f>SmtRes!AB284</f>
        <v>89.99</v>
      </c>
      <c r="O303">
        <f>ROUND(ROUND(L303*Source!I227, 6)*SmtRes!DA284, 2)</f>
        <v>71.42</v>
      </c>
      <c r="P303">
        <f>SmtRes!AG284</f>
        <v>10.06</v>
      </c>
      <c r="Q303">
        <f>SmtRes!DC284</f>
        <v>4.3556249999999999</v>
      </c>
      <c r="R303">
        <f>ROUND(ROUND(Q303*Source!I227, 6)*1, 2)</f>
        <v>8.01</v>
      </c>
      <c r="S303">
        <f>SmtRes!AC284</f>
        <v>10.06</v>
      </c>
      <c r="T303">
        <f>ROUND(ROUND(Q303*Source!I227, 6)*SmtRes!AK284, 2)</f>
        <v>8.01</v>
      </c>
      <c r="U303">
        <f>SmtRes!X284</f>
        <v>-665367104</v>
      </c>
      <c r="V303">
        <v>-1911453925</v>
      </c>
      <c r="W303">
        <v>1793503583</v>
      </c>
    </row>
    <row r="304" spans="1:23" x14ac:dyDescent="0.2">
      <c r="A304">
        <f>Source!A227</f>
        <v>17</v>
      </c>
      <c r="C304">
        <v>1</v>
      </c>
      <c r="D304">
        <v>0</v>
      </c>
      <c r="E304">
        <f>SmtRes!AV283</f>
        <v>2</v>
      </c>
      <c r="F304" t="str">
        <f>SmtRes!I283</f>
        <v>4-100-00</v>
      </c>
      <c r="G304" t="str">
        <f>SmtRes!K283</f>
        <v>Затраты труда машинистов</v>
      </c>
      <c r="H304" t="str">
        <f>SmtRes!O283</f>
        <v>чел.-ч.</v>
      </c>
      <c r="I304">
        <f>SmtRes!Y283*Source!I227</f>
        <v>0.18400000000000002</v>
      </c>
      <c r="J304">
        <f>SmtRes!AO283</f>
        <v>1</v>
      </c>
      <c r="K304">
        <f>SmtRes!AH283</f>
        <v>0</v>
      </c>
      <c r="L304">
        <f>SmtRes!DB283</f>
        <v>0</v>
      </c>
      <c r="M304">
        <f>ROUND(ROUND(L304*Source!I227, 6)*1, 2)</f>
        <v>0</v>
      </c>
      <c r="N304">
        <f>SmtRes!AD283</f>
        <v>0</v>
      </c>
      <c r="O304">
        <f>ROUND(ROUND(L304*Source!I227, 6)*SmtRes!DA283, 2)</f>
        <v>0</v>
      </c>
      <c r="P304">
        <f>SmtRes!AG283</f>
        <v>0</v>
      </c>
      <c r="Q304">
        <f>SmtRes!DC283</f>
        <v>0</v>
      </c>
      <c r="R304">
        <f>ROUND(ROUND(Q304*Source!I227, 6)*1, 2)</f>
        <v>0</v>
      </c>
      <c r="S304">
        <f>SmtRes!AC283</f>
        <v>0</v>
      </c>
      <c r="T304">
        <f>ROUND(ROUND(Q304*Source!I227, 6)*SmtRes!AK283, 2)</f>
        <v>0</v>
      </c>
      <c r="U304">
        <f>SmtRes!X283</f>
        <v>-1417349443</v>
      </c>
      <c r="V304">
        <v>-189065469</v>
      </c>
      <c r="W304">
        <v>1122477533</v>
      </c>
    </row>
    <row r="305" spans="1:23" x14ac:dyDescent="0.2">
      <c r="A305">
        <f>Source!A227</f>
        <v>17</v>
      </c>
      <c r="C305">
        <v>1</v>
      </c>
      <c r="D305">
        <v>0</v>
      </c>
      <c r="E305">
        <f>SmtRes!AV282</f>
        <v>1</v>
      </c>
      <c r="F305" t="str">
        <f>SmtRes!I282</f>
        <v>1-100-29</v>
      </c>
      <c r="G305" t="str">
        <f>SmtRes!K282</f>
        <v>Рабочий среднего разряда 2.9</v>
      </c>
      <c r="H305" t="str">
        <f>SmtRes!O282</f>
        <v>чел.-ч.</v>
      </c>
      <c r="I305">
        <f>SmtRes!Y282*Source!I227</f>
        <v>3.9421079999999997</v>
      </c>
      <c r="J305">
        <f>SmtRes!AO282</f>
        <v>1</v>
      </c>
      <c r="K305">
        <f>SmtRes!AH282</f>
        <v>8.4600000000000009</v>
      </c>
      <c r="L305">
        <f>SmtRes!DB282</f>
        <v>18.131474999999998</v>
      </c>
      <c r="M305">
        <f>ROUND(ROUND(L305*Source!I227, 6)*1, 2)</f>
        <v>33.36</v>
      </c>
      <c r="N305">
        <f>SmtRes!AD282</f>
        <v>8.4600000000000009</v>
      </c>
      <c r="O305">
        <f>ROUND(ROUND(L305*Source!I227, 6)*SmtRes!DA282, 2)</f>
        <v>33.36</v>
      </c>
      <c r="P305">
        <f>SmtRes!AG282</f>
        <v>0</v>
      </c>
      <c r="Q305">
        <f>SmtRes!DC282</f>
        <v>0</v>
      </c>
      <c r="R305">
        <f>ROUND(ROUND(Q305*Source!I227, 6)*1, 2)</f>
        <v>0</v>
      </c>
      <c r="S305">
        <f>SmtRes!AC282</f>
        <v>0</v>
      </c>
      <c r="T305">
        <f>ROUND(ROUND(Q305*Source!I227, 6)*SmtRes!AK282, 2)</f>
        <v>0</v>
      </c>
      <c r="U305">
        <f>SmtRes!X282</f>
        <v>-608433632</v>
      </c>
      <c r="V305">
        <v>-1772746697</v>
      </c>
      <c r="W305">
        <v>-1128529270</v>
      </c>
    </row>
    <row r="306" spans="1:23" x14ac:dyDescent="0.2">
      <c r="A306">
        <f>Source!A228</f>
        <v>18</v>
      </c>
      <c r="C306">
        <v>3</v>
      </c>
      <c r="D306">
        <f>Source!BI228</f>
        <v>1</v>
      </c>
      <c r="E306">
        <f>Source!FS228</f>
        <v>0</v>
      </c>
      <c r="F306" t="str">
        <f>Source!F228</f>
        <v>02.2.05.04-0046</v>
      </c>
      <c r="G306" t="str">
        <f>Source!G228</f>
        <v>Щебень из гравия для строительных работ марка 600, фракция 10-20 мм</v>
      </c>
      <c r="H306" t="str">
        <f>Source!H228</f>
        <v>м3</v>
      </c>
      <c r="I306">
        <f>Source!I228</f>
        <v>24.84</v>
      </c>
      <c r="J306">
        <v>1</v>
      </c>
      <c r="K306">
        <f>Source!AC228</f>
        <v>139.63</v>
      </c>
      <c r="M306">
        <f>ROUND(K306*I306, 2)</f>
        <v>3468.41</v>
      </c>
      <c r="N306">
        <f>Source!AC228*IF(Source!BC228&lt;&gt; 0, Source!BC228, 1)</f>
        <v>139.63</v>
      </c>
      <c r="O306">
        <f>ROUND(N306*I306, 2)</f>
        <v>3468.41</v>
      </c>
      <c r="P306">
        <f>Source!AE228</f>
        <v>0</v>
      </c>
      <c r="R306">
        <f>ROUND(P306*I306, 2)</f>
        <v>0</v>
      </c>
      <c r="S306">
        <f>Source!AE228*IF(Source!BS228&lt;&gt; 0, Source!BS228, 1)</f>
        <v>0</v>
      </c>
      <c r="T306">
        <f>ROUND(S306*I306, 2)</f>
        <v>0</v>
      </c>
      <c r="U306">
        <f>Source!GF228</f>
        <v>992648480</v>
      </c>
      <c r="V306">
        <v>1177234434</v>
      </c>
      <c r="W306">
        <v>624224960</v>
      </c>
    </row>
    <row r="307" spans="1:23" x14ac:dyDescent="0.2">
      <c r="A307">
        <f>Source!A229</f>
        <v>17</v>
      </c>
      <c r="C307">
        <v>3</v>
      </c>
      <c r="D307">
        <v>0</v>
      </c>
      <c r="E307">
        <f>SmtRes!AV292</f>
        <v>0</v>
      </c>
      <c r="F307" t="str">
        <f>SmtRes!I292</f>
        <v>01.2.01.01-0019</v>
      </c>
      <c r="G307" t="str">
        <f>SmtRes!K292</f>
        <v>Битумы нефтяные дорожные марки БНД-60/90, БНД 90/130</v>
      </c>
      <c r="H307" t="str">
        <f>SmtRes!O292</f>
        <v>т</v>
      </c>
      <c r="I307">
        <f>SmtRes!Y292*Source!I229</f>
        <v>0.1104</v>
      </c>
      <c r="J307">
        <f>SmtRes!AO292</f>
        <v>1</v>
      </c>
      <c r="K307">
        <f>SmtRes!AE292</f>
        <v>1690</v>
      </c>
      <c r="L307">
        <f>SmtRes!DB292</f>
        <v>101.4</v>
      </c>
      <c r="M307">
        <f>ROUND(ROUND(L307*Source!I229, 6)*1, 2)</f>
        <v>186.58</v>
      </c>
      <c r="N307">
        <f>SmtRes!AA292</f>
        <v>1690</v>
      </c>
      <c r="O307">
        <f>ROUND(ROUND(L307*Source!I229, 6)*SmtRes!DA292, 2)</f>
        <v>186.58</v>
      </c>
      <c r="P307">
        <f>SmtRes!AG292</f>
        <v>0</v>
      </c>
      <c r="Q307">
        <f>SmtRes!DC292</f>
        <v>0</v>
      </c>
      <c r="R307">
        <f>ROUND(ROUND(Q307*Source!I229, 6)*1, 2)</f>
        <v>0</v>
      </c>
      <c r="S307">
        <f>SmtRes!AC292</f>
        <v>0</v>
      </c>
      <c r="T307">
        <f>ROUND(ROUND(Q307*Source!I229, 6)*SmtRes!AK292, 2)</f>
        <v>0</v>
      </c>
      <c r="U307">
        <f>SmtRes!X292</f>
        <v>-940730847</v>
      </c>
      <c r="V307">
        <v>1923269726</v>
      </c>
      <c r="W307">
        <v>-60448066</v>
      </c>
    </row>
    <row r="308" spans="1:23" x14ac:dyDescent="0.2">
      <c r="A308">
        <f>Source!A229</f>
        <v>17</v>
      </c>
      <c r="C308">
        <v>2</v>
      </c>
      <c r="D308">
        <v>0</v>
      </c>
      <c r="E308">
        <f>SmtRes!AV291</f>
        <v>0</v>
      </c>
      <c r="F308" t="str">
        <f>SmtRes!I291</f>
        <v>91.14.02-001</v>
      </c>
      <c r="G308" t="str">
        <f>SmtRes!K291</f>
        <v>Автомобили бортовые, грузоподъемность до 5 т</v>
      </c>
      <c r="H308" t="str">
        <f>SmtRes!O291</f>
        <v>маш.-ч</v>
      </c>
      <c r="I308">
        <f>SmtRes!Y291*Source!I229</f>
        <v>5.2899999999999996E-2</v>
      </c>
      <c r="J308">
        <f>SmtRes!AO291</f>
        <v>1</v>
      </c>
      <c r="K308">
        <f>SmtRes!AF291</f>
        <v>65.709999999999994</v>
      </c>
      <c r="L308">
        <f>SmtRes!DB291</f>
        <v>1.8831249999999999</v>
      </c>
      <c r="M308">
        <f>ROUND(ROUND(L308*Source!I229, 6)*1, 2)</f>
        <v>3.46</v>
      </c>
      <c r="N308">
        <f>SmtRes!AB291</f>
        <v>65.709999999999994</v>
      </c>
      <c r="O308">
        <f>ROUND(ROUND(L308*Source!I229, 6)*SmtRes!DA291, 2)</f>
        <v>3.46</v>
      </c>
      <c r="P308">
        <f>SmtRes!AG291</f>
        <v>11.6</v>
      </c>
      <c r="Q308">
        <f>SmtRes!DC291</f>
        <v>0.330625</v>
      </c>
      <c r="R308">
        <f>ROUND(ROUND(Q308*Source!I229, 6)*1, 2)</f>
        <v>0.61</v>
      </c>
      <c r="S308">
        <f>SmtRes!AC291</f>
        <v>11.6</v>
      </c>
      <c r="T308">
        <f>ROUND(ROUND(Q308*Source!I229, 6)*SmtRes!AK291, 2)</f>
        <v>0.61</v>
      </c>
      <c r="U308">
        <f>SmtRes!X291</f>
        <v>1372534845</v>
      </c>
      <c r="V308">
        <v>-238339799</v>
      </c>
      <c r="W308">
        <v>1792116812</v>
      </c>
    </row>
    <row r="309" spans="1:23" x14ac:dyDescent="0.2">
      <c r="A309">
        <f>Source!A229</f>
        <v>17</v>
      </c>
      <c r="C309">
        <v>2</v>
      </c>
      <c r="D309">
        <v>0</v>
      </c>
      <c r="E309">
        <f>SmtRes!AV290</f>
        <v>0</v>
      </c>
      <c r="F309" t="str">
        <f>SmtRes!I290</f>
        <v>91.08.09-001</v>
      </c>
      <c r="G309" t="str">
        <f>SmtRes!K290</f>
        <v>Виброплита с двигателем внутреннего сгорания</v>
      </c>
      <c r="H309" t="str">
        <f>SmtRes!O290</f>
        <v>маш.-ч</v>
      </c>
      <c r="I309">
        <f>SmtRes!Y290*Source!I229</f>
        <v>2.2482499999999996</v>
      </c>
      <c r="J309">
        <f>SmtRes!AO290</f>
        <v>1</v>
      </c>
      <c r="K309">
        <f>SmtRes!AF290</f>
        <v>60</v>
      </c>
      <c r="L309">
        <f>SmtRes!DB290</f>
        <v>73.3125</v>
      </c>
      <c r="M309">
        <f>ROUND(ROUND(L309*Source!I229, 6)*1, 2)</f>
        <v>134.9</v>
      </c>
      <c r="N309">
        <f>SmtRes!AB290</f>
        <v>60</v>
      </c>
      <c r="O309">
        <f>ROUND(ROUND(L309*Source!I229, 6)*SmtRes!DA290, 2)</f>
        <v>134.9</v>
      </c>
      <c r="P309">
        <f>SmtRes!AG290</f>
        <v>0</v>
      </c>
      <c r="Q309">
        <f>SmtRes!DC290</f>
        <v>0</v>
      </c>
      <c r="R309">
        <f>ROUND(ROUND(Q309*Source!I229, 6)*1, 2)</f>
        <v>0</v>
      </c>
      <c r="S309">
        <f>SmtRes!AC290</f>
        <v>0</v>
      </c>
      <c r="T309">
        <f>ROUND(ROUND(Q309*Source!I229, 6)*SmtRes!AK290, 2)</f>
        <v>0</v>
      </c>
      <c r="U309">
        <f>SmtRes!X290</f>
        <v>1144198402</v>
      </c>
      <c r="V309">
        <v>780363627</v>
      </c>
      <c r="W309">
        <v>-1153517521</v>
      </c>
    </row>
    <row r="310" spans="1:23" x14ac:dyDescent="0.2">
      <c r="A310">
        <f>Source!A229</f>
        <v>17</v>
      </c>
      <c r="C310">
        <v>2</v>
      </c>
      <c r="D310">
        <v>0</v>
      </c>
      <c r="E310">
        <f>SmtRes!AV289</f>
        <v>0</v>
      </c>
      <c r="F310" t="str">
        <f>SmtRes!I289</f>
        <v>91.06.05-011</v>
      </c>
      <c r="G310" t="str">
        <f>SmtRes!K289</f>
        <v>Погрузчик, грузоподъемность 5 т</v>
      </c>
      <c r="H310" t="str">
        <f>SmtRes!O289</f>
        <v>маш.-ч</v>
      </c>
      <c r="I310">
        <f>SmtRes!Y289*Source!I229</f>
        <v>7.9350000000000004E-2</v>
      </c>
      <c r="J310">
        <f>SmtRes!AO289</f>
        <v>1</v>
      </c>
      <c r="K310">
        <f>SmtRes!AF289</f>
        <v>89.99</v>
      </c>
      <c r="L310">
        <f>SmtRes!DB289</f>
        <v>3.8812500000000001</v>
      </c>
      <c r="M310">
        <f>ROUND(ROUND(L310*Source!I229, 6)*1, 2)</f>
        <v>7.14</v>
      </c>
      <c r="N310">
        <f>SmtRes!AB289</f>
        <v>89.99</v>
      </c>
      <c r="O310">
        <f>ROUND(ROUND(L310*Source!I229, 6)*SmtRes!DA289, 2)</f>
        <v>7.14</v>
      </c>
      <c r="P310">
        <f>SmtRes!AG289</f>
        <v>10.06</v>
      </c>
      <c r="Q310">
        <f>SmtRes!DC289</f>
        <v>0.43125000000000002</v>
      </c>
      <c r="R310">
        <f>ROUND(ROUND(Q310*Source!I229, 6)*1, 2)</f>
        <v>0.79</v>
      </c>
      <c r="S310">
        <f>SmtRes!AC289</f>
        <v>10.06</v>
      </c>
      <c r="T310">
        <f>ROUND(ROUND(Q310*Source!I229, 6)*SmtRes!AK289, 2)</f>
        <v>0.79</v>
      </c>
      <c r="U310">
        <f>SmtRes!X289</f>
        <v>-665367104</v>
      </c>
      <c r="V310">
        <v>-1911453925</v>
      </c>
      <c r="W310">
        <v>1793503583</v>
      </c>
    </row>
    <row r="311" spans="1:23" x14ac:dyDescent="0.2">
      <c r="A311">
        <f>Source!A229</f>
        <v>17</v>
      </c>
      <c r="C311">
        <v>2</v>
      </c>
      <c r="D311">
        <v>0</v>
      </c>
      <c r="E311">
        <f>SmtRes!AV288</f>
        <v>0</v>
      </c>
      <c r="F311" t="str">
        <f>SmtRes!I288</f>
        <v>91.05.05-014</v>
      </c>
      <c r="G311" t="str">
        <f>SmtRes!K288</f>
        <v>Краны на автомобильном ходу, грузоподъемность 10 т</v>
      </c>
      <c r="H311" t="str">
        <f>SmtRes!O288</f>
        <v>маш.-ч</v>
      </c>
      <c r="I311">
        <f>SmtRes!Y288*Source!I229</f>
        <v>5.2899999999999996E-2</v>
      </c>
      <c r="J311">
        <f>SmtRes!AO288</f>
        <v>1</v>
      </c>
      <c r="K311">
        <f>SmtRes!AF288</f>
        <v>111.99</v>
      </c>
      <c r="L311">
        <f>SmtRes!DB288</f>
        <v>3.22</v>
      </c>
      <c r="M311">
        <f>ROUND(ROUND(L311*Source!I229, 6)*1, 2)</f>
        <v>5.92</v>
      </c>
      <c r="N311">
        <f>SmtRes!AB288</f>
        <v>111.99</v>
      </c>
      <c r="O311">
        <f>ROUND(ROUND(L311*Source!I229, 6)*SmtRes!DA288, 2)</f>
        <v>5.92</v>
      </c>
      <c r="P311">
        <f>SmtRes!AG288</f>
        <v>13.5</v>
      </c>
      <c r="Q311">
        <f>SmtRes!DC288</f>
        <v>0.388125</v>
      </c>
      <c r="R311">
        <f>ROUND(ROUND(Q311*Source!I229, 6)*1, 2)</f>
        <v>0.71</v>
      </c>
      <c r="S311">
        <f>SmtRes!AC288</f>
        <v>13.5</v>
      </c>
      <c r="T311">
        <f>ROUND(ROUND(Q311*Source!I229, 6)*SmtRes!AK288, 2)</f>
        <v>0.71</v>
      </c>
      <c r="U311">
        <f>SmtRes!X288</f>
        <v>-1718674368</v>
      </c>
      <c r="V311">
        <v>-816987455</v>
      </c>
      <c r="W311">
        <v>-2122234393</v>
      </c>
    </row>
    <row r="312" spans="1:23" x14ac:dyDescent="0.2">
      <c r="A312">
        <f>Source!A229</f>
        <v>17</v>
      </c>
      <c r="C312">
        <v>1</v>
      </c>
      <c r="D312">
        <v>0</v>
      </c>
      <c r="E312">
        <f>SmtRes!AV287</f>
        <v>2</v>
      </c>
      <c r="F312" t="str">
        <f>SmtRes!I287</f>
        <v>4-100-00</v>
      </c>
      <c r="G312" t="str">
        <f>SmtRes!K287</f>
        <v>Затраты труда машинистов</v>
      </c>
      <c r="H312" t="str">
        <f>SmtRes!O287</f>
        <v>чел.-ч.</v>
      </c>
      <c r="I312">
        <f>SmtRes!Y287*Source!I229</f>
        <v>0.12880000000000003</v>
      </c>
      <c r="J312">
        <f>SmtRes!AO287</f>
        <v>1</v>
      </c>
      <c r="K312">
        <f>SmtRes!AH287</f>
        <v>0</v>
      </c>
      <c r="L312">
        <f>SmtRes!DB287</f>
        <v>0</v>
      </c>
      <c r="M312">
        <f>ROUND(ROUND(L312*Source!I229, 6)*1, 2)</f>
        <v>0</v>
      </c>
      <c r="N312">
        <f>SmtRes!AD287</f>
        <v>0</v>
      </c>
      <c r="O312">
        <f>ROUND(ROUND(L312*Source!I229, 6)*SmtRes!DA287, 2)</f>
        <v>0</v>
      </c>
      <c r="P312">
        <f>SmtRes!AG287</f>
        <v>0</v>
      </c>
      <c r="Q312">
        <f>SmtRes!DC287</f>
        <v>0</v>
      </c>
      <c r="R312">
        <f>ROUND(ROUND(Q312*Source!I229, 6)*1, 2)</f>
        <v>0</v>
      </c>
      <c r="S312">
        <f>SmtRes!AC287</f>
        <v>0</v>
      </c>
      <c r="T312">
        <f>ROUND(ROUND(Q312*Source!I229, 6)*SmtRes!AK287, 2)</f>
        <v>0</v>
      </c>
      <c r="U312">
        <f>SmtRes!X287</f>
        <v>-1417349443</v>
      </c>
      <c r="V312">
        <v>-189065469</v>
      </c>
      <c r="W312">
        <v>1122477533</v>
      </c>
    </row>
    <row r="313" spans="1:23" x14ac:dyDescent="0.2">
      <c r="A313">
        <f>Source!A229</f>
        <v>17</v>
      </c>
      <c r="C313">
        <v>1</v>
      </c>
      <c r="D313">
        <v>0</v>
      </c>
      <c r="E313">
        <f>SmtRes!AV286</f>
        <v>1</v>
      </c>
      <c r="F313" t="str">
        <f>SmtRes!I286</f>
        <v>1-100-37</v>
      </c>
      <c r="G313" t="str">
        <f>SmtRes!K286</f>
        <v>Рабочий среднего разряда 3.7</v>
      </c>
      <c r="H313" t="str">
        <f>SmtRes!O286</f>
        <v>чел.-ч.</v>
      </c>
      <c r="I313">
        <f>SmtRes!Y286*Source!I229</f>
        <v>36.793007999999993</v>
      </c>
      <c r="J313">
        <f>SmtRes!AO286</f>
        <v>1</v>
      </c>
      <c r="K313">
        <f>SmtRes!AH286</f>
        <v>9.2899999999999991</v>
      </c>
      <c r="L313">
        <f>SmtRes!DB286</f>
        <v>185.75835000000001</v>
      </c>
      <c r="M313">
        <f>ROUND(ROUND(L313*Source!I229, 6)*1, 2)</f>
        <v>341.8</v>
      </c>
      <c r="N313">
        <f>SmtRes!AD286</f>
        <v>9.2899999999999991</v>
      </c>
      <c r="O313">
        <f>ROUND(ROUND(L313*Source!I229, 6)*SmtRes!DA286, 2)</f>
        <v>341.8</v>
      </c>
      <c r="P313">
        <f>SmtRes!AG286</f>
        <v>0</v>
      </c>
      <c r="Q313">
        <f>SmtRes!DC286</f>
        <v>0</v>
      </c>
      <c r="R313">
        <f>ROUND(ROUND(Q313*Source!I229, 6)*1, 2)</f>
        <v>0</v>
      </c>
      <c r="S313">
        <f>SmtRes!AC286</f>
        <v>0</v>
      </c>
      <c r="T313">
        <f>ROUND(ROUND(Q313*Source!I229, 6)*SmtRes!AK286, 2)</f>
        <v>0</v>
      </c>
      <c r="U313">
        <f>SmtRes!X286</f>
        <v>-598469600</v>
      </c>
      <c r="V313">
        <v>-1655254406</v>
      </c>
      <c r="W313">
        <v>756385297</v>
      </c>
    </row>
    <row r="314" spans="1:23" x14ac:dyDescent="0.2">
      <c r="A314">
        <f>Source!A230</f>
        <v>18</v>
      </c>
      <c r="C314">
        <v>3</v>
      </c>
      <c r="D314">
        <f>Source!BI230</f>
        <v>1</v>
      </c>
      <c r="E314">
        <f>Source!FS230</f>
        <v>0</v>
      </c>
      <c r="F314" t="str">
        <f>Source!F230</f>
        <v>02.3.01.02-0015</v>
      </c>
      <c r="G314" t="str">
        <f>Source!G230</f>
        <v>Песок природный для строительных работ средний</v>
      </c>
      <c r="H314" t="str">
        <f>Source!H230</f>
        <v>м3</v>
      </c>
      <c r="I314">
        <f>Source!I230</f>
        <v>0.92</v>
      </c>
      <c r="J314">
        <v>1</v>
      </c>
      <c r="K314">
        <f>Source!AC230</f>
        <v>55.26</v>
      </c>
      <c r="M314">
        <f>ROUND(K314*I314, 2)</f>
        <v>50.84</v>
      </c>
      <c r="N314">
        <f>Source!AC230*IF(Source!BC230&lt;&gt; 0, Source!BC230, 1)</f>
        <v>55.26</v>
      </c>
      <c r="O314">
        <f>ROUND(N314*I314, 2)</f>
        <v>50.84</v>
      </c>
      <c r="P314">
        <f>Source!AE230</f>
        <v>0</v>
      </c>
      <c r="R314">
        <f>ROUND(P314*I314, 2)</f>
        <v>0</v>
      </c>
      <c r="S314">
        <f>Source!AE230*IF(Source!BS230&lt;&gt; 0, Source!BS230, 1)</f>
        <v>0</v>
      </c>
      <c r="T314">
        <f>ROUND(S314*I314, 2)</f>
        <v>0</v>
      </c>
      <c r="U314">
        <f>Source!GF230</f>
        <v>-35545874</v>
      </c>
      <c r="V314">
        <v>1327291456</v>
      </c>
      <c r="W314">
        <v>1416435395</v>
      </c>
    </row>
    <row r="315" spans="1:23" x14ac:dyDescent="0.2">
      <c r="A315">
        <f>Source!A231</f>
        <v>18</v>
      </c>
      <c r="C315">
        <v>3</v>
      </c>
      <c r="D315">
        <f>Source!BI231</f>
        <v>1</v>
      </c>
      <c r="E315">
        <f>Source!FS231</f>
        <v>0</v>
      </c>
      <c r="F315" t="str">
        <f>Source!F231</f>
        <v>04.2.01.01-0031</v>
      </c>
      <c r="G315" t="str">
        <f>Source!G231</f>
        <v>Смеси асфальтобетонные дорожные, аэродромные и асфальтобетон (горячие для плотного асфальтобетона мелко и крупнозернистые, песчаные), марка I, тип А</v>
      </c>
      <c r="H315" t="str">
        <f>Source!H231</f>
        <v>т</v>
      </c>
      <c r="I315">
        <f>Source!I231</f>
        <v>13.137600000000001</v>
      </c>
      <c r="J315">
        <v>1</v>
      </c>
      <c r="K315">
        <f>Source!AC231</f>
        <v>535.5</v>
      </c>
      <c r="M315">
        <f>ROUND(K315*I315, 2)</f>
        <v>7035.18</v>
      </c>
      <c r="N315">
        <f>Source!AC231*IF(Source!BC231&lt;&gt; 0, Source!BC231, 1)</f>
        <v>535.5</v>
      </c>
      <c r="O315">
        <f>ROUND(N315*I315, 2)</f>
        <v>7035.18</v>
      </c>
      <c r="P315">
        <f>Source!AE231</f>
        <v>0</v>
      </c>
      <c r="R315">
        <f>ROUND(P315*I315, 2)</f>
        <v>0</v>
      </c>
      <c r="S315">
        <f>Source!AE231*IF(Source!BS231&lt;&gt; 0, Source!BS231, 1)</f>
        <v>0</v>
      </c>
      <c r="T315">
        <f>ROUND(S315*I315, 2)</f>
        <v>0</v>
      </c>
      <c r="U315">
        <f>Source!GF231</f>
        <v>1957326309</v>
      </c>
      <c r="V315">
        <v>-1117090964</v>
      </c>
      <c r="W315">
        <v>-1762041033</v>
      </c>
    </row>
    <row r="316" spans="1:23" x14ac:dyDescent="0.2">
      <c r="A316">
        <f>Source!A232</f>
        <v>17</v>
      </c>
      <c r="C316">
        <v>2</v>
      </c>
      <c r="D316">
        <v>0</v>
      </c>
      <c r="E316">
        <f>SmtRes!AV296</f>
        <v>0</v>
      </c>
      <c r="F316" t="str">
        <f>SmtRes!I296</f>
        <v>91.08.09-001</v>
      </c>
      <c r="G316" t="str">
        <f>SmtRes!K296</f>
        <v>Виброплита с двигателем внутреннего сгорания</v>
      </c>
      <c r="H316" t="str">
        <f>SmtRes!O296</f>
        <v>маш.-ч</v>
      </c>
      <c r="I316">
        <f>SmtRes!Y296*Source!I232</f>
        <v>0.37030000000000002</v>
      </c>
      <c r="J316">
        <f>SmtRes!AO296</f>
        <v>1</v>
      </c>
      <c r="K316">
        <f>SmtRes!AF296</f>
        <v>60</v>
      </c>
      <c r="L316">
        <f>SmtRes!DB296</f>
        <v>12.074999999999999</v>
      </c>
      <c r="M316">
        <f>ROUND(ROUND(L316*Source!I232, 6)*1, 2)</f>
        <v>22.22</v>
      </c>
      <c r="N316">
        <f>SmtRes!AB296</f>
        <v>60</v>
      </c>
      <c r="O316">
        <f>ROUND(ROUND(L316*Source!I232, 6)*SmtRes!DA296, 2)</f>
        <v>22.22</v>
      </c>
      <c r="P316">
        <f>SmtRes!AG296</f>
        <v>0</v>
      </c>
      <c r="Q316">
        <f>SmtRes!DC296</f>
        <v>0</v>
      </c>
      <c r="R316">
        <f>ROUND(ROUND(Q316*Source!I232, 6)*1, 2)</f>
        <v>0</v>
      </c>
      <c r="S316">
        <f>SmtRes!AC296</f>
        <v>0</v>
      </c>
      <c r="T316">
        <f>ROUND(ROUND(Q316*Source!I232, 6)*SmtRes!AK296, 2)</f>
        <v>0</v>
      </c>
      <c r="U316">
        <f>SmtRes!X296</f>
        <v>1144198402</v>
      </c>
      <c r="V316">
        <v>780363627</v>
      </c>
      <c r="W316">
        <v>-1153517521</v>
      </c>
    </row>
    <row r="317" spans="1:23" x14ac:dyDescent="0.2">
      <c r="A317">
        <f>Source!A232</f>
        <v>17</v>
      </c>
      <c r="C317">
        <v>1</v>
      </c>
      <c r="D317">
        <v>0</v>
      </c>
      <c r="E317">
        <f>SmtRes!AV295</f>
        <v>1</v>
      </c>
      <c r="F317" t="str">
        <f>SmtRes!I295</f>
        <v>1-100-37</v>
      </c>
      <c r="G317" t="str">
        <f>SmtRes!K295</f>
        <v>Рабочий среднего разряда 3.7</v>
      </c>
      <c r="H317" t="str">
        <f>SmtRes!O295</f>
        <v>чел.-ч.</v>
      </c>
      <c r="I317">
        <f>SmtRes!Y295*Source!I232</f>
        <v>5.6454879999999994</v>
      </c>
      <c r="J317">
        <f>SmtRes!AO295</f>
        <v>1</v>
      </c>
      <c r="K317">
        <f>SmtRes!AH295</f>
        <v>9.2899999999999991</v>
      </c>
      <c r="L317">
        <f>SmtRes!DB295</f>
        <v>28.499874999999999</v>
      </c>
      <c r="M317">
        <f>ROUND(ROUND(L317*Source!I232, 6)*1, 2)</f>
        <v>52.44</v>
      </c>
      <c r="N317">
        <f>SmtRes!AD295</f>
        <v>9.2899999999999991</v>
      </c>
      <c r="O317">
        <f>ROUND(ROUND(L317*Source!I232, 6)*SmtRes!DA295, 2)</f>
        <v>52.44</v>
      </c>
      <c r="P317">
        <f>SmtRes!AG295</f>
        <v>0</v>
      </c>
      <c r="Q317">
        <f>SmtRes!DC295</f>
        <v>0</v>
      </c>
      <c r="R317">
        <f>ROUND(ROUND(Q317*Source!I232, 6)*1, 2)</f>
        <v>0</v>
      </c>
      <c r="S317">
        <f>SmtRes!AC295</f>
        <v>0</v>
      </c>
      <c r="T317">
        <f>ROUND(ROUND(Q317*Source!I232, 6)*SmtRes!AK295, 2)</f>
        <v>0</v>
      </c>
      <c r="U317">
        <f>SmtRes!X295</f>
        <v>-598469600</v>
      </c>
      <c r="V317">
        <v>-1655254406</v>
      </c>
      <c r="W317">
        <v>756385297</v>
      </c>
    </row>
    <row r="318" spans="1:23" x14ac:dyDescent="0.2">
      <c r="A318">
        <f>Source!A233</f>
        <v>18</v>
      </c>
      <c r="C318">
        <v>3</v>
      </c>
      <c r="D318">
        <f>Source!BI233</f>
        <v>1</v>
      </c>
      <c r="E318">
        <f>Source!FS233</f>
        <v>0</v>
      </c>
      <c r="F318" t="str">
        <f>Source!F233</f>
        <v>04.2.01.01-0031</v>
      </c>
      <c r="G318" t="str">
        <f>Source!G233</f>
        <v>Смеси асфальтобетонные дорожные, аэродромные и асфальтобетон (горячие для плотного асфальтобетона мелко и крупнозернистые, песчаные), марка I, тип А</v>
      </c>
      <c r="H318" t="str">
        <f>Source!H233</f>
        <v>т</v>
      </c>
      <c r="I318">
        <f>Source!I233</f>
        <v>2.2263999999999999</v>
      </c>
      <c r="J318">
        <v>1</v>
      </c>
      <c r="K318">
        <f>Source!AC233</f>
        <v>535.5</v>
      </c>
      <c r="M318">
        <f>ROUND(K318*I318, 2)</f>
        <v>1192.24</v>
      </c>
      <c r="N318">
        <f>Source!AC233*IF(Source!BC233&lt;&gt; 0, Source!BC233, 1)</f>
        <v>535.5</v>
      </c>
      <c r="O318">
        <f>ROUND(N318*I318, 2)</f>
        <v>1192.24</v>
      </c>
      <c r="P318">
        <f>Source!AE233</f>
        <v>0</v>
      </c>
      <c r="R318">
        <f>ROUND(P318*I318, 2)</f>
        <v>0</v>
      </c>
      <c r="S318">
        <f>Source!AE233*IF(Source!BS233&lt;&gt; 0, Source!BS233, 1)</f>
        <v>0</v>
      </c>
      <c r="T318">
        <f>ROUND(S318*I318, 2)</f>
        <v>0</v>
      </c>
      <c r="U318">
        <f>Source!GF233</f>
        <v>1957326309</v>
      </c>
      <c r="V318">
        <v>-1117090964</v>
      </c>
      <c r="W318">
        <v>-1762041033</v>
      </c>
    </row>
    <row r="319" spans="1:23" x14ac:dyDescent="0.2">
      <c r="A319">
        <f>Source!A264</f>
        <v>5</v>
      </c>
      <c r="B319">
        <v>264</v>
      </c>
      <c r="G319" t="str">
        <f>Source!G264</f>
        <v>Газоны</v>
      </c>
    </row>
    <row r="320" spans="1:23" x14ac:dyDescent="0.2">
      <c r="A320">
        <f>Source!A268</f>
        <v>17</v>
      </c>
      <c r="C320">
        <v>3</v>
      </c>
      <c r="D320">
        <v>0</v>
      </c>
      <c r="E320">
        <f>SmtRes!AV301</f>
        <v>0</v>
      </c>
      <c r="F320" t="str">
        <f>SmtRes!I301</f>
        <v>01.7.03.01-0001</v>
      </c>
      <c r="G320" t="str">
        <f>SmtRes!K301</f>
        <v>Вода</v>
      </c>
      <c r="H320" t="str">
        <f>SmtRes!O301</f>
        <v>м3</v>
      </c>
      <c r="I320">
        <f>SmtRes!Y301*Source!I268</f>
        <v>37.200000000000003</v>
      </c>
      <c r="J320">
        <f>SmtRes!AO301</f>
        <v>1</v>
      </c>
      <c r="K320">
        <f>SmtRes!AE301</f>
        <v>2.44</v>
      </c>
      <c r="L320">
        <f>SmtRes!DB301</f>
        <v>24.4</v>
      </c>
      <c r="M320">
        <f>ROUND(ROUND(L320*Source!I268, 6)*1, 2)</f>
        <v>90.77</v>
      </c>
      <c r="N320">
        <f>SmtRes!AA301</f>
        <v>2.44</v>
      </c>
      <c r="O320">
        <f>ROUND(ROUND(L320*Source!I268, 6)*SmtRes!DA301, 2)</f>
        <v>90.77</v>
      </c>
      <c r="P320">
        <f>SmtRes!AG301</f>
        <v>0</v>
      </c>
      <c r="Q320">
        <f>SmtRes!DC301</f>
        <v>0</v>
      </c>
      <c r="R320">
        <f>ROUND(ROUND(Q320*Source!I268, 6)*1, 2)</f>
        <v>0</v>
      </c>
      <c r="S320">
        <f>SmtRes!AC301</f>
        <v>0</v>
      </c>
      <c r="T320">
        <f>ROUND(ROUND(Q320*Source!I268, 6)*SmtRes!AK301, 2)</f>
        <v>0</v>
      </c>
      <c r="U320">
        <f>SmtRes!X301</f>
        <v>-1660354250</v>
      </c>
      <c r="V320">
        <v>1600079109</v>
      </c>
      <c r="W320">
        <v>-1353927395</v>
      </c>
    </row>
    <row r="321" spans="1:23" x14ac:dyDescent="0.2">
      <c r="A321">
        <f>Source!A268</f>
        <v>17</v>
      </c>
      <c r="C321">
        <v>2</v>
      </c>
      <c r="D321">
        <v>0</v>
      </c>
      <c r="E321">
        <f>SmtRes!AV300</f>
        <v>0</v>
      </c>
      <c r="F321" t="str">
        <f>SmtRes!I300</f>
        <v>91.13.01-038</v>
      </c>
      <c r="G321" t="str">
        <f>SmtRes!K300</f>
        <v>Машины поливомоечные 6000 л</v>
      </c>
      <c r="H321" t="str">
        <f>SmtRes!O300</f>
        <v>маш.-ч</v>
      </c>
      <c r="I321">
        <f>SmtRes!Y300*Source!I268</f>
        <v>10.192800000000002</v>
      </c>
      <c r="J321">
        <f>SmtRes!AO300</f>
        <v>1</v>
      </c>
      <c r="K321">
        <f>SmtRes!AF300</f>
        <v>110</v>
      </c>
      <c r="L321">
        <f>SmtRes!DB300</f>
        <v>301.39999999999998</v>
      </c>
      <c r="M321">
        <f>ROUND(ROUND(L321*Source!I268, 6)*1, 2)</f>
        <v>1121.21</v>
      </c>
      <c r="N321">
        <f>SmtRes!AB300</f>
        <v>110</v>
      </c>
      <c r="O321">
        <f>ROUND(ROUND(L321*Source!I268, 6)*SmtRes!DA300, 2)</f>
        <v>1121.21</v>
      </c>
      <c r="P321">
        <f>SmtRes!AG300</f>
        <v>11.6</v>
      </c>
      <c r="Q321">
        <f>SmtRes!DC300</f>
        <v>31.78</v>
      </c>
      <c r="R321">
        <f>ROUND(ROUND(Q321*Source!I268, 6)*1, 2)</f>
        <v>118.22</v>
      </c>
      <c r="S321">
        <f>SmtRes!AC300</f>
        <v>11.6</v>
      </c>
      <c r="T321">
        <f>ROUND(ROUND(Q321*Source!I268, 6)*SmtRes!AK300, 2)</f>
        <v>118.22</v>
      </c>
      <c r="U321">
        <f>SmtRes!X300</f>
        <v>529073949</v>
      </c>
      <c r="V321">
        <v>1523196189</v>
      </c>
      <c r="W321">
        <v>-349103294</v>
      </c>
    </row>
    <row r="322" spans="1:23" x14ac:dyDescent="0.2">
      <c r="A322">
        <f>Source!A268</f>
        <v>17</v>
      </c>
      <c r="C322">
        <v>1</v>
      </c>
      <c r="D322">
        <v>0</v>
      </c>
      <c r="E322">
        <f>SmtRes!AV299</f>
        <v>2</v>
      </c>
      <c r="F322" t="str">
        <f>SmtRes!I299</f>
        <v>4-100-00</v>
      </c>
      <c r="G322" t="str">
        <f>SmtRes!K299</f>
        <v>Затраты труда машинистов</v>
      </c>
      <c r="H322" t="str">
        <f>SmtRes!O299</f>
        <v>чел.-ч.</v>
      </c>
      <c r="I322">
        <f>SmtRes!Y299*Source!I268</f>
        <v>10.192800000000002</v>
      </c>
      <c r="J322">
        <f>SmtRes!AO299</f>
        <v>1</v>
      </c>
      <c r="K322">
        <f>SmtRes!AH299</f>
        <v>0</v>
      </c>
      <c r="L322">
        <f>SmtRes!DB299</f>
        <v>0</v>
      </c>
      <c r="M322">
        <f>ROUND(ROUND(L322*Source!I268, 6)*1, 2)</f>
        <v>0</v>
      </c>
      <c r="N322">
        <f>SmtRes!AD299</f>
        <v>0</v>
      </c>
      <c r="O322">
        <f>ROUND(ROUND(L322*Source!I268, 6)*SmtRes!DA299, 2)</f>
        <v>0</v>
      </c>
      <c r="P322">
        <f>SmtRes!AG299</f>
        <v>0</v>
      </c>
      <c r="Q322">
        <f>SmtRes!DC299</f>
        <v>0</v>
      </c>
      <c r="R322">
        <f>ROUND(ROUND(Q322*Source!I268, 6)*1, 2)</f>
        <v>0</v>
      </c>
      <c r="S322">
        <f>SmtRes!AC299</f>
        <v>0</v>
      </c>
      <c r="T322">
        <f>ROUND(ROUND(Q322*Source!I268, 6)*SmtRes!AK299, 2)</f>
        <v>0</v>
      </c>
      <c r="U322">
        <f>SmtRes!X299</f>
        <v>-1417349443</v>
      </c>
      <c r="V322">
        <v>-189065469</v>
      </c>
      <c r="W322">
        <v>1122477533</v>
      </c>
    </row>
    <row r="323" spans="1:23" x14ac:dyDescent="0.2">
      <c r="A323">
        <f>Source!A268</f>
        <v>17</v>
      </c>
      <c r="C323">
        <v>1</v>
      </c>
      <c r="D323">
        <v>0</v>
      </c>
      <c r="E323">
        <f>SmtRes!AV298</f>
        <v>1</v>
      </c>
      <c r="F323" t="str">
        <f>SmtRes!I298</f>
        <v>1-100-29</v>
      </c>
      <c r="G323" t="str">
        <f>SmtRes!K298</f>
        <v>Рабочий среднего разряда 2.9</v>
      </c>
      <c r="H323" t="str">
        <f>SmtRes!O298</f>
        <v>чел.-ч.</v>
      </c>
      <c r="I323">
        <f>SmtRes!Y298*Source!I268</f>
        <v>22.282800000000002</v>
      </c>
      <c r="J323">
        <f>SmtRes!AO298</f>
        <v>1</v>
      </c>
      <c r="K323">
        <f>SmtRes!AH298</f>
        <v>8.4600000000000009</v>
      </c>
      <c r="L323">
        <f>SmtRes!DB298</f>
        <v>50.68</v>
      </c>
      <c r="M323">
        <f>ROUND(ROUND(L323*Source!I268, 6)*1, 2)</f>
        <v>188.53</v>
      </c>
      <c r="N323">
        <f>SmtRes!AD298</f>
        <v>8.4600000000000009</v>
      </c>
      <c r="O323">
        <f>ROUND(ROUND(L323*Source!I268, 6)*SmtRes!DA298, 2)</f>
        <v>188.53</v>
      </c>
      <c r="P323">
        <f>SmtRes!AG298</f>
        <v>0</v>
      </c>
      <c r="Q323">
        <f>SmtRes!DC298</f>
        <v>0</v>
      </c>
      <c r="R323">
        <f>ROUND(ROUND(Q323*Source!I268, 6)*1, 2)</f>
        <v>0</v>
      </c>
      <c r="S323">
        <f>SmtRes!AC298</f>
        <v>0</v>
      </c>
      <c r="T323">
        <f>ROUND(ROUND(Q323*Source!I268, 6)*SmtRes!AK298, 2)</f>
        <v>0</v>
      </c>
      <c r="U323">
        <f>SmtRes!X298</f>
        <v>-608433632</v>
      </c>
      <c r="V323">
        <v>-1772746697</v>
      </c>
      <c r="W323">
        <v>-1128529270</v>
      </c>
    </row>
    <row r="324" spans="1:23" x14ac:dyDescent="0.2">
      <c r="A324">
        <f>Source!A269</f>
        <v>18</v>
      </c>
      <c r="C324">
        <v>3</v>
      </c>
      <c r="D324">
        <f>Source!BI269</f>
        <v>1</v>
      </c>
      <c r="E324">
        <f>Source!FS269</f>
        <v>0</v>
      </c>
      <c r="F324" t="str">
        <f>Source!F269</f>
        <v>16.2.02.07-0161</v>
      </c>
      <c r="G324" t="str">
        <f>Source!G269</f>
        <v>Семена газонных трав (смесь)</v>
      </c>
      <c r="H324" t="str">
        <f>Source!H269</f>
        <v>кг</v>
      </c>
      <c r="I324">
        <f>Source!I269</f>
        <v>7.44</v>
      </c>
      <c r="J324">
        <v>1</v>
      </c>
      <c r="K324">
        <f>Source!AC269</f>
        <v>146.25</v>
      </c>
      <c r="M324">
        <f>ROUND(K324*I324, 2)</f>
        <v>1088.0999999999999</v>
      </c>
      <c r="N324">
        <f>Source!AC269*IF(Source!BC269&lt;&gt; 0, Source!BC269, 1)</f>
        <v>146.25</v>
      </c>
      <c r="O324">
        <f>ROUND(N324*I324, 2)</f>
        <v>1088.0999999999999</v>
      </c>
      <c r="P324">
        <f>Source!AE269</f>
        <v>0</v>
      </c>
      <c r="R324">
        <f>ROUND(P324*I324, 2)</f>
        <v>0</v>
      </c>
      <c r="S324">
        <f>Source!AE269*IF(Source!BS269&lt;&gt; 0, Source!BS269, 1)</f>
        <v>0</v>
      </c>
      <c r="T324">
        <f>ROUND(S324*I324, 2)</f>
        <v>0</v>
      </c>
      <c r="U324">
        <f>Source!GF269</f>
        <v>-1440369693</v>
      </c>
      <c r="V324">
        <v>-1008781805</v>
      </c>
      <c r="W324">
        <v>-846410420</v>
      </c>
    </row>
    <row r="325" spans="1:23" x14ac:dyDescent="0.2">
      <c r="A325">
        <f>Source!A270</f>
        <v>17</v>
      </c>
      <c r="C325">
        <v>3</v>
      </c>
      <c r="D325">
        <v>0</v>
      </c>
      <c r="E325">
        <f>SmtRes!AV306</f>
        <v>0</v>
      </c>
      <c r="F325" t="str">
        <f>SmtRes!I306</f>
        <v>01.7.03.01-0001</v>
      </c>
      <c r="G325" t="str">
        <f>SmtRes!K306</f>
        <v>Вода</v>
      </c>
      <c r="H325" t="str">
        <f>SmtRes!O306</f>
        <v>м3</v>
      </c>
      <c r="I325">
        <f>SmtRes!Y306*Source!I270</f>
        <v>37.200000000000003</v>
      </c>
      <c r="J325">
        <f>SmtRes!AO306</f>
        <v>1</v>
      </c>
      <c r="K325">
        <f>SmtRes!AE306</f>
        <v>2.44</v>
      </c>
      <c r="L325">
        <f>SmtRes!DB306</f>
        <v>24.4</v>
      </c>
      <c r="M325">
        <f>ROUND(ROUND(L325*Source!I270, 6)*1, 2)</f>
        <v>90.77</v>
      </c>
      <c r="N325">
        <f>SmtRes!AA306</f>
        <v>2.44</v>
      </c>
      <c r="O325">
        <f>ROUND(ROUND(L325*Source!I270, 6)*SmtRes!DA306, 2)</f>
        <v>90.77</v>
      </c>
      <c r="P325">
        <f>SmtRes!AG306</f>
        <v>0</v>
      </c>
      <c r="Q325">
        <f>SmtRes!DC306</f>
        <v>0</v>
      </c>
      <c r="R325">
        <f>ROUND(ROUND(Q325*Source!I270, 6)*1, 2)</f>
        <v>0</v>
      </c>
      <c r="S325">
        <f>SmtRes!AC306</f>
        <v>0</v>
      </c>
      <c r="T325">
        <f>ROUND(ROUND(Q325*Source!I270, 6)*SmtRes!AK306, 2)</f>
        <v>0</v>
      </c>
      <c r="U325">
        <f>SmtRes!X306</f>
        <v>-1660354250</v>
      </c>
      <c r="V325">
        <v>1600079109</v>
      </c>
      <c r="W325">
        <v>-1353927395</v>
      </c>
    </row>
    <row r="326" spans="1:23" x14ac:dyDescent="0.2">
      <c r="A326">
        <f>Source!A270</f>
        <v>17</v>
      </c>
      <c r="C326">
        <v>2</v>
      </c>
      <c r="D326">
        <v>0</v>
      </c>
      <c r="E326">
        <f>SmtRes!AV305</f>
        <v>0</v>
      </c>
      <c r="F326" t="str">
        <f>SmtRes!I305</f>
        <v>91.13.01-038</v>
      </c>
      <c r="G326" t="str">
        <f>SmtRes!K305</f>
        <v>Машины поливомоечные 6000 л</v>
      </c>
      <c r="H326" t="str">
        <f>SmtRes!O305</f>
        <v>маш.-ч</v>
      </c>
      <c r="I326">
        <f>SmtRes!Y305*Source!I270</f>
        <v>10.192800000000002</v>
      </c>
      <c r="J326">
        <f>SmtRes!AO305</f>
        <v>1</v>
      </c>
      <c r="K326">
        <f>SmtRes!AF305</f>
        <v>110</v>
      </c>
      <c r="L326">
        <f>SmtRes!DB305</f>
        <v>301.39999999999998</v>
      </c>
      <c r="M326">
        <f>ROUND(ROUND(L326*Source!I270, 6)*1, 2)</f>
        <v>1121.21</v>
      </c>
      <c r="N326">
        <f>SmtRes!AB305</f>
        <v>110</v>
      </c>
      <c r="O326">
        <f>ROUND(ROUND(L326*Source!I270, 6)*SmtRes!DA305, 2)</f>
        <v>1121.21</v>
      </c>
      <c r="P326">
        <f>SmtRes!AG305</f>
        <v>11.6</v>
      </c>
      <c r="Q326">
        <f>SmtRes!DC305</f>
        <v>31.78</v>
      </c>
      <c r="R326">
        <f>ROUND(ROUND(Q326*Source!I270, 6)*1, 2)</f>
        <v>118.22</v>
      </c>
      <c r="S326">
        <f>SmtRes!AC305</f>
        <v>11.6</v>
      </c>
      <c r="T326">
        <f>ROUND(ROUND(Q326*Source!I270, 6)*SmtRes!AK305, 2)</f>
        <v>118.22</v>
      </c>
      <c r="U326">
        <f>SmtRes!X305</f>
        <v>529073949</v>
      </c>
      <c r="V326">
        <v>1523196189</v>
      </c>
      <c r="W326">
        <v>-349103294</v>
      </c>
    </row>
    <row r="327" spans="1:23" x14ac:dyDescent="0.2">
      <c r="A327">
        <f>Source!A270</f>
        <v>17</v>
      </c>
      <c r="C327">
        <v>1</v>
      </c>
      <c r="D327">
        <v>0</v>
      </c>
      <c r="E327">
        <f>SmtRes!AV304</f>
        <v>2</v>
      </c>
      <c r="F327" t="str">
        <f>SmtRes!I304</f>
        <v>4-100-00</v>
      </c>
      <c r="G327" t="str">
        <f>SmtRes!K304</f>
        <v>Затраты труда машинистов</v>
      </c>
      <c r="H327" t="str">
        <f>SmtRes!O304</f>
        <v>чел.-ч.</v>
      </c>
      <c r="I327">
        <f>SmtRes!Y304*Source!I270</f>
        <v>10.192800000000002</v>
      </c>
      <c r="J327">
        <f>SmtRes!AO304</f>
        <v>1</v>
      </c>
      <c r="K327">
        <f>SmtRes!AH304</f>
        <v>0</v>
      </c>
      <c r="L327">
        <f>SmtRes!DB304</f>
        <v>0</v>
      </c>
      <c r="M327">
        <f>ROUND(ROUND(L327*Source!I270, 6)*1, 2)</f>
        <v>0</v>
      </c>
      <c r="N327">
        <f>SmtRes!AD304</f>
        <v>0</v>
      </c>
      <c r="O327">
        <f>ROUND(ROUND(L327*Source!I270, 6)*SmtRes!DA304, 2)</f>
        <v>0</v>
      </c>
      <c r="P327">
        <f>SmtRes!AG304</f>
        <v>0</v>
      </c>
      <c r="Q327">
        <f>SmtRes!DC304</f>
        <v>0</v>
      </c>
      <c r="R327">
        <f>ROUND(ROUND(Q327*Source!I270, 6)*1, 2)</f>
        <v>0</v>
      </c>
      <c r="S327">
        <f>SmtRes!AC304</f>
        <v>0</v>
      </c>
      <c r="T327">
        <f>ROUND(ROUND(Q327*Source!I270, 6)*SmtRes!AK304, 2)</f>
        <v>0</v>
      </c>
      <c r="U327">
        <f>SmtRes!X304</f>
        <v>-1417349443</v>
      </c>
      <c r="V327">
        <v>-189065469</v>
      </c>
      <c r="W327">
        <v>1122477533</v>
      </c>
    </row>
    <row r="328" spans="1:23" x14ac:dyDescent="0.2">
      <c r="A328">
        <f>Source!A270</f>
        <v>17</v>
      </c>
      <c r="C328">
        <v>1</v>
      </c>
      <c r="D328">
        <v>0</v>
      </c>
      <c r="E328">
        <f>SmtRes!AV303</f>
        <v>1</v>
      </c>
      <c r="F328" t="str">
        <f>SmtRes!I303</f>
        <v>1-100-25</v>
      </c>
      <c r="G328" t="str">
        <f>SmtRes!K303</f>
        <v>Рабочий среднего разряда 2.5</v>
      </c>
      <c r="H328" t="str">
        <f>SmtRes!O303</f>
        <v>чел.-ч.</v>
      </c>
      <c r="I328">
        <f>SmtRes!Y303*Source!I270</f>
        <v>143.66640000000001</v>
      </c>
      <c r="J328">
        <f>SmtRes!AO303</f>
        <v>1</v>
      </c>
      <c r="K328">
        <f>SmtRes!AH303</f>
        <v>8.17</v>
      </c>
      <c r="L328">
        <f>SmtRes!DB303</f>
        <v>315.52999999999997</v>
      </c>
      <c r="M328">
        <f>ROUND(ROUND(L328*Source!I270, 6)*1, 2)</f>
        <v>1173.77</v>
      </c>
      <c r="N328">
        <f>SmtRes!AD303</f>
        <v>8.17</v>
      </c>
      <c r="O328">
        <f>ROUND(ROUND(L328*Source!I270, 6)*SmtRes!DA303, 2)</f>
        <v>1173.77</v>
      </c>
      <c r="P328">
        <f>SmtRes!AG303</f>
        <v>0</v>
      </c>
      <c r="Q328">
        <f>SmtRes!DC303</f>
        <v>0</v>
      </c>
      <c r="R328">
        <f>ROUND(ROUND(Q328*Source!I270, 6)*1, 2)</f>
        <v>0</v>
      </c>
      <c r="S328">
        <f>SmtRes!AC303</f>
        <v>0</v>
      </c>
      <c r="T328">
        <f>ROUND(ROUND(Q328*Source!I270, 6)*SmtRes!AK303, 2)</f>
        <v>0</v>
      </c>
      <c r="U328">
        <f>SmtRes!X303</f>
        <v>-509590494</v>
      </c>
      <c r="V328">
        <v>403823990</v>
      </c>
      <c r="W328">
        <v>78448524</v>
      </c>
    </row>
    <row r="329" spans="1:23" x14ac:dyDescent="0.2">
      <c r="A329">
        <v>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90"/>
  <sheetViews>
    <sheetView workbookViewId="0"/>
  </sheetViews>
  <sheetFormatPr defaultRowHeight="12.75" x14ac:dyDescent="0.2"/>
  <cols>
    <col min="1" max="1" width="12.7109375" customWidth="1"/>
    <col min="2" max="2" width="40.7109375" customWidth="1"/>
    <col min="3" max="8" width="12.7109375" customWidth="1"/>
    <col min="15" max="15" width="127.7109375" hidden="1" customWidth="1"/>
    <col min="16" max="18" width="0" hidden="1" customWidth="1"/>
  </cols>
  <sheetData>
    <row r="2" spans="1:17" ht="16.5" x14ac:dyDescent="0.2">
      <c r="A2" s="93" t="s">
        <v>836</v>
      </c>
      <c r="B2" s="94"/>
      <c r="C2" s="94"/>
      <c r="D2" s="94"/>
      <c r="E2" s="94"/>
      <c r="F2" s="94"/>
      <c r="G2" s="94"/>
      <c r="H2" s="94"/>
    </row>
    <row r="3" spans="1:17" ht="33" x14ac:dyDescent="0.2">
      <c r="A3" s="93" t="str">
        <f>CONCATENATE("Объект: ",IF(Source!G359&lt;&gt;"Новый объект", Source!G359, ""))</f>
        <v>Объект: ФНС России в Амурской области, Амурская область,г. Благовещенск, ул. Пушкина, д. 104_(в базовых ценах)</v>
      </c>
      <c r="B3" s="94"/>
      <c r="C3" s="94"/>
      <c r="D3" s="94"/>
      <c r="E3" s="94"/>
      <c r="F3" s="94"/>
      <c r="G3" s="94"/>
      <c r="H3" s="94"/>
      <c r="O3" s="54" t="s">
        <v>837</v>
      </c>
    </row>
    <row r="4" spans="1:17" x14ac:dyDescent="0.2">
      <c r="A4" s="95" t="s">
        <v>838</v>
      </c>
      <c r="B4" s="95" t="s">
        <v>839</v>
      </c>
      <c r="C4" s="95" t="s">
        <v>840</v>
      </c>
      <c r="D4" s="95" t="s">
        <v>841</v>
      </c>
      <c r="E4" s="98" t="s">
        <v>842</v>
      </c>
      <c r="F4" s="99"/>
      <c r="G4" s="98" t="s">
        <v>845</v>
      </c>
      <c r="H4" s="99"/>
    </row>
    <row r="5" spans="1:17" x14ac:dyDescent="0.2">
      <c r="A5" s="96"/>
      <c r="B5" s="96"/>
      <c r="C5" s="96"/>
      <c r="D5" s="96"/>
      <c r="E5" s="100"/>
      <c r="F5" s="101"/>
      <c r="G5" s="100"/>
      <c r="H5" s="101"/>
    </row>
    <row r="6" spans="1:17" ht="14.25" x14ac:dyDescent="0.2">
      <c r="A6" s="97"/>
      <c r="B6" s="97"/>
      <c r="C6" s="97"/>
      <c r="D6" s="97"/>
      <c r="E6" s="17" t="s">
        <v>843</v>
      </c>
      <c r="F6" s="17" t="s">
        <v>844</v>
      </c>
      <c r="G6" s="17" t="s">
        <v>843</v>
      </c>
      <c r="H6" s="17" t="s">
        <v>844</v>
      </c>
    </row>
    <row r="7" spans="1:17" ht="14.25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17" ht="16.5" x14ac:dyDescent="0.2">
      <c r="A8" s="93" t="str">
        <f>CONCATENATE("Локальная смета: ",IF(Source!G22&lt;&gt;"Новая локальная смета", Source!G22, ""))</f>
        <v>Локальная смета: Локальная смета №1</v>
      </c>
      <c r="B8" s="94"/>
      <c r="C8" s="94"/>
      <c r="D8" s="94"/>
      <c r="E8" s="94"/>
      <c r="F8" s="94"/>
      <c r="G8" s="94"/>
      <c r="H8" s="94"/>
    </row>
    <row r="9" spans="1:17" ht="16.5" x14ac:dyDescent="0.2">
      <c r="A9" s="93" t="str">
        <f>CONCATENATE("Раздел: ",IF(Source!G26&lt;&gt;"Новый раздел", Source!G26, ""))</f>
        <v>Раздел: Металическое ограждение</v>
      </c>
      <c r="B9" s="94"/>
      <c r="C9" s="94"/>
      <c r="D9" s="94"/>
      <c r="E9" s="94"/>
      <c r="F9" s="94"/>
      <c r="G9" s="94"/>
      <c r="H9" s="94"/>
    </row>
    <row r="10" spans="1:17" ht="14.25" x14ac:dyDescent="0.2">
      <c r="A10" s="88" t="s">
        <v>846</v>
      </c>
      <c r="B10" s="89"/>
      <c r="C10" s="89"/>
      <c r="D10" s="89"/>
      <c r="E10" s="89"/>
      <c r="F10" s="89"/>
      <c r="G10" s="89"/>
      <c r="H10" s="89"/>
    </row>
    <row r="11" spans="1:17" ht="14.25" x14ac:dyDescent="0.2">
      <c r="A11" s="56" t="s">
        <v>652</v>
      </c>
      <c r="B11" s="57" t="s">
        <v>653</v>
      </c>
      <c r="C11" s="57" t="s">
        <v>487</v>
      </c>
      <c r="D11" s="58">
        <f>ROUND(SUMIF(RV_DATA!W8:'RV_DATA'!W122, 695831243, RV_DATA!I8:'RV_DATA'!I122), 6)</f>
        <v>22.497546</v>
      </c>
      <c r="E11" s="59">
        <f>ROUND(RV_DATA!K112, 6)</f>
        <v>7.5</v>
      </c>
      <c r="F11" s="59">
        <f>ROUND(SUMIF(RV_DATA!W8:'RV_DATA'!W122, 695831243, RV_DATA!M8:'RV_DATA'!M122), 6)</f>
        <v>168.73</v>
      </c>
      <c r="G11" s="59">
        <f>ROUND(RV_DATA!N112, 6)</f>
        <v>7.5</v>
      </c>
      <c r="H11" s="59">
        <f>ROUND(SUMIF(RV_DATA!W8:'RV_DATA'!W122, 695831243, RV_DATA!O8:'RV_DATA'!O122), 6)</f>
        <v>168.73</v>
      </c>
      <c r="Q11">
        <v>1</v>
      </c>
    </row>
    <row r="12" spans="1:17" ht="14.25" x14ac:dyDescent="0.2">
      <c r="A12" s="56" t="s">
        <v>496</v>
      </c>
      <c r="B12" s="57" t="s">
        <v>497</v>
      </c>
      <c r="C12" s="57" t="s">
        <v>487</v>
      </c>
      <c r="D12" s="58">
        <f>ROUND(SUMIF(RV_DATA!W8:'RV_DATA'!W122, -873429878, RV_DATA!I8:'RV_DATA'!I122), 6)</f>
        <v>71.962568000000005</v>
      </c>
      <c r="E12" s="59">
        <f>ROUND(RV_DATA!K14, 6)</f>
        <v>7.8</v>
      </c>
      <c r="F12" s="59">
        <f>ROUND(SUMIF(RV_DATA!W8:'RV_DATA'!W122, -873429878, RV_DATA!M8:'RV_DATA'!M122), 6)</f>
        <v>561.30999999999995</v>
      </c>
      <c r="G12" s="59">
        <f>ROUND(RV_DATA!N14, 6)</f>
        <v>7.8</v>
      </c>
      <c r="H12" s="59">
        <f>ROUND(SUMIF(RV_DATA!W8:'RV_DATA'!W122, -873429878, RV_DATA!O8:'RV_DATA'!O122), 6)</f>
        <v>561.30999999999995</v>
      </c>
      <c r="Q12">
        <v>1</v>
      </c>
    </row>
    <row r="13" spans="1:17" ht="14.25" x14ac:dyDescent="0.2">
      <c r="A13" s="56" t="s">
        <v>485</v>
      </c>
      <c r="B13" s="57" t="s">
        <v>486</v>
      </c>
      <c r="C13" s="57" t="s">
        <v>487</v>
      </c>
      <c r="D13" s="58">
        <f>ROUND(SUMIF(RV_DATA!W8:'RV_DATA'!W122, 78448524, RV_DATA!I8:'RV_DATA'!I122), 6)</f>
        <v>504.77708999999999</v>
      </c>
      <c r="E13" s="59">
        <f>ROUND(RV_DATA!K9, 6)</f>
        <v>8.17</v>
      </c>
      <c r="F13" s="59">
        <f>ROUND(SUMIF(RV_DATA!W8:'RV_DATA'!W122, 78448524, RV_DATA!M8:'RV_DATA'!M122), 6)</f>
        <v>4124.0200000000004</v>
      </c>
      <c r="G13" s="59">
        <f>ROUND(RV_DATA!N9, 6)</f>
        <v>8.17</v>
      </c>
      <c r="H13" s="59">
        <f>ROUND(SUMIF(RV_DATA!W8:'RV_DATA'!W122, 78448524, RV_DATA!O8:'RV_DATA'!O122), 6)</f>
        <v>4124.0200000000004</v>
      </c>
      <c r="Q13">
        <v>1</v>
      </c>
    </row>
    <row r="14" spans="1:17" ht="14.25" x14ac:dyDescent="0.2">
      <c r="A14" s="56" t="s">
        <v>498</v>
      </c>
      <c r="B14" s="57" t="s">
        <v>499</v>
      </c>
      <c r="C14" s="57" t="s">
        <v>487</v>
      </c>
      <c r="D14" s="58">
        <f>ROUND(SUMIF(RV_DATA!W8:'RV_DATA'!W122, -436776913, RV_DATA!I8:'RV_DATA'!I122), 6)</f>
        <v>1091.0277430000001</v>
      </c>
      <c r="E14" s="59">
        <f>ROUND(RV_DATA!K20, 6)</f>
        <v>8.5299999999999994</v>
      </c>
      <c r="F14" s="59">
        <f>ROUND(SUMIF(RV_DATA!W8:'RV_DATA'!W122, -436776913, RV_DATA!M8:'RV_DATA'!M122), 6)</f>
        <v>9306.5</v>
      </c>
      <c r="G14" s="59">
        <f>ROUND(RV_DATA!N20, 6)</f>
        <v>8.5299999999999994</v>
      </c>
      <c r="H14" s="59">
        <f>ROUND(SUMIF(RV_DATA!W8:'RV_DATA'!W122, -436776913, RV_DATA!O8:'RV_DATA'!O122), 6)</f>
        <v>9306.5</v>
      </c>
      <c r="Q14">
        <v>1</v>
      </c>
    </row>
    <row r="15" spans="1:17" ht="14.25" x14ac:dyDescent="0.2">
      <c r="A15" s="56" t="s">
        <v>488</v>
      </c>
      <c r="B15" s="57" t="s">
        <v>489</v>
      </c>
      <c r="C15" s="57" t="s">
        <v>487</v>
      </c>
      <c r="D15" s="58">
        <f>ROUND(SUMIF(RV_DATA!W8:'RV_DATA'!W122, 1629495586, RV_DATA!I8:'RV_DATA'!I122), 6)</f>
        <v>25.102214</v>
      </c>
      <c r="E15" s="59">
        <f>ROUND(RV_DATA!K13, 6)</f>
        <v>8.86</v>
      </c>
      <c r="F15" s="59">
        <f>ROUND(SUMIF(RV_DATA!W8:'RV_DATA'!W122, 1629495586, RV_DATA!M8:'RV_DATA'!M122), 6)</f>
        <v>222.4</v>
      </c>
      <c r="G15" s="59">
        <f>ROUND(RV_DATA!N13, 6)</f>
        <v>8.86</v>
      </c>
      <c r="H15" s="59">
        <f>ROUND(SUMIF(RV_DATA!W8:'RV_DATA'!W122, 1629495586, RV_DATA!O8:'RV_DATA'!O122), 6)</f>
        <v>222.4</v>
      </c>
      <c r="Q15">
        <v>1</v>
      </c>
    </row>
    <row r="16" spans="1:17" ht="14.25" x14ac:dyDescent="0.2">
      <c r="A16" s="56" t="s">
        <v>638</v>
      </c>
      <c r="B16" s="57" t="s">
        <v>639</v>
      </c>
      <c r="C16" s="57" t="s">
        <v>487</v>
      </c>
      <c r="D16" s="58">
        <f>ROUND(SUMIF(RV_DATA!W8:'RV_DATA'!W122, -1740715454, RV_DATA!I8:'RV_DATA'!I122), 6)</f>
        <v>82.438761999999997</v>
      </c>
      <c r="E16" s="59">
        <f>ROUND(RV_DATA!K102, 6)</f>
        <v>9.07</v>
      </c>
      <c r="F16" s="59">
        <f>ROUND(SUMIF(RV_DATA!W8:'RV_DATA'!W122, -1740715454, RV_DATA!M8:'RV_DATA'!M122), 6)</f>
        <v>747.76</v>
      </c>
      <c r="G16" s="59">
        <f>ROUND(RV_DATA!N102, 6)</f>
        <v>9.07</v>
      </c>
      <c r="H16" s="59">
        <f>ROUND(SUMIF(RV_DATA!W8:'RV_DATA'!W122, -1740715454, RV_DATA!O8:'RV_DATA'!O122), 6)</f>
        <v>747.76</v>
      </c>
      <c r="Q16">
        <v>1</v>
      </c>
    </row>
    <row r="17" spans="1:18" ht="14.25" x14ac:dyDescent="0.2">
      <c r="A17" s="56" t="s">
        <v>516</v>
      </c>
      <c r="B17" s="57" t="s">
        <v>517</v>
      </c>
      <c r="C17" s="57" t="s">
        <v>487</v>
      </c>
      <c r="D17" s="58">
        <f>ROUND(SUMIF(RV_DATA!W8:'RV_DATA'!W122, 596261848, RV_DATA!I8:'RV_DATA'!I122), 6)</f>
        <v>29.24841</v>
      </c>
      <c r="E17" s="59">
        <f>ROUND(RV_DATA!K34, 6)</f>
        <v>9.4</v>
      </c>
      <c r="F17" s="59">
        <f>ROUND(SUMIF(RV_DATA!W8:'RV_DATA'!W122, 596261848, RV_DATA!M8:'RV_DATA'!M122), 6)</f>
        <v>274.94</v>
      </c>
      <c r="G17" s="59">
        <f>ROUND(RV_DATA!N34, 6)</f>
        <v>9.4</v>
      </c>
      <c r="H17" s="59">
        <f>ROUND(SUMIF(RV_DATA!W8:'RV_DATA'!W122, 596261848, RV_DATA!O8:'RV_DATA'!O122), 6)</f>
        <v>274.94</v>
      </c>
      <c r="Q17">
        <v>1</v>
      </c>
    </row>
    <row r="18" spans="1:18" ht="14.25" x14ac:dyDescent="0.2">
      <c r="A18" s="56" t="s">
        <v>610</v>
      </c>
      <c r="B18" s="57" t="s">
        <v>611</v>
      </c>
      <c r="C18" s="57" t="s">
        <v>487</v>
      </c>
      <c r="D18" s="58">
        <f>ROUND(SUMIF(RV_DATA!W8:'RV_DATA'!W122, -785529712, RV_DATA!I8:'RV_DATA'!I122), 6)</f>
        <v>25.659144999999999</v>
      </c>
      <c r="E18" s="59">
        <f>ROUND(RV_DATA!K81, 6)</f>
        <v>9.76</v>
      </c>
      <c r="F18" s="59">
        <f>ROUND(SUMIF(RV_DATA!W8:'RV_DATA'!W122, -785529712, RV_DATA!M8:'RV_DATA'!M122), 6)</f>
        <v>250.43</v>
      </c>
      <c r="G18" s="59">
        <f>ROUND(RV_DATA!N81, 6)</f>
        <v>9.76</v>
      </c>
      <c r="H18" s="59">
        <f>ROUND(SUMIF(RV_DATA!W8:'RV_DATA'!W122, -785529712, RV_DATA!O8:'RV_DATA'!O122), 6)</f>
        <v>250.43</v>
      </c>
      <c r="Q18">
        <v>1</v>
      </c>
    </row>
    <row r="19" spans="1:18" ht="14.25" x14ac:dyDescent="0.2">
      <c r="A19" s="56" t="s">
        <v>624</v>
      </c>
      <c r="B19" s="57" t="s">
        <v>625</v>
      </c>
      <c r="C19" s="57" t="s">
        <v>487</v>
      </c>
      <c r="D19" s="58">
        <f>ROUND(SUMIF(RV_DATA!W8:'RV_DATA'!W122, 1143624164, RV_DATA!I8:'RV_DATA'!I122), 6)</f>
        <v>57.147497000000001</v>
      </c>
      <c r="E19" s="59">
        <f>ROUND(RV_DATA!K95, 6)</f>
        <v>10.65</v>
      </c>
      <c r="F19" s="59">
        <f>ROUND(SUMIF(RV_DATA!W8:'RV_DATA'!W122, 1143624164, RV_DATA!M8:'RV_DATA'!M122), 6)</f>
        <v>608.6</v>
      </c>
      <c r="G19" s="59">
        <f>ROUND(RV_DATA!N95, 6)</f>
        <v>10.65</v>
      </c>
      <c r="H19" s="59">
        <f>ROUND(SUMIF(RV_DATA!W8:'RV_DATA'!W122, 1143624164, RV_DATA!O8:'RV_DATA'!O122), 6)</f>
        <v>608.6</v>
      </c>
      <c r="Q19">
        <v>1</v>
      </c>
    </row>
    <row r="20" spans="1:18" ht="14.25" x14ac:dyDescent="0.2">
      <c r="A20" s="56" t="s">
        <v>500</v>
      </c>
      <c r="B20" s="57" t="s">
        <v>501</v>
      </c>
      <c r="C20" s="57" t="s">
        <v>487</v>
      </c>
      <c r="D20" s="58">
        <f>ROUND(SUMIF(RV_DATA!W8:'RV_DATA'!W122, 1122477533, RV_DATA!I8:'RV_DATA'!I122), 6)</f>
        <v>31.220715999999999</v>
      </c>
      <c r="E20" s="59">
        <f>ROUND(RV_DATA!K19, 6)</f>
        <v>0</v>
      </c>
      <c r="F20" s="59">
        <f>ROUND(SUMIF(RV_DATA!W8:'RV_DATA'!W122, 1122477533, RV_DATA!M8:'RV_DATA'!M122), 6)</f>
        <v>0</v>
      </c>
      <c r="G20" s="59">
        <f>ROUND(RV_DATA!N19, 6)</f>
        <v>0</v>
      </c>
      <c r="H20" s="59">
        <f>ROUND(SUMIF(RV_DATA!W8:'RV_DATA'!W122, 1122477533, RV_DATA!O8:'RV_DATA'!O122), 6)</f>
        <v>0</v>
      </c>
      <c r="Q20">
        <v>1</v>
      </c>
    </row>
    <row r="21" spans="1:18" ht="15" x14ac:dyDescent="0.25">
      <c r="A21" s="86" t="s">
        <v>847</v>
      </c>
      <c r="B21" s="86"/>
      <c r="C21" s="86"/>
      <c r="D21" s="86"/>
      <c r="E21" s="87">
        <f>SUMIF(Q11:Q20, 1, F11:F20)</f>
        <v>16264.690000000002</v>
      </c>
      <c r="F21" s="87"/>
      <c r="G21" s="87">
        <f>SUMIF(Q11:Q20, 1, H11:H20)</f>
        <v>16264.690000000002</v>
      </c>
      <c r="H21" s="86"/>
    </row>
    <row r="22" spans="1:18" ht="14.25" x14ac:dyDescent="0.2">
      <c r="A22" s="88" t="s">
        <v>848</v>
      </c>
      <c r="B22" s="89"/>
      <c r="C22" s="89"/>
      <c r="D22" s="89"/>
      <c r="E22" s="89"/>
      <c r="F22" s="89"/>
      <c r="G22" s="89"/>
      <c r="H22" s="89"/>
    </row>
    <row r="23" spans="1:18" ht="42.75" x14ac:dyDescent="0.2">
      <c r="A23" s="56" t="s">
        <v>612</v>
      </c>
      <c r="B23" s="57" t="s">
        <v>614</v>
      </c>
      <c r="C23" s="57" t="s">
        <v>505</v>
      </c>
      <c r="D23" s="58">
        <f>ROUND(SUMIF(RV_DATA!W8:'RV_DATA'!W122, -1852258160, RV_DATA!I8:'RV_DATA'!I122), 6)</f>
        <v>0.24379999999999999</v>
      </c>
      <c r="E23" s="59">
        <f>ROUND(RV_DATA!K79, 6)</f>
        <v>70.010000000000005</v>
      </c>
      <c r="F23" s="59">
        <f>ROUND(SUMIF(RV_DATA!W8:'RV_DATA'!W122, -1852258160, RV_DATA!M8:'RV_DATA'!M122), 6)</f>
        <v>17.07</v>
      </c>
      <c r="G23" s="59">
        <f>ROUND(RV_DATA!N79, 6)</f>
        <v>70.010000000000005</v>
      </c>
      <c r="H23" s="59">
        <f>ROUND(SUMIF(RV_DATA!W8:'RV_DATA'!W122, -1852258160, RV_DATA!O8:'RV_DATA'!O122), 6)</f>
        <v>17.07</v>
      </c>
      <c r="Q23">
        <v>2</v>
      </c>
    </row>
    <row r="24" spans="1:18" ht="14.25" x14ac:dyDescent="0.2">
      <c r="A24" s="56" t="s">
        <v>3</v>
      </c>
      <c r="B24" s="57" t="s">
        <v>849</v>
      </c>
      <c r="C24" s="57"/>
      <c r="D24" s="58"/>
      <c r="E24" s="59">
        <f>ROUND(RV_DATA!P79, 6)</f>
        <v>11.6</v>
      </c>
      <c r="F24" s="59">
        <f>ROUND(SUMIF(RV_DATA!W8:'RV_DATA'!W122, -1852258160, RV_DATA!R8:'RV_DATA'!R122), 6)</f>
        <v>2.83</v>
      </c>
      <c r="G24" s="59">
        <f>ROUND(RV_DATA!S79, 6)</f>
        <v>11.6</v>
      </c>
      <c r="H24" s="59">
        <f>ROUND(SUMIF(RV_DATA!W8:'RV_DATA'!W122, -1852258160, RV_DATA!T8:'RV_DATA'!T122), 6)</f>
        <v>2.83</v>
      </c>
      <c r="R24">
        <v>1</v>
      </c>
    </row>
    <row r="25" spans="1:18" ht="28.5" x14ac:dyDescent="0.2">
      <c r="A25" s="56" t="s">
        <v>502</v>
      </c>
      <c r="B25" s="57" t="s">
        <v>504</v>
      </c>
      <c r="C25" s="57" t="s">
        <v>505</v>
      </c>
      <c r="D25" s="58">
        <f>ROUND(SUMIF(RV_DATA!W8:'RV_DATA'!W122, -980454395, RV_DATA!I8:'RV_DATA'!I122), 6)</f>
        <v>16.689374999999998</v>
      </c>
      <c r="E25" s="59">
        <f>ROUND(RV_DATA!K18, 6)</f>
        <v>138.54</v>
      </c>
      <c r="F25" s="59">
        <f>ROUND(SUMIF(RV_DATA!W8:'RV_DATA'!W122, -980454395, RV_DATA!M8:'RV_DATA'!M122), 6)</f>
        <v>2312.15</v>
      </c>
      <c r="G25" s="59">
        <f>ROUND(RV_DATA!N18, 6)</f>
        <v>138.54</v>
      </c>
      <c r="H25" s="59">
        <f>ROUND(SUMIF(RV_DATA!W8:'RV_DATA'!W122, -980454395, RV_DATA!O8:'RV_DATA'!O122), 6)</f>
        <v>2312.15</v>
      </c>
      <c r="Q25">
        <v>2</v>
      </c>
    </row>
    <row r="26" spans="1:18" ht="14.25" x14ac:dyDescent="0.2">
      <c r="A26" s="56" t="s">
        <v>3</v>
      </c>
      <c r="B26" s="57" t="s">
        <v>849</v>
      </c>
      <c r="C26" s="57"/>
      <c r="D26" s="58"/>
      <c r="E26" s="59">
        <f>ROUND(RV_DATA!P18, 6)</f>
        <v>11.6</v>
      </c>
      <c r="F26" s="59">
        <f>ROUND(SUMIF(RV_DATA!W8:'RV_DATA'!W122, -980454395, RV_DATA!R8:'RV_DATA'!R122), 6)</f>
        <v>193.6</v>
      </c>
      <c r="G26" s="59">
        <f>ROUND(RV_DATA!S18, 6)</f>
        <v>11.6</v>
      </c>
      <c r="H26" s="59">
        <f>ROUND(SUMIF(RV_DATA!W8:'RV_DATA'!W122, -980454395, RV_DATA!T8:'RV_DATA'!T122), 6)</f>
        <v>193.6</v>
      </c>
      <c r="R26">
        <v>1</v>
      </c>
    </row>
    <row r="27" spans="1:18" ht="28.5" x14ac:dyDescent="0.2">
      <c r="A27" s="56" t="s">
        <v>643</v>
      </c>
      <c r="B27" s="57" t="s">
        <v>645</v>
      </c>
      <c r="C27" s="57" t="s">
        <v>505</v>
      </c>
      <c r="D27" s="58">
        <f>ROUND(SUMIF(RV_DATA!W8:'RV_DATA'!W122, 1433168984, RV_DATA!I8:'RV_DATA'!I122), 6)</f>
        <v>2.5908639999999998</v>
      </c>
      <c r="E27" s="59">
        <f>ROUND(RV_DATA!K109, 6)</f>
        <v>86.4</v>
      </c>
      <c r="F27" s="59">
        <f>ROUND(SUMIF(RV_DATA!W8:'RV_DATA'!W122, 1433168984, RV_DATA!M8:'RV_DATA'!M122), 6)</f>
        <v>223.85</v>
      </c>
      <c r="G27" s="59">
        <f>ROUND(RV_DATA!N109, 6)</f>
        <v>86.4</v>
      </c>
      <c r="H27" s="59">
        <f>ROUND(SUMIF(RV_DATA!W8:'RV_DATA'!W122, 1433168984, RV_DATA!O8:'RV_DATA'!O122), 6)</f>
        <v>223.85</v>
      </c>
      <c r="Q27">
        <v>2</v>
      </c>
    </row>
    <row r="28" spans="1:18" ht="14.25" x14ac:dyDescent="0.2">
      <c r="A28" s="56" t="s">
        <v>3</v>
      </c>
      <c r="B28" s="57" t="s">
        <v>849</v>
      </c>
      <c r="C28" s="57"/>
      <c r="D28" s="58"/>
      <c r="E28" s="59">
        <f>ROUND(RV_DATA!P109, 6)</f>
        <v>13.5</v>
      </c>
      <c r="F28" s="59">
        <f>ROUND(SUMIF(RV_DATA!W8:'RV_DATA'!W122, 1433168984, RV_DATA!R8:'RV_DATA'!R122), 6)</f>
        <v>34.979999999999997</v>
      </c>
      <c r="G28" s="59">
        <f>ROUND(RV_DATA!S109, 6)</f>
        <v>13.5</v>
      </c>
      <c r="H28" s="59">
        <f>ROUND(SUMIF(RV_DATA!W8:'RV_DATA'!W122, 1433168984, RV_DATA!T8:'RV_DATA'!T122), 6)</f>
        <v>34.979999999999997</v>
      </c>
      <c r="R28">
        <v>1</v>
      </c>
    </row>
    <row r="29" spans="1:18" ht="28.5" x14ac:dyDescent="0.2">
      <c r="A29" s="56" t="s">
        <v>621</v>
      </c>
      <c r="B29" s="57" t="s">
        <v>623</v>
      </c>
      <c r="C29" s="57" t="s">
        <v>505</v>
      </c>
      <c r="D29" s="58">
        <f>ROUND(SUMIF(RV_DATA!W8:'RV_DATA'!W122, -161917611, RV_DATA!I8:'RV_DATA'!I122), 6)</f>
        <v>2.3E-3</v>
      </c>
      <c r="E29" s="59">
        <f>ROUND(RV_DATA!K84, 6)</f>
        <v>88.01</v>
      </c>
      <c r="F29" s="59">
        <f>ROUND(SUMIF(RV_DATA!W8:'RV_DATA'!W122, -161917611, RV_DATA!M8:'RV_DATA'!M122), 6)</f>
        <v>0.2</v>
      </c>
      <c r="G29" s="59">
        <f>ROUND(RV_DATA!N84, 6)</f>
        <v>88.01</v>
      </c>
      <c r="H29" s="59">
        <f>ROUND(SUMIF(RV_DATA!W8:'RV_DATA'!W122, -161917611, RV_DATA!O8:'RV_DATA'!O122), 6)</f>
        <v>0.2</v>
      </c>
      <c r="Q29">
        <v>2</v>
      </c>
    </row>
    <row r="30" spans="1:18" ht="14.25" x14ac:dyDescent="0.2">
      <c r="A30" s="56" t="s">
        <v>3</v>
      </c>
      <c r="B30" s="57" t="s">
        <v>849</v>
      </c>
      <c r="C30" s="57"/>
      <c r="D30" s="58"/>
      <c r="E30" s="59">
        <f>ROUND(RV_DATA!P84, 6)</f>
        <v>11.6</v>
      </c>
      <c r="F30" s="59">
        <f>ROUND(SUMIF(RV_DATA!W8:'RV_DATA'!W122, -161917611, RV_DATA!R8:'RV_DATA'!R122), 6)</f>
        <v>0.03</v>
      </c>
      <c r="G30" s="59">
        <f>ROUND(RV_DATA!S84, 6)</f>
        <v>11.6</v>
      </c>
      <c r="H30" s="59">
        <f>ROUND(SUMIF(RV_DATA!W8:'RV_DATA'!W122, -161917611, RV_DATA!T8:'RV_DATA'!T122), 6)</f>
        <v>0.03</v>
      </c>
      <c r="R30">
        <v>1</v>
      </c>
    </row>
    <row r="31" spans="1:18" ht="28.5" x14ac:dyDescent="0.2">
      <c r="A31" s="56" t="s">
        <v>518</v>
      </c>
      <c r="B31" s="57" t="s">
        <v>520</v>
      </c>
      <c r="C31" s="57" t="s">
        <v>505</v>
      </c>
      <c r="D31" s="58">
        <f>ROUND(SUMIF(RV_DATA!W8:'RV_DATA'!W122, -2122234393, RV_DATA!I8:'RV_DATA'!I122), 6)</f>
        <v>4.2250480000000001</v>
      </c>
      <c r="E31" s="59">
        <f>ROUND(RV_DATA!K32, 6)</f>
        <v>111.99</v>
      </c>
      <c r="F31" s="59">
        <f>ROUND(SUMIF(RV_DATA!W8:'RV_DATA'!W122, -2122234393, RV_DATA!M8:'RV_DATA'!M122), 6)</f>
        <v>473.19</v>
      </c>
      <c r="G31" s="59">
        <f>ROUND(RV_DATA!N32, 6)</f>
        <v>111.99</v>
      </c>
      <c r="H31" s="59">
        <f>ROUND(SUMIF(RV_DATA!W8:'RV_DATA'!W122, -2122234393, RV_DATA!O8:'RV_DATA'!O122), 6)</f>
        <v>473.19</v>
      </c>
      <c r="Q31">
        <v>2</v>
      </c>
    </row>
    <row r="32" spans="1:18" ht="14.25" x14ac:dyDescent="0.2">
      <c r="A32" s="56" t="s">
        <v>3</v>
      </c>
      <c r="B32" s="57" t="s">
        <v>849</v>
      </c>
      <c r="C32" s="57"/>
      <c r="D32" s="58"/>
      <c r="E32" s="59">
        <f>ROUND(RV_DATA!P32, 6)</f>
        <v>13.5</v>
      </c>
      <c r="F32" s="59">
        <f>ROUND(SUMIF(RV_DATA!W8:'RV_DATA'!W122, -2122234393, RV_DATA!R8:'RV_DATA'!R122), 6)</f>
        <v>57.04</v>
      </c>
      <c r="G32" s="59">
        <f>ROUND(RV_DATA!S32, 6)</f>
        <v>13.5</v>
      </c>
      <c r="H32" s="59">
        <f>ROUND(SUMIF(RV_DATA!W8:'RV_DATA'!W122, -2122234393, RV_DATA!T8:'RV_DATA'!T122), 6)</f>
        <v>57.04</v>
      </c>
      <c r="R32">
        <v>1</v>
      </c>
    </row>
    <row r="33" spans="1:18" ht="28.5" x14ac:dyDescent="0.2">
      <c r="A33" s="56" t="s">
        <v>626</v>
      </c>
      <c r="B33" s="57" t="s">
        <v>628</v>
      </c>
      <c r="C33" s="57" t="s">
        <v>505</v>
      </c>
      <c r="D33" s="58">
        <f>ROUND(SUMIF(RV_DATA!W8:'RV_DATA'!W122, -469564433, RV_DATA!I8:'RV_DATA'!I122), 6)</f>
        <v>0.350943</v>
      </c>
      <c r="E33" s="59">
        <f>ROUND(RV_DATA!K93, 6)</f>
        <v>1.7</v>
      </c>
      <c r="F33" s="59">
        <f>ROUND(SUMIF(RV_DATA!W8:'RV_DATA'!W122, -469564433, RV_DATA!M8:'RV_DATA'!M122), 6)</f>
        <v>0.7</v>
      </c>
      <c r="G33" s="59">
        <f>ROUND(RV_DATA!N93, 6)</f>
        <v>1.7</v>
      </c>
      <c r="H33" s="59">
        <f>ROUND(SUMIF(RV_DATA!W8:'RV_DATA'!W122, -469564433, RV_DATA!O8:'RV_DATA'!O122), 6)</f>
        <v>0.7</v>
      </c>
      <c r="Q33">
        <v>2</v>
      </c>
    </row>
    <row r="34" spans="1:18" ht="14.25" x14ac:dyDescent="0.2">
      <c r="A34" s="56" t="s">
        <v>3</v>
      </c>
      <c r="B34" s="57" t="s">
        <v>849</v>
      </c>
      <c r="C34" s="57"/>
      <c r="D34" s="58"/>
      <c r="E34" s="59">
        <f>ROUND(RV_DATA!P93, 6)</f>
        <v>0</v>
      </c>
      <c r="F34" s="59">
        <f>ROUND(SUMIF(RV_DATA!W8:'RV_DATA'!W122, -469564433, RV_DATA!R8:'RV_DATA'!R122), 6)</f>
        <v>0</v>
      </c>
      <c r="G34" s="59">
        <f>ROUND(RV_DATA!S93, 6)</f>
        <v>0</v>
      </c>
      <c r="H34" s="59">
        <f>ROUND(SUMIF(RV_DATA!W8:'RV_DATA'!W122, -469564433, RV_DATA!T8:'RV_DATA'!T122), 6)</f>
        <v>0</v>
      </c>
      <c r="R34">
        <v>1</v>
      </c>
    </row>
    <row r="35" spans="1:18" ht="28.5" x14ac:dyDescent="0.2">
      <c r="A35" s="56" t="s">
        <v>521</v>
      </c>
      <c r="B35" s="57" t="s">
        <v>523</v>
      </c>
      <c r="C35" s="57" t="s">
        <v>505</v>
      </c>
      <c r="D35" s="58">
        <f>ROUND(SUMIF(RV_DATA!W8:'RV_DATA'!W122, 1752664033, RV_DATA!I8:'RV_DATA'!I122), 6)</f>
        <v>234.81625199999999</v>
      </c>
      <c r="E35" s="59">
        <f>ROUND(RV_DATA!K31, 6)</f>
        <v>6.9</v>
      </c>
      <c r="F35" s="59">
        <f>ROUND(SUMIF(RV_DATA!W8:'RV_DATA'!W122, 1752664033, RV_DATA!M8:'RV_DATA'!M122), 6)</f>
        <v>1620.3</v>
      </c>
      <c r="G35" s="59">
        <f>ROUND(RV_DATA!N31, 6)</f>
        <v>6.9</v>
      </c>
      <c r="H35" s="59">
        <f>ROUND(SUMIF(RV_DATA!W8:'RV_DATA'!W122, 1752664033, RV_DATA!O8:'RV_DATA'!O122), 6)</f>
        <v>1620.3</v>
      </c>
      <c r="Q35">
        <v>2</v>
      </c>
    </row>
    <row r="36" spans="1:18" ht="14.25" x14ac:dyDescent="0.2">
      <c r="A36" s="56" t="s">
        <v>3</v>
      </c>
      <c r="B36" s="57" t="s">
        <v>849</v>
      </c>
      <c r="C36" s="57"/>
      <c r="D36" s="58"/>
      <c r="E36" s="59">
        <f>ROUND(RV_DATA!P31, 6)</f>
        <v>0</v>
      </c>
      <c r="F36" s="59">
        <f>ROUND(SUMIF(RV_DATA!W8:'RV_DATA'!W122, 1752664033, RV_DATA!R8:'RV_DATA'!R122), 6)</f>
        <v>0</v>
      </c>
      <c r="G36" s="59">
        <f>ROUND(RV_DATA!S31, 6)</f>
        <v>0</v>
      </c>
      <c r="H36" s="59">
        <f>ROUND(SUMIF(RV_DATA!W8:'RV_DATA'!W122, 1752664033, RV_DATA!T8:'RV_DATA'!T122), 6)</f>
        <v>0</v>
      </c>
      <c r="R36">
        <v>1</v>
      </c>
    </row>
    <row r="37" spans="1:18" ht="28.5" x14ac:dyDescent="0.2">
      <c r="A37" s="56" t="s">
        <v>629</v>
      </c>
      <c r="B37" s="57" t="s">
        <v>631</v>
      </c>
      <c r="C37" s="57" t="s">
        <v>505</v>
      </c>
      <c r="D37" s="58">
        <f>ROUND(SUMIF(RV_DATA!W8:'RV_DATA'!W122, 1423950272, RV_DATA!I8:'RV_DATA'!I122), 6)</f>
        <v>0.350943</v>
      </c>
      <c r="E37" s="59">
        <f>ROUND(RV_DATA!K92, 6)</f>
        <v>89.99</v>
      </c>
      <c r="F37" s="59">
        <f>ROUND(SUMIF(RV_DATA!W8:'RV_DATA'!W122, 1423950272, RV_DATA!M8:'RV_DATA'!M122), 6)</f>
        <v>31.59</v>
      </c>
      <c r="G37" s="59">
        <f>ROUND(RV_DATA!N92, 6)</f>
        <v>89.99</v>
      </c>
      <c r="H37" s="59">
        <f>ROUND(SUMIF(RV_DATA!W8:'RV_DATA'!W122, 1423950272, RV_DATA!O8:'RV_DATA'!O122), 6)</f>
        <v>31.59</v>
      </c>
      <c r="Q37">
        <v>2</v>
      </c>
    </row>
    <row r="38" spans="1:18" ht="14.25" x14ac:dyDescent="0.2">
      <c r="A38" s="56" t="s">
        <v>3</v>
      </c>
      <c r="B38" s="57" t="s">
        <v>849</v>
      </c>
      <c r="C38" s="57"/>
      <c r="D38" s="58"/>
      <c r="E38" s="59">
        <f>ROUND(RV_DATA!P92, 6)</f>
        <v>10.06</v>
      </c>
      <c r="F38" s="59">
        <f>ROUND(SUMIF(RV_DATA!W8:'RV_DATA'!W122, 1423950272, RV_DATA!R8:'RV_DATA'!R122), 6)</f>
        <v>3.51</v>
      </c>
      <c r="G38" s="59">
        <f>ROUND(RV_DATA!S92, 6)</f>
        <v>10.06</v>
      </c>
      <c r="H38" s="59">
        <f>ROUND(SUMIF(RV_DATA!W8:'RV_DATA'!W122, 1423950272, RV_DATA!T8:'RV_DATA'!T122), 6)</f>
        <v>3.51</v>
      </c>
      <c r="R38">
        <v>1</v>
      </c>
    </row>
    <row r="39" spans="1:18" ht="57" x14ac:dyDescent="0.2">
      <c r="A39" s="56" t="s">
        <v>588</v>
      </c>
      <c r="B39" s="57" t="s">
        <v>590</v>
      </c>
      <c r="C39" s="57" t="s">
        <v>505</v>
      </c>
      <c r="D39" s="58">
        <f>ROUND(SUMIF(RV_DATA!W8:'RV_DATA'!W122, -116415410, RV_DATA!I8:'RV_DATA'!I122), 6)</f>
        <v>1.38E-2</v>
      </c>
      <c r="E39" s="59">
        <f>ROUND(RV_DATA!K59, 6)</f>
        <v>90.4</v>
      </c>
      <c r="F39" s="59">
        <f>ROUND(SUMIF(RV_DATA!W8:'RV_DATA'!W122, -116415410, RV_DATA!M8:'RV_DATA'!M122), 6)</f>
        <v>1.25</v>
      </c>
      <c r="G39" s="59">
        <f>ROUND(RV_DATA!N59, 6)</f>
        <v>90.4</v>
      </c>
      <c r="H39" s="59">
        <f>ROUND(SUMIF(RV_DATA!W8:'RV_DATA'!W122, -116415410, RV_DATA!O8:'RV_DATA'!O122), 6)</f>
        <v>1.25</v>
      </c>
      <c r="Q39">
        <v>2</v>
      </c>
    </row>
    <row r="40" spans="1:18" ht="14.25" x14ac:dyDescent="0.2">
      <c r="A40" s="56" t="s">
        <v>3</v>
      </c>
      <c r="B40" s="57" t="s">
        <v>849</v>
      </c>
      <c r="C40" s="57"/>
      <c r="D40" s="58"/>
      <c r="E40" s="59">
        <f>ROUND(RV_DATA!P59, 6)</f>
        <v>11.6</v>
      </c>
      <c r="F40" s="59">
        <f>ROUND(SUMIF(RV_DATA!W8:'RV_DATA'!W122, -116415410, RV_DATA!R8:'RV_DATA'!R122), 6)</f>
        <v>0.16</v>
      </c>
      <c r="G40" s="59">
        <f>ROUND(RV_DATA!S59, 6)</f>
        <v>11.6</v>
      </c>
      <c r="H40" s="59">
        <f>ROUND(SUMIF(RV_DATA!W8:'RV_DATA'!W122, -116415410, RV_DATA!T8:'RV_DATA'!T122), 6)</f>
        <v>0.16</v>
      </c>
      <c r="R40">
        <v>1</v>
      </c>
    </row>
    <row r="41" spans="1:18" ht="28.5" x14ac:dyDescent="0.2">
      <c r="A41" s="56" t="s">
        <v>615</v>
      </c>
      <c r="B41" s="57" t="s">
        <v>617</v>
      </c>
      <c r="C41" s="57" t="s">
        <v>505</v>
      </c>
      <c r="D41" s="58">
        <f>ROUND(SUMIF(RV_DATA!W8:'RV_DATA'!W122, 1850855758, RV_DATA!I8:'RV_DATA'!I122), 6)</f>
        <v>0.34198099999999998</v>
      </c>
      <c r="E41" s="59">
        <f>ROUND(RV_DATA!K77, 6)</f>
        <v>1.9</v>
      </c>
      <c r="F41" s="59">
        <f>ROUND(SUMIF(RV_DATA!W8:'RV_DATA'!W122, 1850855758, RV_DATA!M8:'RV_DATA'!M122), 6)</f>
        <v>0.65</v>
      </c>
      <c r="G41" s="59">
        <f>ROUND(RV_DATA!N77, 6)</f>
        <v>1.9</v>
      </c>
      <c r="H41" s="59">
        <f>ROUND(SUMIF(RV_DATA!W8:'RV_DATA'!W122, 1850855758, RV_DATA!O8:'RV_DATA'!O122), 6)</f>
        <v>0.65</v>
      </c>
      <c r="Q41">
        <v>2</v>
      </c>
    </row>
    <row r="42" spans="1:18" ht="14.25" x14ac:dyDescent="0.2">
      <c r="A42" s="56" t="s">
        <v>3</v>
      </c>
      <c r="B42" s="57" t="s">
        <v>849</v>
      </c>
      <c r="C42" s="57"/>
      <c r="D42" s="58"/>
      <c r="E42" s="59">
        <f>ROUND(RV_DATA!P77, 6)</f>
        <v>0</v>
      </c>
      <c r="F42" s="59">
        <f>ROUND(SUMIF(RV_DATA!W8:'RV_DATA'!W122, 1850855758, RV_DATA!R8:'RV_DATA'!R122), 6)</f>
        <v>0</v>
      </c>
      <c r="G42" s="59">
        <f>ROUND(RV_DATA!S77, 6)</f>
        <v>0</v>
      </c>
      <c r="H42" s="59">
        <f>ROUND(SUMIF(RV_DATA!W8:'RV_DATA'!W122, 1850855758, RV_DATA!T8:'RV_DATA'!T122), 6)</f>
        <v>0</v>
      </c>
      <c r="R42">
        <v>1</v>
      </c>
    </row>
    <row r="43" spans="1:18" ht="28.5" x14ac:dyDescent="0.2">
      <c r="A43" s="56" t="s">
        <v>646</v>
      </c>
      <c r="B43" s="57" t="s">
        <v>648</v>
      </c>
      <c r="C43" s="57" t="s">
        <v>505</v>
      </c>
      <c r="D43" s="58">
        <f>ROUND(SUMIF(RV_DATA!W8:'RV_DATA'!W122, -1367358599, RV_DATA!I8:'RV_DATA'!I122), 6)</f>
        <v>6.9089700000000001</v>
      </c>
      <c r="E43" s="59">
        <f>ROUND(RV_DATA!K108, 6)</f>
        <v>0.5</v>
      </c>
      <c r="F43" s="59">
        <f>ROUND(SUMIF(RV_DATA!W8:'RV_DATA'!W122, -1367358599, RV_DATA!M8:'RV_DATA'!M122), 6)</f>
        <v>3.45</v>
      </c>
      <c r="G43" s="59">
        <f>ROUND(RV_DATA!N108, 6)</f>
        <v>0.5</v>
      </c>
      <c r="H43" s="59">
        <f>ROUND(SUMIF(RV_DATA!W8:'RV_DATA'!W122, -1367358599, RV_DATA!O8:'RV_DATA'!O122), 6)</f>
        <v>3.45</v>
      </c>
      <c r="Q43">
        <v>2</v>
      </c>
    </row>
    <row r="44" spans="1:18" ht="14.25" x14ac:dyDescent="0.2">
      <c r="A44" s="56" t="s">
        <v>3</v>
      </c>
      <c r="B44" s="57" t="s">
        <v>849</v>
      </c>
      <c r="C44" s="57"/>
      <c r="D44" s="58"/>
      <c r="E44" s="59">
        <f>ROUND(RV_DATA!P108, 6)</f>
        <v>0</v>
      </c>
      <c r="F44" s="59">
        <f>ROUND(SUMIF(RV_DATA!W8:'RV_DATA'!W122, -1367358599, RV_DATA!R8:'RV_DATA'!R122), 6)</f>
        <v>0</v>
      </c>
      <c r="G44" s="59">
        <f>ROUND(RV_DATA!S108, 6)</f>
        <v>0</v>
      </c>
      <c r="H44" s="59">
        <f>ROUND(SUMIF(RV_DATA!W8:'RV_DATA'!W122, -1367358599, RV_DATA!T8:'RV_DATA'!T122), 6)</f>
        <v>0</v>
      </c>
      <c r="R44">
        <v>1</v>
      </c>
    </row>
    <row r="45" spans="1:18" ht="42.75" x14ac:dyDescent="0.2">
      <c r="A45" s="56" t="s">
        <v>591</v>
      </c>
      <c r="B45" s="57" t="s">
        <v>593</v>
      </c>
      <c r="C45" s="57" t="s">
        <v>505</v>
      </c>
      <c r="D45" s="58">
        <f>ROUND(SUMIF(RV_DATA!W8:'RV_DATA'!W122, 1062231293, RV_DATA!I8:'RV_DATA'!I122), 6)</f>
        <v>7.2450000000000001E-2</v>
      </c>
      <c r="E45" s="59">
        <f>ROUND(RV_DATA!K58, 6)</f>
        <v>0.55000000000000004</v>
      </c>
      <c r="F45" s="59">
        <f>ROUND(SUMIF(RV_DATA!W8:'RV_DATA'!W122, 1062231293, RV_DATA!M8:'RV_DATA'!M122), 6)</f>
        <v>0.04</v>
      </c>
      <c r="G45" s="59">
        <f>ROUND(RV_DATA!N58, 6)</f>
        <v>0.55000000000000004</v>
      </c>
      <c r="H45" s="59">
        <f>ROUND(SUMIF(RV_DATA!W8:'RV_DATA'!W122, 1062231293, RV_DATA!O8:'RV_DATA'!O122), 6)</f>
        <v>0.04</v>
      </c>
      <c r="Q45">
        <v>2</v>
      </c>
    </row>
    <row r="46" spans="1:18" ht="14.25" x14ac:dyDescent="0.2">
      <c r="A46" s="56" t="s">
        <v>3</v>
      </c>
      <c r="B46" s="57" t="s">
        <v>849</v>
      </c>
      <c r="C46" s="57"/>
      <c r="D46" s="58"/>
      <c r="E46" s="59">
        <f>ROUND(RV_DATA!P58, 6)</f>
        <v>0</v>
      </c>
      <c r="F46" s="59">
        <f>ROUND(SUMIF(RV_DATA!W8:'RV_DATA'!W122, 1062231293, RV_DATA!R8:'RV_DATA'!R122), 6)</f>
        <v>0</v>
      </c>
      <c r="G46" s="59">
        <f>ROUND(RV_DATA!S58, 6)</f>
        <v>0</v>
      </c>
      <c r="H46" s="59">
        <f>ROUND(SUMIF(RV_DATA!W8:'RV_DATA'!W122, 1062231293, RV_DATA!T8:'RV_DATA'!T122), 6)</f>
        <v>0</v>
      </c>
      <c r="R46">
        <v>1</v>
      </c>
    </row>
    <row r="47" spans="1:18" ht="28.5" x14ac:dyDescent="0.2">
      <c r="A47" s="56" t="s">
        <v>506</v>
      </c>
      <c r="B47" s="57" t="s">
        <v>508</v>
      </c>
      <c r="C47" s="57" t="s">
        <v>505</v>
      </c>
      <c r="D47" s="58">
        <f>ROUND(SUMIF(RV_DATA!W8:'RV_DATA'!W122, 598448170, RV_DATA!I8:'RV_DATA'!I122), 6)</f>
        <v>14.451188</v>
      </c>
      <c r="E47" s="59">
        <f>ROUND(RV_DATA!K17, 6)</f>
        <v>173.51</v>
      </c>
      <c r="F47" s="59">
        <f>ROUND(SUMIF(RV_DATA!W8:'RV_DATA'!W122, 598448170, RV_DATA!M8:'RV_DATA'!M122), 6)</f>
        <v>2507.4299999999998</v>
      </c>
      <c r="G47" s="59">
        <f>ROUND(RV_DATA!N17, 6)</f>
        <v>173.51</v>
      </c>
      <c r="H47" s="59">
        <f>ROUND(SUMIF(RV_DATA!W8:'RV_DATA'!W122, 598448170, RV_DATA!O8:'RV_DATA'!O122), 6)</f>
        <v>2507.4299999999998</v>
      </c>
      <c r="Q47">
        <v>2</v>
      </c>
    </row>
    <row r="48" spans="1:18" ht="14.25" x14ac:dyDescent="0.2">
      <c r="A48" s="56" t="s">
        <v>3</v>
      </c>
      <c r="B48" s="57" t="s">
        <v>849</v>
      </c>
      <c r="C48" s="57"/>
      <c r="D48" s="58"/>
      <c r="E48" s="59">
        <f>ROUND(RV_DATA!P17, 6)</f>
        <v>13.5</v>
      </c>
      <c r="F48" s="59">
        <f>ROUND(SUMIF(RV_DATA!W8:'RV_DATA'!W122, 598448170, RV_DATA!R8:'RV_DATA'!R122), 6)</f>
        <v>195.1</v>
      </c>
      <c r="G48" s="59">
        <f>ROUND(RV_DATA!S17, 6)</f>
        <v>13.5</v>
      </c>
      <c r="H48" s="59">
        <f>ROUND(SUMIF(RV_DATA!W8:'RV_DATA'!W122, 598448170, RV_DATA!T8:'RV_DATA'!T122), 6)</f>
        <v>195.1</v>
      </c>
      <c r="R48">
        <v>1</v>
      </c>
    </row>
    <row r="49" spans="1:18" ht="28.5" x14ac:dyDescent="0.2">
      <c r="A49" s="56" t="s">
        <v>509</v>
      </c>
      <c r="B49" s="57" t="s">
        <v>511</v>
      </c>
      <c r="C49" s="57" t="s">
        <v>505</v>
      </c>
      <c r="D49" s="58">
        <f>ROUND(SUMIF(RV_DATA!W8:'RV_DATA'!W122, 1792116812, RV_DATA!I8:'RV_DATA'!I122), 6)</f>
        <v>5.9791759999999998</v>
      </c>
      <c r="E49" s="59">
        <f>ROUND(RV_DATA!K16, 6)</f>
        <v>65.709999999999994</v>
      </c>
      <c r="F49" s="59">
        <f>ROUND(SUMIF(RV_DATA!W8:'RV_DATA'!W122, 1792116812, RV_DATA!M8:'RV_DATA'!M122), 6)</f>
        <v>392.87</v>
      </c>
      <c r="G49" s="59">
        <f>ROUND(RV_DATA!N16, 6)</f>
        <v>65.709999999999994</v>
      </c>
      <c r="H49" s="59">
        <f>ROUND(SUMIF(RV_DATA!W8:'RV_DATA'!W122, 1792116812, RV_DATA!O8:'RV_DATA'!O122), 6)</f>
        <v>392.87</v>
      </c>
      <c r="Q49">
        <v>2</v>
      </c>
    </row>
    <row r="50" spans="1:18" ht="14.25" x14ac:dyDescent="0.2">
      <c r="A50" s="56" t="s">
        <v>3</v>
      </c>
      <c r="B50" s="57" t="s">
        <v>849</v>
      </c>
      <c r="C50" s="57"/>
      <c r="D50" s="58"/>
      <c r="E50" s="59">
        <f>ROUND(RV_DATA!P16, 6)</f>
        <v>11.6</v>
      </c>
      <c r="F50" s="59">
        <f>ROUND(SUMIF(RV_DATA!W8:'RV_DATA'!W122, 1792116812, RV_DATA!R8:'RV_DATA'!R122), 6)</f>
        <v>69.41</v>
      </c>
      <c r="G50" s="59">
        <f>ROUND(RV_DATA!S16, 6)</f>
        <v>11.6</v>
      </c>
      <c r="H50" s="59">
        <f>ROUND(SUMIF(RV_DATA!W8:'RV_DATA'!W122, 1792116812, RV_DATA!T8:'RV_DATA'!T122), 6)</f>
        <v>69.41</v>
      </c>
      <c r="R50">
        <v>1</v>
      </c>
    </row>
    <row r="51" spans="1:18" ht="28.5" x14ac:dyDescent="0.2">
      <c r="A51" s="56" t="s">
        <v>524</v>
      </c>
      <c r="B51" s="57" t="s">
        <v>526</v>
      </c>
      <c r="C51" s="57" t="s">
        <v>505</v>
      </c>
      <c r="D51" s="58">
        <f>ROUND(SUMIF(RV_DATA!W8:'RV_DATA'!W122, -367726480, RV_DATA!I8:'RV_DATA'!I122), 6)</f>
        <v>8.1937999999999997E-2</v>
      </c>
      <c r="E51" s="59">
        <f>ROUND(RV_DATA!K30, 6)</f>
        <v>85.84</v>
      </c>
      <c r="F51" s="59">
        <f>ROUND(SUMIF(RV_DATA!W8:'RV_DATA'!W122, -367726480, RV_DATA!M8:'RV_DATA'!M122), 6)</f>
        <v>7.03</v>
      </c>
      <c r="G51" s="59">
        <f>ROUND(RV_DATA!N30, 6)</f>
        <v>85.84</v>
      </c>
      <c r="H51" s="59">
        <f>ROUND(SUMIF(RV_DATA!W8:'RV_DATA'!W122, -367726480, RV_DATA!O8:'RV_DATA'!O122), 6)</f>
        <v>7.03</v>
      </c>
      <c r="Q51">
        <v>2</v>
      </c>
    </row>
    <row r="52" spans="1:18" ht="14.25" x14ac:dyDescent="0.2">
      <c r="A52" s="56" t="s">
        <v>3</v>
      </c>
      <c r="B52" s="57" t="s">
        <v>849</v>
      </c>
      <c r="C52" s="57"/>
      <c r="D52" s="58"/>
      <c r="E52" s="59">
        <f>ROUND(RV_DATA!P30, 6)</f>
        <v>11.6</v>
      </c>
      <c r="F52" s="59">
        <f>ROUND(SUMIF(RV_DATA!W8:'RV_DATA'!W122, -367726480, RV_DATA!R8:'RV_DATA'!R122), 6)</f>
        <v>0.95</v>
      </c>
      <c r="G52" s="59">
        <f>ROUND(RV_DATA!S30, 6)</f>
        <v>11.6</v>
      </c>
      <c r="H52" s="59">
        <f>ROUND(SUMIF(RV_DATA!W8:'RV_DATA'!W122, -367726480, RV_DATA!T8:'RV_DATA'!T122), 6)</f>
        <v>0.95</v>
      </c>
      <c r="R52">
        <v>1</v>
      </c>
    </row>
    <row r="53" spans="1:18" ht="28.5" x14ac:dyDescent="0.2">
      <c r="A53" s="56" t="s">
        <v>527</v>
      </c>
      <c r="B53" s="57" t="s">
        <v>529</v>
      </c>
      <c r="C53" s="57" t="s">
        <v>505</v>
      </c>
      <c r="D53" s="58">
        <f>ROUND(SUMIF(RV_DATA!W8:'RV_DATA'!W122, 1001522883, RV_DATA!I8:'RV_DATA'!I122), 6)</f>
        <v>10.864913</v>
      </c>
      <c r="E53" s="59">
        <f>ROUND(RV_DATA!K29, 6)</f>
        <v>39.49</v>
      </c>
      <c r="F53" s="59">
        <f>ROUND(SUMIF(RV_DATA!W8:'RV_DATA'!W122, 1001522883, RV_DATA!M8:'RV_DATA'!M122), 6)</f>
        <v>429.06</v>
      </c>
      <c r="G53" s="59">
        <f>ROUND(RV_DATA!N29, 6)</f>
        <v>39.49</v>
      </c>
      <c r="H53" s="59">
        <f>ROUND(SUMIF(RV_DATA!W8:'RV_DATA'!W122, 1001522883, RV_DATA!O8:'RV_DATA'!O122), 6)</f>
        <v>429.06</v>
      </c>
      <c r="Q53">
        <v>2</v>
      </c>
    </row>
    <row r="54" spans="1:18" ht="14.25" x14ac:dyDescent="0.2">
      <c r="A54" s="56" t="s">
        <v>3</v>
      </c>
      <c r="B54" s="57" t="s">
        <v>849</v>
      </c>
      <c r="C54" s="57"/>
      <c r="D54" s="58"/>
      <c r="E54" s="59">
        <f>ROUND(RV_DATA!P29, 6)</f>
        <v>0</v>
      </c>
      <c r="F54" s="59">
        <f>ROUND(SUMIF(RV_DATA!W8:'RV_DATA'!W122, 1001522883, RV_DATA!R8:'RV_DATA'!R122), 6)</f>
        <v>0</v>
      </c>
      <c r="G54" s="59">
        <f>ROUND(RV_DATA!S29, 6)</f>
        <v>0</v>
      </c>
      <c r="H54" s="59">
        <f>ROUND(SUMIF(RV_DATA!W8:'RV_DATA'!W122, 1001522883, RV_DATA!T8:'RV_DATA'!T122), 6)</f>
        <v>0</v>
      </c>
      <c r="R54">
        <v>1</v>
      </c>
    </row>
    <row r="55" spans="1:18" ht="28.5" x14ac:dyDescent="0.2">
      <c r="A55" s="56" t="s">
        <v>530</v>
      </c>
      <c r="B55" s="57" t="s">
        <v>532</v>
      </c>
      <c r="C55" s="57" t="s">
        <v>505</v>
      </c>
      <c r="D55" s="58">
        <f>ROUND(SUMIF(RV_DATA!W8:'RV_DATA'!W122, 428331130, RV_DATA!I8:'RV_DATA'!I122), 6)</f>
        <v>41.732832999999999</v>
      </c>
      <c r="E55" s="59">
        <f>ROUND(RV_DATA!K28, 6)</f>
        <v>1.2</v>
      </c>
      <c r="F55" s="59">
        <f>ROUND(SUMIF(RV_DATA!W8:'RV_DATA'!W122, 428331130, RV_DATA!M8:'RV_DATA'!M122), 6)</f>
        <v>50.03</v>
      </c>
      <c r="G55" s="59">
        <f>ROUND(RV_DATA!N28, 6)</f>
        <v>1.2</v>
      </c>
      <c r="H55" s="59">
        <f>ROUND(SUMIF(RV_DATA!W8:'RV_DATA'!W122, 428331130, RV_DATA!O8:'RV_DATA'!O122), 6)</f>
        <v>50.03</v>
      </c>
      <c r="Q55">
        <v>2</v>
      </c>
    </row>
    <row r="56" spans="1:18" ht="14.25" x14ac:dyDescent="0.2">
      <c r="A56" s="56" t="s">
        <v>3</v>
      </c>
      <c r="B56" s="57" t="s">
        <v>849</v>
      </c>
      <c r="C56" s="57"/>
      <c r="D56" s="58"/>
      <c r="E56" s="59">
        <f>ROUND(RV_DATA!P28, 6)</f>
        <v>0</v>
      </c>
      <c r="F56" s="59">
        <f>ROUND(SUMIF(RV_DATA!W8:'RV_DATA'!W122, 428331130, RV_DATA!R8:'RV_DATA'!R122), 6)</f>
        <v>0</v>
      </c>
      <c r="G56" s="59">
        <f>ROUND(RV_DATA!S28, 6)</f>
        <v>0</v>
      </c>
      <c r="H56" s="59">
        <f>ROUND(SUMIF(RV_DATA!W8:'RV_DATA'!W122, 428331130, RV_DATA!T8:'RV_DATA'!T122), 6)</f>
        <v>0</v>
      </c>
      <c r="R56">
        <v>1</v>
      </c>
    </row>
    <row r="57" spans="1:18" ht="42.75" x14ac:dyDescent="0.2">
      <c r="A57" s="56" t="s">
        <v>554</v>
      </c>
      <c r="B57" s="57" t="s">
        <v>556</v>
      </c>
      <c r="C57" s="57" t="s">
        <v>505</v>
      </c>
      <c r="D57" s="58">
        <f>ROUND(SUMIF(RV_DATA!W8:'RV_DATA'!W122, 93743108, RV_DATA!I8:'RV_DATA'!I122), 6)</f>
        <v>45.225189</v>
      </c>
      <c r="E57" s="59">
        <f>ROUND(RV_DATA!K46, 6)</f>
        <v>12.31</v>
      </c>
      <c r="F57" s="59">
        <f>ROUND(SUMIF(RV_DATA!W8:'RV_DATA'!W122, 93743108, RV_DATA!M8:'RV_DATA'!M122), 6)</f>
        <v>556.74</v>
      </c>
      <c r="G57" s="59">
        <f>ROUND(RV_DATA!N46, 6)</f>
        <v>12.31</v>
      </c>
      <c r="H57" s="59">
        <f>ROUND(SUMIF(RV_DATA!W8:'RV_DATA'!W122, 93743108, RV_DATA!O8:'RV_DATA'!O122), 6)</f>
        <v>556.74</v>
      </c>
      <c r="Q57">
        <v>2</v>
      </c>
    </row>
    <row r="58" spans="1:18" ht="14.25" x14ac:dyDescent="0.2">
      <c r="A58" s="56" t="s">
        <v>3</v>
      </c>
      <c r="B58" s="57" t="s">
        <v>849</v>
      </c>
      <c r="C58" s="57"/>
      <c r="D58" s="58"/>
      <c r="E58" s="59">
        <f>ROUND(RV_DATA!P46, 6)</f>
        <v>0</v>
      </c>
      <c r="F58" s="59">
        <f>ROUND(SUMIF(RV_DATA!W8:'RV_DATA'!W122, 93743108, RV_DATA!R8:'RV_DATA'!R122), 6)</f>
        <v>0</v>
      </c>
      <c r="G58" s="59">
        <f>ROUND(RV_DATA!S46, 6)</f>
        <v>0</v>
      </c>
      <c r="H58" s="59">
        <f>ROUND(SUMIF(RV_DATA!W8:'RV_DATA'!W122, 93743108, RV_DATA!T8:'RV_DATA'!T122), 6)</f>
        <v>0</v>
      </c>
      <c r="R58">
        <v>1</v>
      </c>
    </row>
    <row r="59" spans="1:18" ht="28.5" x14ac:dyDescent="0.2">
      <c r="A59" s="56" t="s">
        <v>604</v>
      </c>
      <c r="B59" s="57" t="s">
        <v>606</v>
      </c>
      <c r="C59" s="57" t="s">
        <v>505</v>
      </c>
      <c r="D59" s="58">
        <f>ROUND(SUMIF(RV_DATA!W8:'RV_DATA'!W122, -1230152122, RV_DATA!I8:'RV_DATA'!I122), 6)</f>
        <v>1.8453189999999999</v>
      </c>
      <c r="E59" s="59">
        <f>ROUND(RV_DATA!K68, 6)</f>
        <v>8.1</v>
      </c>
      <c r="F59" s="59">
        <f>ROUND(SUMIF(RV_DATA!W8:'RV_DATA'!W122, -1230152122, RV_DATA!M8:'RV_DATA'!M122), 6)</f>
        <v>14.95</v>
      </c>
      <c r="G59" s="59">
        <f>ROUND(RV_DATA!N68, 6)</f>
        <v>8.1</v>
      </c>
      <c r="H59" s="59">
        <f>ROUND(SUMIF(RV_DATA!W8:'RV_DATA'!W122, -1230152122, RV_DATA!O8:'RV_DATA'!O122), 6)</f>
        <v>14.95</v>
      </c>
      <c r="Q59">
        <v>2</v>
      </c>
    </row>
    <row r="60" spans="1:18" ht="14.25" x14ac:dyDescent="0.2">
      <c r="A60" s="56" t="s">
        <v>3</v>
      </c>
      <c r="B60" s="57" t="s">
        <v>849</v>
      </c>
      <c r="C60" s="57"/>
      <c r="D60" s="58"/>
      <c r="E60" s="59">
        <f>ROUND(RV_DATA!P68, 6)</f>
        <v>0</v>
      </c>
      <c r="F60" s="59">
        <f>ROUND(SUMIF(RV_DATA!W8:'RV_DATA'!W122, -1230152122, RV_DATA!R8:'RV_DATA'!R122), 6)</f>
        <v>0</v>
      </c>
      <c r="G60" s="59">
        <f>ROUND(RV_DATA!S68, 6)</f>
        <v>0</v>
      </c>
      <c r="H60" s="59">
        <f>ROUND(SUMIF(RV_DATA!W8:'RV_DATA'!W122, -1230152122, RV_DATA!T8:'RV_DATA'!T122), 6)</f>
        <v>0</v>
      </c>
      <c r="R60">
        <v>1</v>
      </c>
    </row>
    <row r="61" spans="1:18" ht="57" x14ac:dyDescent="0.2">
      <c r="A61" s="56" t="s">
        <v>594</v>
      </c>
      <c r="B61" s="57" t="s">
        <v>596</v>
      </c>
      <c r="C61" s="57" t="s">
        <v>505</v>
      </c>
      <c r="D61" s="58">
        <f>ROUND(SUMIF(RV_DATA!W8:'RV_DATA'!W122, 954034734, RV_DATA!I8:'RV_DATA'!I122), 6)</f>
        <v>3.6225E-2</v>
      </c>
      <c r="E61" s="59">
        <f>ROUND(RV_DATA!K57, 6)</f>
        <v>90</v>
      </c>
      <c r="F61" s="59">
        <f>ROUND(SUMIF(RV_DATA!W8:'RV_DATA'!W122, 954034734, RV_DATA!M8:'RV_DATA'!M122), 6)</f>
        <v>3.26</v>
      </c>
      <c r="G61" s="59">
        <f>ROUND(RV_DATA!N57, 6)</f>
        <v>90</v>
      </c>
      <c r="H61" s="59">
        <f>ROUND(SUMIF(RV_DATA!W8:'RV_DATA'!W122, 954034734, RV_DATA!O8:'RV_DATA'!O122), 6)</f>
        <v>3.26</v>
      </c>
      <c r="Q61">
        <v>2</v>
      </c>
    </row>
    <row r="62" spans="1:18" ht="14.25" x14ac:dyDescent="0.2">
      <c r="A62" s="56" t="s">
        <v>3</v>
      </c>
      <c r="B62" s="57" t="s">
        <v>849</v>
      </c>
      <c r="C62" s="57"/>
      <c r="D62" s="58"/>
      <c r="E62" s="59">
        <f>ROUND(RV_DATA!P57, 6)</f>
        <v>10.06</v>
      </c>
      <c r="F62" s="59">
        <f>ROUND(SUMIF(RV_DATA!W8:'RV_DATA'!W122, 954034734, RV_DATA!R8:'RV_DATA'!R122), 6)</f>
        <v>0.36</v>
      </c>
      <c r="G62" s="59">
        <f>ROUND(RV_DATA!S57, 6)</f>
        <v>10.06</v>
      </c>
      <c r="H62" s="59">
        <f>ROUND(SUMIF(RV_DATA!W8:'RV_DATA'!W122, 954034734, RV_DATA!T8:'RV_DATA'!T122), 6)</f>
        <v>0.36</v>
      </c>
      <c r="R62">
        <v>1</v>
      </c>
    </row>
    <row r="63" spans="1:18" ht="42.75" x14ac:dyDescent="0.2">
      <c r="A63" s="56" t="s">
        <v>632</v>
      </c>
      <c r="B63" s="57" t="s">
        <v>634</v>
      </c>
      <c r="C63" s="57" t="s">
        <v>505</v>
      </c>
      <c r="D63" s="58">
        <f>ROUND(SUMIF(RV_DATA!W8:'RV_DATA'!W122, 1356614520, RV_DATA!I8:'RV_DATA'!I122), 6)</f>
        <v>28.309372</v>
      </c>
      <c r="E63" s="59">
        <f>ROUND(RV_DATA!K90, 6)</f>
        <v>6.82</v>
      </c>
      <c r="F63" s="59">
        <f>ROUND(SUMIF(RV_DATA!W8:'RV_DATA'!W122, 1356614520, RV_DATA!M8:'RV_DATA'!M122), 6)</f>
        <v>193.02</v>
      </c>
      <c r="G63" s="59">
        <f>ROUND(RV_DATA!N90, 6)</f>
        <v>6.82</v>
      </c>
      <c r="H63" s="59">
        <f>ROUND(SUMIF(RV_DATA!W8:'RV_DATA'!W122, 1356614520, RV_DATA!O8:'RV_DATA'!O122), 6)</f>
        <v>193.02</v>
      </c>
      <c r="Q63">
        <v>2</v>
      </c>
    </row>
    <row r="64" spans="1:18" ht="14.25" x14ac:dyDescent="0.2">
      <c r="A64" s="56" t="s">
        <v>3</v>
      </c>
      <c r="B64" s="57" t="s">
        <v>849</v>
      </c>
      <c r="C64" s="57"/>
      <c r="D64" s="58"/>
      <c r="E64" s="59">
        <f>ROUND(RV_DATA!P90, 6)</f>
        <v>0</v>
      </c>
      <c r="F64" s="59">
        <f>ROUND(SUMIF(RV_DATA!W8:'RV_DATA'!W122, 1356614520, RV_DATA!R8:'RV_DATA'!R122), 6)</f>
        <v>0</v>
      </c>
      <c r="G64" s="59">
        <f>ROUND(RV_DATA!S90, 6)</f>
        <v>0</v>
      </c>
      <c r="H64" s="59">
        <f>ROUND(SUMIF(RV_DATA!W8:'RV_DATA'!W122, 1356614520, RV_DATA!T8:'RV_DATA'!T122), 6)</f>
        <v>0</v>
      </c>
      <c r="R64">
        <v>1</v>
      </c>
    </row>
    <row r="65" spans="1:18" ht="28.5" x14ac:dyDescent="0.2">
      <c r="A65" s="56" t="s">
        <v>533</v>
      </c>
      <c r="B65" s="57" t="s">
        <v>535</v>
      </c>
      <c r="C65" s="57" t="s">
        <v>505</v>
      </c>
      <c r="D65" s="58">
        <f>ROUND(SUMIF(RV_DATA!W8:'RV_DATA'!W122, -1424793965, RV_DATA!I8:'RV_DATA'!I122), 6)</f>
        <v>0.344138</v>
      </c>
      <c r="E65" s="59">
        <f>ROUND(RV_DATA!K27, 6)</f>
        <v>70</v>
      </c>
      <c r="F65" s="59">
        <f>ROUND(SUMIF(RV_DATA!W8:'RV_DATA'!W122, -1424793965, RV_DATA!M8:'RV_DATA'!M122), 6)</f>
        <v>24.09</v>
      </c>
      <c r="G65" s="59">
        <f>ROUND(RV_DATA!N27, 6)</f>
        <v>70</v>
      </c>
      <c r="H65" s="59">
        <f>ROUND(SUMIF(RV_DATA!W8:'RV_DATA'!W122, -1424793965, RV_DATA!O8:'RV_DATA'!O122), 6)</f>
        <v>24.09</v>
      </c>
      <c r="Q65">
        <v>2</v>
      </c>
    </row>
    <row r="66" spans="1:18" ht="14.25" x14ac:dyDescent="0.2">
      <c r="A66" s="56" t="s">
        <v>3</v>
      </c>
      <c r="B66" s="57" t="s">
        <v>849</v>
      </c>
      <c r="C66" s="57"/>
      <c r="D66" s="58"/>
      <c r="E66" s="59">
        <f>ROUND(RV_DATA!P27, 6)</f>
        <v>0</v>
      </c>
      <c r="F66" s="59">
        <f>ROUND(SUMIF(RV_DATA!W8:'RV_DATA'!W122, -1424793965, RV_DATA!R8:'RV_DATA'!R122), 6)</f>
        <v>0</v>
      </c>
      <c r="G66" s="59">
        <f>ROUND(RV_DATA!S27, 6)</f>
        <v>0</v>
      </c>
      <c r="H66" s="59">
        <f>ROUND(SUMIF(RV_DATA!W8:'RV_DATA'!W122, -1424793965, RV_DATA!T8:'RV_DATA'!T122), 6)</f>
        <v>0</v>
      </c>
      <c r="R66">
        <v>1</v>
      </c>
    </row>
    <row r="67" spans="1:18" ht="28.5" x14ac:dyDescent="0.2">
      <c r="A67" s="56" t="s">
        <v>536</v>
      </c>
      <c r="B67" s="57" t="s">
        <v>538</v>
      </c>
      <c r="C67" s="57" t="s">
        <v>505</v>
      </c>
      <c r="D67" s="58">
        <f>ROUND(SUMIF(RV_DATA!W8:'RV_DATA'!W122, 1120501398, RV_DATA!I8:'RV_DATA'!I122), 6)</f>
        <v>0.49162499999999998</v>
      </c>
      <c r="E67" s="59">
        <f>ROUND(RV_DATA!K26, 6)</f>
        <v>56.24</v>
      </c>
      <c r="F67" s="59">
        <f>ROUND(SUMIF(RV_DATA!W8:'RV_DATA'!W122, 1120501398, RV_DATA!M8:'RV_DATA'!M122), 6)</f>
        <v>27.65</v>
      </c>
      <c r="G67" s="59">
        <f>ROUND(RV_DATA!N26, 6)</f>
        <v>56.24</v>
      </c>
      <c r="H67" s="59">
        <f>ROUND(SUMIF(RV_DATA!W8:'RV_DATA'!W122, 1120501398, RV_DATA!O8:'RV_DATA'!O122), 6)</f>
        <v>27.65</v>
      </c>
      <c r="Q67">
        <v>2</v>
      </c>
    </row>
    <row r="68" spans="1:18" ht="14.25" x14ac:dyDescent="0.2">
      <c r="A68" s="56" t="s">
        <v>3</v>
      </c>
      <c r="B68" s="57" t="s">
        <v>849</v>
      </c>
      <c r="C68" s="57"/>
      <c r="D68" s="58"/>
      <c r="E68" s="59">
        <f>ROUND(RV_DATA!P26, 6)</f>
        <v>10.06</v>
      </c>
      <c r="F68" s="59">
        <f>ROUND(SUMIF(RV_DATA!W8:'RV_DATA'!W122, 1120501398, RV_DATA!R8:'RV_DATA'!R122), 6)</f>
        <v>4.95</v>
      </c>
      <c r="G68" s="59">
        <f>ROUND(RV_DATA!S26, 6)</f>
        <v>10.06</v>
      </c>
      <c r="H68" s="59">
        <f>ROUND(SUMIF(RV_DATA!W8:'RV_DATA'!W122, 1120501398, RV_DATA!T8:'RV_DATA'!T122), 6)</f>
        <v>4.95</v>
      </c>
      <c r="R68">
        <v>1</v>
      </c>
    </row>
    <row r="69" spans="1:18" ht="28.5" x14ac:dyDescent="0.2">
      <c r="A69" s="56" t="s">
        <v>539</v>
      </c>
      <c r="B69" s="57" t="s">
        <v>541</v>
      </c>
      <c r="C69" s="57" t="s">
        <v>505</v>
      </c>
      <c r="D69" s="58">
        <f>ROUND(SUMIF(RV_DATA!W8:'RV_DATA'!W122, 241398306, RV_DATA!I8:'RV_DATA'!I122), 6)</f>
        <v>0.22942499999999999</v>
      </c>
      <c r="E69" s="59">
        <f>ROUND(RV_DATA!K25, 6)</f>
        <v>14.38</v>
      </c>
      <c r="F69" s="59">
        <f>ROUND(SUMIF(RV_DATA!W8:'RV_DATA'!W122, 241398306, RV_DATA!M8:'RV_DATA'!M122), 6)</f>
        <v>3.3</v>
      </c>
      <c r="G69" s="59">
        <f>ROUND(RV_DATA!N25, 6)</f>
        <v>14.38</v>
      </c>
      <c r="H69" s="59">
        <f>ROUND(SUMIF(RV_DATA!W8:'RV_DATA'!W122, 241398306, RV_DATA!O8:'RV_DATA'!O122), 6)</f>
        <v>3.3</v>
      </c>
      <c r="Q69">
        <v>2</v>
      </c>
    </row>
    <row r="70" spans="1:18" ht="14.25" x14ac:dyDescent="0.2">
      <c r="A70" s="56" t="s">
        <v>3</v>
      </c>
      <c r="B70" s="57" t="s">
        <v>849</v>
      </c>
      <c r="C70" s="57"/>
      <c r="D70" s="58"/>
      <c r="E70" s="59">
        <f>ROUND(RV_DATA!P25, 6)</f>
        <v>0</v>
      </c>
      <c r="F70" s="59">
        <f>ROUND(SUMIF(RV_DATA!W8:'RV_DATA'!W122, 241398306, RV_DATA!R8:'RV_DATA'!R122), 6)</f>
        <v>0</v>
      </c>
      <c r="G70" s="59">
        <f>ROUND(RV_DATA!S25, 6)</f>
        <v>0</v>
      </c>
      <c r="H70" s="59">
        <f>ROUND(SUMIF(RV_DATA!W8:'RV_DATA'!W122, 241398306, RV_DATA!T8:'RV_DATA'!T122), 6)</f>
        <v>0</v>
      </c>
      <c r="R70">
        <v>1</v>
      </c>
    </row>
    <row r="71" spans="1:18" ht="15" x14ac:dyDescent="0.25">
      <c r="A71" s="86" t="s">
        <v>850</v>
      </c>
      <c r="B71" s="86"/>
      <c r="C71" s="86"/>
      <c r="D71" s="86"/>
      <c r="E71" s="87">
        <f>SUMIF(Q23:Q70, 2, F23:F70)</f>
        <v>8893.869999999999</v>
      </c>
      <c r="F71" s="87"/>
      <c r="G71" s="87">
        <f>SUMIF(Q23:Q70, 2, H23:H70)</f>
        <v>8893.869999999999</v>
      </c>
      <c r="H71" s="86"/>
    </row>
    <row r="72" spans="1:18" ht="15" x14ac:dyDescent="0.25">
      <c r="A72" s="86" t="s">
        <v>851</v>
      </c>
      <c r="B72" s="86"/>
      <c r="C72" s="86"/>
      <c r="D72" s="86"/>
      <c r="E72" s="87">
        <f>SUMIF(R23:R71, 1, F23:F71)</f>
        <v>562.92000000000007</v>
      </c>
      <c r="F72" s="87"/>
      <c r="G72" s="87">
        <f>SUMIF(R23:R71, 1, H23:H71)</f>
        <v>562.92000000000007</v>
      </c>
      <c r="H72" s="86"/>
    </row>
    <row r="73" spans="1:18" ht="14.25" x14ac:dyDescent="0.2">
      <c r="A73" s="88" t="s">
        <v>852</v>
      </c>
      <c r="B73" s="89"/>
      <c r="C73" s="89"/>
      <c r="D73" s="89"/>
      <c r="E73" s="89"/>
      <c r="F73" s="89"/>
      <c r="G73" s="89"/>
      <c r="H73" s="89"/>
    </row>
    <row r="74" spans="1:18" ht="14.25" x14ac:dyDescent="0.2">
      <c r="A74" s="56" t="s">
        <v>3</v>
      </c>
      <c r="B74" s="57"/>
      <c r="C74" s="57"/>
      <c r="D74" s="58">
        <f>ROUND(SUMIF(RV_DATA!W8:'RV_DATA'!W122, 1463393493, RV_DATA!I8:'RV_DATA'!I122), 6)</f>
        <v>0</v>
      </c>
      <c r="E74" s="59">
        <f>ROUND(RV_DATA!K8, 6)</f>
        <v>0</v>
      </c>
      <c r="F74" s="59">
        <f>ROUND(SUMIF(RV_DATA!W8:'RV_DATA'!W122, 1463393493, RV_DATA!M8:'RV_DATA'!M122), 6)</f>
        <v>0</v>
      </c>
      <c r="G74" s="59">
        <f>ROUND(RV_DATA!N8, 6)</f>
        <v>0</v>
      </c>
      <c r="H74" s="59">
        <f>ROUND(SUMIF(RV_DATA!W8:'RV_DATA'!W122, 1463393493, RV_DATA!O8:'RV_DATA'!O122), 6)</f>
        <v>0</v>
      </c>
      <c r="Q74">
        <v>3</v>
      </c>
    </row>
    <row r="75" spans="1:18" ht="28.5" x14ac:dyDescent="0.2">
      <c r="A75" s="56" t="s">
        <v>542</v>
      </c>
      <c r="B75" s="57" t="s">
        <v>544</v>
      </c>
      <c r="C75" s="57" t="s">
        <v>96</v>
      </c>
      <c r="D75" s="58">
        <f>ROUND(SUMIF(RV_DATA!W8:'RV_DATA'!W122, 1592914109, RV_DATA!I8:'RV_DATA'!I122), 6)</f>
        <v>23.372444999999999</v>
      </c>
      <c r="E75" s="59">
        <f>ROUND(RV_DATA!K24, 6)</f>
        <v>6.22</v>
      </c>
      <c r="F75" s="59">
        <f>ROUND(SUMIF(RV_DATA!W8:'RV_DATA'!W122, 1592914109, RV_DATA!M8:'RV_DATA'!M122), 6)</f>
        <v>145.38</v>
      </c>
      <c r="G75" s="59">
        <f>ROUND(RV_DATA!N24, 6)</f>
        <v>6.22</v>
      </c>
      <c r="H75" s="59">
        <f>ROUND(SUMIF(RV_DATA!W8:'RV_DATA'!W122, 1592914109, RV_DATA!O8:'RV_DATA'!O122), 6)</f>
        <v>145.38</v>
      </c>
      <c r="Q75">
        <v>3</v>
      </c>
    </row>
    <row r="76" spans="1:18" ht="28.5" x14ac:dyDescent="0.2">
      <c r="A76" s="56" t="s">
        <v>545</v>
      </c>
      <c r="B76" s="57" t="s">
        <v>547</v>
      </c>
      <c r="C76" s="57" t="s">
        <v>400</v>
      </c>
      <c r="D76" s="58">
        <f>ROUND(SUMIF(RV_DATA!W8:'RV_DATA'!W122, -1284884851, RV_DATA!I8:'RV_DATA'!I122), 6)</f>
        <v>7.0083140000000004</v>
      </c>
      <c r="E76" s="59">
        <f>ROUND(RV_DATA!K23, 6)</f>
        <v>6.09</v>
      </c>
      <c r="F76" s="59">
        <f>ROUND(SUMIF(RV_DATA!W8:'RV_DATA'!W122, -1284884851, RV_DATA!M8:'RV_DATA'!M122), 6)</f>
        <v>42.67</v>
      </c>
      <c r="G76" s="59">
        <f>ROUND(RV_DATA!N23, 6)</f>
        <v>6.09</v>
      </c>
      <c r="H76" s="59">
        <f>ROUND(SUMIF(RV_DATA!W8:'RV_DATA'!W122, -1284884851, RV_DATA!O8:'RV_DATA'!O122), 6)</f>
        <v>42.67</v>
      </c>
      <c r="Q76">
        <v>3</v>
      </c>
    </row>
    <row r="77" spans="1:18" ht="28.5" x14ac:dyDescent="0.2">
      <c r="A77" s="56" t="s">
        <v>597</v>
      </c>
      <c r="B77" s="57" t="s">
        <v>599</v>
      </c>
      <c r="C77" s="57" t="s">
        <v>96</v>
      </c>
      <c r="D77" s="58">
        <f>ROUND(SUMIF(RV_DATA!W8:'RV_DATA'!W122, -1353927395, RV_DATA!I8:'RV_DATA'!I122), 6)</f>
        <v>3.8025999999999997E-2</v>
      </c>
      <c r="E77" s="59">
        <f>ROUND(RV_DATA!K56, 6)</f>
        <v>2.44</v>
      </c>
      <c r="F77" s="59">
        <f>ROUND(SUMIF(RV_DATA!W8:'RV_DATA'!W122, -1353927395, RV_DATA!M8:'RV_DATA'!M122), 6)</f>
        <v>0.09</v>
      </c>
      <c r="G77" s="59">
        <f>ROUND(RV_DATA!N56, 6)</f>
        <v>2.44</v>
      </c>
      <c r="H77" s="59">
        <f>ROUND(SUMIF(RV_DATA!W8:'RV_DATA'!W122, -1353927395, RV_DATA!O8:'RV_DATA'!O122), 6)</f>
        <v>0.09</v>
      </c>
      <c r="Q77">
        <v>3</v>
      </c>
    </row>
    <row r="78" spans="1:18" ht="28.5" x14ac:dyDescent="0.2">
      <c r="A78" s="56" t="s">
        <v>89</v>
      </c>
      <c r="B78" s="57" t="s">
        <v>90</v>
      </c>
      <c r="C78" s="57" t="s">
        <v>91</v>
      </c>
      <c r="D78" s="58">
        <f>ROUND(SUMIF(RV_DATA!W8:'RV_DATA'!W122, 86948802, RV_DATA!I8:'RV_DATA'!I122), 6)</f>
        <v>2</v>
      </c>
      <c r="E78" s="59">
        <f>ROUND(RV_DATA!K55, 6)</f>
        <v>99.1</v>
      </c>
      <c r="F78" s="59">
        <f>ROUND(SUMIF(RV_DATA!W8:'RV_DATA'!W122, 86948802, RV_DATA!M8:'RV_DATA'!M122), 6)</f>
        <v>198.2</v>
      </c>
      <c r="G78" s="59">
        <f>ROUND(RV_DATA!N55, 6)</f>
        <v>99.1</v>
      </c>
      <c r="H78" s="59">
        <f>ROUND(SUMIF(RV_DATA!W8:'RV_DATA'!W122, 86948802, RV_DATA!O8:'RV_DATA'!O122), 6)</f>
        <v>198.2</v>
      </c>
      <c r="Q78">
        <v>3</v>
      </c>
    </row>
    <row r="79" spans="1:18" ht="28.5" x14ac:dyDescent="0.2">
      <c r="A79" s="56" t="s">
        <v>184</v>
      </c>
      <c r="B79" s="57" t="s">
        <v>185</v>
      </c>
      <c r="C79" s="57" t="s">
        <v>186</v>
      </c>
      <c r="D79" s="58">
        <f>ROUND(SUMIF(RV_DATA!W8:'RV_DATA'!W122, -2111467061, RV_DATA!I8:'RV_DATA'!I122), 6)</f>
        <v>6</v>
      </c>
      <c r="E79" s="59">
        <f>ROUND(RV_DATA!K116, 6)</f>
        <v>12</v>
      </c>
      <c r="F79" s="59">
        <f>ROUND(SUMIF(RV_DATA!W8:'RV_DATA'!W122, -2111467061, RV_DATA!M8:'RV_DATA'!M122), 6)</f>
        <v>72</v>
      </c>
      <c r="G79" s="59">
        <f>ROUND(RV_DATA!N116, 6)</f>
        <v>12</v>
      </c>
      <c r="H79" s="59">
        <f>ROUND(SUMIF(RV_DATA!W8:'RV_DATA'!W122, -2111467061, RV_DATA!O8:'RV_DATA'!O122), 6)</f>
        <v>72</v>
      </c>
      <c r="Q79">
        <v>3</v>
      </c>
    </row>
    <row r="80" spans="1:18" ht="14.25" x14ac:dyDescent="0.2">
      <c r="A80" s="56" t="s">
        <v>30</v>
      </c>
      <c r="B80" s="57" t="s">
        <v>31</v>
      </c>
      <c r="C80" s="57" t="s">
        <v>32</v>
      </c>
      <c r="D80" s="58">
        <f>ROUND(SUMIF(RV_DATA!W8:'RV_DATA'!W122, -682517808, RV_DATA!I8:'RV_DATA'!I122), 6)</f>
        <v>3.8633999999999999</v>
      </c>
      <c r="E80" s="59">
        <f>ROUND(RV_DATA!K10, 6)</f>
        <v>0</v>
      </c>
      <c r="F80" s="59">
        <f>ROUND(SUMIF(RV_DATA!W8:'RV_DATA'!W122, -682517808, RV_DATA!M8:'RV_DATA'!M122), 6)</f>
        <v>0</v>
      </c>
      <c r="G80" s="59">
        <f>ROUND(RV_DATA!N10, 6)</f>
        <v>0</v>
      </c>
      <c r="H80" s="59">
        <f>ROUND(SUMIF(RV_DATA!W8:'RV_DATA'!W122, -682517808, RV_DATA!O8:'RV_DATA'!O122), 6)</f>
        <v>0</v>
      </c>
      <c r="Q80">
        <v>3</v>
      </c>
    </row>
    <row r="81" spans="1:17" ht="28.5" x14ac:dyDescent="0.2">
      <c r="A81" s="56" t="s">
        <v>600</v>
      </c>
      <c r="B81" s="57" t="s">
        <v>602</v>
      </c>
      <c r="C81" s="57" t="s">
        <v>603</v>
      </c>
      <c r="D81" s="58">
        <f>ROUND(SUMIF(RV_DATA!W8:'RV_DATA'!W122, 1907647847, RV_DATA!I8:'RV_DATA'!I122), 6)</f>
        <v>0.91800000000000004</v>
      </c>
      <c r="E81" s="59">
        <f>ROUND(RV_DATA!K63, 6)</f>
        <v>12.19</v>
      </c>
      <c r="F81" s="59">
        <f>ROUND(SUMIF(RV_DATA!W8:'RV_DATA'!W122, 1907647847, RV_DATA!M8:'RV_DATA'!M122), 6)</f>
        <v>11.19</v>
      </c>
      <c r="G81" s="59">
        <f>ROUND(RV_DATA!N63, 6)</f>
        <v>12.19</v>
      </c>
      <c r="H81" s="59">
        <f>ROUND(SUMIF(RV_DATA!W8:'RV_DATA'!W122, 1907647847, RV_DATA!O8:'RV_DATA'!O122), 6)</f>
        <v>11.19</v>
      </c>
      <c r="Q81">
        <v>3</v>
      </c>
    </row>
    <row r="82" spans="1:17" ht="28.5" x14ac:dyDescent="0.2">
      <c r="A82" s="56" t="s">
        <v>649</v>
      </c>
      <c r="B82" s="57" t="s">
        <v>651</v>
      </c>
      <c r="C82" s="57" t="s">
        <v>603</v>
      </c>
      <c r="D82" s="58">
        <f>ROUND(SUMIF(RV_DATA!W8:'RV_DATA'!W122, 224474997, RV_DATA!I8:'RV_DATA'!I122), 6)</f>
        <v>25.032499999999999</v>
      </c>
      <c r="E82" s="59">
        <f>ROUND(RV_DATA!K105, 6)</f>
        <v>3.62</v>
      </c>
      <c r="F82" s="59">
        <f>ROUND(SUMIF(RV_DATA!W8:'RV_DATA'!W122, 224474997, RV_DATA!M8:'RV_DATA'!M122), 6)</f>
        <v>90.62</v>
      </c>
      <c r="G82" s="59">
        <f>ROUND(RV_DATA!N105, 6)</f>
        <v>3.62</v>
      </c>
      <c r="H82" s="59">
        <f>ROUND(SUMIF(RV_DATA!W8:'RV_DATA'!W122, 224474997, RV_DATA!O8:'RV_DATA'!O122), 6)</f>
        <v>90.62</v>
      </c>
      <c r="Q82">
        <v>3</v>
      </c>
    </row>
    <row r="83" spans="1:17" ht="28.5" x14ac:dyDescent="0.2">
      <c r="A83" s="56" t="s">
        <v>557</v>
      </c>
      <c r="B83" s="57" t="s">
        <v>559</v>
      </c>
      <c r="C83" s="57" t="s">
        <v>32</v>
      </c>
      <c r="D83" s="58">
        <f>ROUND(SUMIF(RV_DATA!W8:'RV_DATA'!W122, 92895876, RV_DATA!I8:'RV_DATA'!I122), 6)</f>
        <v>2.1697000000000001E-2</v>
      </c>
      <c r="E83" s="59">
        <f>ROUND(RV_DATA!K43, 6)</f>
        <v>10749</v>
      </c>
      <c r="F83" s="59">
        <f>ROUND(SUMIF(RV_DATA!W8:'RV_DATA'!W122, 92895876, RV_DATA!M8:'RV_DATA'!M122), 6)</f>
        <v>233.25</v>
      </c>
      <c r="G83" s="59">
        <f>ROUND(RV_DATA!N43, 6)</f>
        <v>10749</v>
      </c>
      <c r="H83" s="59">
        <f>ROUND(SUMIF(RV_DATA!W8:'RV_DATA'!W122, 92895876, RV_DATA!O8:'RV_DATA'!O122), 6)</f>
        <v>233.25</v>
      </c>
      <c r="Q83">
        <v>3</v>
      </c>
    </row>
    <row r="84" spans="1:17" ht="28.5" x14ac:dyDescent="0.2">
      <c r="A84" s="56" t="s">
        <v>548</v>
      </c>
      <c r="B84" s="57" t="s">
        <v>550</v>
      </c>
      <c r="C84" s="57" t="s">
        <v>32</v>
      </c>
      <c r="D84" s="58">
        <f>ROUND(SUMIF(RV_DATA!W8:'RV_DATA'!W122, -647713395, RV_DATA!I8:'RV_DATA'!I122), 6)</f>
        <v>5.4260000000000003E-3</v>
      </c>
      <c r="E84" s="59">
        <f>ROUND(RV_DATA!K22, 6)</f>
        <v>9765</v>
      </c>
      <c r="F84" s="59">
        <f>ROUND(SUMIF(RV_DATA!W8:'RV_DATA'!W122, -647713395, RV_DATA!M8:'RV_DATA'!M122), 6)</f>
        <v>52.99</v>
      </c>
      <c r="G84" s="59">
        <f>ROUND(RV_DATA!N22, 6)</f>
        <v>9765</v>
      </c>
      <c r="H84" s="59">
        <f>ROUND(SUMIF(RV_DATA!W8:'RV_DATA'!W122, -647713395, RV_DATA!O8:'RV_DATA'!O122), 6)</f>
        <v>52.99</v>
      </c>
      <c r="Q84">
        <v>3</v>
      </c>
    </row>
    <row r="85" spans="1:17" ht="28.5" x14ac:dyDescent="0.2">
      <c r="A85" s="56" t="s">
        <v>607</v>
      </c>
      <c r="B85" s="57" t="s">
        <v>609</v>
      </c>
      <c r="C85" s="57" t="s">
        <v>32</v>
      </c>
      <c r="D85" s="58">
        <f>ROUND(SUMIF(RV_DATA!W8:'RV_DATA'!W122, 344571489, RV_DATA!I8:'RV_DATA'!I122), 6)</f>
        <v>8.0000000000000004E-4</v>
      </c>
      <c r="E85" s="59">
        <f>ROUND(RV_DATA!K67, 6)</f>
        <v>9424</v>
      </c>
      <c r="F85" s="59">
        <f>ROUND(SUMIF(RV_DATA!W8:'RV_DATA'!W122, 344571489, RV_DATA!M8:'RV_DATA'!M122), 6)</f>
        <v>7.54</v>
      </c>
      <c r="G85" s="59">
        <f>ROUND(RV_DATA!N67, 6)</f>
        <v>9424</v>
      </c>
      <c r="H85" s="59">
        <f>ROUND(SUMIF(RV_DATA!W8:'RV_DATA'!W122, 344571489, RV_DATA!O8:'RV_DATA'!O122), 6)</f>
        <v>7.54</v>
      </c>
      <c r="Q85">
        <v>3</v>
      </c>
    </row>
    <row r="86" spans="1:17" ht="28.5" x14ac:dyDescent="0.2">
      <c r="A86" s="56" t="s">
        <v>560</v>
      </c>
      <c r="B86" s="57" t="s">
        <v>562</v>
      </c>
      <c r="C86" s="57" t="s">
        <v>32</v>
      </c>
      <c r="D86" s="58">
        <f>ROUND(SUMIF(RV_DATA!W8:'RV_DATA'!W122, -765046760, RV_DATA!I8:'RV_DATA'!I122), 6)</f>
        <v>5.2742999999999998E-2</v>
      </c>
      <c r="E86" s="59">
        <f>ROUND(RV_DATA!K42, 6)</f>
        <v>9040.01</v>
      </c>
      <c r="F86" s="59">
        <f>ROUND(SUMIF(RV_DATA!W8:'RV_DATA'!W122, -765046760, RV_DATA!M8:'RV_DATA'!M122), 6)</f>
        <v>476.77</v>
      </c>
      <c r="G86" s="59">
        <f>ROUND(RV_DATA!N42, 6)</f>
        <v>9040.01</v>
      </c>
      <c r="H86" s="59">
        <f>ROUND(SUMIF(RV_DATA!W8:'RV_DATA'!W122, -765046760, RV_DATA!O8:'RV_DATA'!O122), 6)</f>
        <v>476.77</v>
      </c>
      <c r="Q86">
        <v>3</v>
      </c>
    </row>
    <row r="87" spans="1:17" ht="28.5" x14ac:dyDescent="0.2">
      <c r="A87" s="56" t="s">
        <v>563</v>
      </c>
      <c r="B87" s="57" t="s">
        <v>565</v>
      </c>
      <c r="C87" s="57" t="s">
        <v>32</v>
      </c>
      <c r="D87" s="58">
        <f>ROUND(SUMIF(RV_DATA!W8:'RV_DATA'!W122, 1624895567, RV_DATA!I8:'RV_DATA'!I122), 6)</f>
        <v>1.55E-4</v>
      </c>
      <c r="E87" s="59">
        <f>ROUND(RV_DATA!K41, 6)</f>
        <v>11978</v>
      </c>
      <c r="F87" s="59">
        <f>ROUND(SUMIF(RV_DATA!W8:'RV_DATA'!W122, 1624895567, RV_DATA!M8:'RV_DATA'!M122), 6)</f>
        <v>1.86</v>
      </c>
      <c r="G87" s="59">
        <f>ROUND(RV_DATA!N41, 6)</f>
        <v>11978</v>
      </c>
      <c r="H87" s="59">
        <f>ROUND(SUMIF(RV_DATA!W8:'RV_DATA'!W122, 1624895567, RV_DATA!O8:'RV_DATA'!O122), 6)</f>
        <v>1.86</v>
      </c>
      <c r="Q87">
        <v>3</v>
      </c>
    </row>
    <row r="88" spans="1:17" ht="28.5" x14ac:dyDescent="0.2">
      <c r="A88" s="56" t="s">
        <v>585</v>
      </c>
      <c r="B88" s="57" t="s">
        <v>587</v>
      </c>
      <c r="C88" s="57" t="s">
        <v>32</v>
      </c>
      <c r="D88" s="58">
        <f>ROUND(SUMIF(RV_DATA!W8:'RV_DATA'!W122, 1843181130, RV_DATA!I8:'RV_DATA'!I122), 6)</f>
        <v>1.6000000000000001E-4</v>
      </c>
      <c r="E88" s="59">
        <f>ROUND(RV_DATA!K53, 6)</f>
        <v>16974</v>
      </c>
      <c r="F88" s="59">
        <f>ROUND(SUMIF(RV_DATA!W8:'RV_DATA'!W122, 1843181130, RV_DATA!M8:'RV_DATA'!M122), 6)</f>
        <v>2.72</v>
      </c>
      <c r="G88" s="59">
        <f>ROUND(RV_DATA!N53, 6)</f>
        <v>16974</v>
      </c>
      <c r="H88" s="59">
        <f>ROUND(SUMIF(RV_DATA!W8:'RV_DATA'!W122, 1843181130, RV_DATA!O8:'RV_DATA'!O122), 6)</f>
        <v>2.72</v>
      </c>
      <c r="Q88">
        <v>3</v>
      </c>
    </row>
    <row r="89" spans="1:17" ht="28.5" x14ac:dyDescent="0.2">
      <c r="A89" s="56" t="s">
        <v>490</v>
      </c>
      <c r="B89" s="57" t="s">
        <v>492</v>
      </c>
      <c r="C89" s="57" t="s">
        <v>32</v>
      </c>
      <c r="D89" s="58">
        <f>ROUND(SUMIF(RV_DATA!W8:'RV_DATA'!W122, 714967763, RV_DATA!I8:'RV_DATA'!I122), 6)</f>
        <v>2.2100000000000001E-4</v>
      </c>
      <c r="E89" s="59">
        <f>ROUND(RV_DATA!K12, 6)</f>
        <v>37600.01</v>
      </c>
      <c r="F89" s="59">
        <f>ROUND(SUMIF(RV_DATA!W8:'RV_DATA'!W122, 714967763, RV_DATA!M8:'RV_DATA'!M122), 6)</f>
        <v>8.3000000000000007</v>
      </c>
      <c r="G89" s="59">
        <f>ROUND(RV_DATA!N12, 6)</f>
        <v>37600.01</v>
      </c>
      <c r="H89" s="59">
        <f>ROUND(SUMIF(RV_DATA!W8:'RV_DATA'!W122, 714967763, RV_DATA!O8:'RV_DATA'!O122), 6)</f>
        <v>8.3000000000000007</v>
      </c>
      <c r="Q89">
        <v>3</v>
      </c>
    </row>
    <row r="90" spans="1:17" ht="28.5" x14ac:dyDescent="0.2">
      <c r="A90" s="56" t="s">
        <v>566</v>
      </c>
      <c r="B90" s="57" t="s">
        <v>568</v>
      </c>
      <c r="C90" s="57" t="s">
        <v>32</v>
      </c>
      <c r="D90" s="58">
        <f>ROUND(SUMIF(RV_DATA!W8:'RV_DATA'!W122, -1774795738, RV_DATA!I8:'RV_DATA'!I122), 6)</f>
        <v>1.5499999999999999E-3</v>
      </c>
      <c r="E90" s="59">
        <f>ROUND(RV_DATA!K40, 6)</f>
        <v>37900</v>
      </c>
      <c r="F90" s="59">
        <f>ROUND(SUMIF(RV_DATA!W8:'RV_DATA'!W122, -1774795738, RV_DATA!M8:'RV_DATA'!M122), 6)</f>
        <v>58.74</v>
      </c>
      <c r="G90" s="59">
        <f>ROUND(RV_DATA!N40, 6)</f>
        <v>37900</v>
      </c>
      <c r="H90" s="59">
        <f>ROUND(SUMIF(RV_DATA!W8:'RV_DATA'!W122, -1774795738, RV_DATA!O8:'RV_DATA'!O122), 6)</f>
        <v>58.74</v>
      </c>
      <c r="Q90">
        <v>3</v>
      </c>
    </row>
    <row r="91" spans="1:17" ht="28.5" x14ac:dyDescent="0.2">
      <c r="A91" s="56" t="s">
        <v>101</v>
      </c>
      <c r="B91" s="57" t="s">
        <v>102</v>
      </c>
      <c r="C91" s="57" t="s">
        <v>96</v>
      </c>
      <c r="D91" s="58">
        <f>ROUND(SUMIF(RV_DATA!W8:'RV_DATA'!W122, 1416435395, RV_DATA!I8:'RV_DATA'!I122), 6)</f>
        <v>0.14399999999999999</v>
      </c>
      <c r="E91" s="59">
        <f>ROUND(RV_DATA!K62, 6)</f>
        <v>55.26</v>
      </c>
      <c r="F91" s="59">
        <f>ROUND(SUMIF(RV_DATA!W8:'RV_DATA'!W122, 1416435395, RV_DATA!M8:'RV_DATA'!M122), 6)</f>
        <v>7.96</v>
      </c>
      <c r="G91" s="59">
        <f>ROUND(RV_DATA!N62, 6)</f>
        <v>55.26</v>
      </c>
      <c r="H91" s="59">
        <f>ROUND(SUMIF(RV_DATA!W8:'RV_DATA'!W122, 1416435395, RV_DATA!O8:'RV_DATA'!O122), 6)</f>
        <v>7.96</v>
      </c>
      <c r="Q91">
        <v>3</v>
      </c>
    </row>
    <row r="92" spans="1:17" ht="42.75" x14ac:dyDescent="0.2">
      <c r="A92" s="56" t="s">
        <v>170</v>
      </c>
      <c r="B92" s="57" t="s">
        <v>171</v>
      </c>
      <c r="C92" s="57" t="s">
        <v>96</v>
      </c>
      <c r="D92" s="58">
        <f>ROUND(SUMIF(RV_DATA!W8:'RV_DATA'!W122, -1424442351, RV_DATA!I8:'RV_DATA'!I122), 6)</f>
        <v>20.27</v>
      </c>
      <c r="E92" s="59">
        <f>ROUND(RV_DATA!K113, 6)</f>
        <v>665</v>
      </c>
      <c r="F92" s="59">
        <f>ROUND(SUMIF(RV_DATA!W8:'RV_DATA'!W122, -1424442351, RV_DATA!M8:'RV_DATA'!M122), 6)</f>
        <v>13479.55</v>
      </c>
      <c r="G92" s="59">
        <f>ROUND(RV_DATA!N113, 6)</f>
        <v>665</v>
      </c>
      <c r="H92" s="59">
        <f>ROUND(SUMIF(RV_DATA!W8:'RV_DATA'!W122, -1424442351, RV_DATA!O8:'RV_DATA'!O122), 6)</f>
        <v>13479.55</v>
      </c>
      <c r="Q92">
        <v>3</v>
      </c>
    </row>
    <row r="93" spans="1:17" ht="28.5" x14ac:dyDescent="0.2">
      <c r="A93" s="56" t="s">
        <v>618</v>
      </c>
      <c r="B93" s="57" t="s">
        <v>620</v>
      </c>
      <c r="C93" s="57" t="s">
        <v>96</v>
      </c>
      <c r="D93" s="58">
        <f>ROUND(SUMIF(RV_DATA!W8:'RV_DATA'!W122, -383678036, RV_DATA!I8:'RV_DATA'!I122), 6)</f>
        <v>3.1E-4</v>
      </c>
      <c r="E93" s="59">
        <f>ROUND(RV_DATA!K72, 6)</f>
        <v>463.3</v>
      </c>
      <c r="F93" s="59">
        <f>ROUND(SUMIF(RV_DATA!W8:'RV_DATA'!W122, -383678036, RV_DATA!M8:'RV_DATA'!M122), 6)</f>
        <v>0.14000000000000001</v>
      </c>
      <c r="G93" s="59">
        <f>ROUND(RV_DATA!N72, 6)</f>
        <v>463.3</v>
      </c>
      <c r="H93" s="59">
        <f>ROUND(SUMIF(RV_DATA!W8:'RV_DATA'!W122, -383678036, RV_DATA!O8:'RV_DATA'!O122), 6)</f>
        <v>0.14000000000000001</v>
      </c>
      <c r="Q93">
        <v>3</v>
      </c>
    </row>
    <row r="94" spans="1:17" ht="57" x14ac:dyDescent="0.2">
      <c r="A94" s="56" t="s">
        <v>189</v>
      </c>
      <c r="B94" s="57" t="s">
        <v>190</v>
      </c>
      <c r="C94" s="57" t="s">
        <v>32</v>
      </c>
      <c r="D94" s="58">
        <f>ROUND(SUMIF(RV_DATA!W8:'RV_DATA'!W122, -647373615, RV_DATA!I8:'RV_DATA'!I122), 6)</f>
        <v>15.49803</v>
      </c>
      <c r="E94" s="59">
        <f>ROUND(RV_DATA!K117, 6)</f>
        <v>10046</v>
      </c>
      <c r="F94" s="59">
        <f>ROUND(SUMIF(RV_DATA!W8:'RV_DATA'!W122, -647373615, RV_DATA!M8:'RV_DATA'!M122), 6)</f>
        <v>155693.21</v>
      </c>
      <c r="G94" s="59">
        <f>ROUND(RV_DATA!N117, 6)</f>
        <v>10046</v>
      </c>
      <c r="H94" s="59">
        <f>ROUND(SUMIF(RV_DATA!W8:'RV_DATA'!W122, -647373615, RV_DATA!O8:'RV_DATA'!O122), 6)</f>
        <v>155693.21</v>
      </c>
      <c r="Q94">
        <v>3</v>
      </c>
    </row>
    <row r="95" spans="1:17" ht="57" x14ac:dyDescent="0.2">
      <c r="A95" s="56" t="s">
        <v>189</v>
      </c>
      <c r="B95" s="57" t="s">
        <v>193</v>
      </c>
      <c r="C95" s="57" t="s">
        <v>32</v>
      </c>
      <c r="D95" s="58">
        <f>ROUND(SUMIF(RV_DATA!W8:'RV_DATA'!W122, -679854995, RV_DATA!I8:'RV_DATA'!I122), 6)</f>
        <v>8.0299999999999996E-2</v>
      </c>
      <c r="E95" s="59">
        <f>ROUND(RV_DATA!K118, 6)</f>
        <v>10046</v>
      </c>
      <c r="F95" s="59">
        <f>ROUND(SUMIF(RV_DATA!W8:'RV_DATA'!W122, -679854995, RV_DATA!M8:'RV_DATA'!M122), 6)</f>
        <v>806.69</v>
      </c>
      <c r="G95" s="59">
        <f>ROUND(RV_DATA!N118, 6)</f>
        <v>10046</v>
      </c>
      <c r="H95" s="59">
        <f>ROUND(SUMIF(RV_DATA!W8:'RV_DATA'!W122, -679854995, RV_DATA!O8:'RV_DATA'!O122), 6)</f>
        <v>806.69</v>
      </c>
      <c r="Q95">
        <v>3</v>
      </c>
    </row>
    <row r="96" spans="1:17" ht="42.75" x14ac:dyDescent="0.2">
      <c r="A96" s="56" t="s">
        <v>189</v>
      </c>
      <c r="B96" s="57" t="s">
        <v>195</v>
      </c>
      <c r="C96" s="57" t="s">
        <v>32</v>
      </c>
      <c r="D96" s="58">
        <f>ROUND(SUMIF(RV_DATA!W8:'RV_DATA'!W122, -1995840471, RV_DATA!I8:'RV_DATA'!I122), 6)</f>
        <v>0.41536000000000001</v>
      </c>
      <c r="E96" s="59">
        <f>ROUND(RV_DATA!K119, 6)</f>
        <v>10046</v>
      </c>
      <c r="F96" s="59">
        <f>ROUND(SUMIF(RV_DATA!W8:'RV_DATA'!W122, -1995840471, RV_DATA!M8:'RV_DATA'!M122), 6)</f>
        <v>4172.71</v>
      </c>
      <c r="G96" s="59">
        <f>ROUND(RV_DATA!N119, 6)</f>
        <v>10046</v>
      </c>
      <c r="H96" s="59">
        <f>ROUND(SUMIF(RV_DATA!W8:'RV_DATA'!W122, -1995840471, RV_DATA!O8:'RV_DATA'!O122), 6)</f>
        <v>4172.71</v>
      </c>
      <c r="Q96">
        <v>3</v>
      </c>
    </row>
    <row r="97" spans="1:17" ht="42.75" x14ac:dyDescent="0.2">
      <c r="A97" s="56" t="s">
        <v>189</v>
      </c>
      <c r="B97" s="57" t="s">
        <v>197</v>
      </c>
      <c r="C97" s="57" t="s">
        <v>32</v>
      </c>
      <c r="D97" s="58">
        <f>ROUND(SUMIF(RV_DATA!W8:'RV_DATA'!W122, -305746503, RV_DATA!I8:'RV_DATA'!I122), 6)</f>
        <v>0.35920999999999997</v>
      </c>
      <c r="E97" s="59">
        <f>ROUND(RV_DATA!K120, 6)</f>
        <v>10046</v>
      </c>
      <c r="F97" s="59">
        <f>ROUND(SUMIF(RV_DATA!W8:'RV_DATA'!W122, -305746503, RV_DATA!M8:'RV_DATA'!M122), 6)</f>
        <v>3608.62</v>
      </c>
      <c r="G97" s="59">
        <f>ROUND(RV_DATA!N120, 6)</f>
        <v>10046</v>
      </c>
      <c r="H97" s="59">
        <f>ROUND(SUMIF(RV_DATA!W8:'RV_DATA'!W122, -305746503, RV_DATA!O8:'RV_DATA'!O122), 6)</f>
        <v>3608.62</v>
      </c>
      <c r="Q97">
        <v>3</v>
      </c>
    </row>
    <row r="98" spans="1:17" ht="71.25" x14ac:dyDescent="0.2">
      <c r="A98" s="56" t="s">
        <v>569</v>
      </c>
      <c r="B98" s="57" t="s">
        <v>571</v>
      </c>
      <c r="C98" s="57" t="s">
        <v>572</v>
      </c>
      <c r="D98" s="58">
        <f>ROUND(SUMIF(RV_DATA!W8:'RV_DATA'!W122, 507966023, RV_DATA!I8:'RV_DATA'!I122), 6)</f>
        <v>0.28981299999999999</v>
      </c>
      <c r="E98" s="59">
        <f>ROUND(RV_DATA!K39, 6)</f>
        <v>50.24</v>
      </c>
      <c r="F98" s="59">
        <f>ROUND(SUMIF(RV_DATA!W8:'RV_DATA'!W122, 507966023, RV_DATA!M8:'RV_DATA'!M122), 6)</f>
        <v>14.57</v>
      </c>
      <c r="G98" s="59">
        <f>ROUND(RV_DATA!N39, 6)</f>
        <v>50.24</v>
      </c>
      <c r="H98" s="59">
        <f>ROUND(SUMIF(RV_DATA!W8:'RV_DATA'!W122, 507966023, RV_DATA!O8:'RV_DATA'!O122), 6)</f>
        <v>14.57</v>
      </c>
      <c r="Q98">
        <v>3</v>
      </c>
    </row>
    <row r="99" spans="1:17" ht="28.5" x14ac:dyDescent="0.2">
      <c r="A99" s="56" t="s">
        <v>573</v>
      </c>
      <c r="B99" s="57" t="s">
        <v>575</v>
      </c>
      <c r="C99" s="57" t="s">
        <v>32</v>
      </c>
      <c r="D99" s="58">
        <f>ROUND(SUMIF(RV_DATA!W8:'RV_DATA'!W122, -151677815, RV_DATA!I8:'RV_DATA'!I122), 6)</f>
        <v>4.6500000000000003E-4</v>
      </c>
      <c r="E99" s="59">
        <f>ROUND(RV_DATA!K38, 6)</f>
        <v>4455.2</v>
      </c>
      <c r="F99" s="59">
        <f>ROUND(SUMIF(RV_DATA!W8:'RV_DATA'!W122, -151677815, RV_DATA!M8:'RV_DATA'!M122), 6)</f>
        <v>2.0099999999999998</v>
      </c>
      <c r="G99" s="59">
        <f>ROUND(RV_DATA!N38, 6)</f>
        <v>4455.2</v>
      </c>
      <c r="H99" s="59">
        <f>ROUND(SUMIF(RV_DATA!W8:'RV_DATA'!W122, -151677815, RV_DATA!O8:'RV_DATA'!O122), 6)</f>
        <v>2.0099999999999998</v>
      </c>
      <c r="Q99">
        <v>3</v>
      </c>
    </row>
    <row r="100" spans="1:17" ht="28.5" x14ac:dyDescent="0.2">
      <c r="A100" s="56" t="s">
        <v>180</v>
      </c>
      <c r="B100" s="57" t="s">
        <v>181</v>
      </c>
      <c r="C100" s="57" t="s">
        <v>32</v>
      </c>
      <c r="D100" s="58">
        <f>ROUND(SUMIF(RV_DATA!W8:'RV_DATA'!W122, -1031981923, RV_DATA!I8:'RV_DATA'!I122), 6)</f>
        <v>0.114</v>
      </c>
      <c r="E100" s="59">
        <f>ROUND(RV_DATA!K115, 6)</f>
        <v>6671.97</v>
      </c>
      <c r="F100" s="59">
        <f>ROUND(SUMIF(RV_DATA!W8:'RV_DATA'!W122, -1031981923, RV_DATA!M8:'RV_DATA'!M122), 6)</f>
        <v>760.6</v>
      </c>
      <c r="G100" s="59">
        <f>ROUND(RV_DATA!N115, 6)</f>
        <v>6671.97</v>
      </c>
      <c r="H100" s="59">
        <f>ROUND(SUMIF(RV_DATA!W8:'RV_DATA'!W122, -1031981923, RV_DATA!O8:'RV_DATA'!O122), 6)</f>
        <v>760.6</v>
      </c>
      <c r="Q100">
        <v>3</v>
      </c>
    </row>
    <row r="101" spans="1:17" ht="28.5" x14ac:dyDescent="0.2">
      <c r="A101" s="56" t="s">
        <v>576</v>
      </c>
      <c r="B101" s="57" t="s">
        <v>578</v>
      </c>
      <c r="C101" s="57" t="s">
        <v>32</v>
      </c>
      <c r="D101" s="58">
        <f>ROUND(SUMIF(RV_DATA!W8:'RV_DATA'!W122, -243893357, RV_DATA!I8:'RV_DATA'!I122), 6)</f>
        <v>3.0065999999999999E-2</v>
      </c>
      <c r="E101" s="59">
        <f>ROUND(RV_DATA!K37, 6)</f>
        <v>4920</v>
      </c>
      <c r="F101" s="59">
        <f>ROUND(SUMIF(RV_DATA!W8:'RV_DATA'!W122, -243893357, RV_DATA!M8:'RV_DATA'!M122), 6)</f>
        <v>147.85</v>
      </c>
      <c r="G101" s="59">
        <f>ROUND(RV_DATA!N37, 6)</f>
        <v>4920</v>
      </c>
      <c r="H101" s="59">
        <f>ROUND(SUMIF(RV_DATA!W8:'RV_DATA'!W122, -243893357, RV_DATA!O8:'RV_DATA'!O122), 6)</f>
        <v>147.85</v>
      </c>
      <c r="Q101">
        <v>3</v>
      </c>
    </row>
    <row r="102" spans="1:17" ht="28.5" x14ac:dyDescent="0.2">
      <c r="A102" s="56" t="s">
        <v>203</v>
      </c>
      <c r="B102" s="57" t="s">
        <v>204</v>
      </c>
      <c r="C102" s="57" t="s">
        <v>32</v>
      </c>
      <c r="D102" s="58">
        <f>ROUND(SUMIF(RV_DATA!W8:'RV_DATA'!W122, -1235175819, RV_DATA!I8:'RV_DATA'!I122), 6)</f>
        <v>3.3160000000000002E-2</v>
      </c>
      <c r="E102" s="59">
        <f>ROUND(RV_DATA!K122, 6)</f>
        <v>13564.33</v>
      </c>
      <c r="F102" s="59">
        <f>ROUND(SUMIF(RV_DATA!W8:'RV_DATA'!W122, -1235175819, RV_DATA!M8:'RV_DATA'!M122), 6)</f>
        <v>449.79</v>
      </c>
      <c r="G102" s="59">
        <f>ROUND(RV_DATA!N122, 6)</f>
        <v>13564.33</v>
      </c>
      <c r="H102" s="59">
        <f>ROUND(SUMIF(RV_DATA!W8:'RV_DATA'!W122, -1235175819, RV_DATA!O8:'RV_DATA'!O122), 6)</f>
        <v>449.79</v>
      </c>
      <c r="Q102">
        <v>3</v>
      </c>
    </row>
    <row r="103" spans="1:17" ht="57" x14ac:dyDescent="0.2">
      <c r="A103" s="56" t="s">
        <v>199</v>
      </c>
      <c r="B103" s="57" t="s">
        <v>200</v>
      </c>
      <c r="C103" s="57" t="s">
        <v>32</v>
      </c>
      <c r="D103" s="58">
        <f>ROUND(SUMIF(RV_DATA!W8:'RV_DATA'!W122, -540586421, RV_DATA!I8:'RV_DATA'!I122), 6)</f>
        <v>1.362E-2</v>
      </c>
      <c r="E103" s="59">
        <f>ROUND(RV_DATA!K121, 6)</f>
        <v>6805.76</v>
      </c>
      <c r="F103" s="59">
        <f>ROUND(SUMIF(RV_DATA!W8:'RV_DATA'!W122, -540586421, RV_DATA!M8:'RV_DATA'!M122), 6)</f>
        <v>92.69</v>
      </c>
      <c r="G103" s="59">
        <f>ROUND(RV_DATA!N121, 6)</f>
        <v>6805.76</v>
      </c>
      <c r="H103" s="59">
        <f>ROUND(SUMIF(RV_DATA!W8:'RV_DATA'!W122, -540586421, RV_DATA!O8:'RV_DATA'!O122), 6)</f>
        <v>92.69</v>
      </c>
      <c r="Q103">
        <v>3</v>
      </c>
    </row>
    <row r="104" spans="1:17" ht="28.5" x14ac:dyDescent="0.2">
      <c r="A104" s="56" t="s">
        <v>512</v>
      </c>
      <c r="B104" s="57" t="s">
        <v>514</v>
      </c>
      <c r="C104" s="57" t="s">
        <v>515</v>
      </c>
      <c r="D104" s="58">
        <f>ROUND(SUMIF(RV_DATA!W8:'RV_DATA'!W122, -492646697, RV_DATA!I8:'RV_DATA'!I122), 6)</f>
        <v>50.31</v>
      </c>
      <c r="E104" s="59">
        <f>ROUND(RV_DATA!K15, 6)</f>
        <v>4.17</v>
      </c>
      <c r="F104" s="59">
        <f>ROUND(SUMIF(RV_DATA!W8:'RV_DATA'!W122, -492646697, RV_DATA!M8:'RV_DATA'!M122), 6)</f>
        <v>209.79</v>
      </c>
      <c r="G104" s="59">
        <f>ROUND(RV_DATA!N15, 6)</f>
        <v>4.17</v>
      </c>
      <c r="H104" s="59">
        <f>ROUND(SUMIF(RV_DATA!W8:'RV_DATA'!W122, -492646697, RV_DATA!O8:'RV_DATA'!O122), 6)</f>
        <v>209.79</v>
      </c>
      <c r="Q104">
        <v>3</v>
      </c>
    </row>
    <row r="105" spans="1:17" ht="42.75" x14ac:dyDescent="0.2">
      <c r="A105" s="56" t="s">
        <v>493</v>
      </c>
      <c r="B105" s="57" t="s">
        <v>495</v>
      </c>
      <c r="C105" s="57" t="s">
        <v>96</v>
      </c>
      <c r="D105" s="58">
        <f>ROUND(SUMIF(RV_DATA!W8:'RV_DATA'!W122, -1305018714, RV_DATA!I8:'RV_DATA'!I122), 6)</f>
        <v>1.1039999999999999E-3</v>
      </c>
      <c r="E105" s="59">
        <f>ROUND(RV_DATA!K11, 6)</f>
        <v>802</v>
      </c>
      <c r="F105" s="59">
        <f>ROUND(SUMIF(RV_DATA!W8:'RV_DATA'!W122, -1305018714, RV_DATA!M8:'RV_DATA'!M122), 6)</f>
        <v>0.88</v>
      </c>
      <c r="G105" s="59">
        <f>ROUND(RV_DATA!N11, 6)</f>
        <v>802</v>
      </c>
      <c r="H105" s="59">
        <f>ROUND(SUMIF(RV_DATA!W8:'RV_DATA'!W122, -1305018714, RV_DATA!O8:'RV_DATA'!O122), 6)</f>
        <v>0.88</v>
      </c>
      <c r="Q105">
        <v>3</v>
      </c>
    </row>
    <row r="106" spans="1:17" ht="28.5" x14ac:dyDescent="0.2">
      <c r="A106" s="56" t="s">
        <v>579</v>
      </c>
      <c r="B106" s="57" t="s">
        <v>581</v>
      </c>
      <c r="C106" s="57" t="s">
        <v>32</v>
      </c>
      <c r="D106" s="58">
        <f>ROUND(SUMIF(RV_DATA!W8:'RV_DATA'!W122, -1199146743, RV_DATA!I8:'RV_DATA'!I122), 6)</f>
        <v>0.10245799999999999</v>
      </c>
      <c r="E106" s="59">
        <f>ROUND(RV_DATA!K36, 6)</f>
        <v>15620</v>
      </c>
      <c r="F106" s="59">
        <f>ROUND(SUMIF(RV_DATA!W8:'RV_DATA'!W122, -1199146743, RV_DATA!M8:'RV_DATA'!M122), 6)</f>
        <v>1600.36</v>
      </c>
      <c r="G106" s="59">
        <f>ROUND(RV_DATA!N36, 6)</f>
        <v>15620</v>
      </c>
      <c r="H106" s="59">
        <f>ROUND(SUMIF(RV_DATA!W8:'RV_DATA'!W122, -1199146743, RV_DATA!O8:'RV_DATA'!O122), 6)</f>
        <v>1600.36</v>
      </c>
      <c r="Q106">
        <v>3</v>
      </c>
    </row>
    <row r="107" spans="1:17" ht="28.5" x14ac:dyDescent="0.2">
      <c r="A107" s="56" t="s">
        <v>143</v>
      </c>
      <c r="B107" s="57" t="s">
        <v>144</v>
      </c>
      <c r="C107" s="57" t="s">
        <v>32</v>
      </c>
      <c r="D107" s="58">
        <f>ROUND(SUMIF(RV_DATA!W8:'RV_DATA'!W122, -1490933758, RV_DATA!I8:'RV_DATA'!I122), 6)</f>
        <v>0.30923600000000001</v>
      </c>
      <c r="E107" s="59">
        <f>ROUND(RV_DATA!K103, 6)</f>
        <v>16303</v>
      </c>
      <c r="F107" s="59">
        <f>ROUND(SUMIF(RV_DATA!W8:'RV_DATA'!W122, -1490933758, RV_DATA!M8:'RV_DATA'!M122), 6)</f>
        <v>5041.47</v>
      </c>
      <c r="G107" s="59">
        <f>ROUND(RV_DATA!N103, 6)</f>
        <v>16303</v>
      </c>
      <c r="H107" s="59">
        <f>ROUND(SUMIF(RV_DATA!W8:'RV_DATA'!W122, -1490933758, RV_DATA!O8:'RV_DATA'!O122), 6)</f>
        <v>5041.47</v>
      </c>
      <c r="Q107">
        <v>3</v>
      </c>
    </row>
    <row r="108" spans="1:17" ht="28.5" x14ac:dyDescent="0.2">
      <c r="A108" s="56" t="s">
        <v>635</v>
      </c>
      <c r="B108" s="57" t="s">
        <v>637</v>
      </c>
      <c r="C108" s="57" t="s">
        <v>32</v>
      </c>
      <c r="D108" s="58">
        <f>ROUND(SUMIF(RV_DATA!W8:'RV_DATA'!W122, 968606167, RV_DATA!I8:'RV_DATA'!I122), 6)</f>
        <v>1.6275999999999999E-2</v>
      </c>
      <c r="E108" s="59">
        <f>ROUND(RV_DATA!K88, 6)</f>
        <v>7640</v>
      </c>
      <c r="F108" s="59">
        <f>ROUND(SUMIF(RV_DATA!W8:'RV_DATA'!W122, 968606167, RV_DATA!M8:'RV_DATA'!M122), 6)</f>
        <v>124.35</v>
      </c>
      <c r="G108" s="59">
        <f>ROUND(RV_DATA!N88, 6)</f>
        <v>7640</v>
      </c>
      <c r="H108" s="59">
        <f>ROUND(SUMIF(RV_DATA!W8:'RV_DATA'!W122, 968606167, RV_DATA!O8:'RV_DATA'!O122), 6)</f>
        <v>124.35</v>
      </c>
      <c r="Q108">
        <v>3</v>
      </c>
    </row>
    <row r="109" spans="1:17" ht="28.5" x14ac:dyDescent="0.2">
      <c r="A109" s="56" t="s">
        <v>582</v>
      </c>
      <c r="B109" s="57" t="s">
        <v>584</v>
      </c>
      <c r="C109" s="57" t="s">
        <v>32</v>
      </c>
      <c r="D109" s="58">
        <f>ROUND(SUMIF(RV_DATA!W8:'RV_DATA'!W122, 1440280, RV_DATA!I8:'RV_DATA'!I122), 6)</f>
        <v>9.299E-3</v>
      </c>
      <c r="E109" s="59">
        <f>ROUND(RV_DATA!K35, 6)</f>
        <v>9420</v>
      </c>
      <c r="F109" s="59">
        <f>ROUND(SUMIF(RV_DATA!W8:'RV_DATA'!W122, 1440280, RV_DATA!M8:'RV_DATA'!M122), 6)</f>
        <v>87.56</v>
      </c>
      <c r="G109" s="59">
        <f>ROUND(RV_DATA!N35, 6)</f>
        <v>9420</v>
      </c>
      <c r="H109" s="59">
        <f>ROUND(SUMIF(RV_DATA!W8:'RV_DATA'!W122, 1440280, RV_DATA!O8:'RV_DATA'!O122), 6)</f>
        <v>87.56</v>
      </c>
      <c r="Q109">
        <v>3</v>
      </c>
    </row>
    <row r="110" spans="1:17" ht="28.5" x14ac:dyDescent="0.2">
      <c r="A110" s="56" t="s">
        <v>640</v>
      </c>
      <c r="B110" s="57" t="s">
        <v>642</v>
      </c>
      <c r="C110" s="57" t="s">
        <v>32</v>
      </c>
      <c r="D110" s="58">
        <f>ROUND(SUMIF(RV_DATA!W8:'RV_DATA'!W122, -1853658048, RV_DATA!I8:'RV_DATA'!I122), 6)</f>
        <v>2.2786000000000001E-2</v>
      </c>
      <c r="E110" s="59">
        <f>ROUND(RV_DATA!K96, 6)</f>
        <v>6667</v>
      </c>
      <c r="F110" s="59">
        <f>ROUND(SUMIF(RV_DATA!W8:'RV_DATA'!W122, -1853658048, RV_DATA!M8:'RV_DATA'!M122), 6)</f>
        <v>151.85</v>
      </c>
      <c r="G110" s="59">
        <f>ROUND(RV_DATA!N96, 6)</f>
        <v>6667</v>
      </c>
      <c r="H110" s="59">
        <f>ROUND(SUMIF(RV_DATA!W8:'RV_DATA'!W122, -1853658048, RV_DATA!O8:'RV_DATA'!O122), 6)</f>
        <v>151.85</v>
      </c>
      <c r="Q110">
        <v>3</v>
      </c>
    </row>
    <row r="111" spans="1:17" ht="57" x14ac:dyDescent="0.2">
      <c r="A111" s="56" t="s">
        <v>176</v>
      </c>
      <c r="B111" s="57" t="s">
        <v>177</v>
      </c>
      <c r="C111" s="57" t="s">
        <v>32</v>
      </c>
      <c r="D111" s="58">
        <f>ROUND(SUMIF(RV_DATA!W8:'RV_DATA'!W122, -409795529, RV_DATA!I8:'RV_DATA'!I122), 6)</f>
        <v>6.5019999999999998</v>
      </c>
      <c r="E111" s="59">
        <f>ROUND(RV_DATA!K114, 6)</f>
        <v>7028.18</v>
      </c>
      <c r="F111" s="59">
        <f>ROUND(SUMIF(RV_DATA!W8:'RV_DATA'!W122, -409795529, RV_DATA!M8:'RV_DATA'!M122), 6)</f>
        <v>45697.23</v>
      </c>
      <c r="G111" s="59">
        <f>ROUND(RV_DATA!N114, 6)</f>
        <v>7028.18</v>
      </c>
      <c r="H111" s="59">
        <f>ROUND(SUMIF(RV_DATA!W8:'RV_DATA'!W122, -409795529, RV_DATA!O8:'RV_DATA'!O122), 6)</f>
        <v>45697.23</v>
      </c>
      <c r="Q111">
        <v>3</v>
      </c>
    </row>
    <row r="112" spans="1:17" ht="28.5" x14ac:dyDescent="0.2">
      <c r="A112" s="56" t="s">
        <v>551</v>
      </c>
      <c r="B112" s="57" t="s">
        <v>552</v>
      </c>
      <c r="C112" s="57" t="s">
        <v>553</v>
      </c>
      <c r="D112" s="58">
        <f>ROUND(SUMIF(RV_DATA!W8:'RV_DATA'!W122, -1558966276, RV_DATA!I8:'RV_DATA'!I122), 6)</f>
        <v>4.1575800000000003</v>
      </c>
      <c r="E112" s="59">
        <f>ROUND(RV_DATA!K21, 6)</f>
        <v>1</v>
      </c>
      <c r="F112" s="59">
        <f>ROUND(SUMIF(RV_DATA!W8:'RV_DATA'!W122, -1558966276, RV_DATA!M8:'RV_DATA'!M122), 6)</f>
        <v>4.16</v>
      </c>
      <c r="G112" s="59">
        <f>ROUND(RV_DATA!N21, 6)</f>
        <v>1</v>
      </c>
      <c r="H112" s="59">
        <f>ROUND(SUMIF(RV_DATA!W8:'RV_DATA'!W122, -1558966276, RV_DATA!O8:'RV_DATA'!O122), 6)</f>
        <v>4.16</v>
      </c>
      <c r="Q112">
        <v>3</v>
      </c>
    </row>
    <row r="113" spans="1:18" ht="15" x14ac:dyDescent="0.25">
      <c r="A113" s="86" t="s">
        <v>853</v>
      </c>
      <c r="B113" s="86"/>
      <c r="C113" s="86"/>
      <c r="D113" s="86"/>
      <c r="E113" s="87">
        <f>SUMIF(Q74:Q112, 3, F74:F112)</f>
        <v>233556.36000000004</v>
      </c>
      <c r="F113" s="87"/>
      <c r="G113" s="87">
        <f>SUMIF(Q74:Q112, 3, H74:H112)</f>
        <v>233556.36000000004</v>
      </c>
      <c r="H113" s="86"/>
    </row>
    <row r="114" spans="1:18" ht="16.5" x14ac:dyDescent="0.2">
      <c r="A114" s="93" t="str">
        <f>CONCATENATE("Раздел: ",IF(Source!G96&lt;&gt;"Новый раздел", Source!G96, ""))</f>
        <v>Раздел: Прочие работы</v>
      </c>
      <c r="B114" s="94"/>
      <c r="C114" s="94"/>
      <c r="D114" s="94"/>
      <c r="E114" s="94"/>
      <c r="F114" s="94"/>
      <c r="G114" s="94"/>
      <c r="H114" s="94"/>
    </row>
    <row r="115" spans="1:18" ht="16.5" x14ac:dyDescent="0.2">
      <c r="A115" s="93" t="str">
        <f>CONCATENATE("Подраздел: ",IF(Source!G100&lt;&gt;"Новый подраздел", Source!G100, ""))</f>
        <v>Подраздел: Укладка пешеходных дорожек</v>
      </c>
      <c r="B115" s="94"/>
      <c r="C115" s="94"/>
      <c r="D115" s="94"/>
      <c r="E115" s="94"/>
      <c r="F115" s="94"/>
      <c r="G115" s="94"/>
      <c r="H115" s="94"/>
    </row>
    <row r="116" spans="1:18" ht="14.25" x14ac:dyDescent="0.2">
      <c r="A116" s="88" t="s">
        <v>846</v>
      </c>
      <c r="B116" s="89"/>
      <c r="C116" s="89"/>
      <c r="D116" s="89"/>
      <c r="E116" s="89"/>
      <c r="F116" s="89"/>
      <c r="G116" s="89"/>
      <c r="H116" s="89"/>
    </row>
    <row r="117" spans="1:18" ht="14.25" x14ac:dyDescent="0.2">
      <c r="A117" s="56" t="s">
        <v>659</v>
      </c>
      <c r="B117" s="57" t="s">
        <v>660</v>
      </c>
      <c r="C117" s="57" t="s">
        <v>487</v>
      </c>
      <c r="D117" s="58">
        <f>ROUND(SUMIF(RV_DATA!W125:'RV_DATA'!W163, -1514152417, RV_DATA!I125:'RV_DATA'!I163), 6)</f>
        <v>12.833741</v>
      </c>
      <c r="E117" s="59">
        <f>ROUND(RV_DATA!K132, 6)</f>
        <v>7.87</v>
      </c>
      <c r="F117" s="59">
        <f>ROUND(SUMIF(RV_DATA!W125:'RV_DATA'!W163, -1514152417, RV_DATA!M125:'RV_DATA'!M163), 6)</f>
        <v>101</v>
      </c>
      <c r="G117" s="59">
        <f>ROUND(RV_DATA!N132, 6)</f>
        <v>7.87</v>
      </c>
      <c r="H117" s="59">
        <f>ROUND(SUMIF(RV_DATA!W125:'RV_DATA'!W163, -1514152417, RV_DATA!O125:'RV_DATA'!O163), 6)</f>
        <v>101</v>
      </c>
      <c r="Q117">
        <v>1</v>
      </c>
    </row>
    <row r="118" spans="1:18" ht="14.25" x14ac:dyDescent="0.2">
      <c r="A118" s="56" t="s">
        <v>667</v>
      </c>
      <c r="B118" s="57" t="s">
        <v>668</v>
      </c>
      <c r="C118" s="57" t="s">
        <v>487</v>
      </c>
      <c r="D118" s="58">
        <f>ROUND(SUMIF(RV_DATA!W125:'RV_DATA'!W163, -1107782587, RV_DATA!I125:'RV_DATA'!I163), 6)</f>
        <v>5.0518970000000003</v>
      </c>
      <c r="E118" s="59">
        <f>ROUND(RV_DATA!K139, 6)</f>
        <v>8.02</v>
      </c>
      <c r="F118" s="59">
        <f>ROUND(SUMIF(RV_DATA!W125:'RV_DATA'!W163, -1107782587, RV_DATA!M125:'RV_DATA'!M163), 6)</f>
        <v>40.51</v>
      </c>
      <c r="G118" s="59">
        <f>ROUND(RV_DATA!N139, 6)</f>
        <v>8.02</v>
      </c>
      <c r="H118" s="59">
        <f>ROUND(SUMIF(RV_DATA!W125:'RV_DATA'!W163, -1107782587, RV_DATA!O125:'RV_DATA'!O163), 6)</f>
        <v>40.51</v>
      </c>
      <c r="Q118">
        <v>1</v>
      </c>
    </row>
    <row r="119" spans="1:18" ht="14.25" x14ac:dyDescent="0.2">
      <c r="A119" s="56" t="s">
        <v>654</v>
      </c>
      <c r="B119" s="57" t="s">
        <v>655</v>
      </c>
      <c r="C119" s="57" t="s">
        <v>487</v>
      </c>
      <c r="D119" s="58">
        <f>ROUND(SUMIF(RV_DATA!W125:'RV_DATA'!W163, 1013964695, RV_DATA!I125:'RV_DATA'!I163), 6)</f>
        <v>16.141031999999999</v>
      </c>
      <c r="E119" s="59">
        <f>ROUND(RV_DATA!K128, 6)</f>
        <v>8.31</v>
      </c>
      <c r="F119" s="59">
        <f>ROUND(SUMIF(RV_DATA!W125:'RV_DATA'!W163, 1013964695, RV_DATA!M125:'RV_DATA'!M163), 6)</f>
        <v>134.13</v>
      </c>
      <c r="G119" s="59">
        <f>ROUND(RV_DATA!N128, 6)</f>
        <v>8.31</v>
      </c>
      <c r="H119" s="59">
        <f>ROUND(SUMIF(RV_DATA!W125:'RV_DATA'!W163, 1013964695, RV_DATA!O125:'RV_DATA'!O163), 6)</f>
        <v>134.13</v>
      </c>
      <c r="Q119">
        <v>1</v>
      </c>
    </row>
    <row r="120" spans="1:18" ht="14.25" x14ac:dyDescent="0.2">
      <c r="A120" s="56" t="s">
        <v>675</v>
      </c>
      <c r="B120" s="57" t="s">
        <v>676</v>
      </c>
      <c r="C120" s="57" t="s">
        <v>487</v>
      </c>
      <c r="D120" s="58">
        <f>ROUND(SUMIF(RV_DATA!W125:'RV_DATA'!W163, -1128529270, RV_DATA!I125:'RV_DATA'!I163), 6)</f>
        <v>86.062217000000004</v>
      </c>
      <c r="E120" s="59">
        <f>ROUND(RV_DATA!K146, 6)</f>
        <v>8.4600000000000009</v>
      </c>
      <c r="F120" s="59">
        <f>ROUND(SUMIF(RV_DATA!W125:'RV_DATA'!W163, -1128529270, RV_DATA!M125:'RV_DATA'!M163), 6)</f>
        <v>728.09</v>
      </c>
      <c r="G120" s="59">
        <f>ROUND(RV_DATA!N146, 6)</f>
        <v>8.4600000000000009</v>
      </c>
      <c r="H120" s="59">
        <f>ROUND(SUMIF(RV_DATA!W125:'RV_DATA'!W163, -1128529270, RV_DATA!O125:'RV_DATA'!O163), 6)</f>
        <v>728.09</v>
      </c>
      <c r="Q120">
        <v>1</v>
      </c>
    </row>
    <row r="121" spans="1:18" ht="14.25" x14ac:dyDescent="0.2">
      <c r="A121" s="56" t="s">
        <v>680</v>
      </c>
      <c r="B121" s="57" t="s">
        <v>681</v>
      </c>
      <c r="C121" s="57" t="s">
        <v>487</v>
      </c>
      <c r="D121" s="58">
        <f>ROUND(SUMIF(RV_DATA!W125:'RV_DATA'!W163, 756385297, RV_DATA!I125:'RV_DATA'!I163), 6)</f>
        <v>56.046492000000001</v>
      </c>
      <c r="E121" s="59">
        <f>ROUND(RV_DATA!K158, 6)</f>
        <v>9.2899999999999991</v>
      </c>
      <c r="F121" s="59">
        <f>ROUND(SUMIF(RV_DATA!W125:'RV_DATA'!W163, 756385297, RV_DATA!M125:'RV_DATA'!M163), 6)</f>
        <v>520.64</v>
      </c>
      <c r="G121" s="59">
        <f>ROUND(RV_DATA!N158, 6)</f>
        <v>9.2899999999999991</v>
      </c>
      <c r="H121" s="59">
        <f>ROUND(SUMIF(RV_DATA!W125:'RV_DATA'!W163, 756385297, RV_DATA!O125:'RV_DATA'!O163), 6)</f>
        <v>520.64</v>
      </c>
      <c r="Q121">
        <v>1</v>
      </c>
    </row>
    <row r="122" spans="1:18" ht="14.25" x14ac:dyDescent="0.2">
      <c r="A122" s="56" t="s">
        <v>500</v>
      </c>
      <c r="B122" s="57" t="s">
        <v>501</v>
      </c>
      <c r="C122" s="57" t="s">
        <v>487</v>
      </c>
      <c r="D122" s="58">
        <f>ROUND(SUMIF(RV_DATA!W125:'RV_DATA'!W163, 1122477533, RV_DATA!I125:'RV_DATA'!I163), 6)</f>
        <v>18.129014999999999</v>
      </c>
      <c r="E122" s="59">
        <f>ROUND(RV_DATA!K127, 6)</f>
        <v>0</v>
      </c>
      <c r="F122" s="59">
        <f>ROUND(SUMIF(RV_DATA!W125:'RV_DATA'!W163, 1122477533, RV_DATA!M125:'RV_DATA'!M163), 6)</f>
        <v>0</v>
      </c>
      <c r="G122" s="59">
        <f>ROUND(RV_DATA!N127, 6)</f>
        <v>0</v>
      </c>
      <c r="H122" s="59">
        <f>ROUND(SUMIF(RV_DATA!W125:'RV_DATA'!W163, 1122477533, RV_DATA!O125:'RV_DATA'!O163), 6)</f>
        <v>0</v>
      </c>
      <c r="Q122">
        <v>1</v>
      </c>
    </row>
    <row r="123" spans="1:18" ht="15" x14ac:dyDescent="0.25">
      <c r="A123" s="86" t="s">
        <v>847</v>
      </c>
      <c r="B123" s="86"/>
      <c r="C123" s="86"/>
      <c r="D123" s="86"/>
      <c r="E123" s="87">
        <f>SUMIF(Q117:Q122, 1, F117:F122)</f>
        <v>1524.37</v>
      </c>
      <c r="F123" s="87"/>
      <c r="G123" s="87">
        <f>SUMIF(Q117:Q122, 1, H117:H122)</f>
        <v>1524.37</v>
      </c>
      <c r="H123" s="86"/>
    </row>
    <row r="124" spans="1:18" ht="14.25" x14ac:dyDescent="0.2">
      <c r="A124" s="88" t="s">
        <v>848</v>
      </c>
      <c r="B124" s="89"/>
      <c r="C124" s="89"/>
      <c r="D124" s="89"/>
      <c r="E124" s="89"/>
      <c r="F124" s="89"/>
      <c r="G124" s="89"/>
      <c r="H124" s="89"/>
    </row>
    <row r="125" spans="1:18" ht="28.5" x14ac:dyDescent="0.2">
      <c r="A125" s="56" t="s">
        <v>661</v>
      </c>
      <c r="B125" s="57" t="s">
        <v>663</v>
      </c>
      <c r="C125" s="57" t="s">
        <v>505</v>
      </c>
      <c r="D125" s="58">
        <f>ROUND(SUMIF(RV_DATA!W125:'RV_DATA'!W163, 1262858537, RV_DATA!I125:'RV_DATA'!I163), 6)</f>
        <v>2.4836119999999999</v>
      </c>
      <c r="E125" s="59">
        <f>ROUND(RV_DATA!K130, 6)</f>
        <v>123</v>
      </c>
      <c r="F125" s="59">
        <f>ROUND(SUMIF(RV_DATA!W125:'RV_DATA'!W163, 1262858537, RV_DATA!M125:'RV_DATA'!M163), 6)</f>
        <v>305.49</v>
      </c>
      <c r="G125" s="59">
        <f>ROUND(RV_DATA!N130, 6)</f>
        <v>123</v>
      </c>
      <c r="H125" s="59">
        <f>ROUND(SUMIF(RV_DATA!W125:'RV_DATA'!W163, 1262858537, RV_DATA!O125:'RV_DATA'!O163), 6)</f>
        <v>305.49</v>
      </c>
      <c r="Q125">
        <v>2</v>
      </c>
    </row>
    <row r="126" spans="1:18" ht="14.25" x14ac:dyDescent="0.2">
      <c r="A126" s="56" t="s">
        <v>3</v>
      </c>
      <c r="B126" s="57" t="s">
        <v>849</v>
      </c>
      <c r="C126" s="57"/>
      <c r="D126" s="58"/>
      <c r="E126" s="59">
        <f>ROUND(RV_DATA!P130, 6)</f>
        <v>13.5</v>
      </c>
      <c r="F126" s="59">
        <f>ROUND(SUMIF(RV_DATA!W125:'RV_DATA'!W163, 1262858537, RV_DATA!R125:'RV_DATA'!R163), 6)</f>
        <v>33.54</v>
      </c>
      <c r="G126" s="59">
        <f>ROUND(RV_DATA!S130, 6)</f>
        <v>13.5</v>
      </c>
      <c r="H126" s="59">
        <f>ROUND(SUMIF(RV_DATA!W125:'RV_DATA'!W163, 1262858537, RV_DATA!T125:'RV_DATA'!T163), 6)</f>
        <v>33.54</v>
      </c>
      <c r="R126">
        <v>1</v>
      </c>
    </row>
    <row r="127" spans="1:18" ht="28.5" x14ac:dyDescent="0.2">
      <c r="A127" s="56" t="s">
        <v>518</v>
      </c>
      <c r="B127" s="57" t="s">
        <v>520</v>
      </c>
      <c r="C127" s="57" t="s">
        <v>505</v>
      </c>
      <c r="D127" s="58">
        <f>ROUND(SUMIF(RV_DATA!W125:'RV_DATA'!W163, -2122234393, RV_DATA!I125:'RV_DATA'!I163), 6)</f>
        <v>6.9862999999999995E-2</v>
      </c>
      <c r="E127" s="59">
        <f>ROUND(RV_DATA!K156, 6)</f>
        <v>111.99</v>
      </c>
      <c r="F127" s="59">
        <f>ROUND(SUMIF(RV_DATA!W125:'RV_DATA'!W163, -2122234393, RV_DATA!M125:'RV_DATA'!M163), 6)</f>
        <v>7.82</v>
      </c>
      <c r="G127" s="59">
        <f>ROUND(RV_DATA!N156, 6)</f>
        <v>111.99</v>
      </c>
      <c r="H127" s="59">
        <f>ROUND(SUMIF(RV_DATA!W125:'RV_DATA'!W163, -2122234393, RV_DATA!O125:'RV_DATA'!O163), 6)</f>
        <v>7.82</v>
      </c>
      <c r="Q127">
        <v>2</v>
      </c>
    </row>
    <row r="128" spans="1:18" ht="14.25" x14ac:dyDescent="0.2">
      <c r="A128" s="56" t="s">
        <v>3</v>
      </c>
      <c r="B128" s="57" t="s">
        <v>849</v>
      </c>
      <c r="C128" s="57"/>
      <c r="D128" s="58"/>
      <c r="E128" s="59">
        <f>ROUND(RV_DATA!P156, 6)</f>
        <v>13.5</v>
      </c>
      <c r="F128" s="59">
        <f>ROUND(SUMIF(RV_DATA!W125:'RV_DATA'!W163, -2122234393, RV_DATA!R125:'RV_DATA'!R163), 6)</f>
        <v>0.94</v>
      </c>
      <c r="G128" s="59">
        <f>ROUND(RV_DATA!S156, 6)</f>
        <v>13.5</v>
      </c>
      <c r="H128" s="59">
        <f>ROUND(SUMIF(RV_DATA!W125:'RV_DATA'!W163, -2122234393, RV_DATA!T125:'RV_DATA'!T163), 6)</f>
        <v>0.94</v>
      </c>
      <c r="R128">
        <v>1</v>
      </c>
    </row>
    <row r="129" spans="1:18" ht="28.5" x14ac:dyDescent="0.2">
      <c r="A129" s="56" t="s">
        <v>629</v>
      </c>
      <c r="B129" s="57" t="s">
        <v>631</v>
      </c>
      <c r="C129" s="57" t="s">
        <v>505</v>
      </c>
      <c r="D129" s="58">
        <f>ROUND(SUMIF(RV_DATA!W125:'RV_DATA'!W163, 1423950272, RV_DATA!I125:'RV_DATA'!I163), 6)</f>
        <v>5.9697509999999996</v>
      </c>
      <c r="E129" s="59">
        <f>ROUND(RV_DATA!K136, 6)</f>
        <v>89.99</v>
      </c>
      <c r="F129" s="59">
        <f>ROUND(SUMIF(RV_DATA!W125:'RV_DATA'!W163, 1423950272, RV_DATA!M125:'RV_DATA'!M163), 6)</f>
        <v>537.23</v>
      </c>
      <c r="G129" s="59">
        <f>ROUND(RV_DATA!N136, 6)</f>
        <v>89.99</v>
      </c>
      <c r="H129" s="59">
        <f>ROUND(SUMIF(RV_DATA!W125:'RV_DATA'!W163, 1423950272, RV_DATA!O125:'RV_DATA'!O163), 6)</f>
        <v>537.23</v>
      </c>
      <c r="Q129">
        <v>2</v>
      </c>
    </row>
    <row r="130" spans="1:18" ht="14.25" x14ac:dyDescent="0.2">
      <c r="A130" s="56" t="s">
        <v>3</v>
      </c>
      <c r="B130" s="57" t="s">
        <v>849</v>
      </c>
      <c r="C130" s="57"/>
      <c r="D130" s="58"/>
      <c r="E130" s="59">
        <f>ROUND(RV_DATA!P136, 6)</f>
        <v>10.06</v>
      </c>
      <c r="F130" s="59">
        <f>ROUND(SUMIF(RV_DATA!W125:'RV_DATA'!W163, 1423950272, RV_DATA!R125:'RV_DATA'!R163), 6)</f>
        <v>60.08</v>
      </c>
      <c r="G130" s="59">
        <f>ROUND(RV_DATA!S136, 6)</f>
        <v>10.06</v>
      </c>
      <c r="H130" s="59">
        <f>ROUND(SUMIF(RV_DATA!W125:'RV_DATA'!W163, 1423950272, RV_DATA!T125:'RV_DATA'!T163), 6)</f>
        <v>60.08</v>
      </c>
      <c r="R130">
        <v>1</v>
      </c>
    </row>
    <row r="131" spans="1:18" ht="28.5" x14ac:dyDescent="0.2">
      <c r="A131" s="56" t="s">
        <v>677</v>
      </c>
      <c r="B131" s="57" t="s">
        <v>679</v>
      </c>
      <c r="C131" s="57" t="s">
        <v>505</v>
      </c>
      <c r="D131" s="58">
        <f>ROUND(SUMIF(RV_DATA!W125:'RV_DATA'!W163, 1930194365, RV_DATA!I125:'RV_DATA'!I163), 6)</f>
        <v>5.1698250000000003</v>
      </c>
      <c r="E131" s="59">
        <f>ROUND(RV_DATA!K143, 6)</f>
        <v>75</v>
      </c>
      <c r="F131" s="59">
        <f>ROUND(SUMIF(RV_DATA!W125:'RV_DATA'!W163, 1930194365, RV_DATA!M125:'RV_DATA'!M163), 6)</f>
        <v>387.74</v>
      </c>
      <c r="G131" s="59">
        <f>ROUND(RV_DATA!N143, 6)</f>
        <v>75</v>
      </c>
      <c r="H131" s="59">
        <f>ROUND(SUMIF(RV_DATA!W125:'RV_DATA'!W163, 1930194365, RV_DATA!O125:'RV_DATA'!O163), 6)</f>
        <v>387.74</v>
      </c>
      <c r="Q131">
        <v>2</v>
      </c>
    </row>
    <row r="132" spans="1:18" ht="14.25" x14ac:dyDescent="0.2">
      <c r="A132" s="56" t="s">
        <v>3</v>
      </c>
      <c r="B132" s="57" t="s">
        <v>849</v>
      </c>
      <c r="C132" s="57"/>
      <c r="D132" s="58"/>
      <c r="E132" s="59">
        <f>ROUND(RV_DATA!P143, 6)</f>
        <v>11.6</v>
      </c>
      <c r="F132" s="59">
        <f>ROUND(SUMIF(RV_DATA!W125:'RV_DATA'!W163, 1930194365, RV_DATA!R125:'RV_DATA'!R163), 6)</f>
        <v>59.98</v>
      </c>
      <c r="G132" s="59">
        <f>ROUND(RV_DATA!S143, 6)</f>
        <v>11.6</v>
      </c>
      <c r="H132" s="59">
        <f>ROUND(SUMIF(RV_DATA!W125:'RV_DATA'!W163, 1930194365, RV_DATA!T125:'RV_DATA'!T163), 6)</f>
        <v>59.98</v>
      </c>
      <c r="R132">
        <v>1</v>
      </c>
    </row>
    <row r="133" spans="1:18" ht="28.5" x14ac:dyDescent="0.2">
      <c r="A133" s="56" t="s">
        <v>669</v>
      </c>
      <c r="B133" s="57" t="s">
        <v>671</v>
      </c>
      <c r="C133" s="57" t="s">
        <v>505</v>
      </c>
      <c r="D133" s="58">
        <f>ROUND(SUMIF(RV_DATA!W125:'RV_DATA'!W163, -500549999, RV_DATA!I125:'RV_DATA'!I163), 6)</f>
        <v>2.4731329999999998</v>
      </c>
      <c r="E133" s="59">
        <f>ROUND(RV_DATA!K135, 6)</f>
        <v>206.01</v>
      </c>
      <c r="F133" s="59">
        <f>ROUND(SUMIF(RV_DATA!W125:'RV_DATA'!W163, -500549999, RV_DATA!M125:'RV_DATA'!M163), 6)</f>
        <v>509.49</v>
      </c>
      <c r="G133" s="59">
        <f>ROUND(RV_DATA!N135, 6)</f>
        <v>206.01</v>
      </c>
      <c r="H133" s="59">
        <f>ROUND(SUMIF(RV_DATA!W125:'RV_DATA'!W163, -500549999, RV_DATA!O125:'RV_DATA'!O163), 6)</f>
        <v>509.49</v>
      </c>
      <c r="Q133">
        <v>2</v>
      </c>
    </row>
    <row r="134" spans="1:18" ht="14.25" x14ac:dyDescent="0.2">
      <c r="A134" s="56" t="s">
        <v>3</v>
      </c>
      <c r="B134" s="57" t="s">
        <v>849</v>
      </c>
      <c r="C134" s="57"/>
      <c r="D134" s="58"/>
      <c r="E134" s="59">
        <f>ROUND(RV_DATA!P135, 6)</f>
        <v>14.4</v>
      </c>
      <c r="F134" s="59">
        <f>ROUND(SUMIF(RV_DATA!W125:'RV_DATA'!W163, -500549999, RV_DATA!R125:'RV_DATA'!R163), 6)</f>
        <v>35.61</v>
      </c>
      <c r="G134" s="59">
        <f>ROUND(RV_DATA!S135, 6)</f>
        <v>14.4</v>
      </c>
      <c r="H134" s="59">
        <f>ROUND(SUMIF(RV_DATA!W125:'RV_DATA'!W163, -500549999, RV_DATA!T125:'RV_DATA'!T163), 6)</f>
        <v>35.61</v>
      </c>
      <c r="R134">
        <v>1</v>
      </c>
    </row>
    <row r="135" spans="1:18" ht="28.5" x14ac:dyDescent="0.2">
      <c r="A135" s="56" t="s">
        <v>682</v>
      </c>
      <c r="B135" s="57" t="s">
        <v>684</v>
      </c>
      <c r="C135" s="57" t="s">
        <v>505</v>
      </c>
      <c r="D135" s="58">
        <f>ROUND(SUMIF(RV_DATA!W125:'RV_DATA'!W163, -1989545694, RV_DATA!I125:'RV_DATA'!I163), 6)</f>
        <v>3.4581940000000002</v>
      </c>
      <c r="E135" s="59">
        <f>ROUND(RV_DATA!K154, 6)</f>
        <v>60</v>
      </c>
      <c r="F135" s="59">
        <f>ROUND(SUMIF(RV_DATA!W125:'RV_DATA'!W163, -1989545694, RV_DATA!M125:'RV_DATA'!M163), 6)</f>
        <v>207.49</v>
      </c>
      <c r="G135" s="59">
        <f>ROUND(RV_DATA!N154, 6)</f>
        <v>60</v>
      </c>
      <c r="H135" s="59">
        <f>ROUND(SUMIF(RV_DATA!W125:'RV_DATA'!W163, -1989545694, RV_DATA!O125:'RV_DATA'!O163), 6)</f>
        <v>207.49</v>
      </c>
      <c r="Q135">
        <v>2</v>
      </c>
    </row>
    <row r="136" spans="1:18" ht="14.25" x14ac:dyDescent="0.2">
      <c r="A136" s="56" t="s">
        <v>3</v>
      </c>
      <c r="B136" s="57" t="s">
        <v>849</v>
      </c>
      <c r="C136" s="57"/>
      <c r="D136" s="58"/>
      <c r="E136" s="59">
        <f>ROUND(RV_DATA!P154, 6)</f>
        <v>0</v>
      </c>
      <c r="F136" s="59">
        <f>ROUND(SUMIF(RV_DATA!W125:'RV_DATA'!W163, -1989545694, RV_DATA!R125:'RV_DATA'!R163), 6)</f>
        <v>0</v>
      </c>
      <c r="G136" s="59">
        <f>ROUND(RV_DATA!S154, 6)</f>
        <v>0</v>
      </c>
      <c r="H136" s="59">
        <f>ROUND(SUMIF(RV_DATA!W125:'RV_DATA'!W163, -1989545694, RV_DATA!T125:'RV_DATA'!T163), 6)</f>
        <v>0</v>
      </c>
      <c r="R136">
        <v>1</v>
      </c>
    </row>
    <row r="137" spans="1:18" ht="28.5" x14ac:dyDescent="0.2">
      <c r="A137" s="56" t="s">
        <v>672</v>
      </c>
      <c r="B137" s="57" t="s">
        <v>674</v>
      </c>
      <c r="C137" s="57" t="s">
        <v>505</v>
      </c>
      <c r="D137" s="58">
        <f>ROUND(SUMIF(RV_DATA!W125:'RV_DATA'!W163, -349103294, RV_DATA!I125:'RV_DATA'!I163), 6)</f>
        <v>2.1447790000000002</v>
      </c>
      <c r="E137" s="59">
        <f>ROUND(RV_DATA!K134, 6)</f>
        <v>110</v>
      </c>
      <c r="F137" s="59">
        <f>ROUND(SUMIF(RV_DATA!W125:'RV_DATA'!W163, -349103294, RV_DATA!M125:'RV_DATA'!M163), 6)</f>
        <v>235.92</v>
      </c>
      <c r="G137" s="59">
        <f>ROUND(RV_DATA!N134, 6)</f>
        <v>110</v>
      </c>
      <c r="H137" s="59">
        <f>ROUND(SUMIF(RV_DATA!W125:'RV_DATA'!W163, -349103294, RV_DATA!O125:'RV_DATA'!O163), 6)</f>
        <v>235.92</v>
      </c>
      <c r="Q137">
        <v>2</v>
      </c>
    </row>
    <row r="138" spans="1:18" ht="14.25" x14ac:dyDescent="0.2">
      <c r="A138" s="56" t="s">
        <v>3</v>
      </c>
      <c r="B138" s="57" t="s">
        <v>849</v>
      </c>
      <c r="C138" s="57"/>
      <c r="D138" s="58"/>
      <c r="E138" s="59">
        <f>ROUND(RV_DATA!P134, 6)</f>
        <v>11.6</v>
      </c>
      <c r="F138" s="59">
        <f>ROUND(SUMIF(RV_DATA!W125:'RV_DATA'!W163, -349103294, RV_DATA!R125:'RV_DATA'!R163), 6)</f>
        <v>24.87</v>
      </c>
      <c r="G138" s="59">
        <f>ROUND(RV_DATA!S134, 6)</f>
        <v>11.6</v>
      </c>
      <c r="H138" s="59">
        <f>ROUND(SUMIF(RV_DATA!W125:'RV_DATA'!W163, -349103294, RV_DATA!T125:'RV_DATA'!T163), 6)</f>
        <v>24.87</v>
      </c>
      <c r="R138">
        <v>1</v>
      </c>
    </row>
    <row r="139" spans="1:18" ht="28.5" x14ac:dyDescent="0.2">
      <c r="A139" s="56" t="s">
        <v>664</v>
      </c>
      <c r="B139" s="57" t="s">
        <v>666</v>
      </c>
      <c r="C139" s="57" t="s">
        <v>505</v>
      </c>
      <c r="D139" s="58">
        <f>ROUND(SUMIF(RV_DATA!W125:'RV_DATA'!W163, 725059291, RV_DATA!I125:'RV_DATA'!I163), 6)</f>
        <v>1.383278</v>
      </c>
      <c r="E139" s="59">
        <f>ROUND(RV_DATA!K129, 6)</f>
        <v>62.3</v>
      </c>
      <c r="F139" s="59">
        <f>ROUND(SUMIF(RV_DATA!W125:'RV_DATA'!W163, 725059291, RV_DATA!M125:'RV_DATA'!M163), 6)</f>
        <v>86.18</v>
      </c>
      <c r="G139" s="59">
        <f>ROUND(RV_DATA!N129, 6)</f>
        <v>62.3</v>
      </c>
      <c r="H139" s="59">
        <f>ROUND(SUMIF(RV_DATA!W125:'RV_DATA'!W163, 725059291, RV_DATA!O125:'RV_DATA'!O163), 6)</f>
        <v>86.18</v>
      </c>
      <c r="Q139">
        <v>2</v>
      </c>
    </row>
    <row r="140" spans="1:18" ht="14.25" x14ac:dyDescent="0.2">
      <c r="A140" s="56" t="s">
        <v>3</v>
      </c>
      <c r="B140" s="57" t="s">
        <v>849</v>
      </c>
      <c r="C140" s="57"/>
      <c r="D140" s="58"/>
      <c r="E140" s="59">
        <f>ROUND(RV_DATA!P129, 6)</f>
        <v>11.6</v>
      </c>
      <c r="F140" s="59">
        <f>ROUND(SUMIF(RV_DATA!W125:'RV_DATA'!W163, 725059291, RV_DATA!R125:'RV_DATA'!R163), 6)</f>
        <v>16.05</v>
      </c>
      <c r="G140" s="59">
        <f>ROUND(RV_DATA!S129, 6)</f>
        <v>11.6</v>
      </c>
      <c r="H140" s="59">
        <f>ROUND(SUMIF(RV_DATA!W125:'RV_DATA'!W163, 725059291, RV_DATA!T125:'RV_DATA'!T163), 6)</f>
        <v>16.05</v>
      </c>
      <c r="R140">
        <v>1</v>
      </c>
    </row>
    <row r="141" spans="1:18" ht="28.5" x14ac:dyDescent="0.2">
      <c r="A141" s="56" t="s">
        <v>509</v>
      </c>
      <c r="B141" s="57" t="s">
        <v>511</v>
      </c>
      <c r="C141" s="57" t="s">
        <v>505</v>
      </c>
      <c r="D141" s="58">
        <f>ROUND(SUMIF(RV_DATA!W125:'RV_DATA'!W163, 1792116812, RV_DATA!I125:'RV_DATA'!I163), 6)</f>
        <v>6.9862999999999995E-2</v>
      </c>
      <c r="E141" s="59">
        <f>ROUND(RV_DATA!K153, 6)</f>
        <v>65.709999999999994</v>
      </c>
      <c r="F141" s="59">
        <f>ROUND(SUMIF(RV_DATA!W125:'RV_DATA'!W163, 1792116812, RV_DATA!M125:'RV_DATA'!M163), 6)</f>
        <v>4.58</v>
      </c>
      <c r="G141" s="59">
        <f>ROUND(RV_DATA!N153, 6)</f>
        <v>65.709999999999994</v>
      </c>
      <c r="H141" s="59">
        <f>ROUND(SUMIF(RV_DATA!W125:'RV_DATA'!W163, 1792116812, RV_DATA!O125:'RV_DATA'!O163), 6)</f>
        <v>4.58</v>
      </c>
      <c r="Q141">
        <v>2</v>
      </c>
    </row>
    <row r="142" spans="1:18" ht="14.25" x14ac:dyDescent="0.2">
      <c r="A142" s="56" t="s">
        <v>3</v>
      </c>
      <c r="B142" s="57" t="s">
        <v>849</v>
      </c>
      <c r="C142" s="57"/>
      <c r="D142" s="58"/>
      <c r="E142" s="59">
        <f>ROUND(RV_DATA!P153, 6)</f>
        <v>11.6</v>
      </c>
      <c r="F142" s="59">
        <f>ROUND(SUMIF(RV_DATA!W125:'RV_DATA'!W163, 1792116812, RV_DATA!R125:'RV_DATA'!R163), 6)</f>
        <v>0.8</v>
      </c>
      <c r="G142" s="59">
        <f>ROUND(RV_DATA!S153, 6)</f>
        <v>11.6</v>
      </c>
      <c r="H142" s="59">
        <f>ROUND(SUMIF(RV_DATA!W125:'RV_DATA'!W163, 1792116812, RV_DATA!T125:'RV_DATA'!T163), 6)</f>
        <v>0.8</v>
      </c>
      <c r="R142">
        <v>1</v>
      </c>
    </row>
    <row r="143" spans="1:18" ht="57" x14ac:dyDescent="0.2">
      <c r="A143" s="56" t="s">
        <v>594</v>
      </c>
      <c r="B143" s="57" t="s">
        <v>596</v>
      </c>
      <c r="C143" s="57" t="s">
        <v>505</v>
      </c>
      <c r="D143" s="58">
        <f>ROUND(SUMIF(RV_DATA!W125:'RV_DATA'!W163, 954034734, RV_DATA!I125:'RV_DATA'!I163), 6)</f>
        <v>4.387365</v>
      </c>
      <c r="E143" s="59">
        <f>ROUND(RV_DATA!K126, 6)</f>
        <v>90</v>
      </c>
      <c r="F143" s="59">
        <f>ROUND(SUMIF(RV_DATA!W125:'RV_DATA'!W163, 954034734, RV_DATA!M125:'RV_DATA'!M163), 6)</f>
        <v>394.86</v>
      </c>
      <c r="G143" s="59">
        <f>ROUND(RV_DATA!N126, 6)</f>
        <v>90</v>
      </c>
      <c r="H143" s="59">
        <f>ROUND(SUMIF(RV_DATA!W125:'RV_DATA'!W163, 954034734, RV_DATA!O125:'RV_DATA'!O163), 6)</f>
        <v>394.86</v>
      </c>
      <c r="Q143">
        <v>2</v>
      </c>
    </row>
    <row r="144" spans="1:18" ht="14.25" x14ac:dyDescent="0.2">
      <c r="A144" s="56" t="s">
        <v>3</v>
      </c>
      <c r="B144" s="57" t="s">
        <v>849</v>
      </c>
      <c r="C144" s="57"/>
      <c r="D144" s="58"/>
      <c r="E144" s="59">
        <f>ROUND(RV_DATA!P126, 6)</f>
        <v>10.06</v>
      </c>
      <c r="F144" s="59">
        <f>ROUND(SUMIF(RV_DATA!W125:'RV_DATA'!W163, 954034734, RV_DATA!R125:'RV_DATA'!R163), 6)</f>
        <v>44.14</v>
      </c>
      <c r="G144" s="59">
        <f>ROUND(RV_DATA!S126, 6)</f>
        <v>10.06</v>
      </c>
      <c r="H144" s="59">
        <f>ROUND(SUMIF(RV_DATA!W125:'RV_DATA'!W163, 954034734, RV_DATA!T125:'RV_DATA'!T163), 6)</f>
        <v>44.14</v>
      </c>
      <c r="R144">
        <v>1</v>
      </c>
    </row>
    <row r="145" spans="1:18" ht="42.75" x14ac:dyDescent="0.2">
      <c r="A145" s="56" t="s">
        <v>656</v>
      </c>
      <c r="B145" s="57" t="s">
        <v>658</v>
      </c>
      <c r="C145" s="57" t="s">
        <v>505</v>
      </c>
      <c r="D145" s="58">
        <f>ROUND(SUMIF(RV_DATA!W125:'RV_DATA'!W163, -172744654, RV_DATA!I125:'RV_DATA'!I163), 6)</f>
        <v>13.162095000000001</v>
      </c>
      <c r="E145" s="59">
        <f>ROUND(RV_DATA!K125, 6)</f>
        <v>1.53</v>
      </c>
      <c r="F145" s="59">
        <f>ROUND(SUMIF(RV_DATA!W125:'RV_DATA'!W163, -172744654, RV_DATA!M125:'RV_DATA'!M163), 6)</f>
        <v>20.14</v>
      </c>
      <c r="G145" s="59">
        <f>ROUND(RV_DATA!N125, 6)</f>
        <v>1.53</v>
      </c>
      <c r="H145" s="59">
        <f>ROUND(SUMIF(RV_DATA!W125:'RV_DATA'!W163, -172744654, RV_DATA!O125:'RV_DATA'!O163), 6)</f>
        <v>20.14</v>
      </c>
      <c r="Q145">
        <v>2</v>
      </c>
    </row>
    <row r="146" spans="1:18" ht="14.25" x14ac:dyDescent="0.2">
      <c r="A146" s="56" t="s">
        <v>3</v>
      </c>
      <c r="B146" s="57" t="s">
        <v>849</v>
      </c>
      <c r="C146" s="57"/>
      <c r="D146" s="58"/>
      <c r="E146" s="59">
        <f>ROUND(RV_DATA!P125, 6)</f>
        <v>0</v>
      </c>
      <c r="F146" s="59">
        <f>ROUND(SUMIF(RV_DATA!W125:'RV_DATA'!W163, -172744654, RV_DATA!R125:'RV_DATA'!R163), 6)</f>
        <v>0</v>
      </c>
      <c r="G146" s="59">
        <f>ROUND(RV_DATA!S125, 6)</f>
        <v>0</v>
      </c>
      <c r="H146" s="59">
        <f>ROUND(SUMIF(RV_DATA!W125:'RV_DATA'!W163, -172744654, RV_DATA!T125:'RV_DATA'!T163), 6)</f>
        <v>0</v>
      </c>
      <c r="R146">
        <v>1</v>
      </c>
    </row>
    <row r="147" spans="1:18" ht="15" x14ac:dyDescent="0.25">
      <c r="A147" s="86" t="s">
        <v>850</v>
      </c>
      <c r="B147" s="86"/>
      <c r="C147" s="86"/>
      <c r="D147" s="86"/>
      <c r="E147" s="87">
        <f>SUMIF(Q125:Q146, 2, F125:F146)</f>
        <v>2696.9399999999996</v>
      </c>
      <c r="F147" s="87"/>
      <c r="G147" s="87">
        <f>SUMIF(Q125:Q146, 2, H125:H146)</f>
        <v>2696.9399999999996</v>
      </c>
      <c r="H147" s="86"/>
    </row>
    <row r="148" spans="1:18" ht="15" x14ac:dyDescent="0.25">
      <c r="A148" s="86" t="s">
        <v>851</v>
      </c>
      <c r="B148" s="86"/>
      <c r="C148" s="86"/>
      <c r="D148" s="86"/>
      <c r="E148" s="87">
        <f>SUMIF(R125:R147, 1, F125:F147)</f>
        <v>276.01</v>
      </c>
      <c r="F148" s="87"/>
      <c r="G148" s="87">
        <f>SUMIF(R125:R147, 1, H125:H147)</f>
        <v>276.01</v>
      </c>
      <c r="H148" s="86"/>
    </row>
    <row r="149" spans="1:18" ht="14.25" x14ac:dyDescent="0.2">
      <c r="A149" s="88" t="s">
        <v>852</v>
      </c>
      <c r="B149" s="89"/>
      <c r="C149" s="89"/>
      <c r="D149" s="89"/>
      <c r="E149" s="89"/>
      <c r="F149" s="89"/>
      <c r="G149" s="89"/>
      <c r="H149" s="89"/>
    </row>
    <row r="150" spans="1:18" ht="28.5" x14ac:dyDescent="0.2">
      <c r="A150" s="56" t="s">
        <v>685</v>
      </c>
      <c r="B150" s="57" t="s">
        <v>687</v>
      </c>
      <c r="C150" s="57" t="s">
        <v>32</v>
      </c>
      <c r="D150" s="58">
        <f>ROUND(SUMIF(RV_DATA!W125:'RV_DATA'!W163, -60448066, RV_DATA!I125:'RV_DATA'!I163), 6)</f>
        <v>0.14580000000000001</v>
      </c>
      <c r="E150" s="59">
        <f>ROUND(RV_DATA!K152, 6)</f>
        <v>1690</v>
      </c>
      <c r="F150" s="59">
        <f>ROUND(SUMIF(RV_DATA!W125:'RV_DATA'!W163, -60448066, RV_DATA!M125:'RV_DATA'!M163), 6)</f>
        <v>246.4</v>
      </c>
      <c r="G150" s="59">
        <f>ROUND(RV_DATA!N152, 6)</f>
        <v>1690</v>
      </c>
      <c r="H150" s="59">
        <f>ROUND(SUMIF(RV_DATA!W125:'RV_DATA'!W163, -60448066, RV_DATA!O125:'RV_DATA'!O163), 6)</f>
        <v>246.4</v>
      </c>
      <c r="Q150">
        <v>3</v>
      </c>
    </row>
    <row r="151" spans="1:18" ht="28.5" x14ac:dyDescent="0.2">
      <c r="A151" s="56" t="s">
        <v>597</v>
      </c>
      <c r="B151" s="57" t="s">
        <v>599</v>
      </c>
      <c r="C151" s="57" t="s">
        <v>96</v>
      </c>
      <c r="D151" s="58">
        <f>ROUND(SUMIF(RV_DATA!W125:'RV_DATA'!W163, -1353927395, RV_DATA!I125:'RV_DATA'!I163), 6)</f>
        <v>6.0750000000000002</v>
      </c>
      <c r="E151" s="59">
        <f>ROUND(RV_DATA!K133, 6)</f>
        <v>2.44</v>
      </c>
      <c r="F151" s="59">
        <f>ROUND(SUMIF(RV_DATA!W125:'RV_DATA'!W163, -1353927395, RV_DATA!M125:'RV_DATA'!M163), 6)</f>
        <v>14.82</v>
      </c>
      <c r="G151" s="59">
        <f>ROUND(RV_DATA!N133, 6)</f>
        <v>2.44</v>
      </c>
      <c r="H151" s="59">
        <f>ROUND(SUMIF(RV_DATA!W125:'RV_DATA'!W163, -1353927395, RV_DATA!O125:'RV_DATA'!O163), 6)</f>
        <v>14.82</v>
      </c>
      <c r="Q151">
        <v>3</v>
      </c>
    </row>
    <row r="152" spans="1:18" ht="28.5" x14ac:dyDescent="0.2">
      <c r="A152" s="56" t="s">
        <v>290</v>
      </c>
      <c r="B152" s="57" t="s">
        <v>291</v>
      </c>
      <c r="C152" s="57" t="s">
        <v>96</v>
      </c>
      <c r="D152" s="58">
        <f>ROUND(SUMIF(RV_DATA!W125:'RV_DATA'!W163, 624224960, RV_DATA!I125:'RV_DATA'!I163), 6)</f>
        <v>75.087000000000003</v>
      </c>
      <c r="E152" s="59">
        <f>ROUND(RV_DATA!K147, 6)</f>
        <v>139.63</v>
      </c>
      <c r="F152" s="59">
        <f>ROUND(SUMIF(RV_DATA!W125:'RV_DATA'!W163, 624224960, RV_DATA!M125:'RV_DATA'!M163), 6)</f>
        <v>10484.4</v>
      </c>
      <c r="G152" s="59">
        <f>ROUND(RV_DATA!N147, 6)</f>
        <v>139.63</v>
      </c>
      <c r="H152" s="59">
        <f>ROUND(SUMIF(RV_DATA!W125:'RV_DATA'!W163, 624224960, RV_DATA!O125:'RV_DATA'!O163), 6)</f>
        <v>10484.4</v>
      </c>
      <c r="Q152">
        <v>3</v>
      </c>
    </row>
    <row r="153" spans="1:18" ht="28.5" x14ac:dyDescent="0.2">
      <c r="A153" s="56" t="s">
        <v>101</v>
      </c>
      <c r="B153" s="57" t="s">
        <v>102</v>
      </c>
      <c r="C153" s="57" t="s">
        <v>96</v>
      </c>
      <c r="D153" s="58">
        <f>ROUND(SUMIF(RV_DATA!W125:'RV_DATA'!W163, 1416435395, RV_DATA!I125:'RV_DATA'!I163), 6)</f>
        <v>26.001000000000001</v>
      </c>
      <c r="E153" s="59">
        <f>ROUND(RV_DATA!K140, 6)</f>
        <v>55.26</v>
      </c>
      <c r="F153" s="59">
        <f>ROUND(SUMIF(RV_DATA!W125:'RV_DATA'!W163, 1416435395, RV_DATA!M125:'RV_DATA'!M163), 6)</f>
        <v>1436.81</v>
      </c>
      <c r="G153" s="59">
        <f>ROUND(RV_DATA!N140, 6)</f>
        <v>55.26</v>
      </c>
      <c r="H153" s="59">
        <f>ROUND(SUMIF(RV_DATA!W125:'RV_DATA'!W163, 1416435395, RV_DATA!O125:'RV_DATA'!O163), 6)</f>
        <v>1436.81</v>
      </c>
      <c r="Q153">
        <v>3</v>
      </c>
    </row>
    <row r="154" spans="1:18" ht="71.25" x14ac:dyDescent="0.2">
      <c r="A154" s="56" t="s">
        <v>305</v>
      </c>
      <c r="B154" s="57" t="s">
        <v>306</v>
      </c>
      <c r="C154" s="57" t="s">
        <v>32</v>
      </c>
      <c r="D154" s="58">
        <f>ROUND(SUMIF(RV_DATA!W125:'RV_DATA'!W163, -1762041033, RV_DATA!I125:'RV_DATA'!I163), 6)</f>
        <v>20.290500000000002</v>
      </c>
      <c r="E154" s="59">
        <f>ROUND(RV_DATA!K160, 6)</f>
        <v>535.5</v>
      </c>
      <c r="F154" s="59">
        <f>ROUND(SUMIF(RV_DATA!W125:'RV_DATA'!W163, -1762041033, RV_DATA!M125:'RV_DATA'!M163), 6)</f>
        <v>10865.56</v>
      </c>
      <c r="G154" s="59">
        <f>ROUND(RV_DATA!N160, 6)</f>
        <v>535.5</v>
      </c>
      <c r="H154" s="59">
        <f>ROUND(SUMIF(RV_DATA!W125:'RV_DATA'!W163, -1762041033, RV_DATA!O125:'RV_DATA'!O163), 6)</f>
        <v>10865.56</v>
      </c>
      <c r="Q154">
        <v>3</v>
      </c>
    </row>
    <row r="155" spans="1:18" ht="15" x14ac:dyDescent="0.25">
      <c r="A155" s="86" t="s">
        <v>853</v>
      </c>
      <c r="B155" s="86"/>
      <c r="C155" s="86"/>
      <c r="D155" s="86"/>
      <c r="E155" s="87">
        <f>SUMIF(Q150:Q154, 3, F150:F154)</f>
        <v>23047.989999999998</v>
      </c>
      <c r="F155" s="87"/>
      <c r="G155" s="87">
        <f>SUMIF(Q150:Q154, 3, H150:H154)</f>
        <v>23047.989999999998</v>
      </c>
      <c r="H155" s="86"/>
    </row>
    <row r="156" spans="1:18" ht="16.5" x14ac:dyDescent="0.2">
      <c r="A156" s="93" t="str">
        <f>CONCATENATE("Подраздел: ",IF(Source!G149&lt;&gt;"Новый подраздел", Source!G149, ""))</f>
        <v>Подраздел: Востановление пожарных подъездов</v>
      </c>
      <c r="B156" s="94"/>
      <c r="C156" s="94"/>
      <c r="D156" s="94"/>
      <c r="E156" s="94"/>
      <c r="F156" s="94"/>
      <c r="G156" s="94"/>
      <c r="H156" s="94"/>
    </row>
    <row r="157" spans="1:18" ht="14.25" x14ac:dyDescent="0.2">
      <c r="A157" s="88" t="s">
        <v>846</v>
      </c>
      <c r="B157" s="89"/>
      <c r="C157" s="89"/>
      <c r="D157" s="89"/>
      <c r="E157" s="89"/>
      <c r="F157" s="89"/>
      <c r="G157" s="89"/>
      <c r="H157" s="89"/>
    </row>
    <row r="158" spans="1:18" ht="14.25" x14ac:dyDescent="0.2">
      <c r="A158" s="56" t="s">
        <v>659</v>
      </c>
      <c r="B158" s="57" t="s">
        <v>660</v>
      </c>
      <c r="C158" s="57" t="s">
        <v>487</v>
      </c>
      <c r="D158" s="58">
        <f>ROUND(SUMIF(RV_DATA!W165:'RV_DATA'!W225, -1514152417, RV_DATA!I165:'RV_DATA'!I225), 6)</f>
        <v>36.758369999999999</v>
      </c>
      <c r="E158" s="59">
        <f>ROUND(RV_DATA!K176, 6)</f>
        <v>7.87</v>
      </c>
      <c r="F158" s="59">
        <f>ROUND(SUMIF(RV_DATA!W165:'RV_DATA'!W225, -1514152417, RV_DATA!M165:'RV_DATA'!M225), 6)</f>
        <v>289.27999999999997</v>
      </c>
      <c r="G158" s="59">
        <f>ROUND(RV_DATA!N176, 6)</f>
        <v>7.87</v>
      </c>
      <c r="H158" s="59">
        <f>ROUND(SUMIF(RV_DATA!W165:'RV_DATA'!W225, -1514152417, RV_DATA!O165:'RV_DATA'!O225), 6)</f>
        <v>289.27999999999997</v>
      </c>
      <c r="Q158">
        <v>1</v>
      </c>
    </row>
    <row r="159" spans="1:18" ht="14.25" x14ac:dyDescent="0.2">
      <c r="A159" s="56" t="s">
        <v>667</v>
      </c>
      <c r="B159" s="57" t="s">
        <v>668</v>
      </c>
      <c r="C159" s="57" t="s">
        <v>487</v>
      </c>
      <c r="D159" s="58">
        <f>ROUND(SUMIF(RV_DATA!W165:'RV_DATA'!W225, -1107782587, RV_DATA!I165:'RV_DATA'!I225), 6)</f>
        <v>14.469631</v>
      </c>
      <c r="E159" s="59">
        <f>ROUND(RV_DATA!K183, 6)</f>
        <v>8.02</v>
      </c>
      <c r="F159" s="59">
        <f>ROUND(SUMIF(RV_DATA!W165:'RV_DATA'!W225, -1107782587, RV_DATA!M165:'RV_DATA'!M225), 6)</f>
        <v>116.04</v>
      </c>
      <c r="G159" s="59">
        <f>ROUND(RV_DATA!N183, 6)</f>
        <v>8.02</v>
      </c>
      <c r="H159" s="59">
        <f>ROUND(SUMIF(RV_DATA!W165:'RV_DATA'!W225, -1107782587, RV_DATA!O165:'RV_DATA'!O225), 6)</f>
        <v>116.04</v>
      </c>
      <c r="Q159">
        <v>1</v>
      </c>
    </row>
    <row r="160" spans="1:18" ht="14.25" x14ac:dyDescent="0.2">
      <c r="A160" s="56" t="s">
        <v>688</v>
      </c>
      <c r="B160" s="57" t="s">
        <v>689</v>
      </c>
      <c r="C160" s="57" t="s">
        <v>487</v>
      </c>
      <c r="D160" s="58">
        <f>ROUND(SUMIF(RV_DATA!W165:'RV_DATA'!W225, 135343476, RV_DATA!I165:'RV_DATA'!I225), 6)</f>
        <v>33.398890999999999</v>
      </c>
      <c r="E160" s="59">
        <f>ROUND(RV_DATA!K192, 6)</f>
        <v>8.09</v>
      </c>
      <c r="F160" s="59">
        <f>ROUND(SUMIF(RV_DATA!W165:'RV_DATA'!W225, 135343476, RV_DATA!M165:'RV_DATA'!M225), 6)</f>
        <v>270.2</v>
      </c>
      <c r="G160" s="59">
        <f>ROUND(RV_DATA!N192, 6)</f>
        <v>8.09</v>
      </c>
      <c r="H160" s="59">
        <f>ROUND(SUMIF(RV_DATA!W165:'RV_DATA'!W225, 135343476, RV_DATA!O165:'RV_DATA'!O225), 6)</f>
        <v>270.2</v>
      </c>
      <c r="Q160">
        <v>1</v>
      </c>
    </row>
    <row r="161" spans="1:18" ht="14.25" x14ac:dyDescent="0.2">
      <c r="A161" s="56" t="s">
        <v>654</v>
      </c>
      <c r="B161" s="57" t="s">
        <v>655</v>
      </c>
      <c r="C161" s="57" t="s">
        <v>487</v>
      </c>
      <c r="D161" s="58">
        <f>ROUND(SUMIF(RV_DATA!W165:'RV_DATA'!W225, 1013964695, RV_DATA!I165:'RV_DATA'!I225), 6)</f>
        <v>46.231104000000002</v>
      </c>
      <c r="E161" s="59">
        <f>ROUND(RV_DATA!K168, 6)</f>
        <v>8.31</v>
      </c>
      <c r="F161" s="59">
        <f>ROUND(SUMIF(RV_DATA!W165:'RV_DATA'!W225, 1013964695, RV_DATA!M165:'RV_DATA'!M225), 6)</f>
        <v>384.18</v>
      </c>
      <c r="G161" s="59">
        <f>ROUND(RV_DATA!N168, 6)</f>
        <v>8.31</v>
      </c>
      <c r="H161" s="59">
        <f>ROUND(SUMIF(RV_DATA!W165:'RV_DATA'!W225, 1013964695, RV_DATA!O165:'RV_DATA'!O225), 6)</f>
        <v>384.18</v>
      </c>
      <c r="Q161">
        <v>1</v>
      </c>
    </row>
    <row r="162" spans="1:18" ht="14.25" x14ac:dyDescent="0.2">
      <c r="A162" s="56" t="s">
        <v>693</v>
      </c>
      <c r="B162" s="57" t="s">
        <v>694</v>
      </c>
      <c r="C162" s="57" t="s">
        <v>487</v>
      </c>
      <c r="D162" s="58">
        <f>ROUND(SUMIF(RV_DATA!W165:'RV_DATA'!W225, -1620489650, RV_DATA!I165:'RV_DATA'!I225), 6)</f>
        <v>35.378898</v>
      </c>
      <c r="E162" s="59">
        <f>ROUND(RV_DATA!K205, 6)</f>
        <v>9.6199999999999992</v>
      </c>
      <c r="F162" s="59">
        <f>ROUND(SUMIF(RV_DATA!W165:'RV_DATA'!W225, -1620489650, RV_DATA!M165:'RV_DATA'!M225), 6)</f>
        <v>340.35</v>
      </c>
      <c r="G162" s="59">
        <f>ROUND(RV_DATA!N205, 6)</f>
        <v>9.6199999999999992</v>
      </c>
      <c r="H162" s="59">
        <f>ROUND(SUMIF(RV_DATA!W165:'RV_DATA'!W225, -1620489650, RV_DATA!O165:'RV_DATA'!O225), 6)</f>
        <v>340.35</v>
      </c>
      <c r="Q162">
        <v>1</v>
      </c>
    </row>
    <row r="163" spans="1:18" ht="14.25" x14ac:dyDescent="0.2">
      <c r="A163" s="56" t="s">
        <v>500</v>
      </c>
      <c r="B163" s="57" t="s">
        <v>501</v>
      </c>
      <c r="C163" s="57" t="s">
        <v>487</v>
      </c>
      <c r="D163" s="58">
        <f>ROUND(SUMIF(RV_DATA!W165:'RV_DATA'!W225, 1122477533, RV_DATA!I165:'RV_DATA'!I225), 6)</f>
        <v>63.492600000000003</v>
      </c>
      <c r="E163" s="59">
        <f>ROUND(RV_DATA!K167, 6)</f>
        <v>0</v>
      </c>
      <c r="F163" s="59">
        <f>ROUND(SUMIF(RV_DATA!W165:'RV_DATA'!W225, 1122477533, RV_DATA!M165:'RV_DATA'!M225), 6)</f>
        <v>0</v>
      </c>
      <c r="G163" s="59">
        <f>ROUND(RV_DATA!N167, 6)</f>
        <v>0</v>
      </c>
      <c r="H163" s="59">
        <f>ROUND(SUMIF(RV_DATA!W165:'RV_DATA'!W225, 1122477533, RV_DATA!O165:'RV_DATA'!O225), 6)</f>
        <v>0</v>
      </c>
      <c r="Q163">
        <v>1</v>
      </c>
    </row>
    <row r="164" spans="1:18" ht="15" x14ac:dyDescent="0.25">
      <c r="A164" s="86" t="s">
        <v>847</v>
      </c>
      <c r="B164" s="86"/>
      <c r="C164" s="86"/>
      <c r="D164" s="86"/>
      <c r="E164" s="87">
        <f>SUMIF(Q158:Q163, 1, F158:F163)</f>
        <v>1400.0500000000002</v>
      </c>
      <c r="F164" s="87"/>
      <c r="G164" s="87">
        <f>SUMIF(Q158:Q163, 1, H158:H163)</f>
        <v>1400.0500000000002</v>
      </c>
      <c r="H164" s="86"/>
    </row>
    <row r="165" spans="1:18" ht="14.25" x14ac:dyDescent="0.2">
      <c r="A165" s="88" t="s">
        <v>848</v>
      </c>
      <c r="B165" s="89"/>
      <c r="C165" s="89"/>
      <c r="D165" s="89"/>
      <c r="E165" s="89"/>
      <c r="F165" s="89"/>
      <c r="G165" s="89"/>
      <c r="H165" s="89"/>
    </row>
    <row r="166" spans="1:18" ht="28.5" x14ac:dyDescent="0.2">
      <c r="A166" s="56" t="s">
        <v>690</v>
      </c>
      <c r="B166" s="57" t="s">
        <v>692</v>
      </c>
      <c r="C166" s="57" t="s">
        <v>505</v>
      </c>
      <c r="D166" s="58">
        <f>ROUND(SUMIF(RV_DATA!W165:'RV_DATA'!W225, 1875679958, RV_DATA!I165:'RV_DATA'!I225), 6)</f>
        <v>3.886943</v>
      </c>
      <c r="E166" s="59">
        <f>ROUND(RV_DATA!K190, 6)</f>
        <v>79.069999999999993</v>
      </c>
      <c r="F166" s="59">
        <f>ROUND(SUMIF(RV_DATA!W165:'RV_DATA'!W225, 1875679958, RV_DATA!M165:'RV_DATA'!M225), 6)</f>
        <v>307.33999999999997</v>
      </c>
      <c r="G166" s="59">
        <f>ROUND(RV_DATA!N190, 6)</f>
        <v>79.069999999999993</v>
      </c>
      <c r="H166" s="59">
        <f>ROUND(SUMIF(RV_DATA!W165:'RV_DATA'!W225, 1875679958, RV_DATA!O165:'RV_DATA'!O225), 6)</f>
        <v>307.33999999999997</v>
      </c>
      <c r="Q166">
        <v>2</v>
      </c>
    </row>
    <row r="167" spans="1:18" ht="14.25" x14ac:dyDescent="0.2">
      <c r="A167" s="56" t="s">
        <v>3</v>
      </c>
      <c r="B167" s="57" t="s">
        <v>849</v>
      </c>
      <c r="C167" s="57"/>
      <c r="D167" s="58"/>
      <c r="E167" s="59">
        <f>ROUND(RV_DATA!P190, 6)</f>
        <v>13.5</v>
      </c>
      <c r="F167" s="59">
        <f>ROUND(SUMIF(RV_DATA!W165:'RV_DATA'!W225, 1875679958, RV_DATA!R165:'RV_DATA'!R225), 6)</f>
        <v>52.48</v>
      </c>
      <c r="G167" s="59">
        <f>ROUND(RV_DATA!S190, 6)</f>
        <v>13.5</v>
      </c>
      <c r="H167" s="59">
        <f>ROUND(SUMIF(RV_DATA!W165:'RV_DATA'!W225, 1875679958, RV_DATA!T165:'RV_DATA'!T225), 6)</f>
        <v>52.48</v>
      </c>
      <c r="R167">
        <v>1</v>
      </c>
    </row>
    <row r="168" spans="1:18" ht="28.5" x14ac:dyDescent="0.2">
      <c r="A168" s="56" t="s">
        <v>661</v>
      </c>
      <c r="B168" s="57" t="s">
        <v>663</v>
      </c>
      <c r="C168" s="57" t="s">
        <v>505</v>
      </c>
      <c r="D168" s="58">
        <f>ROUND(SUMIF(RV_DATA!W165:'RV_DATA'!W225, 1262858537, RV_DATA!I165:'RV_DATA'!I225), 6)</f>
        <v>10.56528</v>
      </c>
      <c r="E168" s="59">
        <f>ROUND(RV_DATA!K174, 6)</f>
        <v>123</v>
      </c>
      <c r="F168" s="59">
        <f>ROUND(SUMIF(RV_DATA!W165:'RV_DATA'!W225, 1262858537, RV_DATA!M165:'RV_DATA'!M225), 6)</f>
        <v>1299.53</v>
      </c>
      <c r="G168" s="59">
        <f>ROUND(RV_DATA!N174, 6)</f>
        <v>123</v>
      </c>
      <c r="H168" s="59">
        <f>ROUND(SUMIF(RV_DATA!W165:'RV_DATA'!W225, 1262858537, RV_DATA!O165:'RV_DATA'!O225), 6)</f>
        <v>1299.53</v>
      </c>
      <c r="Q168">
        <v>2</v>
      </c>
    </row>
    <row r="169" spans="1:18" ht="14.25" x14ac:dyDescent="0.2">
      <c r="A169" s="56" t="s">
        <v>3</v>
      </c>
      <c r="B169" s="57" t="s">
        <v>849</v>
      </c>
      <c r="C169" s="57"/>
      <c r="D169" s="58"/>
      <c r="E169" s="59">
        <f>ROUND(RV_DATA!P174, 6)</f>
        <v>13.5</v>
      </c>
      <c r="F169" s="59">
        <f>ROUND(SUMIF(RV_DATA!W165:'RV_DATA'!W225, 1262858537, RV_DATA!R165:'RV_DATA'!R225), 6)</f>
        <v>142.65</v>
      </c>
      <c r="G169" s="59">
        <f>ROUND(RV_DATA!S174, 6)</f>
        <v>13.5</v>
      </c>
      <c r="H169" s="59">
        <f>ROUND(SUMIF(RV_DATA!W165:'RV_DATA'!W225, 1262858537, RV_DATA!T165:'RV_DATA'!T225), 6)</f>
        <v>142.65</v>
      </c>
      <c r="R169">
        <v>1</v>
      </c>
    </row>
    <row r="170" spans="1:18" ht="28.5" x14ac:dyDescent="0.2">
      <c r="A170" s="56" t="s">
        <v>518</v>
      </c>
      <c r="B170" s="57" t="s">
        <v>520</v>
      </c>
      <c r="C170" s="57" t="s">
        <v>505</v>
      </c>
      <c r="D170" s="58">
        <f>ROUND(SUMIF(RV_DATA!W165:'RV_DATA'!W225, -2122234393, RV_DATA!I165:'RV_DATA'!I225), 6)</f>
        <v>3.0015E-2</v>
      </c>
      <c r="E170" s="59">
        <f>ROUND(RV_DATA!K203, 6)</f>
        <v>111.99</v>
      </c>
      <c r="F170" s="59">
        <f>ROUND(SUMIF(RV_DATA!W165:'RV_DATA'!W225, -2122234393, RV_DATA!M165:'RV_DATA'!M225), 6)</f>
        <v>3.36</v>
      </c>
      <c r="G170" s="59">
        <f>ROUND(RV_DATA!N203, 6)</f>
        <v>111.99</v>
      </c>
      <c r="H170" s="59">
        <f>ROUND(SUMIF(RV_DATA!W165:'RV_DATA'!W225, -2122234393, RV_DATA!O165:'RV_DATA'!O225), 6)</f>
        <v>3.36</v>
      </c>
      <c r="Q170">
        <v>2</v>
      </c>
    </row>
    <row r="171" spans="1:18" ht="14.25" x14ac:dyDescent="0.2">
      <c r="A171" s="56" t="s">
        <v>3</v>
      </c>
      <c r="B171" s="57" t="s">
        <v>849</v>
      </c>
      <c r="C171" s="57"/>
      <c r="D171" s="58"/>
      <c r="E171" s="59">
        <f>ROUND(RV_DATA!P203, 6)</f>
        <v>13.5</v>
      </c>
      <c r="F171" s="59">
        <f>ROUND(SUMIF(RV_DATA!W165:'RV_DATA'!W225, -2122234393, RV_DATA!R165:'RV_DATA'!R225), 6)</f>
        <v>0.42</v>
      </c>
      <c r="G171" s="59">
        <f>ROUND(RV_DATA!S203, 6)</f>
        <v>13.5</v>
      </c>
      <c r="H171" s="59">
        <f>ROUND(SUMIF(RV_DATA!W165:'RV_DATA'!W225, -2122234393, RV_DATA!T165:'RV_DATA'!T225), 6)</f>
        <v>0.42</v>
      </c>
      <c r="R171">
        <v>1</v>
      </c>
    </row>
    <row r="172" spans="1:18" ht="28.5" x14ac:dyDescent="0.2">
      <c r="A172" s="56" t="s">
        <v>629</v>
      </c>
      <c r="B172" s="57" t="s">
        <v>631</v>
      </c>
      <c r="C172" s="57" t="s">
        <v>505</v>
      </c>
      <c r="D172" s="58">
        <f>ROUND(SUMIF(RV_DATA!W165:'RV_DATA'!W225, 1793503583, RV_DATA!I165:'RV_DATA'!I225), 6)</f>
        <v>4.2921449999999997</v>
      </c>
      <c r="E172" s="59">
        <f>ROUND(RV_DATA!K180, 6)</f>
        <v>89.99</v>
      </c>
      <c r="F172" s="59">
        <f>ROUND(SUMIF(RV_DATA!W165:'RV_DATA'!W225, 1793503583, RV_DATA!M165:'RV_DATA'!M225), 6)</f>
        <v>386.25</v>
      </c>
      <c r="G172" s="59">
        <f>ROUND(RV_DATA!N180, 6)</f>
        <v>89.99</v>
      </c>
      <c r="H172" s="59">
        <f>ROUND(SUMIF(RV_DATA!W165:'RV_DATA'!W225, 1793503583, RV_DATA!O165:'RV_DATA'!O225), 6)</f>
        <v>386.25</v>
      </c>
      <c r="Q172">
        <v>2</v>
      </c>
    </row>
    <row r="173" spans="1:18" ht="14.25" x14ac:dyDescent="0.2">
      <c r="A173" s="56" t="s">
        <v>3</v>
      </c>
      <c r="B173" s="57" t="s">
        <v>849</v>
      </c>
      <c r="C173" s="57"/>
      <c r="D173" s="58"/>
      <c r="E173" s="59">
        <f>ROUND(RV_DATA!P180, 6)</f>
        <v>10.06</v>
      </c>
      <c r="F173" s="59">
        <f>ROUND(SUMIF(RV_DATA!W165:'RV_DATA'!W225, 1793503583, RV_DATA!R165:'RV_DATA'!R225), 6)</f>
        <v>43.18</v>
      </c>
      <c r="G173" s="59">
        <f>ROUND(RV_DATA!S180, 6)</f>
        <v>10.06</v>
      </c>
      <c r="H173" s="59">
        <f>ROUND(SUMIF(RV_DATA!W165:'RV_DATA'!W225, 1793503583, RV_DATA!T165:'RV_DATA'!T225), 6)</f>
        <v>43.18</v>
      </c>
      <c r="R173">
        <v>1</v>
      </c>
    </row>
    <row r="174" spans="1:18" ht="28.5" x14ac:dyDescent="0.2">
      <c r="A174" s="56" t="s">
        <v>629</v>
      </c>
      <c r="B174" s="57" t="s">
        <v>631</v>
      </c>
      <c r="C174" s="57" t="s">
        <v>505</v>
      </c>
      <c r="D174" s="58">
        <f>ROUND(SUMIF(RV_DATA!W165:'RV_DATA'!W225, 1423950272, RV_DATA!I165:'RV_DATA'!I225), 6)</f>
        <v>3.6918449999999998</v>
      </c>
      <c r="E174" s="59">
        <f>ROUND(RV_DATA!K188, 6)</f>
        <v>89.99</v>
      </c>
      <c r="F174" s="59">
        <f>ROUND(SUMIF(RV_DATA!W165:'RV_DATA'!W225, 1423950272, RV_DATA!M165:'RV_DATA'!M225), 6)</f>
        <v>332.24</v>
      </c>
      <c r="G174" s="59">
        <f>ROUND(RV_DATA!N188, 6)</f>
        <v>89.99</v>
      </c>
      <c r="H174" s="59">
        <f>ROUND(SUMIF(RV_DATA!W165:'RV_DATA'!W225, 1423950272, RV_DATA!O165:'RV_DATA'!O225), 6)</f>
        <v>332.24</v>
      </c>
      <c r="Q174">
        <v>2</v>
      </c>
    </row>
    <row r="175" spans="1:18" ht="14.25" x14ac:dyDescent="0.2">
      <c r="A175" s="56" t="s">
        <v>3</v>
      </c>
      <c r="B175" s="57" t="s">
        <v>849</v>
      </c>
      <c r="C175" s="57"/>
      <c r="D175" s="58"/>
      <c r="E175" s="59">
        <f>ROUND(RV_DATA!P188, 6)</f>
        <v>10.06</v>
      </c>
      <c r="F175" s="59">
        <f>ROUND(SUMIF(RV_DATA!W165:'RV_DATA'!W225, 1423950272, RV_DATA!R165:'RV_DATA'!R225), 6)</f>
        <v>37.14</v>
      </c>
      <c r="G175" s="59">
        <f>ROUND(RV_DATA!S188, 6)</f>
        <v>10.06</v>
      </c>
      <c r="H175" s="59">
        <f>ROUND(SUMIF(RV_DATA!W165:'RV_DATA'!W225, 1423950272, RV_DATA!T165:'RV_DATA'!T225), 6)</f>
        <v>37.14</v>
      </c>
      <c r="R175">
        <v>1</v>
      </c>
    </row>
    <row r="176" spans="1:18" ht="28.5" x14ac:dyDescent="0.2">
      <c r="A176" s="56" t="s">
        <v>695</v>
      </c>
      <c r="B176" s="57" t="s">
        <v>697</v>
      </c>
      <c r="C176" s="57" t="s">
        <v>505</v>
      </c>
      <c r="D176" s="58">
        <f>ROUND(SUMIF(RV_DATA!W165:'RV_DATA'!W225, 756830587, RV_DATA!I165:'RV_DATA'!I225), 6)</f>
        <v>3.191595</v>
      </c>
      <c r="E176" s="59">
        <f>ROUND(RV_DATA!K202, 6)</f>
        <v>195.2</v>
      </c>
      <c r="F176" s="59">
        <f>ROUND(SUMIF(RV_DATA!W165:'RV_DATA'!W225, 756830587, RV_DATA!M165:'RV_DATA'!M225), 6)</f>
        <v>623</v>
      </c>
      <c r="G176" s="59">
        <f>ROUND(RV_DATA!N202, 6)</f>
        <v>195.2</v>
      </c>
      <c r="H176" s="59">
        <f>ROUND(SUMIF(RV_DATA!W165:'RV_DATA'!W225, 756830587, RV_DATA!O165:'RV_DATA'!O225), 6)</f>
        <v>623</v>
      </c>
      <c r="Q176">
        <v>2</v>
      </c>
    </row>
    <row r="177" spans="1:18" ht="14.25" x14ac:dyDescent="0.2">
      <c r="A177" s="56" t="s">
        <v>3</v>
      </c>
      <c r="B177" s="57" t="s">
        <v>849</v>
      </c>
      <c r="C177" s="57"/>
      <c r="D177" s="58"/>
      <c r="E177" s="59">
        <f>ROUND(RV_DATA!P202, 6)</f>
        <v>14.4</v>
      </c>
      <c r="F177" s="59">
        <f>ROUND(SUMIF(RV_DATA!W165:'RV_DATA'!W225, 756830587, RV_DATA!R165:'RV_DATA'!R225), 6)</f>
        <v>45.96</v>
      </c>
      <c r="G177" s="59">
        <f>ROUND(RV_DATA!S202, 6)</f>
        <v>14.4</v>
      </c>
      <c r="H177" s="59">
        <f>ROUND(SUMIF(RV_DATA!W165:'RV_DATA'!W225, 756830587, RV_DATA!T165:'RV_DATA'!T225), 6)</f>
        <v>45.96</v>
      </c>
      <c r="R177">
        <v>1</v>
      </c>
    </row>
    <row r="178" spans="1:18" ht="28.5" x14ac:dyDescent="0.2">
      <c r="A178" s="56" t="s">
        <v>698</v>
      </c>
      <c r="B178" s="57" t="s">
        <v>700</v>
      </c>
      <c r="C178" s="57" t="s">
        <v>505</v>
      </c>
      <c r="D178" s="58">
        <f>ROUND(SUMIF(RV_DATA!W165:'RV_DATA'!W225, -152577158, RV_DATA!I165:'RV_DATA'!I225), 6)</f>
        <v>1.63734</v>
      </c>
      <c r="E178" s="59">
        <f>ROUND(RV_DATA!K201, 6)</f>
        <v>17.2</v>
      </c>
      <c r="F178" s="59">
        <f>ROUND(SUMIF(RV_DATA!W165:'RV_DATA'!W225, -152577158, RV_DATA!M165:'RV_DATA'!M225), 6)</f>
        <v>28.16</v>
      </c>
      <c r="G178" s="59">
        <f>ROUND(RV_DATA!N201, 6)</f>
        <v>17.2</v>
      </c>
      <c r="H178" s="59">
        <f>ROUND(SUMIF(RV_DATA!W165:'RV_DATA'!W225, -152577158, RV_DATA!O165:'RV_DATA'!O225), 6)</f>
        <v>28.16</v>
      </c>
      <c r="Q178">
        <v>2</v>
      </c>
    </row>
    <row r="179" spans="1:18" ht="14.25" x14ac:dyDescent="0.2">
      <c r="A179" s="56" t="s">
        <v>3</v>
      </c>
      <c r="B179" s="57" t="s">
        <v>849</v>
      </c>
      <c r="C179" s="57"/>
      <c r="D179" s="58"/>
      <c r="E179" s="59">
        <f>ROUND(RV_DATA!P201, 6)</f>
        <v>0</v>
      </c>
      <c r="F179" s="59">
        <f>ROUND(SUMIF(RV_DATA!W165:'RV_DATA'!W225, -152577158, RV_DATA!R165:'RV_DATA'!R225), 6)</f>
        <v>0</v>
      </c>
      <c r="G179" s="59">
        <f>ROUND(RV_DATA!S201, 6)</f>
        <v>0</v>
      </c>
      <c r="H179" s="59">
        <f>ROUND(SUMIF(RV_DATA!W165:'RV_DATA'!W225, -152577158, RV_DATA!T165:'RV_DATA'!T225), 6)</f>
        <v>0</v>
      </c>
      <c r="R179">
        <v>1</v>
      </c>
    </row>
    <row r="180" spans="1:18" ht="28.5" x14ac:dyDescent="0.2">
      <c r="A180" s="56" t="s">
        <v>677</v>
      </c>
      <c r="B180" s="57" t="s">
        <v>679</v>
      </c>
      <c r="C180" s="57" t="s">
        <v>505</v>
      </c>
      <c r="D180" s="58">
        <f>ROUND(SUMIF(RV_DATA!W165:'RV_DATA'!W225, 1930194365, RV_DATA!I165:'RV_DATA'!I225), 6)</f>
        <v>3.9619800000000001</v>
      </c>
      <c r="E180" s="59">
        <f>ROUND(RV_DATA!K200, 6)</f>
        <v>75</v>
      </c>
      <c r="F180" s="59">
        <f>ROUND(SUMIF(RV_DATA!W165:'RV_DATA'!W225, 1930194365, RV_DATA!M165:'RV_DATA'!M225), 6)</f>
        <v>297.14</v>
      </c>
      <c r="G180" s="59">
        <f>ROUND(RV_DATA!N200, 6)</f>
        <v>75</v>
      </c>
      <c r="H180" s="59">
        <f>ROUND(SUMIF(RV_DATA!W165:'RV_DATA'!W225, 1930194365, RV_DATA!O165:'RV_DATA'!O225), 6)</f>
        <v>297.14</v>
      </c>
      <c r="Q180">
        <v>2</v>
      </c>
    </row>
    <row r="181" spans="1:18" ht="14.25" x14ac:dyDescent="0.2">
      <c r="A181" s="56" t="s">
        <v>3</v>
      </c>
      <c r="B181" s="57" t="s">
        <v>849</v>
      </c>
      <c r="C181" s="57"/>
      <c r="D181" s="58"/>
      <c r="E181" s="59">
        <f>ROUND(RV_DATA!P200, 6)</f>
        <v>11.6</v>
      </c>
      <c r="F181" s="59">
        <f>ROUND(SUMIF(RV_DATA!W165:'RV_DATA'!W225, 1930194365, RV_DATA!R165:'RV_DATA'!R225), 6)</f>
        <v>45.96</v>
      </c>
      <c r="G181" s="59">
        <f>ROUND(RV_DATA!S200, 6)</f>
        <v>11.6</v>
      </c>
      <c r="H181" s="59">
        <f>ROUND(SUMIF(RV_DATA!W165:'RV_DATA'!W225, 1930194365, RV_DATA!T165:'RV_DATA'!T225), 6)</f>
        <v>45.96</v>
      </c>
      <c r="R181">
        <v>1</v>
      </c>
    </row>
    <row r="182" spans="1:18" ht="28.5" x14ac:dyDescent="0.2">
      <c r="A182" s="56" t="s">
        <v>701</v>
      </c>
      <c r="B182" s="57" t="s">
        <v>703</v>
      </c>
      <c r="C182" s="57" t="s">
        <v>505</v>
      </c>
      <c r="D182" s="58">
        <f>ROUND(SUMIF(RV_DATA!W165:'RV_DATA'!W225, -207381279, RV_DATA!I165:'RV_DATA'!I225), 6)</f>
        <v>11.515755</v>
      </c>
      <c r="E182" s="59">
        <f>ROUND(RV_DATA!K199, 6)</f>
        <v>121</v>
      </c>
      <c r="F182" s="59">
        <f>ROUND(SUMIF(RV_DATA!W165:'RV_DATA'!W225, -207381279, RV_DATA!M165:'RV_DATA'!M225), 6)</f>
        <v>1393.4</v>
      </c>
      <c r="G182" s="59">
        <f>ROUND(RV_DATA!N199, 6)</f>
        <v>121</v>
      </c>
      <c r="H182" s="59">
        <f>ROUND(SUMIF(RV_DATA!W165:'RV_DATA'!W225, -207381279, RV_DATA!O165:'RV_DATA'!O225), 6)</f>
        <v>1393.4</v>
      </c>
      <c r="Q182">
        <v>2</v>
      </c>
    </row>
    <row r="183" spans="1:18" ht="14.25" x14ac:dyDescent="0.2">
      <c r="A183" s="56" t="s">
        <v>3</v>
      </c>
      <c r="B183" s="57" t="s">
        <v>849</v>
      </c>
      <c r="C183" s="57"/>
      <c r="D183" s="58"/>
      <c r="E183" s="59">
        <f>ROUND(RV_DATA!P199, 6)</f>
        <v>14.4</v>
      </c>
      <c r="F183" s="59">
        <f>ROUND(SUMIF(RV_DATA!W165:'RV_DATA'!W225, -207381279, RV_DATA!R165:'RV_DATA'!R225), 6)</f>
        <v>165.82</v>
      </c>
      <c r="G183" s="59">
        <f>ROUND(RV_DATA!S199, 6)</f>
        <v>14.4</v>
      </c>
      <c r="H183" s="59">
        <f>ROUND(SUMIF(RV_DATA!W165:'RV_DATA'!W225, -207381279, RV_DATA!T165:'RV_DATA'!T225), 6)</f>
        <v>165.82</v>
      </c>
      <c r="R183">
        <v>1</v>
      </c>
    </row>
    <row r="184" spans="1:18" ht="28.5" x14ac:dyDescent="0.2">
      <c r="A184" s="56" t="s">
        <v>669</v>
      </c>
      <c r="B184" s="57" t="s">
        <v>671</v>
      </c>
      <c r="C184" s="57" t="s">
        <v>505</v>
      </c>
      <c r="D184" s="58">
        <f>ROUND(SUMIF(RV_DATA!W165:'RV_DATA'!W225, -500549999, RV_DATA!I165:'RV_DATA'!I225), 6)</f>
        <v>25.407698</v>
      </c>
      <c r="E184" s="59">
        <f>ROUND(RV_DATA!K179, 6)</f>
        <v>206.01</v>
      </c>
      <c r="F184" s="59">
        <f>ROUND(SUMIF(RV_DATA!W165:'RV_DATA'!W225, -500549999, RV_DATA!M165:'RV_DATA'!M225), 6)</f>
        <v>5234.24</v>
      </c>
      <c r="G184" s="59">
        <f>ROUND(RV_DATA!N179, 6)</f>
        <v>206.01</v>
      </c>
      <c r="H184" s="59">
        <f>ROUND(SUMIF(RV_DATA!W165:'RV_DATA'!W225, -500549999, RV_DATA!O165:'RV_DATA'!O225), 6)</f>
        <v>5234.24</v>
      </c>
      <c r="Q184">
        <v>2</v>
      </c>
    </row>
    <row r="185" spans="1:18" ht="14.25" x14ac:dyDescent="0.2">
      <c r="A185" s="56" t="s">
        <v>3</v>
      </c>
      <c r="B185" s="57" t="s">
        <v>849</v>
      </c>
      <c r="C185" s="57"/>
      <c r="D185" s="58"/>
      <c r="E185" s="59">
        <f>ROUND(RV_DATA!P179, 6)</f>
        <v>14.4</v>
      </c>
      <c r="F185" s="59">
        <f>ROUND(SUMIF(RV_DATA!W165:'RV_DATA'!W225, -500549999, RV_DATA!R165:'RV_DATA'!R225), 6)</f>
        <v>365.86</v>
      </c>
      <c r="G185" s="59">
        <f>ROUND(RV_DATA!S179, 6)</f>
        <v>14.4</v>
      </c>
      <c r="H185" s="59">
        <f>ROUND(SUMIF(RV_DATA!W165:'RV_DATA'!W225, -500549999, RV_DATA!T165:'RV_DATA'!T225), 6)</f>
        <v>365.86</v>
      </c>
      <c r="R185">
        <v>1</v>
      </c>
    </row>
    <row r="186" spans="1:18" ht="28.5" x14ac:dyDescent="0.2">
      <c r="A186" s="56" t="s">
        <v>672</v>
      </c>
      <c r="B186" s="57" t="s">
        <v>674</v>
      </c>
      <c r="C186" s="57" t="s">
        <v>505</v>
      </c>
      <c r="D186" s="58">
        <f>ROUND(SUMIF(RV_DATA!W165:'RV_DATA'!W225, 1410473507, RV_DATA!I165:'RV_DATA'!I225), 6)</f>
        <v>0.74036999999999997</v>
      </c>
      <c r="E186" s="59">
        <f>ROUND(RV_DATA!K178, 6)</f>
        <v>110</v>
      </c>
      <c r="F186" s="59">
        <f>ROUND(SUMIF(RV_DATA!W165:'RV_DATA'!W225, 1410473507, RV_DATA!M165:'RV_DATA'!M225), 6)</f>
        <v>81.44</v>
      </c>
      <c r="G186" s="59">
        <f>ROUND(RV_DATA!N178, 6)</f>
        <v>110</v>
      </c>
      <c r="H186" s="59">
        <f>ROUND(SUMIF(RV_DATA!W165:'RV_DATA'!W225, 1410473507, RV_DATA!O165:'RV_DATA'!O225), 6)</f>
        <v>81.44</v>
      </c>
      <c r="Q186">
        <v>2</v>
      </c>
    </row>
    <row r="187" spans="1:18" ht="14.25" x14ac:dyDescent="0.2">
      <c r="A187" s="56" t="s">
        <v>3</v>
      </c>
      <c r="B187" s="57" t="s">
        <v>849</v>
      </c>
      <c r="C187" s="57"/>
      <c r="D187" s="58"/>
      <c r="E187" s="59">
        <f>ROUND(RV_DATA!P178, 6)</f>
        <v>11.6</v>
      </c>
      <c r="F187" s="59">
        <f>ROUND(SUMIF(RV_DATA!W165:'RV_DATA'!W225, 1410473507, RV_DATA!R165:'RV_DATA'!R225), 6)</f>
        <v>8.58</v>
      </c>
      <c r="G187" s="59">
        <f>ROUND(RV_DATA!S178, 6)</f>
        <v>11.6</v>
      </c>
      <c r="H187" s="59">
        <f>ROUND(SUMIF(RV_DATA!W165:'RV_DATA'!W225, 1410473507, RV_DATA!T165:'RV_DATA'!T225), 6)</f>
        <v>8.58</v>
      </c>
      <c r="R187">
        <v>1</v>
      </c>
    </row>
    <row r="188" spans="1:18" ht="28.5" x14ac:dyDescent="0.2">
      <c r="A188" s="56" t="s">
        <v>672</v>
      </c>
      <c r="B188" s="57" t="s">
        <v>674</v>
      </c>
      <c r="C188" s="57" t="s">
        <v>505</v>
      </c>
      <c r="D188" s="58">
        <f>ROUND(SUMIF(RV_DATA!W165:'RV_DATA'!W225, -349103294, RV_DATA!I165:'RV_DATA'!I225), 6)</f>
        <v>1.9509749999999999</v>
      </c>
      <c r="E188" s="59">
        <f>ROUND(RV_DATA!K186, 6)</f>
        <v>110</v>
      </c>
      <c r="F188" s="59">
        <f>ROUND(SUMIF(RV_DATA!W165:'RV_DATA'!W225, -349103294, RV_DATA!M165:'RV_DATA'!M225), 6)</f>
        <v>214.61</v>
      </c>
      <c r="G188" s="59">
        <f>ROUND(RV_DATA!N186, 6)</f>
        <v>110</v>
      </c>
      <c r="H188" s="59">
        <f>ROUND(SUMIF(RV_DATA!W165:'RV_DATA'!W225, -349103294, RV_DATA!O165:'RV_DATA'!O225), 6)</f>
        <v>214.61</v>
      </c>
      <c r="Q188">
        <v>2</v>
      </c>
    </row>
    <row r="189" spans="1:18" ht="14.25" x14ac:dyDescent="0.2">
      <c r="A189" s="56" t="s">
        <v>3</v>
      </c>
      <c r="B189" s="57" t="s">
        <v>849</v>
      </c>
      <c r="C189" s="57"/>
      <c r="D189" s="58"/>
      <c r="E189" s="59">
        <f>ROUND(RV_DATA!P186, 6)</f>
        <v>11.6</v>
      </c>
      <c r="F189" s="59">
        <f>ROUND(SUMIF(RV_DATA!W165:'RV_DATA'!W225, -349103294, RV_DATA!R165:'RV_DATA'!R225), 6)</f>
        <v>22.62</v>
      </c>
      <c r="G189" s="59">
        <f>ROUND(RV_DATA!S186, 6)</f>
        <v>11.6</v>
      </c>
      <c r="H189" s="59">
        <f>ROUND(SUMIF(RV_DATA!W165:'RV_DATA'!W225, -349103294, RV_DATA!T165:'RV_DATA'!T225), 6)</f>
        <v>22.62</v>
      </c>
      <c r="R189">
        <v>1</v>
      </c>
    </row>
    <row r="190" spans="1:18" ht="28.5" x14ac:dyDescent="0.2">
      <c r="A190" s="56" t="s">
        <v>664</v>
      </c>
      <c r="B190" s="57" t="s">
        <v>666</v>
      </c>
      <c r="C190" s="57" t="s">
        <v>505</v>
      </c>
      <c r="D190" s="58">
        <f>ROUND(SUMIF(RV_DATA!W165:'RV_DATA'!W225, -807963813, RV_DATA!I165:'RV_DATA'!I225), 6)</f>
        <v>3.9619800000000001</v>
      </c>
      <c r="E190" s="59">
        <f>ROUND(RV_DATA!K173, 6)</f>
        <v>62.3</v>
      </c>
      <c r="F190" s="59">
        <f>ROUND(SUMIF(RV_DATA!W165:'RV_DATA'!W225, -807963813, RV_DATA!M165:'RV_DATA'!M225), 6)</f>
        <v>246.82</v>
      </c>
      <c r="G190" s="59">
        <f>ROUND(RV_DATA!N173, 6)</f>
        <v>62.3</v>
      </c>
      <c r="H190" s="59">
        <f>ROUND(SUMIF(RV_DATA!W165:'RV_DATA'!W225, -807963813, RV_DATA!O165:'RV_DATA'!O225), 6)</f>
        <v>246.82</v>
      </c>
      <c r="Q190">
        <v>2</v>
      </c>
    </row>
    <row r="191" spans="1:18" ht="14.25" x14ac:dyDescent="0.2">
      <c r="A191" s="56" t="s">
        <v>3</v>
      </c>
      <c r="B191" s="57" t="s">
        <v>849</v>
      </c>
      <c r="C191" s="57"/>
      <c r="D191" s="58"/>
      <c r="E191" s="59">
        <f>ROUND(RV_DATA!P173, 6)</f>
        <v>11.6</v>
      </c>
      <c r="F191" s="59">
        <f>ROUND(SUMIF(RV_DATA!W165:'RV_DATA'!W225, -807963813, RV_DATA!R165:'RV_DATA'!R225), 6)</f>
        <v>45.96</v>
      </c>
      <c r="G191" s="59">
        <f>ROUND(RV_DATA!S173, 6)</f>
        <v>11.6</v>
      </c>
      <c r="H191" s="59">
        <f>ROUND(SUMIF(RV_DATA!W165:'RV_DATA'!W225, -807963813, RV_DATA!T165:'RV_DATA'!T225), 6)</f>
        <v>45.96</v>
      </c>
      <c r="R191">
        <v>1</v>
      </c>
    </row>
    <row r="192" spans="1:18" ht="28.5" x14ac:dyDescent="0.2">
      <c r="A192" s="56" t="s">
        <v>509</v>
      </c>
      <c r="B192" s="57" t="s">
        <v>511</v>
      </c>
      <c r="C192" s="57" t="s">
        <v>505</v>
      </c>
      <c r="D192" s="58">
        <f>ROUND(SUMIF(RV_DATA!W165:'RV_DATA'!W225, 1792116812, RV_DATA!I165:'RV_DATA'!I225), 6)</f>
        <v>4.002E-2</v>
      </c>
      <c r="E192" s="59">
        <f>ROUND(RV_DATA!K197, 6)</f>
        <v>65.709999999999994</v>
      </c>
      <c r="F192" s="59">
        <f>ROUND(SUMIF(RV_DATA!W165:'RV_DATA'!W225, 1792116812, RV_DATA!M165:'RV_DATA'!M225), 6)</f>
        <v>2.64</v>
      </c>
      <c r="G192" s="59">
        <f>ROUND(RV_DATA!N197, 6)</f>
        <v>65.709999999999994</v>
      </c>
      <c r="H192" s="59">
        <f>ROUND(SUMIF(RV_DATA!W165:'RV_DATA'!W225, 1792116812, RV_DATA!O165:'RV_DATA'!O225), 6)</f>
        <v>2.64</v>
      </c>
      <c r="Q192">
        <v>2</v>
      </c>
    </row>
    <row r="193" spans="1:18" ht="14.25" x14ac:dyDescent="0.2">
      <c r="A193" s="56" t="s">
        <v>3</v>
      </c>
      <c r="B193" s="57" t="s">
        <v>849</v>
      </c>
      <c r="C193" s="57"/>
      <c r="D193" s="58"/>
      <c r="E193" s="59">
        <f>ROUND(RV_DATA!P197, 6)</f>
        <v>11.6</v>
      </c>
      <c r="F193" s="59">
        <f>ROUND(SUMIF(RV_DATA!W165:'RV_DATA'!W225, 1792116812, RV_DATA!R165:'RV_DATA'!R225), 6)</f>
        <v>0.46</v>
      </c>
      <c r="G193" s="59">
        <f>ROUND(RV_DATA!S197, 6)</f>
        <v>11.6</v>
      </c>
      <c r="H193" s="59">
        <f>ROUND(SUMIF(RV_DATA!W165:'RV_DATA'!W225, 1792116812, RV_DATA!T165:'RV_DATA'!T225), 6)</f>
        <v>0.46</v>
      </c>
      <c r="R193">
        <v>1</v>
      </c>
    </row>
    <row r="194" spans="1:18" ht="57" x14ac:dyDescent="0.2">
      <c r="A194" s="56" t="s">
        <v>594</v>
      </c>
      <c r="B194" s="57" t="s">
        <v>596</v>
      </c>
      <c r="C194" s="57" t="s">
        <v>505</v>
      </c>
      <c r="D194" s="58">
        <f>ROUND(SUMIF(RV_DATA!W165:'RV_DATA'!W225, 954034734, RV_DATA!I165:'RV_DATA'!I225), 6)</f>
        <v>12.566280000000001</v>
      </c>
      <c r="E194" s="59">
        <f>ROUND(RV_DATA!K166, 6)</f>
        <v>90</v>
      </c>
      <c r="F194" s="59">
        <f>ROUND(SUMIF(RV_DATA!W165:'RV_DATA'!W225, 954034734, RV_DATA!M165:'RV_DATA'!M225), 6)</f>
        <v>1130.96</v>
      </c>
      <c r="G194" s="59">
        <f>ROUND(RV_DATA!N166, 6)</f>
        <v>90</v>
      </c>
      <c r="H194" s="59">
        <f>ROUND(SUMIF(RV_DATA!W165:'RV_DATA'!W225, 954034734, RV_DATA!O165:'RV_DATA'!O225), 6)</f>
        <v>1130.96</v>
      </c>
      <c r="Q194">
        <v>2</v>
      </c>
    </row>
    <row r="195" spans="1:18" ht="14.25" x14ac:dyDescent="0.2">
      <c r="A195" s="56" t="s">
        <v>3</v>
      </c>
      <c r="B195" s="57" t="s">
        <v>849</v>
      </c>
      <c r="C195" s="57"/>
      <c r="D195" s="58"/>
      <c r="E195" s="59">
        <f>ROUND(RV_DATA!P166, 6)</f>
        <v>10.06</v>
      </c>
      <c r="F195" s="59">
        <f>ROUND(SUMIF(RV_DATA!W165:'RV_DATA'!W225, 954034734, RV_DATA!R165:'RV_DATA'!R225), 6)</f>
        <v>126.42</v>
      </c>
      <c r="G195" s="59">
        <f>ROUND(RV_DATA!S166, 6)</f>
        <v>10.06</v>
      </c>
      <c r="H195" s="59">
        <f>ROUND(SUMIF(RV_DATA!W165:'RV_DATA'!W225, 954034734, RV_DATA!T165:'RV_DATA'!T225), 6)</f>
        <v>126.42</v>
      </c>
      <c r="R195">
        <v>1</v>
      </c>
    </row>
    <row r="196" spans="1:18" ht="42.75" x14ac:dyDescent="0.2">
      <c r="A196" s="56" t="s">
        <v>656</v>
      </c>
      <c r="B196" s="57" t="s">
        <v>658</v>
      </c>
      <c r="C196" s="57" t="s">
        <v>505</v>
      </c>
      <c r="D196" s="58">
        <f>ROUND(SUMIF(RV_DATA!W165:'RV_DATA'!W225, -172744654, RV_DATA!I165:'RV_DATA'!I225), 6)</f>
        <v>37.698839999999997</v>
      </c>
      <c r="E196" s="59">
        <f>ROUND(RV_DATA!K165, 6)</f>
        <v>1.53</v>
      </c>
      <c r="F196" s="59">
        <f>ROUND(SUMIF(RV_DATA!W165:'RV_DATA'!W225, -172744654, RV_DATA!M165:'RV_DATA'!M225), 6)</f>
        <v>57.68</v>
      </c>
      <c r="G196" s="59">
        <f>ROUND(RV_DATA!N165, 6)</f>
        <v>1.53</v>
      </c>
      <c r="H196" s="59">
        <f>ROUND(SUMIF(RV_DATA!W165:'RV_DATA'!W225, -172744654, RV_DATA!O165:'RV_DATA'!O225), 6)</f>
        <v>57.68</v>
      </c>
      <c r="Q196">
        <v>2</v>
      </c>
    </row>
    <row r="197" spans="1:18" ht="14.25" x14ac:dyDescent="0.2">
      <c r="A197" s="56" t="s">
        <v>3</v>
      </c>
      <c r="B197" s="57" t="s">
        <v>849</v>
      </c>
      <c r="C197" s="57"/>
      <c r="D197" s="58"/>
      <c r="E197" s="59">
        <f>ROUND(RV_DATA!P165, 6)</f>
        <v>0</v>
      </c>
      <c r="F197" s="59">
        <f>ROUND(SUMIF(RV_DATA!W165:'RV_DATA'!W225, -172744654, RV_DATA!R165:'RV_DATA'!R225), 6)</f>
        <v>0</v>
      </c>
      <c r="G197" s="59">
        <f>ROUND(RV_DATA!S165, 6)</f>
        <v>0</v>
      </c>
      <c r="H197" s="59">
        <f>ROUND(SUMIF(RV_DATA!W165:'RV_DATA'!W225, -172744654, RV_DATA!T165:'RV_DATA'!T225), 6)</f>
        <v>0</v>
      </c>
      <c r="R197">
        <v>1</v>
      </c>
    </row>
    <row r="198" spans="1:18" ht="15" x14ac:dyDescent="0.25">
      <c r="A198" s="86" t="s">
        <v>850</v>
      </c>
      <c r="B198" s="86"/>
      <c r="C198" s="86"/>
      <c r="D198" s="86"/>
      <c r="E198" s="87">
        <f>SUMIF(Q166:Q197, 2, F166:F197)</f>
        <v>11638.810000000001</v>
      </c>
      <c r="F198" s="87"/>
      <c r="G198" s="87">
        <f>SUMIF(Q166:Q197, 2, H166:H197)</f>
        <v>11638.810000000001</v>
      </c>
      <c r="H198" s="86"/>
    </row>
    <row r="199" spans="1:18" ht="15" x14ac:dyDescent="0.25">
      <c r="A199" s="86" t="s">
        <v>851</v>
      </c>
      <c r="B199" s="86"/>
      <c r="C199" s="86"/>
      <c r="D199" s="86"/>
      <c r="E199" s="87">
        <f>SUMIF(R166:R198, 1, F166:F198)</f>
        <v>1103.51</v>
      </c>
      <c r="F199" s="87"/>
      <c r="G199" s="87">
        <f>SUMIF(R166:R198, 1, H166:H198)</f>
        <v>1103.51</v>
      </c>
      <c r="H199" s="86"/>
    </row>
    <row r="200" spans="1:18" ht="14.25" x14ac:dyDescent="0.2">
      <c r="A200" s="88" t="s">
        <v>852</v>
      </c>
      <c r="B200" s="89"/>
      <c r="C200" s="89"/>
      <c r="D200" s="89"/>
      <c r="E200" s="89"/>
      <c r="F200" s="89"/>
      <c r="G200" s="89"/>
      <c r="H200" s="89"/>
    </row>
    <row r="201" spans="1:18" ht="28.5" x14ac:dyDescent="0.2">
      <c r="A201" s="56" t="s">
        <v>335</v>
      </c>
      <c r="B201" s="57" t="s">
        <v>336</v>
      </c>
      <c r="C201" s="57" t="s">
        <v>32</v>
      </c>
      <c r="D201" s="58">
        <f>ROUND(SUMIF(RV_DATA!W165:'RV_DATA'!W225, 1400565996, RV_DATA!I165:'RV_DATA'!I225), 6)</f>
        <v>1.5311E-2</v>
      </c>
      <c r="E201" s="59">
        <f>ROUND(RV_DATA!K206, 6)</f>
        <v>1946.91</v>
      </c>
      <c r="F201" s="59">
        <f>ROUND(SUMIF(RV_DATA!W165:'RV_DATA'!W225, 1400565996, RV_DATA!M165:'RV_DATA'!M225), 6)</f>
        <v>29.82</v>
      </c>
      <c r="G201" s="59">
        <f>ROUND(RV_DATA!N206, 6)</f>
        <v>1946.91</v>
      </c>
      <c r="H201" s="59">
        <f>ROUND(SUMIF(RV_DATA!W165:'RV_DATA'!W225, 1400565996, RV_DATA!O165:'RV_DATA'!O225), 6)</f>
        <v>29.82</v>
      </c>
      <c r="Q201">
        <v>3</v>
      </c>
    </row>
    <row r="202" spans="1:18" ht="28.5" x14ac:dyDescent="0.2">
      <c r="A202" s="56" t="s">
        <v>597</v>
      </c>
      <c r="B202" s="57" t="s">
        <v>599</v>
      </c>
      <c r="C202" s="57" t="s">
        <v>96</v>
      </c>
      <c r="D202" s="58">
        <f>ROUND(SUMIF(RV_DATA!W165:'RV_DATA'!W225, -1353927395, RV_DATA!I165:'RV_DATA'!I225), 6)</f>
        <v>10.927199999999999</v>
      </c>
      <c r="E202" s="59">
        <f>ROUND(RV_DATA!K177, 6)</f>
        <v>2.44</v>
      </c>
      <c r="F202" s="59">
        <f>ROUND(SUMIF(RV_DATA!W165:'RV_DATA'!W225, -1353927395, RV_DATA!M165:'RV_DATA'!M225), 6)</f>
        <v>26.66</v>
      </c>
      <c r="G202" s="59">
        <f>ROUND(RV_DATA!N177, 6)</f>
        <v>2.44</v>
      </c>
      <c r="H202" s="59">
        <f>ROUND(SUMIF(RV_DATA!W165:'RV_DATA'!W225, -1353927395, RV_DATA!O165:'RV_DATA'!O225), 6)</f>
        <v>26.66</v>
      </c>
      <c r="Q202">
        <v>3</v>
      </c>
    </row>
    <row r="203" spans="1:18" ht="28.5" x14ac:dyDescent="0.2">
      <c r="A203" s="56" t="s">
        <v>290</v>
      </c>
      <c r="B203" s="57" t="s">
        <v>291</v>
      </c>
      <c r="C203" s="57" t="s">
        <v>96</v>
      </c>
      <c r="D203" s="58">
        <f>ROUND(SUMIF(RV_DATA!W165:'RV_DATA'!W225, 624224960, RV_DATA!I165:'RV_DATA'!I225), 6)</f>
        <v>106.488</v>
      </c>
      <c r="E203" s="59">
        <f>ROUND(RV_DATA!K193, 6)</f>
        <v>139.63</v>
      </c>
      <c r="F203" s="59">
        <f>ROUND(SUMIF(RV_DATA!W165:'RV_DATA'!W225, 624224960, RV_DATA!M165:'RV_DATA'!M225), 6)</f>
        <v>14868.92</v>
      </c>
      <c r="G203" s="59">
        <f>ROUND(RV_DATA!N193, 6)</f>
        <v>139.63</v>
      </c>
      <c r="H203" s="59">
        <f>ROUND(SUMIF(RV_DATA!W165:'RV_DATA'!W225, 624224960, RV_DATA!O165:'RV_DATA'!O225), 6)</f>
        <v>14868.92</v>
      </c>
      <c r="Q203">
        <v>3</v>
      </c>
    </row>
    <row r="204" spans="1:18" ht="28.5" x14ac:dyDescent="0.2">
      <c r="A204" s="56" t="s">
        <v>101</v>
      </c>
      <c r="B204" s="57" t="s">
        <v>102</v>
      </c>
      <c r="C204" s="57" t="s">
        <v>96</v>
      </c>
      <c r="D204" s="58">
        <f>ROUND(SUMIF(RV_DATA!W165:'RV_DATA'!W225, 1416435395, RV_DATA!I165:'RV_DATA'!I225), 6)</f>
        <v>71.34</v>
      </c>
      <c r="E204" s="59">
        <f>ROUND(RV_DATA!K184, 6)</f>
        <v>55.26</v>
      </c>
      <c r="F204" s="59">
        <f>ROUND(SUMIF(RV_DATA!W165:'RV_DATA'!W225, 1416435395, RV_DATA!M165:'RV_DATA'!M225), 6)</f>
        <v>3942.25</v>
      </c>
      <c r="G204" s="59">
        <f>ROUND(RV_DATA!N184, 6)</f>
        <v>55.26</v>
      </c>
      <c r="H204" s="59">
        <f>ROUND(SUMIF(RV_DATA!W165:'RV_DATA'!W225, 1416435395, RV_DATA!O165:'RV_DATA'!O225), 6)</f>
        <v>3942.25</v>
      </c>
      <c r="Q204">
        <v>3</v>
      </c>
    </row>
    <row r="205" spans="1:18" ht="42.75" x14ac:dyDescent="0.2">
      <c r="A205" s="56" t="s">
        <v>355</v>
      </c>
      <c r="B205" s="57" t="s">
        <v>356</v>
      </c>
      <c r="C205" s="57" t="s">
        <v>32</v>
      </c>
      <c r="D205" s="58">
        <f>ROUND(SUMIF(RV_DATA!W165:'RV_DATA'!W225, -1955182557, RV_DATA!I165:'RV_DATA'!I225), 6)</f>
        <v>33.616799999999998</v>
      </c>
      <c r="E205" s="59">
        <f>ROUND(RV_DATA!K225, 6)</f>
        <v>460</v>
      </c>
      <c r="F205" s="59">
        <f>ROUND(SUMIF(RV_DATA!W165:'RV_DATA'!W225, -1955182557, RV_DATA!M165:'RV_DATA'!M225), 6)</f>
        <v>15463.73</v>
      </c>
      <c r="G205" s="59">
        <f>ROUND(RV_DATA!N225, 6)</f>
        <v>460</v>
      </c>
      <c r="H205" s="59">
        <f>ROUND(SUMIF(RV_DATA!W165:'RV_DATA'!W225, -1955182557, RV_DATA!O165:'RV_DATA'!O225), 6)</f>
        <v>15463.73</v>
      </c>
      <c r="Q205">
        <v>3</v>
      </c>
    </row>
    <row r="206" spans="1:18" ht="28.5" x14ac:dyDescent="0.2">
      <c r="A206" s="56" t="s">
        <v>339</v>
      </c>
      <c r="B206" s="57" t="s">
        <v>340</v>
      </c>
      <c r="C206" s="57" t="s">
        <v>32</v>
      </c>
      <c r="D206" s="58">
        <f>ROUND(SUMIF(RV_DATA!W165:'RV_DATA'!W225, -352328264, RV_DATA!I165:'RV_DATA'!I225), 6)</f>
        <v>50.042400000000001</v>
      </c>
      <c r="E206" s="59">
        <f>ROUND(RV_DATA!K207, 6)</f>
        <v>390.88</v>
      </c>
      <c r="F206" s="59">
        <f>ROUND(SUMIF(RV_DATA!W165:'RV_DATA'!W225, -352328264, RV_DATA!M165:'RV_DATA'!M225), 6)</f>
        <v>19560.57</v>
      </c>
      <c r="G206" s="59">
        <f>ROUND(RV_DATA!N207, 6)</f>
        <v>390.88</v>
      </c>
      <c r="H206" s="59">
        <f>ROUND(SUMIF(RV_DATA!W165:'RV_DATA'!W225, -352328264, RV_DATA!O165:'RV_DATA'!O225), 6)</f>
        <v>19560.57</v>
      </c>
      <c r="Q206">
        <v>3</v>
      </c>
    </row>
    <row r="207" spans="1:18" ht="28.5" x14ac:dyDescent="0.2">
      <c r="A207" s="56" t="s">
        <v>704</v>
      </c>
      <c r="B207" s="57" t="s">
        <v>706</v>
      </c>
      <c r="C207" s="57" t="s">
        <v>32</v>
      </c>
      <c r="D207" s="58">
        <f>ROUND(SUMIF(RV_DATA!W165:'RV_DATA'!W225, 37467868, RV_DATA!I165:'RV_DATA'!I225), 6)</f>
        <v>4.3150000000000003E-3</v>
      </c>
      <c r="E207" s="59">
        <f>ROUND(RV_DATA!K195, 6)</f>
        <v>5989</v>
      </c>
      <c r="F207" s="59">
        <f>ROUND(SUMIF(RV_DATA!W165:'RV_DATA'!W225, 37467868, RV_DATA!M165:'RV_DATA'!M225), 6)</f>
        <v>25.84</v>
      </c>
      <c r="G207" s="59">
        <f>ROUND(RV_DATA!N195, 6)</f>
        <v>5989</v>
      </c>
      <c r="H207" s="59">
        <f>ROUND(SUMIF(RV_DATA!W165:'RV_DATA'!W225, 37467868, RV_DATA!O165:'RV_DATA'!O225), 6)</f>
        <v>25.84</v>
      </c>
      <c r="Q207">
        <v>3</v>
      </c>
    </row>
    <row r="208" spans="1:18" ht="42.75" x14ac:dyDescent="0.2">
      <c r="A208" s="56" t="s">
        <v>707</v>
      </c>
      <c r="B208" s="57" t="s">
        <v>709</v>
      </c>
      <c r="C208" s="57" t="s">
        <v>96</v>
      </c>
      <c r="D208" s="58">
        <f>ROUND(SUMIF(RV_DATA!W165:'RV_DATA'!W225, 232585860, RV_DATA!I165:'RV_DATA'!I225), 6)</f>
        <v>0.10440000000000001</v>
      </c>
      <c r="E208" s="59">
        <f>ROUND(RV_DATA!K194, 6)</f>
        <v>1287</v>
      </c>
      <c r="F208" s="59">
        <f>ROUND(SUMIF(RV_DATA!W165:'RV_DATA'!W225, 232585860, RV_DATA!M165:'RV_DATA'!M225), 6)</f>
        <v>134.36000000000001</v>
      </c>
      <c r="G208" s="59">
        <f>ROUND(RV_DATA!N194, 6)</f>
        <v>1287</v>
      </c>
      <c r="H208" s="59">
        <f>ROUND(SUMIF(RV_DATA!W165:'RV_DATA'!W225, 232585860, RV_DATA!O165:'RV_DATA'!O225), 6)</f>
        <v>134.36000000000001</v>
      </c>
      <c r="Q208">
        <v>3</v>
      </c>
    </row>
    <row r="209" spans="1:18" ht="15" x14ac:dyDescent="0.25">
      <c r="A209" s="86" t="s">
        <v>853</v>
      </c>
      <c r="B209" s="86"/>
      <c r="C209" s="86"/>
      <c r="D209" s="86"/>
      <c r="E209" s="87">
        <f>SUMIF(Q201:Q208, 3, F201:F208)</f>
        <v>54052.15</v>
      </c>
      <c r="F209" s="87"/>
      <c r="G209" s="87">
        <f>SUMIF(Q201:Q208, 3, H201:H208)</f>
        <v>54052.15</v>
      </c>
      <c r="H209" s="86"/>
    </row>
    <row r="210" spans="1:18" ht="16.5" x14ac:dyDescent="0.2">
      <c r="A210" s="93" t="str">
        <f>CONCATENATE("Подраздел: ",IF(Source!G201&lt;&gt;"Новый подраздел", Source!G201, ""))</f>
        <v>Подраздел: Востановление общественной зоны</v>
      </c>
      <c r="B210" s="94"/>
      <c r="C210" s="94"/>
      <c r="D210" s="94"/>
      <c r="E210" s="94"/>
      <c r="F210" s="94"/>
      <c r="G210" s="94"/>
      <c r="H210" s="94"/>
    </row>
    <row r="211" spans="1:18" ht="14.25" x14ac:dyDescent="0.2">
      <c r="A211" s="88" t="s">
        <v>846</v>
      </c>
      <c r="B211" s="89"/>
      <c r="C211" s="89"/>
      <c r="D211" s="89"/>
      <c r="E211" s="89"/>
      <c r="F211" s="89"/>
      <c r="G211" s="89"/>
      <c r="H211" s="89"/>
    </row>
    <row r="212" spans="1:18" ht="14.25" x14ac:dyDescent="0.2">
      <c r="A212" s="56" t="s">
        <v>659</v>
      </c>
      <c r="B212" s="57" t="s">
        <v>660</v>
      </c>
      <c r="C212" s="57" t="s">
        <v>487</v>
      </c>
      <c r="D212" s="58">
        <f>ROUND(SUMIF(RV_DATA!W227:'RV_DATA'!W318, -1514152417, RV_DATA!I227:'RV_DATA'!I318), 6)</f>
        <v>38.870919999999998</v>
      </c>
      <c r="E212" s="59">
        <f>ROUND(RV_DATA!K238, 6)</f>
        <v>7.87</v>
      </c>
      <c r="F212" s="59">
        <f>ROUND(SUMIF(RV_DATA!W227:'RV_DATA'!W318, -1514152417, RV_DATA!M227:'RV_DATA'!M318), 6)</f>
        <v>305.91000000000003</v>
      </c>
      <c r="G212" s="59">
        <f>ROUND(RV_DATA!N238, 6)</f>
        <v>7.87</v>
      </c>
      <c r="H212" s="59">
        <f>ROUND(SUMIF(RV_DATA!W227:'RV_DATA'!W318, -1514152417, RV_DATA!O227:'RV_DATA'!O318), 6)</f>
        <v>305.91000000000003</v>
      </c>
      <c r="Q212">
        <v>1</v>
      </c>
    </row>
    <row r="213" spans="1:18" ht="14.25" x14ac:dyDescent="0.2">
      <c r="A213" s="56" t="s">
        <v>667</v>
      </c>
      <c r="B213" s="57" t="s">
        <v>668</v>
      </c>
      <c r="C213" s="57" t="s">
        <v>487</v>
      </c>
      <c r="D213" s="58">
        <f>ROUND(SUMIF(RV_DATA!W227:'RV_DATA'!W318, -1107782587, RV_DATA!I227:'RV_DATA'!I318), 6)</f>
        <v>11.475914</v>
      </c>
      <c r="E213" s="59">
        <f>ROUND(RV_DATA!K245, 6)</f>
        <v>8.02</v>
      </c>
      <c r="F213" s="59">
        <f>ROUND(SUMIF(RV_DATA!W227:'RV_DATA'!W318, -1107782587, RV_DATA!M227:'RV_DATA'!M318), 6)</f>
        <v>92.04</v>
      </c>
      <c r="G213" s="59">
        <f>ROUND(RV_DATA!N245, 6)</f>
        <v>8.02</v>
      </c>
      <c r="H213" s="59">
        <f>ROUND(SUMIF(RV_DATA!W227:'RV_DATA'!W318, -1107782587, RV_DATA!O227:'RV_DATA'!O318), 6)</f>
        <v>92.04</v>
      </c>
      <c r="Q213">
        <v>1</v>
      </c>
    </row>
    <row r="214" spans="1:18" ht="14.25" x14ac:dyDescent="0.2">
      <c r="A214" s="56" t="s">
        <v>688</v>
      </c>
      <c r="B214" s="57" t="s">
        <v>689</v>
      </c>
      <c r="C214" s="57" t="s">
        <v>487</v>
      </c>
      <c r="D214" s="58">
        <f>ROUND(SUMIF(RV_DATA!W227:'RV_DATA'!W318, 135343476, RV_DATA!I227:'RV_DATA'!I318), 6)</f>
        <v>35.318368</v>
      </c>
      <c r="E214" s="59">
        <f>ROUND(RV_DATA!K254, 6)</f>
        <v>8.09</v>
      </c>
      <c r="F214" s="59">
        <f>ROUND(SUMIF(RV_DATA!W227:'RV_DATA'!W318, 135343476, RV_DATA!M227:'RV_DATA'!M318), 6)</f>
        <v>285.73</v>
      </c>
      <c r="G214" s="59">
        <f>ROUND(RV_DATA!N254, 6)</f>
        <v>8.09</v>
      </c>
      <c r="H214" s="59">
        <f>ROUND(SUMIF(RV_DATA!W227:'RV_DATA'!W318, 135343476, RV_DATA!O227:'RV_DATA'!O318), 6)</f>
        <v>285.73</v>
      </c>
      <c r="Q214">
        <v>1</v>
      </c>
    </row>
    <row r="215" spans="1:18" ht="14.25" x14ac:dyDescent="0.2">
      <c r="A215" s="56" t="s">
        <v>654</v>
      </c>
      <c r="B215" s="57" t="s">
        <v>655</v>
      </c>
      <c r="C215" s="57" t="s">
        <v>487</v>
      </c>
      <c r="D215" s="58">
        <f>ROUND(SUMIF(RV_DATA!W227:'RV_DATA'!W318, 1013964695, RV_DATA!I227:'RV_DATA'!I318), 6)</f>
        <v>36.666048000000004</v>
      </c>
      <c r="E215" s="59">
        <f>ROUND(RV_DATA!K230, 6)</f>
        <v>8.31</v>
      </c>
      <c r="F215" s="59">
        <f>ROUND(SUMIF(RV_DATA!W227:'RV_DATA'!W318, 1013964695, RV_DATA!M227:'RV_DATA'!M318), 6)</f>
        <v>304.7</v>
      </c>
      <c r="G215" s="59">
        <f>ROUND(RV_DATA!N230, 6)</f>
        <v>8.31</v>
      </c>
      <c r="H215" s="59">
        <f>ROUND(SUMIF(RV_DATA!W227:'RV_DATA'!W318, 1013964695, RV_DATA!O227:'RV_DATA'!O318), 6)</f>
        <v>304.7</v>
      </c>
      <c r="Q215">
        <v>1</v>
      </c>
    </row>
    <row r="216" spans="1:18" ht="14.25" x14ac:dyDescent="0.2">
      <c r="A216" s="56" t="s">
        <v>675</v>
      </c>
      <c r="B216" s="57" t="s">
        <v>676</v>
      </c>
      <c r="C216" s="57" t="s">
        <v>487</v>
      </c>
      <c r="D216" s="58">
        <f>ROUND(SUMIF(RV_DATA!W227:'RV_DATA'!W318, -1128529270, RV_DATA!I227:'RV_DATA'!I318), 6)</f>
        <v>67.794523999999996</v>
      </c>
      <c r="E216" s="59">
        <f>ROUND(RV_DATA!K301, 6)</f>
        <v>8.4600000000000009</v>
      </c>
      <c r="F216" s="59">
        <f>ROUND(SUMIF(RV_DATA!W227:'RV_DATA'!W318, -1128529270, RV_DATA!M227:'RV_DATA'!M318), 6)</f>
        <v>573.54999999999995</v>
      </c>
      <c r="G216" s="59">
        <f>ROUND(RV_DATA!N301, 6)</f>
        <v>8.4600000000000009</v>
      </c>
      <c r="H216" s="59">
        <f>ROUND(SUMIF(RV_DATA!W227:'RV_DATA'!W318, -1128529270, RV_DATA!O227:'RV_DATA'!O318), 6)</f>
        <v>573.54999999999995</v>
      </c>
      <c r="Q216">
        <v>1</v>
      </c>
    </row>
    <row r="217" spans="1:18" ht="14.25" x14ac:dyDescent="0.2">
      <c r="A217" s="56" t="s">
        <v>680</v>
      </c>
      <c r="B217" s="57" t="s">
        <v>681</v>
      </c>
      <c r="C217" s="57" t="s">
        <v>487</v>
      </c>
      <c r="D217" s="58">
        <f>ROUND(SUMIF(RV_DATA!W227:'RV_DATA'!W318, 756385297, RV_DATA!I227:'RV_DATA'!I318), 6)</f>
        <v>42.438496000000001</v>
      </c>
      <c r="E217" s="59">
        <f>ROUND(RV_DATA!K313, 6)</f>
        <v>9.2899999999999991</v>
      </c>
      <c r="F217" s="59">
        <f>ROUND(SUMIF(RV_DATA!W227:'RV_DATA'!W318, 756385297, RV_DATA!M227:'RV_DATA'!M318), 6)</f>
        <v>394.24</v>
      </c>
      <c r="G217" s="59">
        <f>ROUND(RV_DATA!N313, 6)</f>
        <v>9.2899999999999991</v>
      </c>
      <c r="H217" s="59">
        <f>ROUND(SUMIF(RV_DATA!W227:'RV_DATA'!W318, 756385297, RV_DATA!O227:'RV_DATA'!O318), 6)</f>
        <v>394.24</v>
      </c>
      <c r="Q217">
        <v>1</v>
      </c>
    </row>
    <row r="218" spans="1:18" ht="14.25" x14ac:dyDescent="0.2">
      <c r="A218" s="56" t="s">
        <v>693</v>
      </c>
      <c r="B218" s="57" t="s">
        <v>694</v>
      </c>
      <c r="C218" s="57" t="s">
        <v>487</v>
      </c>
      <c r="D218" s="58">
        <f>ROUND(SUMIF(RV_DATA!W227:'RV_DATA'!W318, -1620489650, RV_DATA!I227:'RV_DATA'!I318), 6)</f>
        <v>18.706084000000001</v>
      </c>
      <c r="E218" s="59">
        <f>ROUND(RV_DATA!K267, 6)</f>
        <v>9.6199999999999992</v>
      </c>
      <c r="F218" s="59">
        <f>ROUND(SUMIF(RV_DATA!W227:'RV_DATA'!W318, -1620489650, RV_DATA!M227:'RV_DATA'!M318), 6)</f>
        <v>179.96</v>
      </c>
      <c r="G218" s="59">
        <f>ROUND(RV_DATA!N267, 6)</f>
        <v>9.6199999999999992</v>
      </c>
      <c r="H218" s="59">
        <f>ROUND(SUMIF(RV_DATA!W227:'RV_DATA'!W318, -1620489650, RV_DATA!O227:'RV_DATA'!O318), 6)</f>
        <v>179.96</v>
      </c>
      <c r="Q218">
        <v>1</v>
      </c>
    </row>
    <row r="219" spans="1:18" ht="14.25" x14ac:dyDescent="0.2">
      <c r="A219" s="56" t="s">
        <v>500</v>
      </c>
      <c r="B219" s="57" t="s">
        <v>501</v>
      </c>
      <c r="C219" s="57" t="s">
        <v>487</v>
      </c>
      <c r="D219" s="58">
        <f>ROUND(SUMIF(RV_DATA!W227:'RV_DATA'!W318, 1122477533, RV_DATA!I227:'RV_DATA'!I318), 6)</f>
        <v>60.808320000000002</v>
      </c>
      <c r="E219" s="59">
        <f>ROUND(RV_DATA!K229, 6)</f>
        <v>0</v>
      </c>
      <c r="F219" s="59">
        <f>ROUND(SUMIF(RV_DATA!W227:'RV_DATA'!W318, 1122477533, RV_DATA!M227:'RV_DATA'!M318), 6)</f>
        <v>0</v>
      </c>
      <c r="G219" s="59">
        <f>ROUND(RV_DATA!N229, 6)</f>
        <v>0</v>
      </c>
      <c r="H219" s="59">
        <f>ROUND(SUMIF(RV_DATA!W227:'RV_DATA'!W318, 1122477533, RV_DATA!O227:'RV_DATA'!O318), 6)</f>
        <v>0</v>
      </c>
      <c r="Q219">
        <v>1</v>
      </c>
    </row>
    <row r="220" spans="1:18" ht="15" x14ac:dyDescent="0.25">
      <c r="A220" s="86" t="s">
        <v>847</v>
      </c>
      <c r="B220" s="86"/>
      <c r="C220" s="86"/>
      <c r="D220" s="86"/>
      <c r="E220" s="87">
        <f>SUMIF(Q212:Q219, 1, F212:F219)</f>
        <v>2136.13</v>
      </c>
      <c r="F220" s="87"/>
      <c r="G220" s="87">
        <f>SUMIF(Q212:Q219, 1, H212:H219)</f>
        <v>2136.13</v>
      </c>
      <c r="H220" s="86"/>
    </row>
    <row r="221" spans="1:18" ht="14.25" x14ac:dyDescent="0.2">
      <c r="A221" s="88" t="s">
        <v>848</v>
      </c>
      <c r="B221" s="89"/>
      <c r="C221" s="89"/>
      <c r="D221" s="89"/>
      <c r="E221" s="89"/>
      <c r="F221" s="89"/>
      <c r="G221" s="89"/>
      <c r="H221" s="89"/>
    </row>
    <row r="222" spans="1:18" ht="28.5" x14ac:dyDescent="0.2">
      <c r="A222" s="56" t="s">
        <v>690</v>
      </c>
      <c r="B222" s="57" t="s">
        <v>692</v>
      </c>
      <c r="C222" s="57" t="s">
        <v>505</v>
      </c>
      <c r="D222" s="58">
        <f>ROUND(SUMIF(RV_DATA!W227:'RV_DATA'!W318, 1875679958, RV_DATA!I227:'RV_DATA'!I318), 6)</f>
        <v>4.1103300000000003</v>
      </c>
      <c r="E222" s="59">
        <f>ROUND(RV_DATA!K252, 6)</f>
        <v>79.069999999999993</v>
      </c>
      <c r="F222" s="59">
        <f>ROUND(SUMIF(RV_DATA!W227:'RV_DATA'!W318, 1875679958, RV_DATA!M227:'RV_DATA'!M318), 6)</f>
        <v>325</v>
      </c>
      <c r="G222" s="59">
        <f>ROUND(RV_DATA!N252, 6)</f>
        <v>79.069999999999993</v>
      </c>
      <c r="H222" s="59">
        <f>ROUND(SUMIF(RV_DATA!W227:'RV_DATA'!W318, 1875679958, RV_DATA!O227:'RV_DATA'!O318), 6)</f>
        <v>325</v>
      </c>
      <c r="Q222">
        <v>2</v>
      </c>
    </row>
    <row r="223" spans="1:18" ht="14.25" x14ac:dyDescent="0.2">
      <c r="A223" s="56" t="s">
        <v>3</v>
      </c>
      <c r="B223" s="57" t="s">
        <v>849</v>
      </c>
      <c r="C223" s="57"/>
      <c r="D223" s="58"/>
      <c r="E223" s="59">
        <f>ROUND(RV_DATA!P252, 6)</f>
        <v>13.5</v>
      </c>
      <c r="F223" s="59">
        <f>ROUND(SUMIF(RV_DATA!W227:'RV_DATA'!W318, 1875679958, RV_DATA!R227:'RV_DATA'!R318), 6)</f>
        <v>55.5</v>
      </c>
      <c r="G223" s="59">
        <f>ROUND(RV_DATA!S252, 6)</f>
        <v>13.5</v>
      </c>
      <c r="H223" s="59">
        <f>ROUND(SUMIF(RV_DATA!W227:'RV_DATA'!W318, 1875679958, RV_DATA!T227:'RV_DATA'!T318), 6)</f>
        <v>55.5</v>
      </c>
      <c r="R223">
        <v>1</v>
      </c>
    </row>
    <row r="224" spans="1:18" ht="28.5" x14ac:dyDescent="0.2">
      <c r="A224" s="56" t="s">
        <v>661</v>
      </c>
      <c r="B224" s="57" t="s">
        <v>663</v>
      </c>
      <c r="C224" s="57" t="s">
        <v>505</v>
      </c>
      <c r="D224" s="58">
        <f>ROUND(SUMIF(RV_DATA!W227:'RV_DATA'!W318, 1262858537, RV_DATA!I227:'RV_DATA'!I318), 6)</f>
        <v>10.704314999999999</v>
      </c>
      <c r="E224" s="59">
        <f>ROUND(RV_DATA!K236, 6)</f>
        <v>123</v>
      </c>
      <c r="F224" s="59">
        <f>ROUND(SUMIF(RV_DATA!W227:'RV_DATA'!W318, 1262858537, RV_DATA!M227:'RV_DATA'!M318), 6)</f>
        <v>1316.63</v>
      </c>
      <c r="G224" s="59">
        <f>ROUND(RV_DATA!N236, 6)</f>
        <v>123</v>
      </c>
      <c r="H224" s="59">
        <f>ROUND(SUMIF(RV_DATA!W227:'RV_DATA'!W318, 1262858537, RV_DATA!O227:'RV_DATA'!O318), 6)</f>
        <v>1316.63</v>
      </c>
      <c r="Q224">
        <v>2</v>
      </c>
    </row>
    <row r="225" spans="1:18" ht="14.25" x14ac:dyDescent="0.2">
      <c r="A225" s="56" t="s">
        <v>3</v>
      </c>
      <c r="B225" s="57" t="s">
        <v>849</v>
      </c>
      <c r="C225" s="57"/>
      <c r="D225" s="58"/>
      <c r="E225" s="59">
        <f>ROUND(RV_DATA!P236, 6)</f>
        <v>13.5</v>
      </c>
      <c r="F225" s="59">
        <f>ROUND(SUMIF(RV_DATA!W227:'RV_DATA'!W318, 1262858537, RV_DATA!R227:'RV_DATA'!R318), 6)</f>
        <v>144.52000000000001</v>
      </c>
      <c r="G225" s="59">
        <f>ROUND(RV_DATA!S236, 6)</f>
        <v>13.5</v>
      </c>
      <c r="H225" s="59">
        <f>ROUND(SUMIF(RV_DATA!W227:'RV_DATA'!W318, 1262858537, RV_DATA!T227:'RV_DATA'!T318), 6)</f>
        <v>144.52000000000001</v>
      </c>
      <c r="R225">
        <v>1</v>
      </c>
    </row>
    <row r="226" spans="1:18" ht="28.5" x14ac:dyDescent="0.2">
      <c r="A226" s="56" t="s">
        <v>518</v>
      </c>
      <c r="B226" s="57" t="s">
        <v>520</v>
      </c>
      <c r="C226" s="57" t="s">
        <v>505</v>
      </c>
      <c r="D226" s="58">
        <f>ROUND(SUMIF(RV_DATA!W227:'RV_DATA'!W318, -2122234393, RV_DATA!I227:'RV_DATA'!I318), 6)</f>
        <v>6.8769999999999998E-2</v>
      </c>
      <c r="E226" s="59">
        <f>ROUND(RV_DATA!K265, 6)</f>
        <v>111.99</v>
      </c>
      <c r="F226" s="59">
        <f>ROUND(SUMIF(RV_DATA!W227:'RV_DATA'!W318, -2122234393, RV_DATA!M227:'RV_DATA'!M318), 6)</f>
        <v>7.7</v>
      </c>
      <c r="G226" s="59">
        <f>ROUND(RV_DATA!N265, 6)</f>
        <v>111.99</v>
      </c>
      <c r="H226" s="59">
        <f>ROUND(SUMIF(RV_DATA!W227:'RV_DATA'!W318, -2122234393, RV_DATA!O227:'RV_DATA'!O318), 6)</f>
        <v>7.7</v>
      </c>
      <c r="Q226">
        <v>2</v>
      </c>
    </row>
    <row r="227" spans="1:18" ht="14.25" x14ac:dyDescent="0.2">
      <c r="A227" s="56" t="s">
        <v>3</v>
      </c>
      <c r="B227" s="57" t="s">
        <v>849</v>
      </c>
      <c r="C227" s="57"/>
      <c r="D227" s="58"/>
      <c r="E227" s="59">
        <f>ROUND(RV_DATA!P265, 6)</f>
        <v>13.5</v>
      </c>
      <c r="F227" s="59">
        <f>ROUND(SUMIF(RV_DATA!W227:'RV_DATA'!W318, -2122234393, RV_DATA!R227:'RV_DATA'!R318), 6)</f>
        <v>0.93</v>
      </c>
      <c r="G227" s="59">
        <f>ROUND(RV_DATA!S265, 6)</f>
        <v>13.5</v>
      </c>
      <c r="H227" s="59">
        <f>ROUND(SUMIF(RV_DATA!W227:'RV_DATA'!W318, -2122234393, RV_DATA!T227:'RV_DATA'!T318), 6)</f>
        <v>0.93</v>
      </c>
      <c r="R227">
        <v>1</v>
      </c>
    </row>
    <row r="228" spans="1:18" ht="28.5" x14ac:dyDescent="0.2">
      <c r="A228" s="56" t="s">
        <v>629</v>
      </c>
      <c r="B228" s="57" t="s">
        <v>631</v>
      </c>
      <c r="C228" s="57" t="s">
        <v>505</v>
      </c>
      <c r="D228" s="58">
        <f>ROUND(SUMIF(RV_DATA!W227:'RV_DATA'!W318, 1793503583, RV_DATA!I227:'RV_DATA'!I318), 6)</f>
        <v>11.222735</v>
      </c>
      <c r="E228" s="59">
        <f>ROUND(RV_DATA!K242, 6)</f>
        <v>89.99</v>
      </c>
      <c r="F228" s="59">
        <f>ROUND(SUMIF(RV_DATA!W227:'RV_DATA'!W318, 1793503583, RV_DATA!M227:'RV_DATA'!M318), 6)</f>
        <v>1009.96</v>
      </c>
      <c r="G228" s="59">
        <f>ROUND(RV_DATA!N242, 6)</f>
        <v>89.99</v>
      </c>
      <c r="H228" s="59">
        <f>ROUND(SUMIF(RV_DATA!W227:'RV_DATA'!W318, 1793503583, RV_DATA!O227:'RV_DATA'!O318), 6)</f>
        <v>1009.96</v>
      </c>
      <c r="Q228">
        <v>2</v>
      </c>
    </row>
    <row r="229" spans="1:18" ht="14.25" x14ac:dyDescent="0.2">
      <c r="A229" s="56" t="s">
        <v>3</v>
      </c>
      <c r="B229" s="57" t="s">
        <v>849</v>
      </c>
      <c r="C229" s="57"/>
      <c r="D229" s="58"/>
      <c r="E229" s="59">
        <f>ROUND(RV_DATA!P242, 6)</f>
        <v>10.06</v>
      </c>
      <c r="F229" s="59">
        <f>ROUND(SUMIF(RV_DATA!W227:'RV_DATA'!W318, 1793503583, RV_DATA!R227:'RV_DATA'!R318), 6)</f>
        <v>112.93</v>
      </c>
      <c r="G229" s="59">
        <f>ROUND(RV_DATA!S242, 6)</f>
        <v>10.06</v>
      </c>
      <c r="H229" s="59">
        <f>ROUND(SUMIF(RV_DATA!W227:'RV_DATA'!W318, 1793503583, RV_DATA!T227:'RV_DATA'!T318), 6)</f>
        <v>112.93</v>
      </c>
      <c r="R229">
        <v>1</v>
      </c>
    </row>
    <row r="230" spans="1:18" ht="28.5" x14ac:dyDescent="0.2">
      <c r="A230" s="56" t="s">
        <v>695</v>
      </c>
      <c r="B230" s="57" t="s">
        <v>697</v>
      </c>
      <c r="C230" s="57" t="s">
        <v>505</v>
      </c>
      <c r="D230" s="58">
        <f>ROUND(SUMIF(RV_DATA!W227:'RV_DATA'!W318, -477141524, RV_DATA!I227:'RV_DATA'!I318), 6)</f>
        <v>1.6875100000000001</v>
      </c>
      <c r="E230" s="59">
        <f>ROUND(RV_DATA!K264, 6)</f>
        <v>195.2</v>
      </c>
      <c r="F230" s="59">
        <f>ROUND(SUMIF(RV_DATA!W227:'RV_DATA'!W318, -477141524, RV_DATA!M227:'RV_DATA'!M318), 6)</f>
        <v>329.4</v>
      </c>
      <c r="G230" s="59">
        <f>ROUND(RV_DATA!N264, 6)</f>
        <v>195.2</v>
      </c>
      <c r="H230" s="59">
        <f>ROUND(SUMIF(RV_DATA!W227:'RV_DATA'!W318, -477141524, RV_DATA!O227:'RV_DATA'!O318), 6)</f>
        <v>329.4</v>
      </c>
      <c r="Q230">
        <v>2</v>
      </c>
    </row>
    <row r="231" spans="1:18" ht="14.25" x14ac:dyDescent="0.2">
      <c r="A231" s="56" t="s">
        <v>3</v>
      </c>
      <c r="B231" s="57" t="s">
        <v>849</v>
      </c>
      <c r="C231" s="57"/>
      <c r="D231" s="58"/>
      <c r="E231" s="59">
        <f>ROUND(RV_DATA!P264, 6)</f>
        <v>14.4</v>
      </c>
      <c r="F231" s="59">
        <f>ROUND(SUMIF(RV_DATA!W227:'RV_DATA'!W318, -477141524, RV_DATA!R227:'RV_DATA'!R318), 6)</f>
        <v>24.3</v>
      </c>
      <c r="G231" s="59">
        <f>ROUND(RV_DATA!S264, 6)</f>
        <v>14.4</v>
      </c>
      <c r="H231" s="59">
        <f>ROUND(SUMIF(RV_DATA!W227:'RV_DATA'!W318, -477141524, RV_DATA!T227:'RV_DATA'!T318), 6)</f>
        <v>24.3</v>
      </c>
      <c r="R231">
        <v>1</v>
      </c>
    </row>
    <row r="232" spans="1:18" ht="28.5" x14ac:dyDescent="0.2">
      <c r="A232" s="56" t="s">
        <v>698</v>
      </c>
      <c r="B232" s="57" t="s">
        <v>700</v>
      </c>
      <c r="C232" s="57" t="s">
        <v>505</v>
      </c>
      <c r="D232" s="58">
        <f>ROUND(SUMIF(RV_DATA!W227:'RV_DATA'!W318, -155116088, RV_DATA!I227:'RV_DATA'!I318), 6)</f>
        <v>0.86572000000000005</v>
      </c>
      <c r="E232" s="59">
        <f>ROUND(RV_DATA!K263, 6)</f>
        <v>17.2</v>
      </c>
      <c r="F232" s="59">
        <f>ROUND(SUMIF(RV_DATA!W227:'RV_DATA'!W318, -155116088, RV_DATA!M227:'RV_DATA'!M318), 6)</f>
        <v>14.89</v>
      </c>
      <c r="G232" s="59">
        <f>ROUND(RV_DATA!N263, 6)</f>
        <v>17.2</v>
      </c>
      <c r="H232" s="59">
        <f>ROUND(SUMIF(RV_DATA!W227:'RV_DATA'!W318, -155116088, RV_DATA!O227:'RV_DATA'!O318), 6)</f>
        <v>14.89</v>
      </c>
      <c r="Q232">
        <v>2</v>
      </c>
    </row>
    <row r="233" spans="1:18" ht="14.25" x14ac:dyDescent="0.2">
      <c r="A233" s="56" t="s">
        <v>3</v>
      </c>
      <c r="B233" s="57" t="s">
        <v>849</v>
      </c>
      <c r="C233" s="57"/>
      <c r="D233" s="58"/>
      <c r="E233" s="59">
        <f>ROUND(RV_DATA!P263, 6)</f>
        <v>0</v>
      </c>
      <c r="F233" s="59">
        <f>ROUND(SUMIF(RV_DATA!W227:'RV_DATA'!W318, -155116088, RV_DATA!R227:'RV_DATA'!R318), 6)</f>
        <v>0</v>
      </c>
      <c r="G233" s="59">
        <f>ROUND(RV_DATA!S263, 6)</f>
        <v>0</v>
      </c>
      <c r="H233" s="59">
        <f>ROUND(SUMIF(RV_DATA!W227:'RV_DATA'!W318, -155116088, RV_DATA!T227:'RV_DATA'!T318), 6)</f>
        <v>0</v>
      </c>
      <c r="R233">
        <v>1</v>
      </c>
    </row>
    <row r="234" spans="1:18" ht="28.5" x14ac:dyDescent="0.2">
      <c r="A234" s="56" t="s">
        <v>677</v>
      </c>
      <c r="B234" s="57" t="s">
        <v>679</v>
      </c>
      <c r="C234" s="57" t="s">
        <v>505</v>
      </c>
      <c r="D234" s="58">
        <f>ROUND(SUMIF(RV_DATA!W227:'RV_DATA'!W318, 1930194365, RV_DATA!I227:'RV_DATA'!I318), 6)</f>
        <v>6.0094399999999997</v>
      </c>
      <c r="E234" s="59">
        <f>ROUND(RV_DATA!K262, 6)</f>
        <v>75</v>
      </c>
      <c r="F234" s="59">
        <f>ROUND(SUMIF(RV_DATA!W227:'RV_DATA'!W318, 1930194365, RV_DATA!M227:'RV_DATA'!M318), 6)</f>
        <v>450.72</v>
      </c>
      <c r="G234" s="59">
        <f>ROUND(RV_DATA!N262, 6)</f>
        <v>75</v>
      </c>
      <c r="H234" s="59">
        <f>ROUND(SUMIF(RV_DATA!W227:'RV_DATA'!W318, 1930194365, RV_DATA!O227:'RV_DATA'!O318), 6)</f>
        <v>450.72</v>
      </c>
      <c r="Q234">
        <v>2</v>
      </c>
    </row>
    <row r="235" spans="1:18" ht="14.25" x14ac:dyDescent="0.2">
      <c r="A235" s="56" t="s">
        <v>3</v>
      </c>
      <c r="B235" s="57" t="s">
        <v>849</v>
      </c>
      <c r="C235" s="57"/>
      <c r="D235" s="58"/>
      <c r="E235" s="59">
        <f>ROUND(RV_DATA!P262, 6)</f>
        <v>11.6</v>
      </c>
      <c r="F235" s="59">
        <f>ROUND(SUMIF(RV_DATA!W227:'RV_DATA'!W318, 1930194365, RV_DATA!R227:'RV_DATA'!R318), 6)</f>
        <v>69.709999999999994</v>
      </c>
      <c r="G235" s="59">
        <f>ROUND(RV_DATA!S262, 6)</f>
        <v>11.6</v>
      </c>
      <c r="H235" s="59">
        <f>ROUND(SUMIF(RV_DATA!W227:'RV_DATA'!W318, 1930194365, RV_DATA!T227:'RV_DATA'!T318), 6)</f>
        <v>69.709999999999994</v>
      </c>
      <c r="R235">
        <v>1</v>
      </c>
    </row>
    <row r="236" spans="1:18" ht="28.5" x14ac:dyDescent="0.2">
      <c r="A236" s="56" t="s">
        <v>701</v>
      </c>
      <c r="B236" s="57" t="s">
        <v>703</v>
      </c>
      <c r="C236" s="57" t="s">
        <v>505</v>
      </c>
      <c r="D236" s="58">
        <f>ROUND(SUMIF(RV_DATA!W227:'RV_DATA'!W318, -207381279, RV_DATA!I227:'RV_DATA'!I318), 6)</f>
        <v>6.0887900000000004</v>
      </c>
      <c r="E236" s="59">
        <f>ROUND(RV_DATA!K261, 6)</f>
        <v>121</v>
      </c>
      <c r="F236" s="59">
        <f>ROUND(SUMIF(RV_DATA!W227:'RV_DATA'!W318, -207381279, RV_DATA!M227:'RV_DATA'!M318), 6)</f>
        <v>736.74</v>
      </c>
      <c r="G236" s="59">
        <f>ROUND(RV_DATA!N261, 6)</f>
        <v>121</v>
      </c>
      <c r="H236" s="59">
        <f>ROUND(SUMIF(RV_DATA!W227:'RV_DATA'!W318, -207381279, RV_DATA!O227:'RV_DATA'!O318), 6)</f>
        <v>736.74</v>
      </c>
      <c r="Q236">
        <v>2</v>
      </c>
    </row>
    <row r="237" spans="1:18" ht="14.25" x14ac:dyDescent="0.2">
      <c r="A237" s="56" t="s">
        <v>3</v>
      </c>
      <c r="B237" s="57" t="s">
        <v>849</v>
      </c>
      <c r="C237" s="57"/>
      <c r="D237" s="58"/>
      <c r="E237" s="59">
        <f>ROUND(RV_DATA!P261, 6)</f>
        <v>14.4</v>
      </c>
      <c r="F237" s="59">
        <f>ROUND(SUMIF(RV_DATA!W227:'RV_DATA'!W318, -207381279, RV_DATA!R227:'RV_DATA'!R318), 6)</f>
        <v>87.68</v>
      </c>
      <c r="G237" s="59">
        <f>ROUND(RV_DATA!S261, 6)</f>
        <v>14.4</v>
      </c>
      <c r="H237" s="59">
        <f>ROUND(SUMIF(RV_DATA!W227:'RV_DATA'!W318, -207381279, RV_DATA!T227:'RV_DATA'!T318), 6)</f>
        <v>87.68</v>
      </c>
      <c r="R237">
        <v>1</v>
      </c>
    </row>
    <row r="238" spans="1:18" ht="28.5" x14ac:dyDescent="0.2">
      <c r="A238" s="56" t="s">
        <v>669</v>
      </c>
      <c r="B238" s="57" t="s">
        <v>671</v>
      </c>
      <c r="C238" s="57" t="s">
        <v>505</v>
      </c>
      <c r="D238" s="58">
        <f>ROUND(SUMIF(RV_DATA!W227:'RV_DATA'!W318, -500549999, RV_DATA!I227:'RV_DATA'!I318), 6)</f>
        <v>24.995249999999999</v>
      </c>
      <c r="E238" s="59">
        <f>ROUND(RV_DATA!K241, 6)</f>
        <v>206.01</v>
      </c>
      <c r="F238" s="59">
        <f>ROUND(SUMIF(RV_DATA!W227:'RV_DATA'!W318, -500549999, RV_DATA!M227:'RV_DATA'!M318), 6)</f>
        <v>5149.2700000000004</v>
      </c>
      <c r="G238" s="59">
        <f>ROUND(RV_DATA!N241, 6)</f>
        <v>206.01</v>
      </c>
      <c r="H238" s="59">
        <f>ROUND(SUMIF(RV_DATA!W227:'RV_DATA'!W318, -500549999, RV_DATA!O227:'RV_DATA'!O318), 6)</f>
        <v>5149.2700000000004</v>
      </c>
      <c r="Q238">
        <v>2</v>
      </c>
    </row>
    <row r="239" spans="1:18" ht="14.25" x14ac:dyDescent="0.2">
      <c r="A239" s="56" t="s">
        <v>3</v>
      </c>
      <c r="B239" s="57" t="s">
        <v>849</v>
      </c>
      <c r="C239" s="57"/>
      <c r="D239" s="58"/>
      <c r="E239" s="59">
        <f>ROUND(RV_DATA!P241, 6)</f>
        <v>14.4</v>
      </c>
      <c r="F239" s="59">
        <f>ROUND(SUMIF(RV_DATA!W227:'RV_DATA'!W318, -500549999, RV_DATA!R227:'RV_DATA'!R318), 6)</f>
        <v>359.93</v>
      </c>
      <c r="G239" s="59">
        <f>ROUND(RV_DATA!S241, 6)</f>
        <v>14.4</v>
      </c>
      <c r="H239" s="59">
        <f>ROUND(SUMIF(RV_DATA!W227:'RV_DATA'!W318, -500549999, RV_DATA!T227:'RV_DATA'!T318), 6)</f>
        <v>359.93</v>
      </c>
      <c r="R239">
        <v>1</v>
      </c>
    </row>
    <row r="240" spans="1:18" ht="28.5" x14ac:dyDescent="0.2">
      <c r="A240" s="56" t="s">
        <v>682</v>
      </c>
      <c r="B240" s="57" t="s">
        <v>684</v>
      </c>
      <c r="C240" s="57" t="s">
        <v>505</v>
      </c>
      <c r="D240" s="58">
        <f>ROUND(SUMIF(RV_DATA!W227:'RV_DATA'!W318, -1153517521, RV_DATA!I227:'RV_DATA'!I318), 6)</f>
        <v>2.6185499999999999</v>
      </c>
      <c r="E240" s="59">
        <f>ROUND(RV_DATA!K309, 6)</f>
        <v>60</v>
      </c>
      <c r="F240" s="59">
        <f>ROUND(SUMIF(RV_DATA!W227:'RV_DATA'!W318, -1153517521, RV_DATA!M227:'RV_DATA'!M318), 6)</f>
        <v>157.12</v>
      </c>
      <c r="G240" s="59">
        <f>ROUND(RV_DATA!N309, 6)</f>
        <v>60</v>
      </c>
      <c r="H240" s="59">
        <f>ROUND(SUMIF(RV_DATA!W227:'RV_DATA'!W318, -1153517521, RV_DATA!O227:'RV_DATA'!O318), 6)</f>
        <v>157.12</v>
      </c>
      <c r="Q240">
        <v>2</v>
      </c>
    </row>
    <row r="241" spans="1:18" ht="14.25" x14ac:dyDescent="0.2">
      <c r="A241" s="56" t="s">
        <v>3</v>
      </c>
      <c r="B241" s="57" t="s">
        <v>849</v>
      </c>
      <c r="C241" s="57"/>
      <c r="D241" s="58"/>
      <c r="E241" s="59">
        <f>ROUND(RV_DATA!P309, 6)</f>
        <v>0</v>
      </c>
      <c r="F241" s="59">
        <f>ROUND(SUMIF(RV_DATA!W227:'RV_DATA'!W318, -1153517521, RV_DATA!R227:'RV_DATA'!R318), 6)</f>
        <v>0</v>
      </c>
      <c r="G241" s="59">
        <f>ROUND(RV_DATA!S309, 6)</f>
        <v>0</v>
      </c>
      <c r="H241" s="59">
        <f>ROUND(SUMIF(RV_DATA!W227:'RV_DATA'!W318, -1153517521, RV_DATA!T227:'RV_DATA'!T318), 6)</f>
        <v>0</v>
      </c>
      <c r="R241">
        <v>1</v>
      </c>
    </row>
    <row r="242" spans="1:18" ht="28.5" x14ac:dyDescent="0.2">
      <c r="A242" s="56" t="s">
        <v>672</v>
      </c>
      <c r="B242" s="57" t="s">
        <v>674</v>
      </c>
      <c r="C242" s="57" t="s">
        <v>505</v>
      </c>
      <c r="D242" s="58">
        <f>ROUND(SUMIF(RV_DATA!W227:'RV_DATA'!W318, 1410473507, RV_DATA!I227:'RV_DATA'!I318), 6)</f>
        <v>3.8722799999999999</v>
      </c>
      <c r="E242" s="59">
        <f>ROUND(RV_DATA!K240, 6)</f>
        <v>110</v>
      </c>
      <c r="F242" s="59">
        <f>ROUND(SUMIF(RV_DATA!W227:'RV_DATA'!W318, 1410473507, RV_DATA!M227:'RV_DATA'!M318), 6)</f>
        <v>425.95</v>
      </c>
      <c r="G242" s="59">
        <f>ROUND(RV_DATA!N240, 6)</f>
        <v>110</v>
      </c>
      <c r="H242" s="59">
        <f>ROUND(SUMIF(RV_DATA!W227:'RV_DATA'!W318, 1410473507, RV_DATA!O227:'RV_DATA'!O318), 6)</f>
        <v>425.95</v>
      </c>
      <c r="Q242">
        <v>2</v>
      </c>
    </row>
    <row r="243" spans="1:18" ht="14.25" x14ac:dyDescent="0.2">
      <c r="A243" s="56" t="s">
        <v>3</v>
      </c>
      <c r="B243" s="57" t="s">
        <v>849</v>
      </c>
      <c r="C243" s="57"/>
      <c r="D243" s="58"/>
      <c r="E243" s="59">
        <f>ROUND(RV_DATA!P240, 6)</f>
        <v>11.6</v>
      </c>
      <c r="F243" s="59">
        <f>ROUND(SUMIF(RV_DATA!W227:'RV_DATA'!W318, 1410473507, RV_DATA!R227:'RV_DATA'!R318), 6)</f>
        <v>44.91</v>
      </c>
      <c r="G243" s="59">
        <f>ROUND(RV_DATA!S240, 6)</f>
        <v>11.6</v>
      </c>
      <c r="H243" s="59">
        <f>ROUND(SUMIF(RV_DATA!W227:'RV_DATA'!W318, 1410473507, RV_DATA!T227:'RV_DATA'!T318), 6)</f>
        <v>44.91</v>
      </c>
      <c r="R243">
        <v>1</v>
      </c>
    </row>
    <row r="244" spans="1:18" ht="28.5" x14ac:dyDescent="0.2">
      <c r="A244" s="56" t="s">
        <v>664</v>
      </c>
      <c r="B244" s="57" t="s">
        <v>666</v>
      </c>
      <c r="C244" s="57" t="s">
        <v>505</v>
      </c>
      <c r="D244" s="58">
        <f>ROUND(SUMIF(RV_DATA!W227:'RV_DATA'!W318, -807963813, RV_DATA!I227:'RV_DATA'!I318), 6)</f>
        <v>4.1896800000000001</v>
      </c>
      <c r="E244" s="59">
        <f>ROUND(RV_DATA!K235, 6)</f>
        <v>62.3</v>
      </c>
      <c r="F244" s="59">
        <f>ROUND(SUMIF(RV_DATA!W227:'RV_DATA'!W318, -807963813, RV_DATA!M227:'RV_DATA'!M318), 6)</f>
        <v>261.01</v>
      </c>
      <c r="G244" s="59">
        <f>ROUND(RV_DATA!N235, 6)</f>
        <v>62.3</v>
      </c>
      <c r="H244" s="59">
        <f>ROUND(SUMIF(RV_DATA!W227:'RV_DATA'!W318, -807963813, RV_DATA!O227:'RV_DATA'!O318), 6)</f>
        <v>261.01</v>
      </c>
      <c r="Q244">
        <v>2</v>
      </c>
    </row>
    <row r="245" spans="1:18" ht="14.25" x14ac:dyDescent="0.2">
      <c r="A245" s="56" t="s">
        <v>3</v>
      </c>
      <c r="B245" s="57" t="s">
        <v>849</v>
      </c>
      <c r="C245" s="57"/>
      <c r="D245" s="58"/>
      <c r="E245" s="59">
        <f>ROUND(RV_DATA!P235, 6)</f>
        <v>11.6</v>
      </c>
      <c r="F245" s="59">
        <f>ROUND(SUMIF(RV_DATA!W227:'RV_DATA'!W318, -807963813, RV_DATA!R227:'RV_DATA'!R318), 6)</f>
        <v>48.6</v>
      </c>
      <c r="G245" s="59">
        <f>ROUND(RV_DATA!S235, 6)</f>
        <v>11.6</v>
      </c>
      <c r="H245" s="59">
        <f>ROUND(SUMIF(RV_DATA!W227:'RV_DATA'!W318, -807963813, RV_DATA!T227:'RV_DATA'!T318), 6)</f>
        <v>48.6</v>
      </c>
      <c r="R245">
        <v>1</v>
      </c>
    </row>
    <row r="246" spans="1:18" ht="28.5" x14ac:dyDescent="0.2">
      <c r="A246" s="56" t="s">
        <v>509</v>
      </c>
      <c r="B246" s="57" t="s">
        <v>511</v>
      </c>
      <c r="C246" s="57" t="s">
        <v>505</v>
      </c>
      <c r="D246" s="58">
        <f>ROUND(SUMIF(RV_DATA!W227:'RV_DATA'!W318, 1792116812, RV_DATA!I227:'RV_DATA'!I318), 6)</f>
        <v>7.4060000000000001E-2</v>
      </c>
      <c r="E246" s="59">
        <f>ROUND(RV_DATA!K259, 6)</f>
        <v>65.709999999999994</v>
      </c>
      <c r="F246" s="59">
        <f>ROUND(SUMIF(RV_DATA!W227:'RV_DATA'!W318, 1792116812, RV_DATA!M227:'RV_DATA'!M318), 6)</f>
        <v>4.8600000000000003</v>
      </c>
      <c r="G246" s="59">
        <f>ROUND(RV_DATA!N259, 6)</f>
        <v>65.709999999999994</v>
      </c>
      <c r="H246" s="59">
        <f>ROUND(SUMIF(RV_DATA!W227:'RV_DATA'!W318, 1792116812, RV_DATA!O227:'RV_DATA'!O318), 6)</f>
        <v>4.8600000000000003</v>
      </c>
      <c r="Q246">
        <v>2</v>
      </c>
    </row>
    <row r="247" spans="1:18" ht="14.25" x14ac:dyDescent="0.2">
      <c r="A247" s="56" t="s">
        <v>3</v>
      </c>
      <c r="B247" s="57" t="s">
        <v>849</v>
      </c>
      <c r="C247" s="57"/>
      <c r="D247" s="58"/>
      <c r="E247" s="59">
        <f>ROUND(RV_DATA!P259, 6)</f>
        <v>11.6</v>
      </c>
      <c r="F247" s="59">
        <f>ROUND(SUMIF(RV_DATA!W227:'RV_DATA'!W318, 1792116812, RV_DATA!R227:'RV_DATA'!R318), 6)</f>
        <v>0.85</v>
      </c>
      <c r="G247" s="59">
        <f>ROUND(RV_DATA!S259, 6)</f>
        <v>11.6</v>
      </c>
      <c r="H247" s="59">
        <f>ROUND(SUMIF(RV_DATA!W227:'RV_DATA'!W318, 1792116812, RV_DATA!T227:'RV_DATA'!T318), 6)</f>
        <v>0.85</v>
      </c>
      <c r="R247">
        <v>1</v>
      </c>
    </row>
    <row r="248" spans="1:18" ht="57" x14ac:dyDescent="0.2">
      <c r="A248" s="56" t="s">
        <v>594</v>
      </c>
      <c r="B248" s="57" t="s">
        <v>596</v>
      </c>
      <c r="C248" s="57" t="s">
        <v>505</v>
      </c>
      <c r="D248" s="58">
        <f>ROUND(SUMIF(RV_DATA!W227:'RV_DATA'!W318, 954034734, RV_DATA!I227:'RV_DATA'!I318), 6)</f>
        <v>9.9663599999999999</v>
      </c>
      <c r="E248" s="59">
        <f>ROUND(RV_DATA!K228, 6)</f>
        <v>90</v>
      </c>
      <c r="F248" s="59">
        <f>ROUND(SUMIF(RV_DATA!W227:'RV_DATA'!W318, 954034734, RV_DATA!M227:'RV_DATA'!M318), 6)</f>
        <v>896.97</v>
      </c>
      <c r="G248" s="59">
        <f>ROUND(RV_DATA!N228, 6)</f>
        <v>90</v>
      </c>
      <c r="H248" s="59">
        <f>ROUND(SUMIF(RV_DATA!W227:'RV_DATA'!W318, 954034734, RV_DATA!O227:'RV_DATA'!O318), 6)</f>
        <v>896.97</v>
      </c>
      <c r="Q248">
        <v>2</v>
      </c>
    </row>
    <row r="249" spans="1:18" ht="14.25" x14ac:dyDescent="0.2">
      <c r="A249" s="56" t="s">
        <v>3</v>
      </c>
      <c r="B249" s="57" t="s">
        <v>849</v>
      </c>
      <c r="C249" s="57"/>
      <c r="D249" s="58"/>
      <c r="E249" s="59">
        <f>ROUND(RV_DATA!P228, 6)</f>
        <v>10.06</v>
      </c>
      <c r="F249" s="59">
        <f>ROUND(SUMIF(RV_DATA!W227:'RV_DATA'!W318, 954034734, RV_DATA!R227:'RV_DATA'!R318), 6)</f>
        <v>100.26</v>
      </c>
      <c r="G249" s="59">
        <f>ROUND(RV_DATA!S228, 6)</f>
        <v>10.06</v>
      </c>
      <c r="H249" s="59">
        <f>ROUND(SUMIF(RV_DATA!W227:'RV_DATA'!W318, 954034734, RV_DATA!T227:'RV_DATA'!T318), 6)</f>
        <v>100.26</v>
      </c>
      <c r="R249">
        <v>1</v>
      </c>
    </row>
    <row r="250" spans="1:18" ht="42.75" x14ac:dyDescent="0.2">
      <c r="A250" s="56" t="s">
        <v>656</v>
      </c>
      <c r="B250" s="57" t="s">
        <v>658</v>
      </c>
      <c r="C250" s="57" t="s">
        <v>505</v>
      </c>
      <c r="D250" s="58">
        <f>ROUND(SUMIF(RV_DATA!W227:'RV_DATA'!W318, -172744654, RV_DATA!I227:'RV_DATA'!I318), 6)</f>
        <v>29.899080000000001</v>
      </c>
      <c r="E250" s="59">
        <f>ROUND(RV_DATA!K227, 6)</f>
        <v>1.53</v>
      </c>
      <c r="F250" s="59">
        <f>ROUND(SUMIF(RV_DATA!W227:'RV_DATA'!W318, -172744654, RV_DATA!M227:'RV_DATA'!M318), 6)</f>
        <v>45.75</v>
      </c>
      <c r="G250" s="59">
        <f>ROUND(RV_DATA!N227, 6)</f>
        <v>1.53</v>
      </c>
      <c r="H250" s="59">
        <f>ROUND(SUMIF(RV_DATA!W227:'RV_DATA'!W318, -172744654, RV_DATA!O227:'RV_DATA'!O318), 6)</f>
        <v>45.75</v>
      </c>
      <c r="Q250">
        <v>2</v>
      </c>
    </row>
    <row r="251" spans="1:18" ht="14.25" x14ac:dyDescent="0.2">
      <c r="A251" s="56" t="s">
        <v>3</v>
      </c>
      <c r="B251" s="57" t="s">
        <v>849</v>
      </c>
      <c r="C251" s="57"/>
      <c r="D251" s="58"/>
      <c r="E251" s="59">
        <f>ROUND(RV_DATA!P227, 6)</f>
        <v>0</v>
      </c>
      <c r="F251" s="59">
        <f>ROUND(SUMIF(RV_DATA!W227:'RV_DATA'!W318, -172744654, RV_DATA!R227:'RV_DATA'!R318), 6)</f>
        <v>0</v>
      </c>
      <c r="G251" s="59">
        <f>ROUND(RV_DATA!S227, 6)</f>
        <v>0</v>
      </c>
      <c r="H251" s="59">
        <f>ROUND(SUMIF(RV_DATA!W227:'RV_DATA'!W318, -172744654, RV_DATA!T227:'RV_DATA'!T318), 6)</f>
        <v>0</v>
      </c>
      <c r="R251">
        <v>1</v>
      </c>
    </row>
    <row r="252" spans="1:18" ht="15" x14ac:dyDescent="0.25">
      <c r="A252" s="86" t="s">
        <v>850</v>
      </c>
      <c r="B252" s="86"/>
      <c r="C252" s="86"/>
      <c r="D252" s="86"/>
      <c r="E252" s="87">
        <f>SUMIF(Q222:Q251, 2, F222:F251)</f>
        <v>11131.970000000003</v>
      </c>
      <c r="F252" s="87"/>
      <c r="G252" s="87">
        <f>SUMIF(Q222:Q251, 2, H222:H251)</f>
        <v>11131.970000000003</v>
      </c>
      <c r="H252" s="86"/>
    </row>
    <row r="253" spans="1:18" ht="15" x14ac:dyDescent="0.25">
      <c r="A253" s="86" t="s">
        <v>851</v>
      </c>
      <c r="B253" s="86"/>
      <c r="C253" s="86"/>
      <c r="D253" s="86"/>
      <c r="E253" s="87">
        <f>SUMIF(R222:R252, 1, F222:F252)</f>
        <v>1050.1200000000001</v>
      </c>
      <c r="F253" s="87"/>
      <c r="G253" s="87">
        <f>SUMIF(R222:R252, 1, H222:H252)</f>
        <v>1050.1200000000001</v>
      </c>
      <c r="H253" s="86"/>
    </row>
    <row r="254" spans="1:18" ht="14.25" x14ac:dyDescent="0.2">
      <c r="A254" s="88" t="s">
        <v>852</v>
      </c>
      <c r="B254" s="89"/>
      <c r="C254" s="89"/>
      <c r="D254" s="89"/>
      <c r="E254" s="89"/>
      <c r="F254" s="89"/>
      <c r="G254" s="89"/>
      <c r="H254" s="89"/>
    </row>
    <row r="255" spans="1:18" ht="28.5" x14ac:dyDescent="0.2">
      <c r="A255" s="56" t="s">
        <v>685</v>
      </c>
      <c r="B255" s="57" t="s">
        <v>687</v>
      </c>
      <c r="C255" s="57" t="s">
        <v>32</v>
      </c>
      <c r="D255" s="58">
        <f>ROUND(SUMIF(RV_DATA!W227:'RV_DATA'!W318, -60448066, RV_DATA!I227:'RV_DATA'!I318), 6)</f>
        <v>0.1104</v>
      </c>
      <c r="E255" s="59">
        <f>ROUND(RV_DATA!K307, 6)</f>
        <v>1690</v>
      </c>
      <c r="F255" s="59">
        <f>ROUND(SUMIF(RV_DATA!W227:'RV_DATA'!W318, -60448066, RV_DATA!M227:'RV_DATA'!M318), 6)</f>
        <v>186.58</v>
      </c>
      <c r="G255" s="59">
        <f>ROUND(RV_DATA!N307, 6)</f>
        <v>1690</v>
      </c>
      <c r="H255" s="59">
        <f>ROUND(SUMIF(RV_DATA!W227:'RV_DATA'!W318, -60448066, RV_DATA!O227:'RV_DATA'!O318), 6)</f>
        <v>186.58</v>
      </c>
      <c r="Q255">
        <v>3</v>
      </c>
    </row>
    <row r="256" spans="1:18" ht="28.5" x14ac:dyDescent="0.2">
      <c r="A256" s="56" t="s">
        <v>335</v>
      </c>
      <c r="B256" s="57" t="s">
        <v>336</v>
      </c>
      <c r="C256" s="57" t="s">
        <v>32</v>
      </c>
      <c r="D256" s="58">
        <f>ROUND(SUMIF(RV_DATA!W227:'RV_DATA'!W318, 1400565996, RV_DATA!I227:'RV_DATA'!I318), 6)</f>
        <v>8.0960000000000008E-3</v>
      </c>
      <c r="E256" s="59">
        <f>ROUND(RV_DATA!K268, 6)</f>
        <v>1946.91</v>
      </c>
      <c r="F256" s="59">
        <f>ROUND(SUMIF(RV_DATA!W227:'RV_DATA'!W318, 1400565996, RV_DATA!M227:'RV_DATA'!M318), 6)</f>
        <v>15.77</v>
      </c>
      <c r="G256" s="59">
        <f>ROUND(RV_DATA!N268, 6)</f>
        <v>1946.91</v>
      </c>
      <c r="H256" s="59">
        <f>ROUND(SUMIF(RV_DATA!W227:'RV_DATA'!W318, 1400565996, RV_DATA!O227:'RV_DATA'!O318), 6)</f>
        <v>15.77</v>
      </c>
      <c r="Q256">
        <v>3</v>
      </c>
    </row>
    <row r="257" spans="1:17" ht="28.5" x14ac:dyDescent="0.2">
      <c r="A257" s="56" t="s">
        <v>597</v>
      </c>
      <c r="B257" s="57" t="s">
        <v>599</v>
      </c>
      <c r="C257" s="57" t="s">
        <v>96</v>
      </c>
      <c r="D257" s="58">
        <f>ROUND(SUMIF(RV_DATA!W227:'RV_DATA'!W318, -1353927395, RV_DATA!I227:'RV_DATA'!I318), 6)</f>
        <v>14.2416</v>
      </c>
      <c r="E257" s="59">
        <f>ROUND(RV_DATA!K239, 6)</f>
        <v>2.44</v>
      </c>
      <c r="F257" s="59">
        <f>ROUND(SUMIF(RV_DATA!W227:'RV_DATA'!W318, -1353927395, RV_DATA!M227:'RV_DATA'!M318), 6)</f>
        <v>34.75</v>
      </c>
      <c r="G257" s="59">
        <f>ROUND(RV_DATA!N239, 6)</f>
        <v>2.44</v>
      </c>
      <c r="H257" s="59">
        <f>ROUND(SUMIF(RV_DATA!W227:'RV_DATA'!W318, -1353927395, RV_DATA!O227:'RV_DATA'!O318), 6)</f>
        <v>34.75</v>
      </c>
      <c r="Q257">
        <v>3</v>
      </c>
    </row>
    <row r="258" spans="1:17" ht="28.5" x14ac:dyDescent="0.2">
      <c r="A258" s="56" t="s">
        <v>290</v>
      </c>
      <c r="B258" s="57" t="s">
        <v>291</v>
      </c>
      <c r="C258" s="57" t="s">
        <v>96</v>
      </c>
      <c r="D258" s="58">
        <f>ROUND(SUMIF(RV_DATA!W227:'RV_DATA'!W318, 624224960, RV_DATA!I227:'RV_DATA'!I318), 6)</f>
        <v>169.464</v>
      </c>
      <c r="E258" s="59">
        <f>ROUND(RV_DATA!K255, 6)</f>
        <v>139.63</v>
      </c>
      <c r="F258" s="59">
        <f>ROUND(SUMIF(RV_DATA!W227:'RV_DATA'!W318, 624224960, RV_DATA!M227:'RV_DATA'!M318), 6)</f>
        <v>23662.26</v>
      </c>
      <c r="G258" s="59">
        <f>ROUND(RV_DATA!N255, 6)</f>
        <v>139.63</v>
      </c>
      <c r="H258" s="59">
        <f>ROUND(SUMIF(RV_DATA!W227:'RV_DATA'!W318, 624224960, RV_DATA!O227:'RV_DATA'!O318), 6)</f>
        <v>23662.26</v>
      </c>
      <c r="Q258">
        <v>3</v>
      </c>
    </row>
    <row r="259" spans="1:17" ht="28.5" x14ac:dyDescent="0.2">
      <c r="A259" s="56" t="s">
        <v>101</v>
      </c>
      <c r="B259" s="57" t="s">
        <v>102</v>
      </c>
      <c r="C259" s="57" t="s">
        <v>96</v>
      </c>
      <c r="D259" s="58">
        <f>ROUND(SUMIF(RV_DATA!W227:'RV_DATA'!W318, 1416435395, RV_DATA!I227:'RV_DATA'!I318), 6)</f>
        <v>57.408000000000001</v>
      </c>
      <c r="E259" s="59">
        <f>ROUND(RV_DATA!K246, 6)</f>
        <v>55.26</v>
      </c>
      <c r="F259" s="59">
        <f>ROUND(SUMIF(RV_DATA!W227:'RV_DATA'!W318, 1416435395, RV_DATA!M227:'RV_DATA'!M318), 6)</f>
        <v>3172.37</v>
      </c>
      <c r="G259" s="59">
        <f>ROUND(RV_DATA!N246, 6)</f>
        <v>55.26</v>
      </c>
      <c r="H259" s="59">
        <f>ROUND(SUMIF(RV_DATA!W227:'RV_DATA'!W318, 1416435395, RV_DATA!O227:'RV_DATA'!O318), 6)</f>
        <v>3172.37</v>
      </c>
      <c r="Q259">
        <v>3</v>
      </c>
    </row>
    <row r="260" spans="1:17" ht="71.25" x14ac:dyDescent="0.2">
      <c r="A260" s="56" t="s">
        <v>305</v>
      </c>
      <c r="B260" s="57" t="s">
        <v>306</v>
      </c>
      <c r="C260" s="57" t="s">
        <v>32</v>
      </c>
      <c r="D260" s="58">
        <f>ROUND(SUMIF(RV_DATA!W227:'RV_DATA'!W318, -1762041033, RV_DATA!I227:'RV_DATA'!I318), 6)</f>
        <v>15.364000000000001</v>
      </c>
      <c r="E260" s="59">
        <f>ROUND(RV_DATA!K315, 6)</f>
        <v>535.5</v>
      </c>
      <c r="F260" s="59">
        <f>ROUND(SUMIF(RV_DATA!W227:'RV_DATA'!W318, -1762041033, RV_DATA!M227:'RV_DATA'!M318), 6)</f>
        <v>8227.42</v>
      </c>
      <c r="G260" s="59">
        <f>ROUND(RV_DATA!N315, 6)</f>
        <v>535.5</v>
      </c>
      <c r="H260" s="59">
        <f>ROUND(SUMIF(RV_DATA!W227:'RV_DATA'!W318, -1762041033, RV_DATA!O227:'RV_DATA'!O318), 6)</f>
        <v>8227.42</v>
      </c>
      <c r="Q260">
        <v>3</v>
      </c>
    </row>
    <row r="261" spans="1:17" ht="42.75" x14ac:dyDescent="0.2">
      <c r="A261" s="56" t="s">
        <v>355</v>
      </c>
      <c r="B261" s="57" t="s">
        <v>356</v>
      </c>
      <c r="C261" s="57" t="s">
        <v>32</v>
      </c>
      <c r="D261" s="58">
        <f>ROUND(SUMIF(RV_DATA!W227:'RV_DATA'!W318, -1955182557, RV_DATA!I227:'RV_DATA'!I318), 6)</f>
        <v>17.7744</v>
      </c>
      <c r="E261" s="59">
        <f>ROUND(RV_DATA!K287, 6)</f>
        <v>460</v>
      </c>
      <c r="F261" s="59">
        <f>ROUND(SUMIF(RV_DATA!W227:'RV_DATA'!W318, -1955182557, RV_DATA!M227:'RV_DATA'!M318), 6)</f>
        <v>8176.22</v>
      </c>
      <c r="G261" s="59">
        <f>ROUND(RV_DATA!N287, 6)</f>
        <v>460</v>
      </c>
      <c r="H261" s="59">
        <f>ROUND(SUMIF(RV_DATA!W227:'RV_DATA'!W318, -1955182557, RV_DATA!O227:'RV_DATA'!O318), 6)</f>
        <v>8176.22</v>
      </c>
      <c r="Q261">
        <v>3</v>
      </c>
    </row>
    <row r="262" spans="1:17" ht="28.5" x14ac:dyDescent="0.2">
      <c r="A262" s="56" t="s">
        <v>339</v>
      </c>
      <c r="B262" s="57" t="s">
        <v>340</v>
      </c>
      <c r="C262" s="57" t="s">
        <v>32</v>
      </c>
      <c r="D262" s="58">
        <f>ROUND(SUMIF(RV_DATA!W227:'RV_DATA'!W318, -352328264, RV_DATA!I227:'RV_DATA'!I318), 6)</f>
        <v>26.459199999999999</v>
      </c>
      <c r="E262" s="59">
        <f>ROUND(RV_DATA!K269, 6)</f>
        <v>390.88</v>
      </c>
      <c r="F262" s="59">
        <f>ROUND(SUMIF(RV_DATA!W227:'RV_DATA'!W318, -352328264, RV_DATA!M227:'RV_DATA'!M318), 6)</f>
        <v>10342.370000000001</v>
      </c>
      <c r="G262" s="59">
        <f>ROUND(RV_DATA!N269, 6)</f>
        <v>390.88</v>
      </c>
      <c r="H262" s="59">
        <f>ROUND(SUMIF(RV_DATA!W227:'RV_DATA'!W318, -352328264, RV_DATA!O227:'RV_DATA'!O318), 6)</f>
        <v>10342.370000000001</v>
      </c>
      <c r="Q262">
        <v>3</v>
      </c>
    </row>
    <row r="263" spans="1:17" ht="28.5" x14ac:dyDescent="0.2">
      <c r="A263" s="56" t="s">
        <v>704</v>
      </c>
      <c r="B263" s="57" t="s">
        <v>706</v>
      </c>
      <c r="C263" s="57" t="s">
        <v>32</v>
      </c>
      <c r="D263" s="58">
        <f>ROUND(SUMIF(RV_DATA!W227:'RV_DATA'!W318, 37467868, RV_DATA!I227:'RV_DATA'!I318), 6)</f>
        <v>2.2820000000000002E-3</v>
      </c>
      <c r="E263" s="59">
        <f>ROUND(RV_DATA!K257, 6)</f>
        <v>5989</v>
      </c>
      <c r="F263" s="59">
        <f>ROUND(SUMIF(RV_DATA!W227:'RV_DATA'!W318, 37467868, RV_DATA!M227:'RV_DATA'!M318), 6)</f>
        <v>13.66</v>
      </c>
      <c r="G263" s="59">
        <f>ROUND(RV_DATA!N257, 6)</f>
        <v>5989</v>
      </c>
      <c r="H263" s="59">
        <f>ROUND(SUMIF(RV_DATA!W227:'RV_DATA'!W318, 37467868, RV_DATA!O227:'RV_DATA'!O318), 6)</f>
        <v>13.66</v>
      </c>
      <c r="Q263">
        <v>3</v>
      </c>
    </row>
    <row r="264" spans="1:17" ht="42.75" x14ac:dyDescent="0.2">
      <c r="A264" s="56" t="s">
        <v>707</v>
      </c>
      <c r="B264" s="57" t="s">
        <v>709</v>
      </c>
      <c r="C264" s="57" t="s">
        <v>96</v>
      </c>
      <c r="D264" s="58">
        <f>ROUND(SUMIF(RV_DATA!W227:'RV_DATA'!W318, 232585860, RV_DATA!I227:'RV_DATA'!I318), 6)</f>
        <v>5.5199999999999999E-2</v>
      </c>
      <c r="E264" s="59">
        <f>ROUND(RV_DATA!K256, 6)</f>
        <v>1287</v>
      </c>
      <c r="F264" s="59">
        <f>ROUND(SUMIF(RV_DATA!W227:'RV_DATA'!W318, 232585860, RV_DATA!M227:'RV_DATA'!M318), 6)</f>
        <v>71.040000000000006</v>
      </c>
      <c r="G264" s="59">
        <f>ROUND(RV_DATA!N256, 6)</f>
        <v>1287</v>
      </c>
      <c r="H264" s="59">
        <f>ROUND(SUMIF(RV_DATA!W227:'RV_DATA'!W318, 232585860, RV_DATA!O227:'RV_DATA'!O318), 6)</f>
        <v>71.040000000000006</v>
      </c>
      <c r="Q264">
        <v>3</v>
      </c>
    </row>
    <row r="265" spans="1:17" ht="15" x14ac:dyDescent="0.25">
      <c r="A265" s="86" t="s">
        <v>853</v>
      </c>
      <c r="B265" s="86"/>
      <c r="C265" s="86"/>
      <c r="D265" s="86"/>
      <c r="E265" s="87">
        <f>SUMIF(Q255:Q264, 3, F255:F264)</f>
        <v>53902.44</v>
      </c>
      <c r="F265" s="87"/>
      <c r="G265" s="87">
        <f>SUMIF(Q255:Q264, 3, H255:H264)</f>
        <v>53902.44</v>
      </c>
      <c r="H265" s="86"/>
    </row>
    <row r="266" spans="1:17" ht="16.5" x14ac:dyDescent="0.2">
      <c r="A266" s="93" t="str">
        <f>CONCATENATE("Подраздел: ",IF(Source!G266&lt;&gt;"Новый подраздел", Source!G266, ""))</f>
        <v>Подраздел: Газоны</v>
      </c>
      <c r="B266" s="94"/>
      <c r="C266" s="94"/>
      <c r="D266" s="94"/>
      <c r="E266" s="94"/>
      <c r="F266" s="94"/>
      <c r="G266" s="94"/>
      <c r="H266" s="94"/>
    </row>
    <row r="267" spans="1:17" ht="14.25" x14ac:dyDescent="0.2">
      <c r="A267" s="88" t="s">
        <v>846</v>
      </c>
      <c r="B267" s="89"/>
      <c r="C267" s="89"/>
      <c r="D267" s="89"/>
      <c r="E267" s="89"/>
      <c r="F267" s="89"/>
      <c r="G267" s="89"/>
      <c r="H267" s="89"/>
    </row>
    <row r="268" spans="1:17" ht="14.25" x14ac:dyDescent="0.2">
      <c r="A268" s="56" t="s">
        <v>485</v>
      </c>
      <c r="B268" s="57" t="s">
        <v>486</v>
      </c>
      <c r="C268" s="57" t="s">
        <v>487</v>
      </c>
      <c r="D268" s="58">
        <f>ROUND(SUMIF(RV_DATA!W320:'RV_DATA'!W328, 78448524, RV_DATA!I320:'RV_DATA'!I328), 6)</f>
        <v>143.66640000000001</v>
      </c>
      <c r="E268" s="59">
        <f>ROUND(RV_DATA!K328, 6)</f>
        <v>8.17</v>
      </c>
      <c r="F268" s="59">
        <f>ROUND(SUMIF(RV_DATA!W320:'RV_DATA'!W328, 78448524, RV_DATA!M320:'RV_DATA'!M328), 6)</f>
        <v>1173.77</v>
      </c>
      <c r="G268" s="59">
        <f>ROUND(RV_DATA!N328, 6)</f>
        <v>8.17</v>
      </c>
      <c r="H268" s="59">
        <f>ROUND(SUMIF(RV_DATA!W320:'RV_DATA'!W328, 78448524, RV_DATA!O320:'RV_DATA'!O328), 6)</f>
        <v>1173.77</v>
      </c>
      <c r="Q268">
        <v>1</v>
      </c>
    </row>
    <row r="269" spans="1:17" ht="14.25" x14ac:dyDescent="0.2">
      <c r="A269" s="56" t="s">
        <v>675</v>
      </c>
      <c r="B269" s="57" t="s">
        <v>676</v>
      </c>
      <c r="C269" s="57" t="s">
        <v>487</v>
      </c>
      <c r="D269" s="58">
        <f>ROUND(SUMIF(RV_DATA!W320:'RV_DATA'!W328, -1128529270, RV_DATA!I320:'RV_DATA'!I328), 6)</f>
        <v>22.282800000000002</v>
      </c>
      <c r="E269" s="59">
        <f>ROUND(RV_DATA!K323, 6)</f>
        <v>8.4600000000000009</v>
      </c>
      <c r="F269" s="59">
        <f>ROUND(SUMIF(RV_DATA!W320:'RV_DATA'!W328, -1128529270, RV_DATA!M320:'RV_DATA'!M328), 6)</f>
        <v>188.53</v>
      </c>
      <c r="G269" s="59">
        <f>ROUND(RV_DATA!N323, 6)</f>
        <v>8.4600000000000009</v>
      </c>
      <c r="H269" s="59">
        <f>ROUND(SUMIF(RV_DATA!W320:'RV_DATA'!W328, -1128529270, RV_DATA!O320:'RV_DATA'!O328), 6)</f>
        <v>188.53</v>
      </c>
      <c r="Q269">
        <v>1</v>
      </c>
    </row>
    <row r="270" spans="1:17" ht="14.25" x14ac:dyDescent="0.2">
      <c r="A270" s="56" t="s">
        <v>500</v>
      </c>
      <c r="B270" s="57" t="s">
        <v>501</v>
      </c>
      <c r="C270" s="57" t="s">
        <v>487</v>
      </c>
      <c r="D270" s="58">
        <f>ROUND(SUMIF(RV_DATA!W320:'RV_DATA'!W328, 1122477533, RV_DATA!I320:'RV_DATA'!I328), 6)</f>
        <v>20.3856</v>
      </c>
      <c r="E270" s="59">
        <f>ROUND(RV_DATA!K322, 6)</f>
        <v>0</v>
      </c>
      <c r="F270" s="59">
        <f>ROUND(SUMIF(RV_DATA!W320:'RV_DATA'!W328, 1122477533, RV_DATA!M320:'RV_DATA'!M328), 6)</f>
        <v>0</v>
      </c>
      <c r="G270" s="59">
        <f>ROUND(RV_DATA!N322, 6)</f>
        <v>0</v>
      </c>
      <c r="H270" s="59">
        <f>ROUND(SUMIF(RV_DATA!W320:'RV_DATA'!W328, 1122477533, RV_DATA!O320:'RV_DATA'!O328), 6)</f>
        <v>0</v>
      </c>
      <c r="Q270">
        <v>1</v>
      </c>
    </row>
    <row r="271" spans="1:17" ht="15" x14ac:dyDescent="0.25">
      <c r="A271" s="86" t="s">
        <v>847</v>
      </c>
      <c r="B271" s="86"/>
      <c r="C271" s="86"/>
      <c r="D271" s="86"/>
      <c r="E271" s="87">
        <f>SUMIF(Q268:Q270, 1, F268:F270)</f>
        <v>1362.3</v>
      </c>
      <c r="F271" s="87"/>
      <c r="G271" s="87">
        <f>SUMIF(Q268:Q270, 1, H268:H270)</f>
        <v>1362.3</v>
      </c>
      <c r="H271" s="86"/>
    </row>
    <row r="272" spans="1:17" ht="14.25" x14ac:dyDescent="0.2">
      <c r="A272" s="88" t="s">
        <v>848</v>
      </c>
      <c r="B272" s="89"/>
      <c r="C272" s="89"/>
      <c r="D272" s="89"/>
      <c r="E272" s="89"/>
      <c r="F272" s="89"/>
      <c r="G272" s="89"/>
      <c r="H272" s="89"/>
    </row>
    <row r="273" spans="1:18" ht="28.5" x14ac:dyDescent="0.2">
      <c r="A273" s="56" t="s">
        <v>672</v>
      </c>
      <c r="B273" s="57" t="s">
        <v>674</v>
      </c>
      <c r="C273" s="57" t="s">
        <v>505</v>
      </c>
      <c r="D273" s="58">
        <f>ROUND(SUMIF(RV_DATA!W320:'RV_DATA'!W328, -349103294, RV_DATA!I320:'RV_DATA'!I328), 6)</f>
        <v>20.3856</v>
      </c>
      <c r="E273" s="59">
        <f>ROUND(RV_DATA!K321, 6)</f>
        <v>110</v>
      </c>
      <c r="F273" s="59">
        <f>ROUND(SUMIF(RV_DATA!W320:'RV_DATA'!W328, -349103294, RV_DATA!M320:'RV_DATA'!M328), 6)</f>
        <v>2242.42</v>
      </c>
      <c r="G273" s="59">
        <f>ROUND(RV_DATA!N321, 6)</f>
        <v>110</v>
      </c>
      <c r="H273" s="59">
        <f>ROUND(SUMIF(RV_DATA!W320:'RV_DATA'!W328, -349103294, RV_DATA!O320:'RV_DATA'!O328), 6)</f>
        <v>2242.42</v>
      </c>
      <c r="Q273">
        <v>2</v>
      </c>
    </row>
    <row r="274" spans="1:18" ht="14.25" x14ac:dyDescent="0.2">
      <c r="A274" s="56" t="s">
        <v>3</v>
      </c>
      <c r="B274" s="57" t="s">
        <v>849</v>
      </c>
      <c r="C274" s="57"/>
      <c r="D274" s="58"/>
      <c r="E274" s="59">
        <f>ROUND(RV_DATA!P321, 6)</f>
        <v>11.6</v>
      </c>
      <c r="F274" s="59">
        <f>ROUND(SUMIF(RV_DATA!W320:'RV_DATA'!W328, -349103294, RV_DATA!R320:'RV_DATA'!R328), 6)</f>
        <v>236.44</v>
      </c>
      <c r="G274" s="59">
        <f>ROUND(RV_DATA!S321, 6)</f>
        <v>11.6</v>
      </c>
      <c r="H274" s="59">
        <f>ROUND(SUMIF(RV_DATA!W320:'RV_DATA'!W328, -349103294, RV_DATA!T320:'RV_DATA'!T328), 6)</f>
        <v>236.44</v>
      </c>
      <c r="R274">
        <v>1</v>
      </c>
    </row>
    <row r="275" spans="1:18" ht="15" x14ac:dyDescent="0.25">
      <c r="A275" s="86" t="s">
        <v>850</v>
      </c>
      <c r="B275" s="86"/>
      <c r="C275" s="86"/>
      <c r="D275" s="86"/>
      <c r="E275" s="87">
        <f>SUMIF(Q273:Q274, 2, F273:F274)</f>
        <v>2242.42</v>
      </c>
      <c r="F275" s="87"/>
      <c r="G275" s="87">
        <f>SUMIF(Q273:Q274, 2, H273:H274)</f>
        <v>2242.42</v>
      </c>
      <c r="H275" s="86"/>
    </row>
    <row r="276" spans="1:18" ht="15" x14ac:dyDescent="0.25">
      <c r="A276" s="86" t="s">
        <v>851</v>
      </c>
      <c r="B276" s="86"/>
      <c r="C276" s="86"/>
      <c r="D276" s="86"/>
      <c r="E276" s="87">
        <f>SUMIF(R273:R275, 1, F273:F275)</f>
        <v>236.44</v>
      </c>
      <c r="F276" s="87"/>
      <c r="G276" s="87">
        <f>SUMIF(R273:R275, 1, H273:H275)</f>
        <v>236.44</v>
      </c>
      <c r="H276" s="86"/>
    </row>
    <row r="277" spans="1:18" ht="14.25" x14ac:dyDescent="0.2">
      <c r="A277" s="88" t="s">
        <v>852</v>
      </c>
      <c r="B277" s="89"/>
      <c r="C277" s="89"/>
      <c r="D277" s="89"/>
      <c r="E277" s="89"/>
      <c r="F277" s="89"/>
      <c r="G277" s="89"/>
      <c r="H277" s="89"/>
    </row>
    <row r="278" spans="1:18" ht="28.5" x14ac:dyDescent="0.2">
      <c r="A278" s="56" t="s">
        <v>597</v>
      </c>
      <c r="B278" s="57" t="s">
        <v>599</v>
      </c>
      <c r="C278" s="57" t="s">
        <v>96</v>
      </c>
      <c r="D278" s="58">
        <f>ROUND(SUMIF(RV_DATA!W320:'RV_DATA'!W328, -1353927395, RV_DATA!I320:'RV_DATA'!I328), 6)</f>
        <v>74.400000000000006</v>
      </c>
      <c r="E278" s="59">
        <f>ROUND(RV_DATA!K320, 6)</f>
        <v>2.44</v>
      </c>
      <c r="F278" s="59">
        <f>ROUND(SUMIF(RV_DATA!W320:'RV_DATA'!W328, -1353927395, RV_DATA!M320:'RV_DATA'!M328), 6)</f>
        <v>181.54</v>
      </c>
      <c r="G278" s="59">
        <f>ROUND(RV_DATA!N320, 6)</f>
        <v>2.44</v>
      </c>
      <c r="H278" s="59">
        <f>ROUND(SUMIF(RV_DATA!W320:'RV_DATA'!W328, -1353927395, RV_DATA!O320:'RV_DATA'!O328), 6)</f>
        <v>181.54</v>
      </c>
      <c r="Q278">
        <v>3</v>
      </c>
    </row>
    <row r="279" spans="1:18" ht="28.5" x14ac:dyDescent="0.2">
      <c r="A279" s="56" t="s">
        <v>398</v>
      </c>
      <c r="B279" s="57" t="s">
        <v>399</v>
      </c>
      <c r="C279" s="57" t="s">
        <v>400</v>
      </c>
      <c r="D279" s="58">
        <f>ROUND(SUMIF(RV_DATA!W320:'RV_DATA'!W328, -846410420, RV_DATA!I320:'RV_DATA'!I328), 6)</f>
        <v>7.44</v>
      </c>
      <c r="E279" s="59">
        <f>ROUND(RV_DATA!K324, 6)</f>
        <v>146.25</v>
      </c>
      <c r="F279" s="59">
        <f>ROUND(SUMIF(RV_DATA!W320:'RV_DATA'!W328, -846410420, RV_DATA!M320:'RV_DATA'!M328), 6)</f>
        <v>1088.0999999999999</v>
      </c>
      <c r="G279" s="59">
        <f>ROUND(RV_DATA!N324, 6)</f>
        <v>146.25</v>
      </c>
      <c r="H279" s="59">
        <f>ROUND(SUMIF(RV_DATA!W320:'RV_DATA'!W328, -846410420, RV_DATA!O320:'RV_DATA'!O328), 6)</f>
        <v>1088.0999999999999</v>
      </c>
      <c r="Q279">
        <v>3</v>
      </c>
    </row>
    <row r="280" spans="1:18" ht="15" x14ac:dyDescent="0.25">
      <c r="A280" s="86" t="s">
        <v>853</v>
      </c>
      <c r="B280" s="86"/>
      <c r="C280" s="86"/>
      <c r="D280" s="86"/>
      <c r="E280" s="87">
        <f>SUMIF(Q278:Q279, 3, F278:F279)</f>
        <v>1269.6399999999999</v>
      </c>
      <c r="F280" s="87"/>
      <c r="G280" s="87">
        <f>SUMIF(Q278:Q279, 3, H278:H279)</f>
        <v>1269.6399999999999</v>
      </c>
      <c r="H280" s="86"/>
    </row>
    <row r="282" spans="1:18" ht="33" x14ac:dyDescent="0.2">
      <c r="A282" s="90" t="str">
        <f>CONCATENATE("Итого по объекту: ",IF(Source!G359&lt;&gt;"Новый объект", Source!G359, ""))</f>
        <v>Итого по объекту: ФНС России в Амурской области, Амурская область,г. Благовещенск, ул. Пушкина, д. 104_(в базовых ценах)</v>
      </c>
      <c r="B282" s="91"/>
      <c r="C282" s="91"/>
      <c r="D282" s="91"/>
      <c r="E282" s="91"/>
      <c r="F282" s="91"/>
      <c r="G282" s="91"/>
      <c r="H282" s="92"/>
      <c r="O282" s="54" t="s">
        <v>854</v>
      </c>
    </row>
    <row r="283" spans="1:18" ht="15" x14ac:dyDescent="0.25">
      <c r="A283" s="86" t="s">
        <v>847</v>
      </c>
      <c r="B283" s="86"/>
      <c r="C283" s="86"/>
      <c r="D283" s="86"/>
      <c r="E283" s="87">
        <f>SUMIF(Q1:Q282, 1, F1:F282)</f>
        <v>22687.54</v>
      </c>
      <c r="F283" s="87"/>
      <c r="G283" s="87">
        <f>SUMIF(Q1:Q282, 1, H1:H282)</f>
        <v>22687.54</v>
      </c>
      <c r="H283" s="86"/>
    </row>
    <row r="284" spans="1:18" ht="15" x14ac:dyDescent="0.25">
      <c r="A284" s="86" t="s">
        <v>850</v>
      </c>
      <c r="B284" s="86"/>
      <c r="C284" s="86"/>
      <c r="D284" s="86"/>
      <c r="E284" s="87">
        <f>SUMIF(Q1:Q283, 2, F1:F283)</f>
        <v>36604.01</v>
      </c>
      <c r="F284" s="87"/>
      <c r="G284" s="87">
        <f>SUMIF(Q1:Q283, 2, H1:H283)</f>
        <v>36604.01</v>
      </c>
      <c r="H284" s="86"/>
    </row>
    <row r="285" spans="1:18" ht="15" x14ac:dyDescent="0.25">
      <c r="A285" s="86" t="s">
        <v>851</v>
      </c>
      <c r="B285" s="86"/>
      <c r="C285" s="86"/>
      <c r="D285" s="86"/>
      <c r="E285" s="87">
        <f>SUMIF(R1:R284, 1, F1:F284)</f>
        <v>3229</v>
      </c>
      <c r="F285" s="87"/>
      <c r="G285" s="87">
        <f>SUMIF(R1:R284, 1, H1:H284)</f>
        <v>3229</v>
      </c>
      <c r="H285" s="86"/>
    </row>
    <row r="286" spans="1:18" ht="15" hidden="1" x14ac:dyDescent="0.25">
      <c r="A286" s="86" t="s">
        <v>853</v>
      </c>
      <c r="B286" s="86"/>
      <c r="C286" s="86"/>
      <c r="D286" s="86"/>
      <c r="E286" s="87">
        <f>SUMIF(Q1:Q285, 3, F1:F285)</f>
        <v>365828.57999999996</v>
      </c>
      <c r="F286" s="87"/>
      <c r="G286" s="87">
        <f>SUMIF(Q1:Q285, 3, H1:H285)</f>
        <v>365828.57999999996</v>
      </c>
      <c r="H286" s="86"/>
    </row>
    <row r="287" spans="1:18" ht="14.25" hidden="1" customHeight="1" x14ac:dyDescent="0.25">
      <c r="A287" s="86" t="s">
        <v>855</v>
      </c>
      <c r="B287" s="86"/>
      <c r="C287" s="86"/>
      <c r="D287" s="86"/>
      <c r="E287" s="87">
        <f>SUMIF(Q1:Q286, 4, F1:F286)</f>
        <v>0</v>
      </c>
      <c r="F287" s="87"/>
      <c r="G287" s="87">
        <f>SUMIF(Q1:Q286, 4, H1:H286)</f>
        <v>0</v>
      </c>
      <c r="H287" s="86"/>
    </row>
    <row r="288" spans="1:18" ht="14.25" hidden="1" customHeight="1" x14ac:dyDescent="0.25">
      <c r="A288" s="86" t="s">
        <v>856</v>
      </c>
      <c r="B288" s="86"/>
      <c r="C288" s="86"/>
      <c r="D288" s="86"/>
      <c r="E288" s="87">
        <f>SUMIF(Q1:Q287, 5, F1:F287)</f>
        <v>0</v>
      </c>
      <c r="F288" s="87"/>
      <c r="G288" s="87">
        <f>SUMIF(Q1:Q287, 5, H1:H287)</f>
        <v>0</v>
      </c>
      <c r="H288" s="86"/>
    </row>
    <row r="289" spans="1:8" ht="14.25" hidden="1" customHeight="1" x14ac:dyDescent="0.25">
      <c r="A289" s="86" t="s">
        <v>857</v>
      </c>
      <c r="B289" s="86"/>
      <c r="C289" s="86"/>
      <c r="D289" s="86"/>
      <c r="E289" s="87">
        <f>SUMIF(Q1:Q288, 6, F1:F288)</f>
        <v>0</v>
      </c>
      <c r="F289" s="87"/>
      <c r="G289" s="87">
        <f>SUMIF(Q1:Q288, 6, H1:H288)</f>
        <v>0</v>
      </c>
      <c r="H289" s="86"/>
    </row>
    <row r="290" spans="1:8" ht="15" x14ac:dyDescent="0.25">
      <c r="A290" s="86" t="s">
        <v>858</v>
      </c>
      <c r="B290" s="86"/>
      <c r="C290" s="86"/>
      <c r="D290" s="86"/>
      <c r="E290" s="87">
        <f>E289+E288+E287+E286</f>
        <v>365828.57999999996</v>
      </c>
      <c r="F290" s="87"/>
      <c r="G290" s="87">
        <f>G289+G288+G287+G286</f>
        <v>365828.57999999996</v>
      </c>
      <c r="H290" s="87"/>
    </row>
  </sheetData>
  <sortState ref="A278:R279">
    <sortCondition ref="A278"/>
  </sortState>
  <mergeCells count="115">
    <mergeCell ref="A8:H8"/>
    <mergeCell ref="A9:H9"/>
    <mergeCell ref="A10:H10"/>
    <mergeCell ref="A21:D21"/>
    <mergeCell ref="E21:F21"/>
    <mergeCell ref="G21:H21"/>
    <mergeCell ref="A2:H2"/>
    <mergeCell ref="A3:H3"/>
    <mergeCell ref="A4:A6"/>
    <mergeCell ref="B4:B6"/>
    <mergeCell ref="C4:C6"/>
    <mergeCell ref="D4:D6"/>
    <mergeCell ref="E4:F5"/>
    <mergeCell ref="G4:H5"/>
    <mergeCell ref="A73:H73"/>
    <mergeCell ref="A113:D113"/>
    <mergeCell ref="E113:F113"/>
    <mergeCell ref="G113:H113"/>
    <mergeCell ref="A114:H114"/>
    <mergeCell ref="A115:H115"/>
    <mergeCell ref="A22:H22"/>
    <mergeCell ref="A71:D71"/>
    <mergeCell ref="E71:F71"/>
    <mergeCell ref="G71:H71"/>
    <mergeCell ref="A72:D72"/>
    <mergeCell ref="E72:F72"/>
    <mergeCell ref="G72:H72"/>
    <mergeCell ref="A148:D148"/>
    <mergeCell ref="E148:F148"/>
    <mergeCell ref="G148:H148"/>
    <mergeCell ref="A149:H149"/>
    <mergeCell ref="A155:D155"/>
    <mergeCell ref="E155:F155"/>
    <mergeCell ref="G155:H155"/>
    <mergeCell ref="A116:H116"/>
    <mergeCell ref="A123:D123"/>
    <mergeCell ref="E123:F123"/>
    <mergeCell ref="G123:H123"/>
    <mergeCell ref="A124:H124"/>
    <mergeCell ref="A147:D147"/>
    <mergeCell ref="E147:F147"/>
    <mergeCell ref="G147:H147"/>
    <mergeCell ref="A198:D198"/>
    <mergeCell ref="E198:F198"/>
    <mergeCell ref="G198:H198"/>
    <mergeCell ref="A199:D199"/>
    <mergeCell ref="E199:F199"/>
    <mergeCell ref="G199:H199"/>
    <mergeCell ref="A156:H156"/>
    <mergeCell ref="A157:H157"/>
    <mergeCell ref="A164:D164"/>
    <mergeCell ref="E164:F164"/>
    <mergeCell ref="G164:H164"/>
    <mergeCell ref="A165:H165"/>
    <mergeCell ref="A220:D220"/>
    <mergeCell ref="E220:F220"/>
    <mergeCell ref="G220:H220"/>
    <mergeCell ref="A221:H221"/>
    <mergeCell ref="A252:D252"/>
    <mergeCell ref="E252:F252"/>
    <mergeCell ref="G252:H252"/>
    <mergeCell ref="A200:H200"/>
    <mergeCell ref="A209:D209"/>
    <mergeCell ref="E209:F209"/>
    <mergeCell ref="G209:H209"/>
    <mergeCell ref="A210:H210"/>
    <mergeCell ref="A211:H211"/>
    <mergeCell ref="A266:H266"/>
    <mergeCell ref="A267:H267"/>
    <mergeCell ref="A271:D271"/>
    <mergeCell ref="E271:F271"/>
    <mergeCell ref="G271:H271"/>
    <mergeCell ref="A272:H272"/>
    <mergeCell ref="A253:D253"/>
    <mergeCell ref="E253:F253"/>
    <mergeCell ref="G253:H253"/>
    <mergeCell ref="A254:H254"/>
    <mergeCell ref="A265:D265"/>
    <mergeCell ref="E265:F265"/>
    <mergeCell ref="G265:H265"/>
    <mergeCell ref="A277:H277"/>
    <mergeCell ref="A280:D280"/>
    <mergeCell ref="E280:F280"/>
    <mergeCell ref="G280:H280"/>
    <mergeCell ref="A282:H282"/>
    <mergeCell ref="A283:D283"/>
    <mergeCell ref="E283:F283"/>
    <mergeCell ref="G283:H283"/>
    <mergeCell ref="A275:D275"/>
    <mergeCell ref="E275:F275"/>
    <mergeCell ref="G275:H275"/>
    <mergeCell ref="A276:D276"/>
    <mergeCell ref="E276:F276"/>
    <mergeCell ref="G276:H276"/>
    <mergeCell ref="A286:D286"/>
    <mergeCell ref="E286:F286"/>
    <mergeCell ref="G286:H286"/>
    <mergeCell ref="A287:D287"/>
    <mergeCell ref="E287:F287"/>
    <mergeCell ref="G287:H287"/>
    <mergeCell ref="A284:D284"/>
    <mergeCell ref="E284:F284"/>
    <mergeCell ref="G284:H284"/>
    <mergeCell ref="A285:D285"/>
    <mergeCell ref="E285:F285"/>
    <mergeCell ref="G285:H285"/>
    <mergeCell ref="A290:D290"/>
    <mergeCell ref="E290:F290"/>
    <mergeCell ref="G290:H290"/>
    <mergeCell ref="A288:D288"/>
    <mergeCell ref="E288:F288"/>
    <mergeCell ref="G288:H288"/>
    <mergeCell ref="A289:D289"/>
    <mergeCell ref="E289:F289"/>
    <mergeCell ref="G289:H289"/>
  </mergeCells>
  <pageMargins left="0.6" right="0.4" top="0.65" bottom="0.4" header="0.4" footer="0.4"/>
  <pageSetup paperSize="9" scale="72" fitToHeight="0" orientation="portrait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33"/>
  <sheetViews>
    <sheetView workbookViewId="0">
      <selection activeCell="A429" sqref="A429:O429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61305</v>
      </c>
      <c r="M1">
        <v>11</v>
      </c>
      <c r="N1">
        <v>10</v>
      </c>
      <c r="O1">
        <v>1</v>
      </c>
      <c r="P1">
        <v>0</v>
      </c>
      <c r="Q1">
        <v>10</v>
      </c>
    </row>
    <row r="4" spans="1:133" x14ac:dyDescent="0.2">
      <c r="A4" s="1">
        <v>1</v>
      </c>
      <c r="B4" s="1">
        <v>1</v>
      </c>
      <c r="C4" s="1">
        <v>0</v>
      </c>
      <c r="D4" s="1"/>
      <c r="E4" s="1"/>
      <c r="F4" s="1" t="s">
        <v>4</v>
      </c>
      <c r="G4" s="1" t="s">
        <v>5</v>
      </c>
      <c r="H4" s="1" t="s">
        <v>3</v>
      </c>
      <c r="I4" s="1" t="s">
        <v>3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>
        <v>0</v>
      </c>
      <c r="Q4" s="1" t="s">
        <v>3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</row>
    <row r="12" spans="1:133" x14ac:dyDescent="0.2">
      <c r="A12" s="1">
        <v>1</v>
      </c>
      <c r="B12" s="1">
        <v>429</v>
      </c>
      <c r="C12" s="1">
        <v>0</v>
      </c>
      <c r="D12" s="1">
        <f>ROW(A359)</f>
        <v>359</v>
      </c>
      <c r="E12" s="1">
        <v>0</v>
      </c>
      <c r="F12" s="1" t="s">
        <v>6</v>
      </c>
      <c r="G12" s="1" t="s">
        <v>6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3</v>
      </c>
      <c r="V12" s="1">
        <v>5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524296</v>
      </c>
      <c r="CI12" s="1" t="s">
        <v>3</v>
      </c>
      <c r="CJ12" s="1" t="s">
        <v>3</v>
      </c>
      <c r="CK12" s="1">
        <v>4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B359</f>
        <v>429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ФНС России в Амурской области, Амурская область,г. Благовещенск, ул. Пушкина, д. 104_(в базовых ценах)</v>
      </c>
      <c r="G18" s="2" t="str">
        <f t="shared" si="0"/>
        <v>ФНС России в Амурской области, Амурская область,г. Благовещенск, ул. Пушкина, д. 104_(в базовых ценах)</v>
      </c>
      <c r="H18" s="2"/>
      <c r="I18" s="2"/>
      <c r="J18" s="2"/>
      <c r="K18" s="2"/>
      <c r="L18" s="2"/>
      <c r="M18" s="2"/>
      <c r="N18" s="2"/>
      <c r="O18" s="2">
        <f t="shared" ref="O18:AT18" si="1">O359</f>
        <v>425120.03</v>
      </c>
      <c r="P18" s="2">
        <f t="shared" si="1"/>
        <v>365828.51</v>
      </c>
      <c r="Q18" s="2">
        <f t="shared" si="1"/>
        <v>36603.980000000003</v>
      </c>
      <c r="R18" s="2">
        <f t="shared" si="1"/>
        <v>3228.98</v>
      </c>
      <c r="S18" s="2">
        <f t="shared" si="1"/>
        <v>22687.54</v>
      </c>
      <c r="T18" s="2">
        <f t="shared" si="1"/>
        <v>0</v>
      </c>
      <c r="U18" s="2">
        <f t="shared" si="1"/>
        <v>2669.4528021982505</v>
      </c>
      <c r="V18" s="2">
        <f t="shared" si="1"/>
        <v>258.48574603750001</v>
      </c>
      <c r="W18" s="2">
        <f t="shared" si="1"/>
        <v>0</v>
      </c>
      <c r="X18" s="2">
        <f t="shared" si="1"/>
        <v>25477.99</v>
      </c>
      <c r="Y18" s="2">
        <f t="shared" si="1"/>
        <v>18055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485977.98</v>
      </c>
      <c r="AS18" s="2">
        <f t="shared" si="1"/>
        <v>484843.84</v>
      </c>
      <c r="AT18" s="2">
        <f t="shared" si="1"/>
        <v>1134.1400000000001</v>
      </c>
      <c r="AU18" s="2">
        <f t="shared" ref="AU18:BZ18" si="2">AU359</f>
        <v>0</v>
      </c>
      <c r="AV18" s="2">
        <f t="shared" si="2"/>
        <v>365828.51</v>
      </c>
      <c r="AW18" s="2">
        <f t="shared" si="2"/>
        <v>365828.51</v>
      </c>
      <c r="AX18" s="2">
        <f t="shared" si="2"/>
        <v>0</v>
      </c>
      <c r="AY18" s="2">
        <f t="shared" si="2"/>
        <v>365828.51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CA359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DG359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EM359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FS359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ROW(A330)</f>
        <v>330</v>
      </c>
      <c r="E20" s="1"/>
      <c r="F20" s="1" t="s">
        <v>13</v>
      </c>
      <c r="G20" s="1" t="s">
        <v>13</v>
      </c>
      <c r="H20" s="1" t="s">
        <v>3</v>
      </c>
      <c r="I20" s="1">
        <v>0</v>
      </c>
      <c r="J20" s="1" t="s">
        <v>3</v>
      </c>
      <c r="K20" s="1">
        <v>-1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5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45" x14ac:dyDescent="0.2">
      <c r="A22" s="2">
        <v>52</v>
      </c>
      <c r="B22" s="2">
        <f t="shared" ref="B22:G22" si="7">B330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Локальная смета №1</v>
      </c>
      <c r="G22" s="2" t="str">
        <f t="shared" si="7"/>
        <v>Локальная смета №1</v>
      </c>
      <c r="H22" s="2"/>
      <c r="I22" s="2"/>
      <c r="J22" s="2"/>
      <c r="K22" s="2"/>
      <c r="L22" s="2"/>
      <c r="M22" s="2"/>
      <c r="N22" s="2"/>
      <c r="O22" s="2">
        <f t="shared" ref="O22:AT22" si="8">O330</f>
        <v>425120.03</v>
      </c>
      <c r="P22" s="2">
        <f t="shared" si="8"/>
        <v>365828.51</v>
      </c>
      <c r="Q22" s="2">
        <f t="shared" si="8"/>
        <v>36603.980000000003</v>
      </c>
      <c r="R22" s="2">
        <f t="shared" si="8"/>
        <v>3228.98</v>
      </c>
      <c r="S22" s="2">
        <f t="shared" si="8"/>
        <v>22687.54</v>
      </c>
      <c r="T22" s="2">
        <f t="shared" si="8"/>
        <v>0</v>
      </c>
      <c r="U22" s="2">
        <f t="shared" si="8"/>
        <v>2669.4528021982505</v>
      </c>
      <c r="V22" s="2">
        <f t="shared" si="8"/>
        <v>258.48574603750001</v>
      </c>
      <c r="W22" s="2">
        <f t="shared" si="8"/>
        <v>0</v>
      </c>
      <c r="X22" s="2">
        <f t="shared" si="8"/>
        <v>25477.99</v>
      </c>
      <c r="Y22" s="2">
        <f t="shared" si="8"/>
        <v>18055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485977.98</v>
      </c>
      <c r="AS22" s="2">
        <f t="shared" si="8"/>
        <v>484843.84</v>
      </c>
      <c r="AT22" s="2">
        <f t="shared" si="8"/>
        <v>1134.1400000000001</v>
      </c>
      <c r="AU22" s="2">
        <f t="shared" ref="AU22:BZ22" si="9">AU330</f>
        <v>0</v>
      </c>
      <c r="AV22" s="2">
        <f t="shared" si="9"/>
        <v>365828.51</v>
      </c>
      <c r="AW22" s="2">
        <f t="shared" si="9"/>
        <v>365828.51</v>
      </c>
      <c r="AX22" s="2">
        <f t="shared" si="9"/>
        <v>0</v>
      </c>
      <c r="AY22" s="2">
        <f t="shared" si="9"/>
        <v>365828.51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CA330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DG330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EM330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FS330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ROW(A65)</f>
        <v>65</v>
      </c>
      <c r="E24" s="1"/>
      <c r="F24" s="1" t="s">
        <v>14</v>
      </c>
      <c r="G24" s="1" t="s">
        <v>14</v>
      </c>
      <c r="H24" s="1" t="s">
        <v>3</v>
      </c>
      <c r="I24" s="1">
        <v>0</v>
      </c>
      <c r="J24" s="1"/>
      <c r="K24" s="1">
        <v>-1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5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B65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Металическое ограждение</v>
      </c>
      <c r="G26" s="2" t="str">
        <f t="shared" si="14"/>
        <v>Металическое ограждение</v>
      </c>
      <c r="H26" s="2"/>
      <c r="I26" s="2"/>
      <c r="J26" s="2"/>
      <c r="K26" s="2"/>
      <c r="L26" s="2"/>
      <c r="M26" s="2"/>
      <c r="N26" s="2"/>
      <c r="O26" s="2">
        <f t="shared" ref="O26:AT26" si="15">O65</f>
        <v>258714.86</v>
      </c>
      <c r="P26" s="2">
        <f t="shared" si="15"/>
        <v>233556.29</v>
      </c>
      <c r="Q26" s="2">
        <f t="shared" si="15"/>
        <v>8893.8799999999992</v>
      </c>
      <c r="R26" s="2">
        <f t="shared" si="15"/>
        <v>562.9</v>
      </c>
      <c r="S26" s="2">
        <f t="shared" si="15"/>
        <v>16264.69</v>
      </c>
      <c r="T26" s="2">
        <f t="shared" si="15"/>
        <v>0</v>
      </c>
      <c r="U26" s="2">
        <f t="shared" si="15"/>
        <v>1909.8609750482503</v>
      </c>
      <c r="V26" s="2">
        <f t="shared" si="15"/>
        <v>45.15627978749999</v>
      </c>
      <c r="W26" s="2">
        <f t="shared" si="15"/>
        <v>0</v>
      </c>
      <c r="X26" s="2">
        <f t="shared" si="15"/>
        <v>14725.68</v>
      </c>
      <c r="Y26" s="2">
        <f t="shared" si="15"/>
        <v>11192.5</v>
      </c>
      <c r="Z26" s="2">
        <f t="shared" si="15"/>
        <v>0</v>
      </c>
      <c r="AA26" s="2">
        <f t="shared" si="15"/>
        <v>0</v>
      </c>
      <c r="AB26" s="2">
        <f t="shared" si="15"/>
        <v>258714.86</v>
      </c>
      <c r="AC26" s="2">
        <f t="shared" si="15"/>
        <v>233556.29</v>
      </c>
      <c r="AD26" s="2">
        <f t="shared" si="15"/>
        <v>8893.8799999999992</v>
      </c>
      <c r="AE26" s="2">
        <f t="shared" si="15"/>
        <v>562.9</v>
      </c>
      <c r="AF26" s="2">
        <f t="shared" si="15"/>
        <v>16264.69</v>
      </c>
      <c r="AG26" s="2">
        <f t="shared" si="15"/>
        <v>0</v>
      </c>
      <c r="AH26" s="2">
        <f t="shared" si="15"/>
        <v>1909.8609750482503</v>
      </c>
      <c r="AI26" s="2">
        <f t="shared" si="15"/>
        <v>45.15627978749999</v>
      </c>
      <c r="AJ26" s="2">
        <f t="shared" si="15"/>
        <v>0</v>
      </c>
      <c r="AK26" s="2">
        <f t="shared" si="15"/>
        <v>14725.68</v>
      </c>
      <c r="AL26" s="2">
        <f t="shared" si="15"/>
        <v>11192.5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285395.73</v>
      </c>
      <c r="AS26" s="2">
        <f t="shared" si="15"/>
        <v>284261.59000000003</v>
      </c>
      <c r="AT26" s="2">
        <f t="shared" si="15"/>
        <v>1134.1400000000001</v>
      </c>
      <c r="AU26" s="2">
        <f t="shared" ref="AU26:BZ26" si="16">AU65</f>
        <v>0</v>
      </c>
      <c r="AV26" s="2">
        <f t="shared" si="16"/>
        <v>233556.29</v>
      </c>
      <c r="AW26" s="2">
        <f t="shared" si="16"/>
        <v>233556.29</v>
      </c>
      <c r="AX26" s="2">
        <f t="shared" si="16"/>
        <v>0</v>
      </c>
      <c r="AY26" s="2">
        <f t="shared" si="16"/>
        <v>233556.29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CA65</f>
        <v>285395.73</v>
      </c>
      <c r="CB26" s="2">
        <f t="shared" si="17"/>
        <v>284261.59000000003</v>
      </c>
      <c r="CC26" s="2">
        <f t="shared" si="17"/>
        <v>1134.1400000000001</v>
      </c>
      <c r="CD26" s="2">
        <f t="shared" si="17"/>
        <v>0</v>
      </c>
      <c r="CE26" s="2">
        <f t="shared" si="17"/>
        <v>233556.29</v>
      </c>
      <c r="CF26" s="2">
        <f t="shared" si="17"/>
        <v>233556.29</v>
      </c>
      <c r="CG26" s="2">
        <f t="shared" si="17"/>
        <v>0</v>
      </c>
      <c r="CH26" s="2">
        <f t="shared" si="17"/>
        <v>233556.29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DG65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EM65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FS65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E28" t="s">
        <v>15</v>
      </c>
      <c r="F28" t="s">
        <v>3</v>
      </c>
      <c r="G28" t="s">
        <v>3</v>
      </c>
      <c r="H28" t="s">
        <v>3</v>
      </c>
      <c r="I28">
        <v>0</v>
      </c>
      <c r="J28">
        <v>0</v>
      </c>
      <c r="O28">
        <f>ROUND(CP28,2)</f>
        <v>0</v>
      </c>
      <c r="P28">
        <f>ROUND(CQ28*I28,2)</f>
        <v>0</v>
      </c>
      <c r="Q28">
        <f>ROUND(CR28*I28,2)</f>
        <v>0</v>
      </c>
      <c r="R28">
        <f>ROUND(CS28*I28,2)</f>
        <v>0</v>
      </c>
      <c r="S28">
        <f>ROUND(CT28*I28,2)</f>
        <v>0</v>
      </c>
      <c r="T28">
        <f>ROUND(CU28*I28,2)</f>
        <v>0</v>
      </c>
      <c r="U28">
        <f>CV28*I28</f>
        <v>0</v>
      </c>
      <c r="V28">
        <f>CW28*I28</f>
        <v>0</v>
      </c>
      <c r="W28">
        <f>ROUND(CX28*I28,2)</f>
        <v>0</v>
      </c>
      <c r="X28">
        <f t="shared" ref="X28:Y30" si="21">ROUND(CY28,2)</f>
        <v>0</v>
      </c>
      <c r="Y28">
        <f t="shared" si="21"/>
        <v>0</v>
      </c>
      <c r="AA28">
        <v>47631607</v>
      </c>
      <c r="AB28">
        <f>ROUND((AC28+AD28+AF28),6)</f>
        <v>0</v>
      </c>
      <c r="AC28">
        <f>ROUND((ES28),6)</f>
        <v>0</v>
      </c>
      <c r="AD28">
        <f>ROUND((((ET28)-(EU28))+AE28),6)</f>
        <v>0</v>
      </c>
      <c r="AE28">
        <f>ROUND((EU28),6)</f>
        <v>0</v>
      </c>
      <c r="AF28">
        <f>ROUND((EV28),6)</f>
        <v>0</v>
      </c>
      <c r="AG28">
        <f>ROUND((AP28),6)</f>
        <v>0</v>
      </c>
      <c r="AH28">
        <f>(EW28)</f>
        <v>0</v>
      </c>
      <c r="AI28">
        <f>(EX28)</f>
        <v>0</v>
      </c>
      <c r="AJ28">
        <f>(AS28)</f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3</v>
      </c>
      <c r="BI28">
        <v>1</v>
      </c>
      <c r="BJ28" t="s">
        <v>3</v>
      </c>
      <c r="BM28">
        <v>1100</v>
      </c>
      <c r="BN28">
        <v>0</v>
      </c>
      <c r="BO28" t="s">
        <v>3</v>
      </c>
      <c r="BP28">
        <v>0</v>
      </c>
      <c r="BQ28">
        <v>8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0</v>
      </c>
      <c r="CA28">
        <v>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>(P28+Q28+S28)</f>
        <v>0</v>
      </c>
      <c r="CQ28">
        <f>AC28*BC28</f>
        <v>0</v>
      </c>
      <c r="CR28">
        <f>AD28*BB28</f>
        <v>0</v>
      </c>
      <c r="CS28">
        <f>AE28*BS28</f>
        <v>0</v>
      </c>
      <c r="CT28">
        <f>AF28*BA28</f>
        <v>0</v>
      </c>
      <c r="CU28">
        <f t="shared" ref="CU28:CX30" si="22">AG28</f>
        <v>0</v>
      </c>
      <c r="CV28">
        <f t="shared" si="22"/>
        <v>0</v>
      </c>
      <c r="CW28">
        <f t="shared" si="22"/>
        <v>0</v>
      </c>
      <c r="CX28">
        <f t="shared" si="22"/>
        <v>0</v>
      </c>
      <c r="CY28">
        <f>(((S28+R28)*AT28)/100)</f>
        <v>0</v>
      </c>
      <c r="CZ28">
        <f>(((S28+R28)*AU28)/100)</f>
        <v>0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EE28">
        <v>45919750</v>
      </c>
      <c r="EF28">
        <v>8</v>
      </c>
      <c r="EG28" t="s">
        <v>16</v>
      </c>
      <c r="EH28">
        <v>0</v>
      </c>
      <c r="EI28" t="s">
        <v>3</v>
      </c>
      <c r="EJ28">
        <v>1</v>
      </c>
      <c r="EK28">
        <v>1100</v>
      </c>
      <c r="EL28" t="s">
        <v>17</v>
      </c>
      <c r="EM28" t="s">
        <v>18</v>
      </c>
      <c r="EO28" t="s">
        <v>3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FQ28">
        <v>0</v>
      </c>
      <c r="FR28">
        <f t="shared" ref="FR28:FR63" si="23">ROUND(IF(AND(BH28=3,BI28=3),P28,0),2)</f>
        <v>0</v>
      </c>
      <c r="FS28">
        <v>0</v>
      </c>
      <c r="FX28">
        <v>0</v>
      </c>
      <c r="FY28">
        <v>0</v>
      </c>
      <c r="GA28" t="s">
        <v>3</v>
      </c>
      <c r="GD28">
        <v>1</v>
      </c>
      <c r="GF28">
        <v>1218112172</v>
      </c>
      <c r="GG28">
        <v>2</v>
      </c>
      <c r="GH28">
        <v>0</v>
      </c>
      <c r="GI28">
        <v>-2</v>
      </c>
      <c r="GJ28">
        <v>0</v>
      </c>
      <c r="GK28">
        <v>0</v>
      </c>
      <c r="GL28">
        <f t="shared" ref="GL28:GL63" si="24">ROUND(IF(AND(BH28=3,BI28=3,FS28&lt;&gt;0),P28,0),2)</f>
        <v>0</v>
      </c>
      <c r="GM28">
        <f>ROUND(O28+X28+Y28,2)+GX28</f>
        <v>0</v>
      </c>
      <c r="GN28">
        <f>IF(OR(BI28=0,BI28=1),ROUND(O28+X28+Y28,2),0)</f>
        <v>0</v>
      </c>
      <c r="GO28">
        <f>IF(BI28=2,ROUND(O28+X28+Y28,2),0)</f>
        <v>0</v>
      </c>
      <c r="GP28">
        <f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>ROUND((GT28),6)</f>
        <v>0</v>
      </c>
      <c r="GW28">
        <v>1</v>
      </c>
      <c r="GX28">
        <f>ROUND(HC28*I28,2)</f>
        <v>0</v>
      </c>
      <c r="HA28">
        <v>0</v>
      </c>
      <c r="HB28">
        <v>0</v>
      </c>
      <c r="HC28">
        <f>GV28*GW28</f>
        <v>0</v>
      </c>
      <c r="IK28">
        <v>0</v>
      </c>
    </row>
    <row r="29" spans="1:245" x14ac:dyDescent="0.2">
      <c r="A29">
        <v>17</v>
      </c>
      <c r="B29">
        <v>1</v>
      </c>
      <c r="C29">
        <f>ROW(SmtRes!A2)</f>
        <v>2</v>
      </c>
      <c r="D29">
        <f>ROW(EtalonRes!A2)</f>
        <v>2</v>
      </c>
      <c r="E29" t="s">
        <v>19</v>
      </c>
      <c r="F29" t="s">
        <v>20</v>
      </c>
      <c r="G29" t="s">
        <v>21</v>
      </c>
      <c r="H29" t="s">
        <v>22</v>
      </c>
      <c r="I29">
        <f>ROUND((274*3)/100,9)</f>
        <v>8.2200000000000006</v>
      </c>
      <c r="J29">
        <v>0</v>
      </c>
      <c r="O29">
        <f>ROUND(CP29,2)</f>
        <v>4121.04</v>
      </c>
      <c r="P29">
        <f>ROUND(CQ29*I29,2)</f>
        <v>0</v>
      </c>
      <c r="Q29">
        <f>ROUND(CR29*I29,2)</f>
        <v>0</v>
      </c>
      <c r="R29">
        <f>ROUND(CS29*I29,2)</f>
        <v>0</v>
      </c>
      <c r="S29">
        <f>ROUND(CT29*I29,2)</f>
        <v>4121.04</v>
      </c>
      <c r="T29">
        <f>ROUND(CU29*I29,2)</f>
        <v>0</v>
      </c>
      <c r="U29">
        <f>CV29*I29</f>
        <v>504.41208</v>
      </c>
      <c r="V29">
        <f>CW29*I29</f>
        <v>0</v>
      </c>
      <c r="W29">
        <f>ROUND(CX29*I29,2)</f>
        <v>0</v>
      </c>
      <c r="X29">
        <f t="shared" si="21"/>
        <v>4285.88</v>
      </c>
      <c r="Y29">
        <f t="shared" si="21"/>
        <v>2472.62</v>
      </c>
      <c r="AA29">
        <v>47631607</v>
      </c>
      <c r="AB29">
        <f>ROUND((AC29+AD29+AF29),6)</f>
        <v>501.34249999999997</v>
      </c>
      <c r="AC29">
        <f>ROUND((ES29),6)</f>
        <v>0</v>
      </c>
      <c r="AD29">
        <f>ROUND(((((ET29*1.15))-((EU29*1.15)))+AE29),6)</f>
        <v>0</v>
      </c>
      <c r="AE29">
        <f>ROUND(((EU29*1.15)),6)</f>
        <v>0</v>
      </c>
      <c r="AF29">
        <f>ROUND(((EV29*1.15)),6)</f>
        <v>501.34249999999997</v>
      </c>
      <c r="AG29">
        <f>ROUND((AP29),6)</f>
        <v>0</v>
      </c>
      <c r="AH29">
        <f>((EW29*1.15))</f>
        <v>61.363999999999997</v>
      </c>
      <c r="AI29">
        <f>((EX29*1.15))</f>
        <v>0</v>
      </c>
      <c r="AJ29">
        <f>(AS29)</f>
        <v>0</v>
      </c>
      <c r="AK29">
        <v>435.95</v>
      </c>
      <c r="AL29">
        <v>0</v>
      </c>
      <c r="AM29">
        <v>0</v>
      </c>
      <c r="AN29">
        <v>0</v>
      </c>
      <c r="AO29">
        <v>435.95</v>
      </c>
      <c r="AP29">
        <v>0</v>
      </c>
      <c r="AQ29">
        <v>53.36</v>
      </c>
      <c r="AR29">
        <v>0</v>
      </c>
      <c r="AS29">
        <v>0</v>
      </c>
      <c r="AT29">
        <v>104</v>
      </c>
      <c r="AU29">
        <v>60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23</v>
      </c>
      <c r="BM29">
        <v>68001</v>
      </c>
      <c r="BN29">
        <v>0</v>
      </c>
      <c r="BO29" t="s">
        <v>3</v>
      </c>
      <c r="BP29">
        <v>0</v>
      </c>
      <c r="BQ29">
        <v>6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104</v>
      </c>
      <c r="CA29">
        <v>60</v>
      </c>
      <c r="CE29">
        <v>0</v>
      </c>
      <c r="CF29">
        <v>0</v>
      </c>
      <c r="CG29">
        <v>0</v>
      </c>
      <c r="CM29">
        <v>0</v>
      </c>
      <c r="CN29" t="s">
        <v>742</v>
      </c>
      <c r="CO29">
        <v>0</v>
      </c>
      <c r="CP29">
        <f>(P29+Q29+S29)</f>
        <v>4121.04</v>
      </c>
      <c r="CQ29">
        <f>AC29*BC29</f>
        <v>0</v>
      </c>
      <c r="CR29">
        <f>AD29*BB29</f>
        <v>0</v>
      </c>
      <c r="CS29">
        <f>AE29*BS29</f>
        <v>0</v>
      </c>
      <c r="CT29">
        <f>AF29*BA29</f>
        <v>501.34249999999997</v>
      </c>
      <c r="CU29">
        <f t="shared" si="22"/>
        <v>0</v>
      </c>
      <c r="CV29">
        <f t="shared" si="22"/>
        <v>61.363999999999997</v>
      </c>
      <c r="CW29">
        <f t="shared" si="22"/>
        <v>0</v>
      </c>
      <c r="CX29">
        <f t="shared" si="22"/>
        <v>0</v>
      </c>
      <c r="CY29">
        <f>(((S29+R29)*AT29)/100)</f>
        <v>4285.8815999999997</v>
      </c>
      <c r="CZ29">
        <f>(((S29+R29)*AU29)/100)</f>
        <v>2472.6239999999998</v>
      </c>
      <c r="DC29" t="s">
        <v>3</v>
      </c>
      <c r="DD29" t="s">
        <v>3</v>
      </c>
      <c r="DE29" t="s">
        <v>24</v>
      </c>
      <c r="DF29" t="s">
        <v>24</v>
      </c>
      <c r="DG29" t="s">
        <v>24</v>
      </c>
      <c r="DH29" t="s">
        <v>3</v>
      </c>
      <c r="DI29" t="s">
        <v>24</v>
      </c>
      <c r="DJ29" t="s">
        <v>24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1005</v>
      </c>
      <c r="DV29" t="s">
        <v>22</v>
      </c>
      <c r="DW29" t="s">
        <v>22</v>
      </c>
      <c r="DX29">
        <v>100</v>
      </c>
      <c r="EE29">
        <v>45919696</v>
      </c>
      <c r="EF29">
        <v>6</v>
      </c>
      <c r="EG29" t="s">
        <v>25</v>
      </c>
      <c r="EH29">
        <v>0</v>
      </c>
      <c r="EI29" t="s">
        <v>3</v>
      </c>
      <c r="EJ29">
        <v>1</v>
      </c>
      <c r="EK29">
        <v>68001</v>
      </c>
      <c r="EL29" t="s">
        <v>26</v>
      </c>
      <c r="EM29" t="s">
        <v>27</v>
      </c>
      <c r="EO29" t="s">
        <v>28</v>
      </c>
      <c r="EQ29">
        <v>0</v>
      </c>
      <c r="ER29">
        <v>435.95</v>
      </c>
      <c r="ES29">
        <v>0</v>
      </c>
      <c r="ET29">
        <v>0</v>
      </c>
      <c r="EU29">
        <v>0</v>
      </c>
      <c r="EV29">
        <v>435.95</v>
      </c>
      <c r="EW29">
        <v>53.36</v>
      </c>
      <c r="EX29">
        <v>0</v>
      </c>
      <c r="EY29">
        <v>0</v>
      </c>
      <c r="FQ29">
        <v>0</v>
      </c>
      <c r="FR29">
        <f t="shared" si="23"/>
        <v>0</v>
      </c>
      <c r="FS29">
        <v>0</v>
      </c>
      <c r="FX29">
        <v>104</v>
      </c>
      <c r="FY29">
        <v>60</v>
      </c>
      <c r="GA29" t="s">
        <v>3</v>
      </c>
      <c r="GD29">
        <v>1</v>
      </c>
      <c r="GF29">
        <v>-901533557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24"/>
        <v>0</v>
      </c>
      <c r="GM29">
        <f>ROUND(O29+X29+Y29,2)+GX29</f>
        <v>10879.54</v>
      </c>
      <c r="GN29">
        <f>IF(OR(BI29=0,BI29=1),ROUND(O29+X29+Y29,2),0)</f>
        <v>10879.54</v>
      </c>
      <c r="GO29">
        <f>IF(BI29=2,ROUND(O29+X29+Y29,2),0)</f>
        <v>0</v>
      </c>
      <c r="GP29">
        <f>IF(BI29=4,ROUND(O29+X29+Y29,2)+GX29,0)</f>
        <v>0</v>
      </c>
      <c r="GR29">
        <v>0</v>
      </c>
      <c r="GS29">
        <v>3</v>
      </c>
      <c r="GT29">
        <v>0</v>
      </c>
      <c r="GU29" t="s">
        <v>3</v>
      </c>
      <c r="GV29">
        <f>ROUND((GT29),6)</f>
        <v>0</v>
      </c>
      <c r="GW29">
        <v>1</v>
      </c>
      <c r="GX29">
        <f>ROUND(HC29*I29,2)</f>
        <v>0</v>
      </c>
      <c r="HA29">
        <v>0</v>
      </c>
      <c r="HB29">
        <v>0</v>
      </c>
      <c r="HC29">
        <f>GV29*GW29</f>
        <v>0</v>
      </c>
      <c r="IK29">
        <v>0</v>
      </c>
    </row>
    <row r="30" spans="1:245" x14ac:dyDescent="0.2">
      <c r="A30">
        <v>18</v>
      </c>
      <c r="B30">
        <v>1</v>
      </c>
      <c r="C30">
        <v>2</v>
      </c>
      <c r="E30" t="s">
        <v>29</v>
      </c>
      <c r="F30" t="s">
        <v>30</v>
      </c>
      <c r="G30" t="s">
        <v>31</v>
      </c>
      <c r="H30" t="s">
        <v>32</v>
      </c>
      <c r="I30">
        <f>I29*J30</f>
        <v>3.8633999999999999</v>
      </c>
      <c r="J30">
        <v>0.47</v>
      </c>
      <c r="O30">
        <f>ROUND(CP30,2)</f>
        <v>0</v>
      </c>
      <c r="P30">
        <f>ROUND(CQ30*I30,2)</f>
        <v>0</v>
      </c>
      <c r="Q30">
        <f>ROUND(CR30*I30,2)</f>
        <v>0</v>
      </c>
      <c r="R30">
        <f>ROUND(CS30*I30,2)</f>
        <v>0</v>
      </c>
      <c r="S30">
        <f>ROUND(CT30*I30,2)</f>
        <v>0</v>
      </c>
      <c r="T30">
        <f>ROUND(CU30*I30,2)</f>
        <v>0</v>
      </c>
      <c r="U30">
        <f>CV30*I30</f>
        <v>0</v>
      </c>
      <c r="V30">
        <f>CW30*I30</f>
        <v>0</v>
      </c>
      <c r="W30">
        <f>ROUND(CX30*I30,2)</f>
        <v>0</v>
      </c>
      <c r="X30">
        <f t="shared" si="21"/>
        <v>0</v>
      </c>
      <c r="Y30">
        <f t="shared" si="21"/>
        <v>0</v>
      </c>
      <c r="AA30">
        <v>47631607</v>
      </c>
      <c r="AB30">
        <f>ROUND((AC30+AD30+AF30),6)</f>
        <v>0</v>
      </c>
      <c r="AC30">
        <f>ROUND((ES30),6)</f>
        <v>0</v>
      </c>
      <c r="AD30">
        <f>ROUND((((ET30)-(EU30))+AE30),6)</f>
        <v>0</v>
      </c>
      <c r="AE30">
        <f>ROUND((EU30),6)</f>
        <v>0</v>
      </c>
      <c r="AF30">
        <f>ROUND((EV30),6)</f>
        <v>0</v>
      </c>
      <c r="AG30">
        <f>ROUND((AP30),6)</f>
        <v>0</v>
      </c>
      <c r="AH30">
        <f>(EW30)</f>
        <v>0</v>
      </c>
      <c r="AI30">
        <f>(EX30)</f>
        <v>0</v>
      </c>
      <c r="AJ30">
        <f>(AS30)</f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104</v>
      </c>
      <c r="AU30">
        <v>60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1</v>
      </c>
      <c r="BJ30" t="s">
        <v>3</v>
      </c>
      <c r="BM30">
        <v>68001</v>
      </c>
      <c r="BN30">
        <v>0</v>
      </c>
      <c r="BO30" t="s">
        <v>3</v>
      </c>
      <c r="BP30">
        <v>0</v>
      </c>
      <c r="BQ30">
        <v>6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104</v>
      </c>
      <c r="CA30">
        <v>60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>(P30+Q30+S30)</f>
        <v>0</v>
      </c>
      <c r="CQ30">
        <f>AC30*BC30</f>
        <v>0</v>
      </c>
      <c r="CR30">
        <f>AD30*BB30</f>
        <v>0</v>
      </c>
      <c r="CS30">
        <f>AE30*BS30</f>
        <v>0</v>
      </c>
      <c r="CT30">
        <f>AF30*BA30</f>
        <v>0</v>
      </c>
      <c r="CU30">
        <f t="shared" si="22"/>
        <v>0</v>
      </c>
      <c r="CV30">
        <f t="shared" si="22"/>
        <v>0</v>
      </c>
      <c r="CW30">
        <f t="shared" si="22"/>
        <v>0</v>
      </c>
      <c r="CX30">
        <f t="shared" si="22"/>
        <v>0</v>
      </c>
      <c r="CY30">
        <f>(((S30+R30)*AT30)/100)</f>
        <v>0</v>
      </c>
      <c r="CZ30">
        <f>(((S30+R30)*AU30)/100)</f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1009</v>
      </c>
      <c r="DV30" t="s">
        <v>32</v>
      </c>
      <c r="DW30" t="s">
        <v>32</v>
      </c>
      <c r="DX30">
        <v>1000</v>
      </c>
      <c r="EE30">
        <v>45919696</v>
      </c>
      <c r="EF30">
        <v>6</v>
      </c>
      <c r="EG30" t="s">
        <v>25</v>
      </c>
      <c r="EH30">
        <v>0</v>
      </c>
      <c r="EI30" t="s">
        <v>3</v>
      </c>
      <c r="EJ30">
        <v>1</v>
      </c>
      <c r="EK30">
        <v>68001</v>
      </c>
      <c r="EL30" t="s">
        <v>26</v>
      </c>
      <c r="EM30" t="s">
        <v>27</v>
      </c>
      <c r="EO30" t="s">
        <v>3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f t="shared" si="23"/>
        <v>0</v>
      </c>
      <c r="FS30">
        <v>0</v>
      </c>
      <c r="FX30">
        <v>104</v>
      </c>
      <c r="FY30">
        <v>60</v>
      </c>
      <c r="GA30" t="s">
        <v>3</v>
      </c>
      <c r="GD30">
        <v>1</v>
      </c>
      <c r="GF30">
        <v>-179832266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24"/>
        <v>0</v>
      </c>
      <c r="GM30">
        <f>ROUND(O30+X30+Y30,2)+GX30</f>
        <v>0</v>
      </c>
      <c r="GN30">
        <f>IF(OR(BI30=0,BI30=1),ROUND(O30+X30+Y30,2),0)</f>
        <v>0</v>
      </c>
      <c r="GO30">
        <f>IF(BI30=2,ROUND(O30+X30+Y30,2),0)</f>
        <v>0</v>
      </c>
      <c r="GP30">
        <f>IF(BI30=4,ROUND(O30+X30+Y30,2)+GX30,0)</f>
        <v>0</v>
      </c>
      <c r="GR30">
        <v>0</v>
      </c>
      <c r="GS30">
        <v>3</v>
      </c>
      <c r="GT30">
        <v>0</v>
      </c>
      <c r="GU30" t="s">
        <v>3</v>
      </c>
      <c r="GV30">
        <f>ROUND((GT30),6)</f>
        <v>0</v>
      </c>
      <c r="GW30">
        <v>1</v>
      </c>
      <c r="GX30">
        <f>ROUND(HC30*I30,2)</f>
        <v>0</v>
      </c>
      <c r="HA30">
        <v>0</v>
      </c>
      <c r="HB30">
        <v>0</v>
      </c>
      <c r="HC30">
        <f>GV30*GW30</f>
        <v>0</v>
      </c>
      <c r="IK30">
        <v>0</v>
      </c>
    </row>
    <row r="31" spans="1:245" x14ac:dyDescent="0.2">
      <c r="A31">
        <v>17</v>
      </c>
      <c r="B31">
        <v>1</v>
      </c>
      <c r="E31" t="s">
        <v>33</v>
      </c>
      <c r="F31" t="s">
        <v>34</v>
      </c>
      <c r="G31" t="s">
        <v>35</v>
      </c>
      <c r="H31" t="s">
        <v>36</v>
      </c>
      <c r="I31">
        <v>3.8633999999999999</v>
      </c>
      <c r="J31">
        <v>0</v>
      </c>
      <c r="O31">
        <f>0</f>
        <v>0</v>
      </c>
      <c r="P31">
        <f>0</f>
        <v>0</v>
      </c>
      <c r="Q31">
        <f>0</f>
        <v>0</v>
      </c>
      <c r="R31">
        <f>0</f>
        <v>0</v>
      </c>
      <c r="S31">
        <f>0</f>
        <v>0</v>
      </c>
      <c r="T31">
        <f>0</f>
        <v>0</v>
      </c>
      <c r="U31">
        <f>0</f>
        <v>0</v>
      </c>
      <c r="V31">
        <f>0</f>
        <v>0</v>
      </c>
      <c r="W31">
        <f>0</f>
        <v>0</v>
      </c>
      <c r="X31">
        <f>0</f>
        <v>0</v>
      </c>
      <c r="Y31">
        <f>0</f>
        <v>0</v>
      </c>
      <c r="AA31">
        <v>47631607</v>
      </c>
      <c r="AB31">
        <f>ROUND((AK31),6)</f>
        <v>42.98</v>
      </c>
      <c r="AC31">
        <f>0</f>
        <v>0</v>
      </c>
      <c r="AD31">
        <f>0</f>
        <v>0</v>
      </c>
      <c r="AE31">
        <f>0</f>
        <v>0</v>
      </c>
      <c r="AF31">
        <f>0</f>
        <v>0</v>
      </c>
      <c r="AG31">
        <f>0</f>
        <v>0</v>
      </c>
      <c r="AH31">
        <f>0</f>
        <v>0</v>
      </c>
      <c r="AI31">
        <f>0</f>
        <v>0</v>
      </c>
      <c r="AJ31">
        <f>0</f>
        <v>0</v>
      </c>
      <c r="AK31">
        <v>42.98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37</v>
      </c>
      <c r="BM31">
        <v>700004</v>
      </c>
      <c r="BN31">
        <v>0</v>
      </c>
      <c r="BO31" t="s">
        <v>3</v>
      </c>
      <c r="BP31">
        <v>0</v>
      </c>
      <c r="BQ31">
        <v>19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0</v>
      </c>
      <c r="CA31">
        <v>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>AB31*AZ31</f>
        <v>42.98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36</v>
      </c>
      <c r="DW31" t="s">
        <v>36</v>
      </c>
      <c r="DX31">
        <v>1</v>
      </c>
      <c r="EE31">
        <v>45919758</v>
      </c>
      <c r="EF31">
        <v>19</v>
      </c>
      <c r="EG31" t="s">
        <v>38</v>
      </c>
      <c r="EH31">
        <v>0</v>
      </c>
      <c r="EI31" t="s">
        <v>3</v>
      </c>
      <c r="EJ31">
        <v>1</v>
      </c>
      <c r="EK31">
        <v>700004</v>
      </c>
      <c r="EL31" t="s">
        <v>39</v>
      </c>
      <c r="EM31" t="s">
        <v>40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FQ31">
        <v>0</v>
      </c>
      <c r="FR31">
        <f t="shared" si="23"/>
        <v>0</v>
      </c>
      <c r="FS31">
        <v>0</v>
      </c>
      <c r="FX31">
        <v>0</v>
      </c>
      <c r="FY31">
        <v>0</v>
      </c>
      <c r="GA31" t="s">
        <v>3</v>
      </c>
      <c r="GD31">
        <v>1</v>
      </c>
      <c r="GF31">
        <v>68385352</v>
      </c>
      <c r="GG31">
        <v>2</v>
      </c>
      <c r="GH31">
        <v>1</v>
      </c>
      <c r="GI31">
        <v>-2</v>
      </c>
      <c r="GJ31">
        <v>2</v>
      </c>
      <c r="GK31">
        <v>0</v>
      </c>
      <c r="GL31">
        <f t="shared" si="24"/>
        <v>0</v>
      </c>
      <c r="GM31">
        <f>ROUND(CP31*I31,2)</f>
        <v>166.05</v>
      </c>
      <c r="GN31">
        <f>IF(OR(BI31=0,BI31=1),ROUND(CP31*I31,2),0)</f>
        <v>166.05</v>
      </c>
      <c r="GO31">
        <f>IF(BI31=2,ROUND(CP31*I31,2),0)</f>
        <v>0</v>
      </c>
      <c r="GP31">
        <f>IF(BI31=4,ROUND(CP31*I31,2)+GX31,0)</f>
        <v>0</v>
      </c>
      <c r="GR31">
        <v>0</v>
      </c>
      <c r="GS31">
        <v>3</v>
      </c>
      <c r="GT31">
        <v>0</v>
      </c>
      <c r="GU31" t="s">
        <v>3</v>
      </c>
      <c r="GV31">
        <f>0</f>
        <v>0</v>
      </c>
      <c r="GW31">
        <v>1</v>
      </c>
      <c r="GX31">
        <f>0</f>
        <v>0</v>
      </c>
      <c r="HA31">
        <v>0</v>
      </c>
      <c r="HB31">
        <v>0</v>
      </c>
      <c r="HC31">
        <v>0</v>
      </c>
      <c r="IK31">
        <v>0</v>
      </c>
    </row>
    <row r="32" spans="1:245" x14ac:dyDescent="0.2">
      <c r="A32">
        <v>17</v>
      </c>
      <c r="B32">
        <v>1</v>
      </c>
      <c r="E32" t="s">
        <v>41</v>
      </c>
      <c r="F32" t="s">
        <v>42</v>
      </c>
      <c r="G32" t="s">
        <v>43</v>
      </c>
      <c r="H32" t="s">
        <v>36</v>
      </c>
      <c r="I32">
        <f>ROUND(I31,9)</f>
        <v>3.8633999999999999</v>
      </c>
      <c r="J32">
        <v>0</v>
      </c>
      <c r="O32">
        <f>0</f>
        <v>0</v>
      </c>
      <c r="P32">
        <f>0</f>
        <v>0</v>
      </c>
      <c r="Q32">
        <f>0</f>
        <v>0</v>
      </c>
      <c r="R32">
        <f>0</f>
        <v>0</v>
      </c>
      <c r="S32">
        <f>0</f>
        <v>0</v>
      </c>
      <c r="T32">
        <f>0</f>
        <v>0</v>
      </c>
      <c r="U32">
        <f>0</f>
        <v>0</v>
      </c>
      <c r="V32">
        <f>0</f>
        <v>0</v>
      </c>
      <c r="W32">
        <f>0</f>
        <v>0</v>
      </c>
      <c r="X32">
        <f>0</f>
        <v>0</v>
      </c>
      <c r="Y32">
        <f>0</f>
        <v>0</v>
      </c>
      <c r="AA32">
        <v>47631607</v>
      </c>
      <c r="AB32">
        <f>ROUND((AK32),6)</f>
        <v>17.32</v>
      </c>
      <c r="AC32">
        <f>0</f>
        <v>0</v>
      </c>
      <c r="AD32">
        <f>0</f>
        <v>0</v>
      </c>
      <c r="AE32">
        <f>0</f>
        <v>0</v>
      </c>
      <c r="AF32">
        <f>0</f>
        <v>0</v>
      </c>
      <c r="AG32">
        <f>0</f>
        <v>0</v>
      </c>
      <c r="AH32">
        <f>0</f>
        <v>0</v>
      </c>
      <c r="AI32">
        <f>0</f>
        <v>0</v>
      </c>
      <c r="AJ32">
        <f>0</f>
        <v>0</v>
      </c>
      <c r="AK32">
        <v>17.32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44</v>
      </c>
      <c r="BM32">
        <v>700005</v>
      </c>
      <c r="BN32">
        <v>0</v>
      </c>
      <c r="BO32" t="s">
        <v>3</v>
      </c>
      <c r="BP32">
        <v>0</v>
      </c>
      <c r="BQ32">
        <v>10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>AB32*AZ32</f>
        <v>17.32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36</v>
      </c>
      <c r="DW32" t="s">
        <v>36</v>
      </c>
      <c r="DX32">
        <v>1</v>
      </c>
      <c r="EE32">
        <v>45919762</v>
      </c>
      <c r="EF32">
        <v>10</v>
      </c>
      <c r="EG32" t="s">
        <v>45</v>
      </c>
      <c r="EH32">
        <v>0</v>
      </c>
      <c r="EI32" t="s">
        <v>3</v>
      </c>
      <c r="EJ32">
        <v>1</v>
      </c>
      <c r="EK32">
        <v>700005</v>
      </c>
      <c r="EL32" t="s">
        <v>46</v>
      </c>
      <c r="EM32" t="s">
        <v>47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FQ32">
        <v>0</v>
      </c>
      <c r="FR32">
        <f t="shared" si="23"/>
        <v>0</v>
      </c>
      <c r="FS32">
        <v>0</v>
      </c>
      <c r="FX32">
        <v>0</v>
      </c>
      <c r="FY32">
        <v>0</v>
      </c>
      <c r="GA32" t="s">
        <v>3</v>
      </c>
      <c r="GD32">
        <v>1</v>
      </c>
      <c r="GF32">
        <v>1719553039</v>
      </c>
      <c r="GG32">
        <v>2</v>
      </c>
      <c r="GH32">
        <v>1</v>
      </c>
      <c r="GI32">
        <v>-2</v>
      </c>
      <c r="GJ32">
        <v>2</v>
      </c>
      <c r="GK32">
        <v>0</v>
      </c>
      <c r="GL32">
        <f t="shared" si="24"/>
        <v>0</v>
      </c>
      <c r="GM32">
        <f>ROUND(CP32*I32,2)</f>
        <v>66.91</v>
      </c>
      <c r="GN32">
        <f>IF(OR(BI32=0,BI32=1),ROUND(CP32*I32,2),0)</f>
        <v>66.91</v>
      </c>
      <c r="GO32">
        <f>IF(BI32=2,ROUND(CP32*I32,2),0)</f>
        <v>0</v>
      </c>
      <c r="GP32">
        <f>IF(BI32=4,ROUND(CP32*I32,2)+GX32,0)</f>
        <v>0</v>
      </c>
      <c r="GR32">
        <v>0</v>
      </c>
      <c r="GS32">
        <v>3</v>
      </c>
      <c r="GT32">
        <v>0</v>
      </c>
      <c r="GU32" t="s">
        <v>3</v>
      </c>
      <c r="GV32">
        <f>0</f>
        <v>0</v>
      </c>
      <c r="GW32">
        <v>1</v>
      </c>
      <c r="GX32">
        <f>0</f>
        <v>0</v>
      </c>
      <c r="HA32">
        <v>0</v>
      </c>
      <c r="HB32">
        <v>0</v>
      </c>
      <c r="HC32">
        <v>0</v>
      </c>
      <c r="IK32">
        <v>0</v>
      </c>
    </row>
    <row r="33" spans="1:245" x14ac:dyDescent="0.2">
      <c r="A33">
        <v>17</v>
      </c>
      <c r="B33">
        <v>1</v>
      </c>
      <c r="C33">
        <f>ROW(SmtRes!A5)</f>
        <v>5</v>
      </c>
      <c r="D33">
        <f>ROW(EtalonRes!A5)</f>
        <v>5</v>
      </c>
      <c r="E33" t="s">
        <v>48</v>
      </c>
      <c r="F33" t="s">
        <v>49</v>
      </c>
      <c r="G33" t="s">
        <v>50</v>
      </c>
      <c r="H33" t="s">
        <v>22</v>
      </c>
      <c r="I33">
        <f>ROUND((276*0.4)/100,9)</f>
        <v>1.1040000000000001</v>
      </c>
      <c r="J33">
        <v>0</v>
      </c>
      <c r="O33">
        <f t="shared" ref="O33:O52" si="25">ROUND(CP33,2)</f>
        <v>107.76</v>
      </c>
      <c r="P33">
        <f t="shared" ref="P33:P52" si="26">ROUND(CQ33*I33,2)</f>
        <v>9.19</v>
      </c>
      <c r="Q33">
        <f t="shared" ref="Q33:Q52" si="27">ROUND(CR33*I33,2)</f>
        <v>0</v>
      </c>
      <c r="R33">
        <f t="shared" ref="R33:R52" si="28">ROUND(CS33*I33,2)</f>
        <v>0</v>
      </c>
      <c r="S33">
        <f t="shared" ref="S33:S52" si="29">ROUND(CT33*I33,2)</f>
        <v>98.57</v>
      </c>
      <c r="T33">
        <f t="shared" ref="T33:T52" si="30">ROUND(CU33*I33,2)</f>
        <v>0</v>
      </c>
      <c r="U33">
        <f t="shared" ref="U33:U52" si="31">CV33*I33</f>
        <v>11.1255048</v>
      </c>
      <c r="V33">
        <f t="shared" ref="V33:V52" si="32">CW33*I33</f>
        <v>0</v>
      </c>
      <c r="W33">
        <f t="shared" ref="W33:W52" si="33">ROUND(CX33*I33,2)</f>
        <v>0</v>
      </c>
      <c r="X33">
        <f t="shared" ref="X33:X52" si="34">ROUND(CY33,2)</f>
        <v>102.51</v>
      </c>
      <c r="Y33">
        <f t="shared" ref="Y33:Y52" si="35">ROUND(CZ33,2)</f>
        <v>75.900000000000006</v>
      </c>
      <c r="AA33">
        <v>47631607</v>
      </c>
      <c r="AB33">
        <f t="shared" ref="AB33:AB52" si="36">ROUND((AC33+AD33+AF33),6)</f>
        <v>97.601974999999996</v>
      </c>
      <c r="AC33">
        <f t="shared" ref="AC33:AC45" si="37">ROUND((ES33),6)</f>
        <v>8.32</v>
      </c>
      <c r="AD33">
        <f t="shared" ref="AD33:AD38" si="38">ROUND((((((ET33*1.25)*1.15))-(((EU33*1.25)*1.15)))+AE33),6)</f>
        <v>0</v>
      </c>
      <c r="AE33">
        <f t="shared" ref="AE33:AE38" si="39">ROUND((((EU33*1.25)*1.15)),6)</f>
        <v>0</v>
      </c>
      <c r="AF33">
        <f t="shared" ref="AF33:AF38" si="40">ROUND((((EV33*1.15)*1.15)),6)</f>
        <v>89.281975000000003</v>
      </c>
      <c r="AG33">
        <f t="shared" ref="AG33:AG52" si="41">ROUND((AP33),6)</f>
        <v>0</v>
      </c>
      <c r="AH33">
        <f t="shared" ref="AH33:AH38" si="42">(((EW33*1.15)*1.15))</f>
        <v>10.077449999999999</v>
      </c>
      <c r="AI33">
        <f t="shared" ref="AI33:AI38" si="43">(((EX33*1.25)*1.15))</f>
        <v>0</v>
      </c>
      <c r="AJ33">
        <f t="shared" ref="AJ33:AJ52" si="44">(AS33)</f>
        <v>0</v>
      </c>
      <c r="AK33">
        <v>75.83</v>
      </c>
      <c r="AL33">
        <v>8.32</v>
      </c>
      <c r="AM33">
        <v>0</v>
      </c>
      <c r="AN33">
        <v>0</v>
      </c>
      <c r="AO33">
        <v>67.510000000000005</v>
      </c>
      <c r="AP33">
        <v>0</v>
      </c>
      <c r="AQ33">
        <v>7.62</v>
      </c>
      <c r="AR33">
        <v>0</v>
      </c>
      <c r="AS33">
        <v>0</v>
      </c>
      <c r="AT33">
        <v>104</v>
      </c>
      <c r="AU33">
        <v>77</v>
      </c>
      <c r="AV33">
        <v>1.06</v>
      </c>
      <c r="AW33">
        <v>1.06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51</v>
      </c>
      <c r="BM33">
        <v>47001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115</v>
      </c>
      <c r="CA33">
        <v>90</v>
      </c>
      <c r="CE33">
        <v>0</v>
      </c>
      <c r="CF33">
        <v>0</v>
      </c>
      <c r="CG33">
        <v>0</v>
      </c>
      <c r="CM33">
        <v>0</v>
      </c>
      <c r="CN33" t="s">
        <v>743</v>
      </c>
      <c r="CO33">
        <v>0</v>
      </c>
      <c r="CP33">
        <f t="shared" ref="CP33:CP52" si="45">(P33+Q33+S33)</f>
        <v>107.75999999999999</v>
      </c>
      <c r="CQ33">
        <f t="shared" ref="CQ33:CQ52" si="46">AC33*BC33</f>
        <v>8.32</v>
      </c>
      <c r="CR33">
        <f t="shared" ref="CR33:CR52" si="47">AD33*BB33</f>
        <v>0</v>
      </c>
      <c r="CS33">
        <f t="shared" ref="CS33:CS52" si="48">AE33*BS33</f>
        <v>0</v>
      </c>
      <c r="CT33">
        <f t="shared" ref="CT33:CT52" si="49">AF33*BA33</f>
        <v>89.281975000000003</v>
      </c>
      <c r="CU33">
        <f t="shared" ref="CU33:CU52" si="50">AG33</f>
        <v>0</v>
      </c>
      <c r="CV33">
        <f t="shared" ref="CV33:CV52" si="51">AH33</f>
        <v>10.077449999999999</v>
      </c>
      <c r="CW33">
        <f t="shared" ref="CW33:CW52" si="52">AI33</f>
        <v>0</v>
      </c>
      <c r="CX33">
        <f t="shared" ref="CX33:CX52" si="53">AJ33</f>
        <v>0</v>
      </c>
      <c r="CY33">
        <f t="shared" ref="CY33:CY52" si="54">(((S33+R33)*AT33)/100)</f>
        <v>102.51279999999998</v>
      </c>
      <c r="CZ33">
        <f t="shared" ref="CZ33:CZ52" si="55">(((S33+R33)*AU33)/100)</f>
        <v>75.898899999999998</v>
      </c>
      <c r="DC33" t="s">
        <v>3</v>
      </c>
      <c r="DD33" t="s">
        <v>3</v>
      </c>
      <c r="DE33" t="s">
        <v>52</v>
      </c>
      <c r="DF33" t="s">
        <v>52</v>
      </c>
      <c r="DG33" t="s">
        <v>53</v>
      </c>
      <c r="DH33" t="s">
        <v>3</v>
      </c>
      <c r="DI33" t="s">
        <v>53</v>
      </c>
      <c r="DJ33" t="s">
        <v>52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1005</v>
      </c>
      <c r="DV33" t="s">
        <v>22</v>
      </c>
      <c r="DW33" t="s">
        <v>22</v>
      </c>
      <c r="DX33">
        <v>100</v>
      </c>
      <c r="EE33">
        <v>45919639</v>
      </c>
      <c r="EF33">
        <v>2</v>
      </c>
      <c r="EG33" t="s">
        <v>54</v>
      </c>
      <c r="EH33">
        <v>0</v>
      </c>
      <c r="EI33" t="s">
        <v>3</v>
      </c>
      <c r="EJ33">
        <v>1</v>
      </c>
      <c r="EK33">
        <v>47001</v>
      </c>
      <c r="EL33" t="s">
        <v>55</v>
      </c>
      <c r="EM33" t="s">
        <v>56</v>
      </c>
      <c r="EO33" t="s">
        <v>57</v>
      </c>
      <c r="EQ33">
        <v>0</v>
      </c>
      <c r="ER33">
        <v>75.83</v>
      </c>
      <c r="ES33">
        <v>8.32</v>
      </c>
      <c r="ET33">
        <v>0</v>
      </c>
      <c r="EU33">
        <v>0</v>
      </c>
      <c r="EV33">
        <v>67.510000000000005</v>
      </c>
      <c r="EW33">
        <v>7.62</v>
      </c>
      <c r="EX33">
        <v>0</v>
      </c>
      <c r="EY33">
        <v>0</v>
      </c>
      <c r="FQ33">
        <v>0</v>
      </c>
      <c r="FR33">
        <f t="shared" si="23"/>
        <v>0</v>
      </c>
      <c r="FS33">
        <v>0</v>
      </c>
      <c r="FT33" t="s">
        <v>58</v>
      </c>
      <c r="FU33" t="s">
        <v>59</v>
      </c>
      <c r="FX33">
        <v>103.5</v>
      </c>
      <c r="FY33">
        <v>76.5</v>
      </c>
      <c r="GA33" t="s">
        <v>3</v>
      </c>
      <c r="GD33">
        <v>1</v>
      </c>
      <c r="GF33">
        <v>-1905307183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24"/>
        <v>0</v>
      </c>
      <c r="GM33">
        <f t="shared" ref="GM33:GM52" si="56">ROUND(O33+X33+Y33,2)+GX33</f>
        <v>286.17</v>
      </c>
      <c r="GN33">
        <f t="shared" ref="GN33:GN52" si="57">IF(OR(BI33=0,BI33=1),ROUND(O33+X33+Y33,2),0)</f>
        <v>286.17</v>
      </c>
      <c r="GO33">
        <f t="shared" ref="GO33:GO52" si="58">IF(BI33=2,ROUND(O33+X33+Y33,2),0)</f>
        <v>0</v>
      </c>
      <c r="GP33">
        <f t="shared" ref="GP33:GP52" si="59">IF(BI33=4,ROUND(O33+X33+Y33,2)+GX33,0)</f>
        <v>0</v>
      </c>
      <c r="GR33">
        <v>0</v>
      </c>
      <c r="GS33">
        <v>3</v>
      </c>
      <c r="GT33">
        <v>0</v>
      </c>
      <c r="GU33" t="s">
        <v>3</v>
      </c>
      <c r="GV33">
        <f t="shared" ref="GV33:GV52" si="60">ROUND((GT33),6)</f>
        <v>0</v>
      </c>
      <c r="GW33">
        <v>1</v>
      </c>
      <c r="GX33">
        <f t="shared" ref="GX33:GX52" si="61">ROUND(HC33*I33,2)</f>
        <v>0</v>
      </c>
      <c r="HA33">
        <v>0</v>
      </c>
      <c r="HB33">
        <v>0</v>
      </c>
      <c r="HC33">
        <f t="shared" ref="HC33:HC52" si="62">GV33*GW33</f>
        <v>0</v>
      </c>
      <c r="IK33">
        <v>0</v>
      </c>
    </row>
    <row r="34" spans="1:245" x14ac:dyDescent="0.2">
      <c r="A34">
        <v>17</v>
      </c>
      <c r="B34">
        <v>1</v>
      </c>
      <c r="C34">
        <f>ROW(SmtRes!A6)</f>
        <v>6</v>
      </c>
      <c r="D34">
        <f>ROW(EtalonRes!A6)</f>
        <v>6</v>
      </c>
      <c r="E34" t="s">
        <v>60</v>
      </c>
      <c r="F34" t="s">
        <v>61</v>
      </c>
      <c r="G34" t="s">
        <v>62</v>
      </c>
      <c r="H34" t="s">
        <v>22</v>
      </c>
      <c r="I34">
        <f>ROUND(I33,9)</f>
        <v>1.1040000000000001</v>
      </c>
      <c r="J34">
        <v>0</v>
      </c>
      <c r="O34">
        <f t="shared" si="25"/>
        <v>116.16</v>
      </c>
      <c r="P34">
        <f t="shared" si="26"/>
        <v>0</v>
      </c>
      <c r="Q34">
        <f t="shared" si="27"/>
        <v>0</v>
      </c>
      <c r="R34">
        <f t="shared" si="28"/>
        <v>0</v>
      </c>
      <c r="S34">
        <f t="shared" si="29"/>
        <v>116.16</v>
      </c>
      <c r="T34">
        <f t="shared" si="30"/>
        <v>0</v>
      </c>
      <c r="U34">
        <f t="shared" si="31"/>
        <v>14.892408</v>
      </c>
      <c r="V34">
        <f t="shared" si="32"/>
        <v>0</v>
      </c>
      <c r="W34">
        <f t="shared" si="33"/>
        <v>0</v>
      </c>
      <c r="X34">
        <f t="shared" si="34"/>
        <v>120.81</v>
      </c>
      <c r="Y34">
        <f t="shared" si="35"/>
        <v>89.44</v>
      </c>
      <c r="AA34">
        <v>47631607</v>
      </c>
      <c r="AB34">
        <f t="shared" si="36"/>
        <v>105.21810000000001</v>
      </c>
      <c r="AC34">
        <f t="shared" si="37"/>
        <v>0</v>
      </c>
      <c r="AD34">
        <f t="shared" si="38"/>
        <v>0</v>
      </c>
      <c r="AE34">
        <f t="shared" si="39"/>
        <v>0</v>
      </c>
      <c r="AF34">
        <f t="shared" si="40"/>
        <v>105.21810000000001</v>
      </c>
      <c r="AG34">
        <f t="shared" si="41"/>
        <v>0</v>
      </c>
      <c r="AH34">
        <f t="shared" si="42"/>
        <v>13.489499999999998</v>
      </c>
      <c r="AI34">
        <f t="shared" si="43"/>
        <v>0</v>
      </c>
      <c r="AJ34">
        <f t="shared" si="44"/>
        <v>0</v>
      </c>
      <c r="AK34">
        <v>79.56</v>
      </c>
      <c r="AL34">
        <v>0</v>
      </c>
      <c r="AM34">
        <v>0</v>
      </c>
      <c r="AN34">
        <v>0</v>
      </c>
      <c r="AO34">
        <v>79.56</v>
      </c>
      <c r="AP34">
        <v>0</v>
      </c>
      <c r="AQ34">
        <v>10.199999999999999</v>
      </c>
      <c r="AR34">
        <v>0</v>
      </c>
      <c r="AS34">
        <v>0</v>
      </c>
      <c r="AT34">
        <v>104</v>
      </c>
      <c r="AU34">
        <v>77</v>
      </c>
      <c r="AV34">
        <v>1.06</v>
      </c>
      <c r="AW34">
        <v>1.06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63</v>
      </c>
      <c r="BM34">
        <v>47001</v>
      </c>
      <c r="BN34">
        <v>0</v>
      </c>
      <c r="BO34" t="s">
        <v>3</v>
      </c>
      <c r="BP34">
        <v>0</v>
      </c>
      <c r="BQ34">
        <v>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115</v>
      </c>
      <c r="CA34">
        <v>90</v>
      </c>
      <c r="CE34">
        <v>0</v>
      </c>
      <c r="CF34">
        <v>0</v>
      </c>
      <c r="CG34">
        <v>0</v>
      </c>
      <c r="CM34">
        <v>0</v>
      </c>
      <c r="CN34" t="s">
        <v>743</v>
      </c>
      <c r="CO34">
        <v>0</v>
      </c>
      <c r="CP34">
        <f t="shared" si="45"/>
        <v>116.16</v>
      </c>
      <c r="CQ34">
        <f t="shared" si="46"/>
        <v>0</v>
      </c>
      <c r="CR34">
        <f t="shared" si="47"/>
        <v>0</v>
      </c>
      <c r="CS34">
        <f t="shared" si="48"/>
        <v>0</v>
      </c>
      <c r="CT34">
        <f t="shared" si="49"/>
        <v>105.21810000000001</v>
      </c>
      <c r="CU34">
        <f t="shared" si="50"/>
        <v>0</v>
      </c>
      <c r="CV34">
        <f t="shared" si="51"/>
        <v>13.489499999999998</v>
      </c>
      <c r="CW34">
        <f t="shared" si="52"/>
        <v>0</v>
      </c>
      <c r="CX34">
        <f t="shared" si="53"/>
        <v>0</v>
      </c>
      <c r="CY34">
        <f t="shared" si="54"/>
        <v>120.8064</v>
      </c>
      <c r="CZ34">
        <f t="shared" si="55"/>
        <v>89.44319999999999</v>
      </c>
      <c r="DC34" t="s">
        <v>3</v>
      </c>
      <c r="DD34" t="s">
        <v>3</v>
      </c>
      <c r="DE34" t="s">
        <v>52</v>
      </c>
      <c r="DF34" t="s">
        <v>52</v>
      </c>
      <c r="DG34" t="s">
        <v>53</v>
      </c>
      <c r="DH34" t="s">
        <v>3</v>
      </c>
      <c r="DI34" t="s">
        <v>53</v>
      </c>
      <c r="DJ34" t="s">
        <v>52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1005</v>
      </c>
      <c r="DV34" t="s">
        <v>22</v>
      </c>
      <c r="DW34" t="s">
        <v>22</v>
      </c>
      <c r="DX34">
        <v>100</v>
      </c>
      <c r="EE34">
        <v>45919639</v>
      </c>
      <c r="EF34">
        <v>2</v>
      </c>
      <c r="EG34" t="s">
        <v>54</v>
      </c>
      <c r="EH34">
        <v>0</v>
      </c>
      <c r="EI34" t="s">
        <v>3</v>
      </c>
      <c r="EJ34">
        <v>1</v>
      </c>
      <c r="EK34">
        <v>47001</v>
      </c>
      <c r="EL34" t="s">
        <v>55</v>
      </c>
      <c r="EM34" t="s">
        <v>56</v>
      </c>
      <c r="EO34" t="s">
        <v>3</v>
      </c>
      <c r="EQ34">
        <v>0</v>
      </c>
      <c r="ER34">
        <v>79.56</v>
      </c>
      <c r="ES34">
        <v>0</v>
      </c>
      <c r="ET34">
        <v>0</v>
      </c>
      <c r="EU34">
        <v>0</v>
      </c>
      <c r="EV34">
        <v>79.56</v>
      </c>
      <c r="EW34">
        <v>10.199999999999999</v>
      </c>
      <c r="EX34">
        <v>0</v>
      </c>
      <c r="EY34">
        <v>0</v>
      </c>
      <c r="FQ34">
        <v>0</v>
      </c>
      <c r="FR34">
        <f t="shared" si="23"/>
        <v>0</v>
      </c>
      <c r="FS34">
        <v>0</v>
      </c>
      <c r="FT34" t="s">
        <v>58</v>
      </c>
      <c r="FU34" t="s">
        <v>59</v>
      </c>
      <c r="FX34">
        <v>103.5</v>
      </c>
      <c r="FY34">
        <v>76.5</v>
      </c>
      <c r="GA34" t="s">
        <v>3</v>
      </c>
      <c r="GD34">
        <v>1</v>
      </c>
      <c r="GF34">
        <v>2061485784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24"/>
        <v>0</v>
      </c>
      <c r="GM34">
        <f t="shared" si="56"/>
        <v>326.41000000000003</v>
      </c>
      <c r="GN34">
        <f t="shared" si="57"/>
        <v>326.41000000000003</v>
      </c>
      <c r="GO34">
        <f t="shared" si="58"/>
        <v>0</v>
      </c>
      <c r="GP34">
        <f t="shared" si="59"/>
        <v>0</v>
      </c>
      <c r="GR34">
        <v>0</v>
      </c>
      <c r="GS34">
        <v>3</v>
      </c>
      <c r="GT34">
        <v>0</v>
      </c>
      <c r="GU34" t="s">
        <v>3</v>
      </c>
      <c r="GV34">
        <f t="shared" si="60"/>
        <v>0</v>
      </c>
      <c r="GW34">
        <v>1</v>
      </c>
      <c r="GX34">
        <f t="shared" si="61"/>
        <v>0</v>
      </c>
      <c r="HA34">
        <v>0</v>
      </c>
      <c r="HB34">
        <v>0</v>
      </c>
      <c r="HC34">
        <f t="shared" si="62"/>
        <v>0</v>
      </c>
      <c r="IK34">
        <v>0</v>
      </c>
    </row>
    <row r="35" spans="1:245" x14ac:dyDescent="0.2">
      <c r="A35">
        <v>17</v>
      </c>
      <c r="B35">
        <v>1</v>
      </c>
      <c r="C35">
        <f>ROW(SmtRes!A12)</f>
        <v>12</v>
      </c>
      <c r="D35">
        <f>ROW(EtalonRes!A14)</f>
        <v>14</v>
      </c>
      <c r="E35" t="s">
        <v>64</v>
      </c>
      <c r="F35" t="s">
        <v>65</v>
      </c>
      <c r="G35" t="s">
        <v>66</v>
      </c>
      <c r="H35" t="s">
        <v>67</v>
      </c>
      <c r="I35">
        <f>ROUND(90/100,9)</f>
        <v>0.9</v>
      </c>
      <c r="J35">
        <v>0</v>
      </c>
      <c r="O35">
        <f t="shared" si="25"/>
        <v>5504.61</v>
      </c>
      <c r="P35">
        <f t="shared" si="26"/>
        <v>209.79</v>
      </c>
      <c r="Q35">
        <f t="shared" si="27"/>
        <v>4901.1899999999996</v>
      </c>
      <c r="R35">
        <f t="shared" si="28"/>
        <v>403.11</v>
      </c>
      <c r="S35">
        <f t="shared" si="29"/>
        <v>393.63</v>
      </c>
      <c r="T35">
        <f t="shared" si="30"/>
        <v>0</v>
      </c>
      <c r="U35">
        <f t="shared" si="31"/>
        <v>46.145992499999998</v>
      </c>
      <c r="V35">
        <f t="shared" si="32"/>
        <v>32.382562499999999</v>
      </c>
      <c r="W35">
        <f t="shared" si="33"/>
        <v>0</v>
      </c>
      <c r="X35">
        <f t="shared" si="34"/>
        <v>645.36</v>
      </c>
      <c r="Y35">
        <f t="shared" si="35"/>
        <v>573.65</v>
      </c>
      <c r="AA35">
        <v>47631607</v>
      </c>
      <c r="AB35">
        <f t="shared" si="36"/>
        <v>6116.2314749999996</v>
      </c>
      <c r="AC35">
        <f t="shared" si="37"/>
        <v>233.1</v>
      </c>
      <c r="AD35">
        <f t="shared" si="38"/>
        <v>5445.7674999999999</v>
      </c>
      <c r="AE35">
        <f t="shared" si="39"/>
        <v>447.89625000000001</v>
      </c>
      <c r="AF35">
        <f t="shared" si="40"/>
        <v>437.36397499999998</v>
      </c>
      <c r="AG35">
        <f t="shared" si="41"/>
        <v>0</v>
      </c>
      <c r="AH35">
        <f t="shared" si="42"/>
        <v>51.273325</v>
      </c>
      <c r="AI35">
        <f t="shared" si="43"/>
        <v>35.980624999999996</v>
      </c>
      <c r="AJ35">
        <f t="shared" si="44"/>
        <v>0</v>
      </c>
      <c r="AK35">
        <v>4352.17</v>
      </c>
      <c r="AL35">
        <v>233.1</v>
      </c>
      <c r="AM35">
        <v>3788.36</v>
      </c>
      <c r="AN35">
        <v>311.58</v>
      </c>
      <c r="AO35">
        <v>330.71</v>
      </c>
      <c r="AP35">
        <v>0</v>
      </c>
      <c r="AQ35">
        <v>38.770000000000003</v>
      </c>
      <c r="AR35">
        <v>25.03</v>
      </c>
      <c r="AS35">
        <v>0</v>
      </c>
      <c r="AT35">
        <v>81</v>
      </c>
      <c r="AU35">
        <v>72</v>
      </c>
      <c r="AV35">
        <v>1.06</v>
      </c>
      <c r="AW35">
        <v>1.06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68</v>
      </c>
      <c r="BM35">
        <v>9001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90</v>
      </c>
      <c r="CA35">
        <v>85</v>
      </c>
      <c r="CE35">
        <v>0</v>
      </c>
      <c r="CF35">
        <v>0</v>
      </c>
      <c r="CG35">
        <v>0</v>
      </c>
      <c r="CM35">
        <v>0</v>
      </c>
      <c r="CN35" t="s">
        <v>743</v>
      </c>
      <c r="CO35">
        <v>0</v>
      </c>
      <c r="CP35">
        <f t="shared" si="45"/>
        <v>5504.61</v>
      </c>
      <c r="CQ35">
        <f t="shared" si="46"/>
        <v>233.1</v>
      </c>
      <c r="CR35">
        <f t="shared" si="47"/>
        <v>5445.7674999999999</v>
      </c>
      <c r="CS35">
        <f t="shared" si="48"/>
        <v>447.89625000000001</v>
      </c>
      <c r="CT35">
        <f t="shared" si="49"/>
        <v>437.36397499999998</v>
      </c>
      <c r="CU35">
        <f t="shared" si="50"/>
        <v>0</v>
      </c>
      <c r="CV35">
        <f t="shared" si="51"/>
        <v>51.273325</v>
      </c>
      <c r="CW35">
        <f t="shared" si="52"/>
        <v>35.980624999999996</v>
      </c>
      <c r="CX35">
        <f t="shared" si="53"/>
        <v>0</v>
      </c>
      <c r="CY35">
        <f t="shared" si="54"/>
        <v>645.35940000000005</v>
      </c>
      <c r="CZ35">
        <f t="shared" si="55"/>
        <v>573.65279999999996</v>
      </c>
      <c r="DC35" t="s">
        <v>3</v>
      </c>
      <c r="DD35" t="s">
        <v>3</v>
      </c>
      <c r="DE35" t="s">
        <v>52</v>
      </c>
      <c r="DF35" t="s">
        <v>52</v>
      </c>
      <c r="DG35" t="s">
        <v>53</v>
      </c>
      <c r="DH35" t="s">
        <v>3</v>
      </c>
      <c r="DI35" t="s">
        <v>53</v>
      </c>
      <c r="DJ35" t="s">
        <v>52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67</v>
      </c>
      <c r="DW35" t="s">
        <v>67</v>
      </c>
      <c r="DX35">
        <v>1</v>
      </c>
      <c r="EE35">
        <v>45919569</v>
      </c>
      <c r="EF35">
        <v>2</v>
      </c>
      <c r="EG35" t="s">
        <v>54</v>
      </c>
      <c r="EH35">
        <v>0</v>
      </c>
      <c r="EI35" t="s">
        <v>3</v>
      </c>
      <c r="EJ35">
        <v>1</v>
      </c>
      <c r="EK35">
        <v>9001</v>
      </c>
      <c r="EL35" t="s">
        <v>69</v>
      </c>
      <c r="EM35" t="s">
        <v>70</v>
      </c>
      <c r="EO35" t="s">
        <v>3</v>
      </c>
      <c r="EQ35">
        <v>0</v>
      </c>
      <c r="ER35">
        <v>4352.17</v>
      </c>
      <c r="ES35">
        <v>233.1</v>
      </c>
      <c r="ET35">
        <v>3788.36</v>
      </c>
      <c r="EU35">
        <v>311.58</v>
      </c>
      <c r="EV35">
        <v>330.71</v>
      </c>
      <c r="EW35">
        <v>38.770000000000003</v>
      </c>
      <c r="EX35">
        <v>25.03</v>
      </c>
      <c r="EY35">
        <v>0</v>
      </c>
      <c r="FQ35">
        <v>0</v>
      </c>
      <c r="FR35">
        <f t="shared" si="23"/>
        <v>0</v>
      </c>
      <c r="FS35">
        <v>0</v>
      </c>
      <c r="FT35" t="s">
        <v>58</v>
      </c>
      <c r="FU35" t="s">
        <v>59</v>
      </c>
      <c r="FX35">
        <v>81</v>
      </c>
      <c r="FY35">
        <v>72.25</v>
      </c>
      <c r="GA35" t="s">
        <v>3</v>
      </c>
      <c r="GD35">
        <v>1</v>
      </c>
      <c r="GF35">
        <v>-1691068569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24"/>
        <v>0</v>
      </c>
      <c r="GM35">
        <f t="shared" si="56"/>
        <v>6723.62</v>
      </c>
      <c r="GN35">
        <f t="shared" si="57"/>
        <v>6723.62</v>
      </c>
      <c r="GO35">
        <f t="shared" si="58"/>
        <v>0</v>
      </c>
      <c r="GP35">
        <f t="shared" si="59"/>
        <v>0</v>
      </c>
      <c r="GR35">
        <v>0</v>
      </c>
      <c r="GS35">
        <v>3</v>
      </c>
      <c r="GT35">
        <v>0</v>
      </c>
      <c r="GU35" t="s">
        <v>3</v>
      </c>
      <c r="GV35">
        <f t="shared" si="60"/>
        <v>0</v>
      </c>
      <c r="GW35">
        <v>1</v>
      </c>
      <c r="GX35">
        <f t="shared" si="61"/>
        <v>0</v>
      </c>
      <c r="HA35">
        <v>0</v>
      </c>
      <c r="HB35">
        <v>0</v>
      </c>
      <c r="HC35">
        <f t="shared" si="62"/>
        <v>0</v>
      </c>
      <c r="IK35">
        <v>0</v>
      </c>
    </row>
    <row r="36" spans="1:245" x14ac:dyDescent="0.2">
      <c r="A36">
        <v>17</v>
      </c>
      <c r="B36">
        <v>1</v>
      </c>
      <c r="C36">
        <f>ROW(SmtRes!A26)</f>
        <v>26</v>
      </c>
      <c r="D36">
        <f>ROW(EtalonRes!A28)</f>
        <v>28</v>
      </c>
      <c r="E36" t="s">
        <v>71</v>
      </c>
      <c r="F36" t="s">
        <v>72</v>
      </c>
      <c r="G36" t="s">
        <v>73</v>
      </c>
      <c r="H36" t="s">
        <v>32</v>
      </c>
      <c r="I36">
        <v>0.114</v>
      </c>
      <c r="J36">
        <v>0</v>
      </c>
      <c r="O36">
        <f t="shared" si="25"/>
        <v>835.28</v>
      </c>
      <c r="P36">
        <f t="shared" si="26"/>
        <v>58.13</v>
      </c>
      <c r="Q36">
        <f t="shared" si="27"/>
        <v>502.21</v>
      </c>
      <c r="R36">
        <f t="shared" si="28"/>
        <v>7</v>
      </c>
      <c r="S36">
        <f t="shared" si="29"/>
        <v>274.94</v>
      </c>
      <c r="T36">
        <f t="shared" si="30"/>
        <v>0</v>
      </c>
      <c r="U36">
        <f t="shared" si="31"/>
        <v>29.24841</v>
      </c>
      <c r="V36">
        <f t="shared" si="32"/>
        <v>0.65549999999999997</v>
      </c>
      <c r="W36">
        <f t="shared" si="33"/>
        <v>0</v>
      </c>
      <c r="X36">
        <f t="shared" si="34"/>
        <v>186.08</v>
      </c>
      <c r="Y36">
        <f t="shared" si="35"/>
        <v>112.78</v>
      </c>
      <c r="AA36">
        <v>47631607</v>
      </c>
      <c r="AB36">
        <f t="shared" si="36"/>
        <v>7326.9803750000001</v>
      </c>
      <c r="AC36">
        <f t="shared" si="37"/>
        <v>509.95</v>
      </c>
      <c r="AD36">
        <f t="shared" si="38"/>
        <v>4405.319375</v>
      </c>
      <c r="AE36">
        <f t="shared" si="39"/>
        <v>61.424374999999998</v>
      </c>
      <c r="AF36">
        <f t="shared" si="40"/>
        <v>2411.7109999999998</v>
      </c>
      <c r="AG36">
        <f t="shared" si="41"/>
        <v>0</v>
      </c>
      <c r="AH36">
        <f t="shared" si="42"/>
        <v>256.565</v>
      </c>
      <c r="AI36">
        <f t="shared" si="43"/>
        <v>5.75</v>
      </c>
      <c r="AJ36">
        <f t="shared" si="44"/>
        <v>0</v>
      </c>
      <c r="AK36">
        <v>5398.12</v>
      </c>
      <c r="AL36">
        <v>509.95</v>
      </c>
      <c r="AM36">
        <v>3064.57</v>
      </c>
      <c r="AN36">
        <v>42.73</v>
      </c>
      <c r="AO36">
        <v>1823.6</v>
      </c>
      <c r="AP36">
        <v>0</v>
      </c>
      <c r="AQ36">
        <v>194</v>
      </c>
      <c r="AR36">
        <v>4</v>
      </c>
      <c r="AS36">
        <v>0</v>
      </c>
      <c r="AT36">
        <v>66</v>
      </c>
      <c r="AU36">
        <v>40</v>
      </c>
      <c r="AV36">
        <v>1.06</v>
      </c>
      <c r="AW36">
        <v>1.06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2</v>
      </c>
      <c r="BJ36" t="s">
        <v>74</v>
      </c>
      <c r="BM36">
        <v>138001</v>
      </c>
      <c r="BN36">
        <v>0</v>
      </c>
      <c r="BO36" t="s">
        <v>3</v>
      </c>
      <c r="BP36">
        <v>0</v>
      </c>
      <c r="BQ36">
        <v>3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66</v>
      </c>
      <c r="CA36">
        <v>40</v>
      </c>
      <c r="CE36">
        <v>0</v>
      </c>
      <c r="CF36">
        <v>0</v>
      </c>
      <c r="CG36">
        <v>0</v>
      </c>
      <c r="CM36">
        <v>0</v>
      </c>
      <c r="CN36" t="s">
        <v>743</v>
      </c>
      <c r="CO36">
        <v>0</v>
      </c>
      <c r="CP36">
        <f t="shared" si="45"/>
        <v>835.28</v>
      </c>
      <c r="CQ36">
        <f t="shared" si="46"/>
        <v>509.95</v>
      </c>
      <c r="CR36">
        <f t="shared" si="47"/>
        <v>4405.319375</v>
      </c>
      <c r="CS36">
        <f t="shared" si="48"/>
        <v>61.424374999999998</v>
      </c>
      <c r="CT36">
        <f t="shared" si="49"/>
        <v>2411.7109999999998</v>
      </c>
      <c r="CU36">
        <f t="shared" si="50"/>
        <v>0</v>
      </c>
      <c r="CV36">
        <f t="shared" si="51"/>
        <v>256.565</v>
      </c>
      <c r="CW36">
        <f t="shared" si="52"/>
        <v>5.75</v>
      </c>
      <c r="CX36">
        <f t="shared" si="53"/>
        <v>0</v>
      </c>
      <c r="CY36">
        <f t="shared" si="54"/>
        <v>186.0804</v>
      </c>
      <c r="CZ36">
        <f t="shared" si="55"/>
        <v>112.77600000000001</v>
      </c>
      <c r="DC36" t="s">
        <v>3</v>
      </c>
      <c r="DD36" t="s">
        <v>3</v>
      </c>
      <c r="DE36" t="s">
        <v>52</v>
      </c>
      <c r="DF36" t="s">
        <v>52</v>
      </c>
      <c r="DG36" t="s">
        <v>53</v>
      </c>
      <c r="DH36" t="s">
        <v>3</v>
      </c>
      <c r="DI36" t="s">
        <v>53</v>
      </c>
      <c r="DJ36" t="s">
        <v>52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1009</v>
      </c>
      <c r="DV36" t="s">
        <v>32</v>
      </c>
      <c r="DW36" t="s">
        <v>32</v>
      </c>
      <c r="DX36">
        <v>1000</v>
      </c>
      <c r="EE36">
        <v>45919490</v>
      </c>
      <c r="EF36">
        <v>3</v>
      </c>
      <c r="EG36" t="s">
        <v>75</v>
      </c>
      <c r="EH36">
        <v>0</v>
      </c>
      <c r="EI36" t="s">
        <v>3</v>
      </c>
      <c r="EJ36">
        <v>2</v>
      </c>
      <c r="EK36">
        <v>138001</v>
      </c>
      <c r="EL36" t="s">
        <v>76</v>
      </c>
      <c r="EM36" t="s">
        <v>77</v>
      </c>
      <c r="EO36" t="s">
        <v>3</v>
      </c>
      <c r="EQ36">
        <v>0</v>
      </c>
      <c r="ER36">
        <v>5398.12</v>
      </c>
      <c r="ES36">
        <v>509.95</v>
      </c>
      <c r="ET36">
        <v>3064.57</v>
      </c>
      <c r="EU36">
        <v>42.73</v>
      </c>
      <c r="EV36">
        <v>1823.6</v>
      </c>
      <c r="EW36">
        <v>194</v>
      </c>
      <c r="EX36">
        <v>4</v>
      </c>
      <c r="EY36">
        <v>0</v>
      </c>
      <c r="FQ36">
        <v>0</v>
      </c>
      <c r="FR36">
        <f t="shared" si="23"/>
        <v>0</v>
      </c>
      <c r="FS36">
        <v>0</v>
      </c>
      <c r="FX36">
        <v>66</v>
      </c>
      <c r="FY36">
        <v>40</v>
      </c>
      <c r="GA36" t="s">
        <v>3</v>
      </c>
      <c r="GD36">
        <v>1</v>
      </c>
      <c r="GF36">
        <v>-624909096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24"/>
        <v>0</v>
      </c>
      <c r="GM36">
        <f t="shared" si="56"/>
        <v>1134.1400000000001</v>
      </c>
      <c r="GN36">
        <f t="shared" si="57"/>
        <v>0</v>
      </c>
      <c r="GO36">
        <f t="shared" si="58"/>
        <v>1134.1400000000001</v>
      </c>
      <c r="GP36">
        <f t="shared" si="59"/>
        <v>0</v>
      </c>
      <c r="GR36">
        <v>0</v>
      </c>
      <c r="GS36">
        <v>3</v>
      </c>
      <c r="GT36">
        <v>0</v>
      </c>
      <c r="GU36" t="s">
        <v>3</v>
      </c>
      <c r="GV36">
        <f t="shared" si="60"/>
        <v>0</v>
      </c>
      <c r="GW36">
        <v>1</v>
      </c>
      <c r="GX36">
        <f t="shared" si="61"/>
        <v>0</v>
      </c>
      <c r="HA36">
        <v>0</v>
      </c>
      <c r="HB36">
        <v>0</v>
      </c>
      <c r="HC36">
        <f t="shared" si="62"/>
        <v>0</v>
      </c>
      <c r="IK36">
        <v>0</v>
      </c>
    </row>
    <row r="37" spans="1:245" x14ac:dyDescent="0.2">
      <c r="A37">
        <v>17</v>
      </c>
      <c r="B37">
        <v>1</v>
      </c>
      <c r="C37">
        <f>ROW(SmtRes!A44)</f>
        <v>44</v>
      </c>
      <c r="D37">
        <f>ROW(EtalonRes!A47)</f>
        <v>47</v>
      </c>
      <c r="E37" t="s">
        <v>78</v>
      </c>
      <c r="F37" t="s">
        <v>79</v>
      </c>
      <c r="G37" t="s">
        <v>80</v>
      </c>
      <c r="H37" t="s">
        <v>32</v>
      </c>
      <c r="I37">
        <f>ROUND(15498.03/1000,9)</f>
        <v>15.49803</v>
      </c>
      <c r="J37">
        <v>0</v>
      </c>
      <c r="O37">
        <f t="shared" si="25"/>
        <v>12952.6</v>
      </c>
      <c r="P37">
        <f t="shared" si="26"/>
        <v>1270.22</v>
      </c>
      <c r="Q37">
        <f t="shared" si="27"/>
        <v>2802.63</v>
      </c>
      <c r="R37">
        <f t="shared" si="28"/>
        <v>85.1</v>
      </c>
      <c r="S37">
        <f t="shared" si="29"/>
        <v>8879.75</v>
      </c>
      <c r="T37">
        <f t="shared" si="30"/>
        <v>0</v>
      </c>
      <c r="U37">
        <f t="shared" si="31"/>
        <v>1040.9991880432499</v>
      </c>
      <c r="V37">
        <f t="shared" si="32"/>
        <v>6.9063096187499999</v>
      </c>
      <c r="W37">
        <f t="shared" si="33"/>
        <v>0</v>
      </c>
      <c r="X37">
        <f t="shared" si="34"/>
        <v>7261.53</v>
      </c>
      <c r="Y37">
        <f t="shared" si="35"/>
        <v>6454.69</v>
      </c>
      <c r="AA37">
        <v>47631607</v>
      </c>
      <c r="AB37">
        <f t="shared" si="36"/>
        <v>835.75739999999996</v>
      </c>
      <c r="AC37">
        <f t="shared" si="37"/>
        <v>81.96</v>
      </c>
      <c r="AD37">
        <f t="shared" si="38"/>
        <v>180.83750000000001</v>
      </c>
      <c r="AE37">
        <f t="shared" si="39"/>
        <v>5.49125</v>
      </c>
      <c r="AF37">
        <f t="shared" si="40"/>
        <v>572.95989999999995</v>
      </c>
      <c r="AG37">
        <f t="shared" si="41"/>
        <v>0</v>
      </c>
      <c r="AH37">
        <f t="shared" si="42"/>
        <v>67.169774999999987</v>
      </c>
      <c r="AI37">
        <f t="shared" si="43"/>
        <v>0.44562499999999999</v>
      </c>
      <c r="AJ37">
        <f t="shared" si="44"/>
        <v>0</v>
      </c>
      <c r="AK37">
        <v>641</v>
      </c>
      <c r="AL37">
        <v>81.96</v>
      </c>
      <c r="AM37">
        <v>125.8</v>
      </c>
      <c r="AN37">
        <v>3.82</v>
      </c>
      <c r="AO37">
        <v>433.24</v>
      </c>
      <c r="AP37">
        <v>0</v>
      </c>
      <c r="AQ37">
        <v>50.79</v>
      </c>
      <c r="AR37">
        <v>0.31</v>
      </c>
      <c r="AS37">
        <v>0</v>
      </c>
      <c r="AT37">
        <v>81</v>
      </c>
      <c r="AU37">
        <v>72</v>
      </c>
      <c r="AV37">
        <v>1.06</v>
      </c>
      <c r="AW37">
        <v>1.06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81</v>
      </c>
      <c r="BM37">
        <v>9001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90</v>
      </c>
      <c r="CA37">
        <v>85</v>
      </c>
      <c r="CE37">
        <v>0</v>
      </c>
      <c r="CF37">
        <v>0</v>
      </c>
      <c r="CG37">
        <v>0</v>
      </c>
      <c r="CM37">
        <v>0</v>
      </c>
      <c r="CN37" t="s">
        <v>743</v>
      </c>
      <c r="CO37">
        <v>0</v>
      </c>
      <c r="CP37">
        <f t="shared" si="45"/>
        <v>12952.6</v>
      </c>
      <c r="CQ37">
        <f t="shared" si="46"/>
        <v>81.96</v>
      </c>
      <c r="CR37">
        <f t="shared" si="47"/>
        <v>180.83750000000001</v>
      </c>
      <c r="CS37">
        <f t="shared" si="48"/>
        <v>5.49125</v>
      </c>
      <c r="CT37">
        <f t="shared" si="49"/>
        <v>572.95989999999995</v>
      </c>
      <c r="CU37">
        <f t="shared" si="50"/>
        <v>0</v>
      </c>
      <c r="CV37">
        <f t="shared" si="51"/>
        <v>67.169774999999987</v>
      </c>
      <c r="CW37">
        <f t="shared" si="52"/>
        <v>0.44562499999999999</v>
      </c>
      <c r="CX37">
        <f t="shared" si="53"/>
        <v>0</v>
      </c>
      <c r="CY37">
        <f t="shared" si="54"/>
        <v>7261.5284999999994</v>
      </c>
      <c r="CZ37">
        <f t="shared" si="55"/>
        <v>6454.6920000000009</v>
      </c>
      <c r="DC37" t="s">
        <v>3</v>
      </c>
      <c r="DD37" t="s">
        <v>3</v>
      </c>
      <c r="DE37" t="s">
        <v>52</v>
      </c>
      <c r="DF37" t="s">
        <v>52</v>
      </c>
      <c r="DG37" t="s">
        <v>53</v>
      </c>
      <c r="DH37" t="s">
        <v>3</v>
      </c>
      <c r="DI37" t="s">
        <v>53</v>
      </c>
      <c r="DJ37" t="s">
        <v>52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32</v>
      </c>
      <c r="DW37" t="s">
        <v>32</v>
      </c>
      <c r="DX37">
        <v>1000</v>
      </c>
      <c r="EE37">
        <v>45919569</v>
      </c>
      <c r="EF37">
        <v>2</v>
      </c>
      <c r="EG37" t="s">
        <v>54</v>
      </c>
      <c r="EH37">
        <v>0</v>
      </c>
      <c r="EI37" t="s">
        <v>3</v>
      </c>
      <c r="EJ37">
        <v>1</v>
      </c>
      <c r="EK37">
        <v>9001</v>
      </c>
      <c r="EL37" t="s">
        <v>69</v>
      </c>
      <c r="EM37" t="s">
        <v>70</v>
      </c>
      <c r="EO37" t="s">
        <v>3</v>
      </c>
      <c r="EQ37">
        <v>0</v>
      </c>
      <c r="ER37">
        <v>641</v>
      </c>
      <c r="ES37">
        <v>81.96</v>
      </c>
      <c r="ET37">
        <v>125.8</v>
      </c>
      <c r="EU37">
        <v>3.82</v>
      </c>
      <c r="EV37">
        <v>433.24</v>
      </c>
      <c r="EW37">
        <v>50.79</v>
      </c>
      <c r="EX37">
        <v>0.31</v>
      </c>
      <c r="EY37">
        <v>0</v>
      </c>
      <c r="FQ37">
        <v>0</v>
      </c>
      <c r="FR37">
        <f t="shared" si="23"/>
        <v>0</v>
      </c>
      <c r="FS37">
        <v>0</v>
      </c>
      <c r="FT37" t="s">
        <v>58</v>
      </c>
      <c r="FU37" t="s">
        <v>59</v>
      </c>
      <c r="FX37">
        <v>81</v>
      </c>
      <c r="FY37">
        <v>72.25</v>
      </c>
      <c r="GA37" t="s">
        <v>3</v>
      </c>
      <c r="GD37">
        <v>1</v>
      </c>
      <c r="GF37">
        <v>1751982511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24"/>
        <v>0</v>
      </c>
      <c r="GM37">
        <f t="shared" si="56"/>
        <v>26668.82</v>
      </c>
      <c r="GN37">
        <f t="shared" si="57"/>
        <v>26668.82</v>
      </c>
      <c r="GO37">
        <f t="shared" si="58"/>
        <v>0</v>
      </c>
      <c r="GP37">
        <f t="shared" si="59"/>
        <v>0</v>
      </c>
      <c r="GR37">
        <v>0</v>
      </c>
      <c r="GS37">
        <v>3</v>
      </c>
      <c r="GT37">
        <v>0</v>
      </c>
      <c r="GU37" t="s">
        <v>3</v>
      </c>
      <c r="GV37">
        <f t="shared" si="60"/>
        <v>0</v>
      </c>
      <c r="GW37">
        <v>1</v>
      </c>
      <c r="GX37">
        <f t="shared" si="61"/>
        <v>0</v>
      </c>
      <c r="HA37">
        <v>0</v>
      </c>
      <c r="HB37">
        <v>0</v>
      </c>
      <c r="HC37">
        <f t="shared" si="62"/>
        <v>0</v>
      </c>
      <c r="IK37">
        <v>0</v>
      </c>
    </row>
    <row r="38" spans="1:245" x14ac:dyDescent="0.2">
      <c r="A38">
        <v>17</v>
      </c>
      <c r="B38">
        <v>1</v>
      </c>
      <c r="C38">
        <f>ROW(SmtRes!A47)</f>
        <v>47</v>
      </c>
      <c r="D38">
        <f>ROW(EtalonRes!A50)</f>
        <v>50</v>
      </c>
      <c r="E38" t="s">
        <v>82</v>
      </c>
      <c r="F38" t="s">
        <v>83</v>
      </c>
      <c r="G38" t="s">
        <v>84</v>
      </c>
      <c r="H38" t="s">
        <v>67</v>
      </c>
      <c r="I38">
        <f>ROUND(2/100,9)</f>
        <v>0.02</v>
      </c>
      <c r="J38">
        <v>0</v>
      </c>
      <c r="O38">
        <f t="shared" si="25"/>
        <v>26.82</v>
      </c>
      <c r="P38">
        <f t="shared" si="26"/>
        <v>2.72</v>
      </c>
      <c r="Q38">
        <f t="shared" si="27"/>
        <v>0</v>
      </c>
      <c r="R38">
        <f t="shared" si="28"/>
        <v>0</v>
      </c>
      <c r="S38">
        <f t="shared" si="29"/>
        <v>24.1</v>
      </c>
      <c r="T38">
        <f t="shared" si="30"/>
        <v>0</v>
      </c>
      <c r="U38">
        <f t="shared" si="31"/>
        <v>2.8248600000000001</v>
      </c>
      <c r="V38">
        <f t="shared" si="32"/>
        <v>0</v>
      </c>
      <c r="W38">
        <f t="shared" si="33"/>
        <v>0</v>
      </c>
      <c r="X38">
        <f t="shared" si="34"/>
        <v>19.760000000000002</v>
      </c>
      <c r="Y38">
        <f t="shared" si="35"/>
        <v>14.94</v>
      </c>
      <c r="AA38">
        <v>47631607</v>
      </c>
      <c r="AB38">
        <f t="shared" si="36"/>
        <v>1340.5875000000001</v>
      </c>
      <c r="AC38">
        <f t="shared" si="37"/>
        <v>135.79</v>
      </c>
      <c r="AD38">
        <f t="shared" si="38"/>
        <v>0</v>
      </c>
      <c r="AE38">
        <f t="shared" si="39"/>
        <v>0</v>
      </c>
      <c r="AF38">
        <f t="shared" si="40"/>
        <v>1204.7974999999999</v>
      </c>
      <c r="AG38">
        <f t="shared" si="41"/>
        <v>0</v>
      </c>
      <c r="AH38">
        <f t="shared" si="42"/>
        <v>141.24299999999999</v>
      </c>
      <c r="AI38">
        <f t="shared" si="43"/>
        <v>0</v>
      </c>
      <c r="AJ38">
        <f t="shared" si="44"/>
        <v>0</v>
      </c>
      <c r="AK38">
        <v>1046.79</v>
      </c>
      <c r="AL38">
        <v>135.79</v>
      </c>
      <c r="AM38">
        <v>0</v>
      </c>
      <c r="AN38">
        <v>0</v>
      </c>
      <c r="AO38">
        <v>911</v>
      </c>
      <c r="AP38">
        <v>0</v>
      </c>
      <c r="AQ38">
        <v>106.8</v>
      </c>
      <c r="AR38">
        <v>0</v>
      </c>
      <c r="AS38">
        <v>0</v>
      </c>
      <c r="AT38">
        <v>82</v>
      </c>
      <c r="AU38">
        <v>62</v>
      </c>
      <c r="AV38">
        <v>1.06</v>
      </c>
      <c r="AW38">
        <v>1.06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85</v>
      </c>
      <c r="BM38">
        <v>56001</v>
      </c>
      <c r="BN38">
        <v>0</v>
      </c>
      <c r="BO38" t="s">
        <v>3</v>
      </c>
      <c r="BP38">
        <v>0</v>
      </c>
      <c r="BQ38">
        <v>6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82</v>
      </c>
      <c r="CA38">
        <v>62</v>
      </c>
      <c r="CE38">
        <v>0</v>
      </c>
      <c r="CF38">
        <v>0</v>
      </c>
      <c r="CG38">
        <v>0</v>
      </c>
      <c r="CM38">
        <v>0</v>
      </c>
      <c r="CN38" t="s">
        <v>743</v>
      </c>
      <c r="CO38">
        <v>0</v>
      </c>
      <c r="CP38">
        <f t="shared" si="45"/>
        <v>26.82</v>
      </c>
      <c r="CQ38">
        <f t="shared" si="46"/>
        <v>135.79</v>
      </c>
      <c r="CR38">
        <f t="shared" si="47"/>
        <v>0</v>
      </c>
      <c r="CS38">
        <f t="shared" si="48"/>
        <v>0</v>
      </c>
      <c r="CT38">
        <f t="shared" si="49"/>
        <v>1204.7974999999999</v>
      </c>
      <c r="CU38">
        <f t="shared" si="50"/>
        <v>0</v>
      </c>
      <c r="CV38">
        <f t="shared" si="51"/>
        <v>141.24299999999999</v>
      </c>
      <c r="CW38">
        <f t="shared" si="52"/>
        <v>0</v>
      </c>
      <c r="CX38">
        <f t="shared" si="53"/>
        <v>0</v>
      </c>
      <c r="CY38">
        <f t="shared" si="54"/>
        <v>19.762</v>
      </c>
      <c r="CZ38">
        <f t="shared" si="55"/>
        <v>14.942</v>
      </c>
      <c r="DC38" t="s">
        <v>3</v>
      </c>
      <c r="DD38" t="s">
        <v>3</v>
      </c>
      <c r="DE38" t="s">
        <v>52</v>
      </c>
      <c r="DF38" t="s">
        <v>52</v>
      </c>
      <c r="DG38" t="s">
        <v>53</v>
      </c>
      <c r="DH38" t="s">
        <v>3</v>
      </c>
      <c r="DI38" t="s">
        <v>53</v>
      </c>
      <c r="DJ38" t="s">
        <v>52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67</v>
      </c>
      <c r="DW38" t="s">
        <v>67</v>
      </c>
      <c r="DX38">
        <v>1</v>
      </c>
      <c r="EE38">
        <v>45919648</v>
      </c>
      <c r="EF38">
        <v>6</v>
      </c>
      <c r="EG38" t="s">
        <v>25</v>
      </c>
      <c r="EH38">
        <v>0</v>
      </c>
      <c r="EI38" t="s">
        <v>3</v>
      </c>
      <c r="EJ38">
        <v>1</v>
      </c>
      <c r="EK38">
        <v>56001</v>
      </c>
      <c r="EL38" t="s">
        <v>86</v>
      </c>
      <c r="EM38" t="s">
        <v>87</v>
      </c>
      <c r="EO38" t="s">
        <v>3</v>
      </c>
      <c r="EQ38">
        <v>0</v>
      </c>
      <c r="ER38">
        <v>1046.79</v>
      </c>
      <c r="ES38">
        <v>135.79</v>
      </c>
      <c r="ET38">
        <v>0</v>
      </c>
      <c r="EU38">
        <v>0</v>
      </c>
      <c r="EV38">
        <v>911</v>
      </c>
      <c r="EW38">
        <v>106.8</v>
      </c>
      <c r="EX38">
        <v>0</v>
      </c>
      <c r="EY38">
        <v>0</v>
      </c>
      <c r="FQ38">
        <v>0</v>
      </c>
      <c r="FR38">
        <f t="shared" si="23"/>
        <v>0</v>
      </c>
      <c r="FS38">
        <v>0</v>
      </c>
      <c r="FX38">
        <v>82</v>
      </c>
      <c r="FY38">
        <v>62</v>
      </c>
      <c r="GA38" t="s">
        <v>3</v>
      </c>
      <c r="GD38">
        <v>1</v>
      </c>
      <c r="GF38">
        <v>1152234377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24"/>
        <v>0</v>
      </c>
      <c r="GM38">
        <f t="shared" si="56"/>
        <v>61.52</v>
      </c>
      <c r="GN38">
        <f t="shared" si="57"/>
        <v>61.52</v>
      </c>
      <c r="GO38">
        <f t="shared" si="58"/>
        <v>0</v>
      </c>
      <c r="GP38">
        <f t="shared" si="59"/>
        <v>0</v>
      </c>
      <c r="GR38">
        <v>0</v>
      </c>
      <c r="GS38">
        <v>3</v>
      </c>
      <c r="GT38">
        <v>0</v>
      </c>
      <c r="GU38" t="s">
        <v>3</v>
      </c>
      <c r="GV38">
        <f t="shared" si="60"/>
        <v>0</v>
      </c>
      <c r="GW38">
        <v>1</v>
      </c>
      <c r="GX38">
        <f t="shared" si="61"/>
        <v>0</v>
      </c>
      <c r="HA38">
        <v>0</v>
      </c>
      <c r="HB38">
        <v>0</v>
      </c>
      <c r="HC38">
        <f t="shared" si="62"/>
        <v>0</v>
      </c>
      <c r="IK38">
        <v>0</v>
      </c>
    </row>
    <row r="39" spans="1:245" x14ac:dyDescent="0.2">
      <c r="A39">
        <v>18</v>
      </c>
      <c r="B39">
        <v>1</v>
      </c>
      <c r="C39">
        <v>46</v>
      </c>
      <c r="E39" t="s">
        <v>88</v>
      </c>
      <c r="F39" t="s">
        <v>89</v>
      </c>
      <c r="G39" t="s">
        <v>90</v>
      </c>
      <c r="H39" t="s">
        <v>91</v>
      </c>
      <c r="I39">
        <f>I38*J39</f>
        <v>2</v>
      </c>
      <c r="J39">
        <v>100</v>
      </c>
      <c r="O39">
        <f t="shared" si="25"/>
        <v>198.2</v>
      </c>
      <c r="P39">
        <f t="shared" si="26"/>
        <v>198.2</v>
      </c>
      <c r="Q39">
        <f t="shared" si="27"/>
        <v>0</v>
      </c>
      <c r="R39">
        <f t="shared" si="28"/>
        <v>0</v>
      </c>
      <c r="S39">
        <f t="shared" si="29"/>
        <v>0</v>
      </c>
      <c r="T39">
        <f t="shared" si="30"/>
        <v>0</v>
      </c>
      <c r="U39">
        <f t="shared" si="31"/>
        <v>0</v>
      </c>
      <c r="V39">
        <f t="shared" si="32"/>
        <v>0</v>
      </c>
      <c r="W39">
        <f t="shared" si="33"/>
        <v>0</v>
      </c>
      <c r="X39">
        <f t="shared" si="34"/>
        <v>0</v>
      </c>
      <c r="Y39">
        <f t="shared" si="35"/>
        <v>0</v>
      </c>
      <c r="AA39">
        <v>47631607</v>
      </c>
      <c r="AB39">
        <f t="shared" si="36"/>
        <v>99.1</v>
      </c>
      <c r="AC39">
        <f t="shared" si="37"/>
        <v>99.1</v>
      </c>
      <c r="AD39">
        <f>ROUND((((ET39)-(EU39))+AE39),6)</f>
        <v>0</v>
      </c>
      <c r="AE39">
        <f>ROUND((EU39),6)</f>
        <v>0</v>
      </c>
      <c r="AF39">
        <f>ROUND((EV39),6)</f>
        <v>0</v>
      </c>
      <c r="AG39">
        <f t="shared" si="41"/>
        <v>0</v>
      </c>
      <c r="AH39">
        <f>(EW39)</f>
        <v>0</v>
      </c>
      <c r="AI39">
        <f>(EX39)</f>
        <v>0</v>
      </c>
      <c r="AJ39">
        <f t="shared" si="44"/>
        <v>0</v>
      </c>
      <c r="AK39">
        <v>99.1</v>
      </c>
      <c r="AL39">
        <v>99.1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82</v>
      </c>
      <c r="AU39">
        <v>62</v>
      </c>
      <c r="AV39">
        <v>1.06</v>
      </c>
      <c r="AW39">
        <v>1.06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92</v>
      </c>
      <c r="BM39">
        <v>56001</v>
      </c>
      <c r="BN39">
        <v>0</v>
      </c>
      <c r="BO39" t="s">
        <v>3</v>
      </c>
      <c r="BP39">
        <v>0</v>
      </c>
      <c r="BQ39">
        <v>6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82</v>
      </c>
      <c r="CA39">
        <v>62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45"/>
        <v>198.2</v>
      </c>
      <c r="CQ39">
        <f t="shared" si="46"/>
        <v>99.1</v>
      </c>
      <c r="CR39">
        <f t="shared" si="47"/>
        <v>0</v>
      </c>
      <c r="CS39">
        <f t="shared" si="48"/>
        <v>0</v>
      </c>
      <c r="CT39">
        <f t="shared" si="49"/>
        <v>0</v>
      </c>
      <c r="CU39">
        <f t="shared" si="50"/>
        <v>0</v>
      </c>
      <c r="CV39">
        <f t="shared" si="51"/>
        <v>0</v>
      </c>
      <c r="CW39">
        <f t="shared" si="52"/>
        <v>0</v>
      </c>
      <c r="CX39">
        <f t="shared" si="53"/>
        <v>0</v>
      </c>
      <c r="CY39">
        <f t="shared" si="54"/>
        <v>0</v>
      </c>
      <c r="CZ39">
        <f t="shared" si="55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91</v>
      </c>
      <c r="DW39" t="s">
        <v>91</v>
      </c>
      <c r="DX39">
        <v>1</v>
      </c>
      <c r="EE39">
        <v>45919648</v>
      </c>
      <c r="EF39">
        <v>6</v>
      </c>
      <c r="EG39" t="s">
        <v>25</v>
      </c>
      <c r="EH39">
        <v>0</v>
      </c>
      <c r="EI39" t="s">
        <v>3</v>
      </c>
      <c r="EJ39">
        <v>1</v>
      </c>
      <c r="EK39">
        <v>56001</v>
      </c>
      <c r="EL39" t="s">
        <v>86</v>
      </c>
      <c r="EM39" t="s">
        <v>87</v>
      </c>
      <c r="EO39" t="s">
        <v>3</v>
      </c>
      <c r="EQ39">
        <v>0</v>
      </c>
      <c r="ER39">
        <v>99.1</v>
      </c>
      <c r="ES39">
        <v>99.1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23"/>
        <v>0</v>
      </c>
      <c r="FS39">
        <v>0</v>
      </c>
      <c r="FX39">
        <v>82</v>
      </c>
      <c r="FY39">
        <v>62</v>
      </c>
      <c r="GA39" t="s">
        <v>3</v>
      </c>
      <c r="GD39">
        <v>1</v>
      </c>
      <c r="GF39">
        <v>1764963212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24"/>
        <v>0</v>
      </c>
      <c r="GM39">
        <f t="shared" si="56"/>
        <v>198.2</v>
      </c>
      <c r="GN39">
        <f t="shared" si="57"/>
        <v>198.2</v>
      </c>
      <c r="GO39">
        <f t="shared" si="58"/>
        <v>0</v>
      </c>
      <c r="GP39">
        <f t="shared" si="59"/>
        <v>0</v>
      </c>
      <c r="GR39">
        <v>0</v>
      </c>
      <c r="GS39">
        <v>3</v>
      </c>
      <c r="GT39">
        <v>0</v>
      </c>
      <c r="GU39" t="s">
        <v>3</v>
      </c>
      <c r="GV39">
        <f t="shared" si="60"/>
        <v>0</v>
      </c>
      <c r="GW39">
        <v>1</v>
      </c>
      <c r="GX39">
        <f t="shared" si="61"/>
        <v>0</v>
      </c>
      <c r="HA39">
        <v>0</v>
      </c>
      <c r="HB39">
        <v>0</v>
      </c>
      <c r="HC39">
        <f t="shared" si="62"/>
        <v>0</v>
      </c>
      <c r="IK39">
        <v>0</v>
      </c>
    </row>
    <row r="40" spans="1:245" x14ac:dyDescent="0.2">
      <c r="A40">
        <v>17</v>
      </c>
      <c r="B40">
        <v>1</v>
      </c>
      <c r="C40">
        <f>ROW(SmtRes!A54)</f>
        <v>54</v>
      </c>
      <c r="D40">
        <f>ROW(EtalonRes!A57)</f>
        <v>57</v>
      </c>
      <c r="E40" t="s">
        <v>93</v>
      </c>
      <c r="F40" t="s">
        <v>94</v>
      </c>
      <c r="G40" t="s">
        <v>95</v>
      </c>
      <c r="H40" t="s">
        <v>96</v>
      </c>
      <c r="I40">
        <v>0.12</v>
      </c>
      <c r="J40">
        <v>0</v>
      </c>
      <c r="O40">
        <f t="shared" si="25"/>
        <v>7.57</v>
      </c>
      <c r="P40">
        <f t="shared" si="26"/>
        <v>0.04</v>
      </c>
      <c r="Q40">
        <f t="shared" si="27"/>
        <v>4.55</v>
      </c>
      <c r="R40">
        <f t="shared" si="28"/>
        <v>0.52</v>
      </c>
      <c r="S40">
        <f t="shared" si="29"/>
        <v>2.98</v>
      </c>
      <c r="T40">
        <f t="shared" si="30"/>
        <v>0</v>
      </c>
      <c r="U40">
        <f t="shared" si="31"/>
        <v>0.36500999999999989</v>
      </c>
      <c r="V40">
        <f t="shared" si="32"/>
        <v>5.0024999999999993E-2</v>
      </c>
      <c r="W40">
        <f t="shared" si="33"/>
        <v>0</v>
      </c>
      <c r="X40">
        <f t="shared" si="34"/>
        <v>3.85</v>
      </c>
      <c r="Y40">
        <f t="shared" si="35"/>
        <v>2.38</v>
      </c>
      <c r="AA40">
        <v>47631607</v>
      </c>
      <c r="AB40">
        <f t="shared" si="36"/>
        <v>63.112274999999997</v>
      </c>
      <c r="AC40">
        <f t="shared" si="37"/>
        <v>0.37</v>
      </c>
      <c r="AD40">
        <f>ROUND((((((ET40*1.25)*1.15))-(((EU40*1.25)*1.15)))+AE40),6)</f>
        <v>37.892499999999998</v>
      </c>
      <c r="AE40">
        <f>ROUND((((EU40*1.25)*1.15)),6)</f>
        <v>4.37</v>
      </c>
      <c r="AF40">
        <f>ROUND((((EV40*1.15)*1.15)),6)</f>
        <v>24.849775000000001</v>
      </c>
      <c r="AG40">
        <f t="shared" si="41"/>
        <v>0</v>
      </c>
      <c r="AH40">
        <f>(((EW40*1.15)*1.15))</f>
        <v>3.0417499999999991</v>
      </c>
      <c r="AI40">
        <f>(((EX40*1.25)*1.15))</f>
        <v>0.41687499999999994</v>
      </c>
      <c r="AJ40">
        <f t="shared" si="44"/>
        <v>0</v>
      </c>
      <c r="AK40">
        <v>45.52</v>
      </c>
      <c r="AL40">
        <v>0.37</v>
      </c>
      <c r="AM40">
        <v>26.36</v>
      </c>
      <c r="AN40">
        <v>3.04</v>
      </c>
      <c r="AO40">
        <v>18.79</v>
      </c>
      <c r="AP40">
        <v>0</v>
      </c>
      <c r="AQ40">
        <v>2.2999999999999998</v>
      </c>
      <c r="AR40">
        <v>0.28999999999999998</v>
      </c>
      <c r="AS40">
        <v>0</v>
      </c>
      <c r="AT40">
        <v>110</v>
      </c>
      <c r="AU40">
        <v>68</v>
      </c>
      <c r="AV40">
        <v>1.06</v>
      </c>
      <c r="AW40">
        <v>1.06</v>
      </c>
      <c r="AZ40">
        <v>1</v>
      </c>
      <c r="BA40">
        <v>1</v>
      </c>
      <c r="BB40">
        <v>1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1</v>
      </c>
      <c r="BJ40" t="s">
        <v>97</v>
      </c>
      <c r="BM40">
        <v>8001</v>
      </c>
      <c r="BN40">
        <v>0</v>
      </c>
      <c r="BO40" t="s">
        <v>3</v>
      </c>
      <c r="BP40">
        <v>0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122</v>
      </c>
      <c r="CA40">
        <v>80</v>
      </c>
      <c r="CE40">
        <v>0</v>
      </c>
      <c r="CF40">
        <v>0</v>
      </c>
      <c r="CG40">
        <v>0</v>
      </c>
      <c r="CM40">
        <v>0</v>
      </c>
      <c r="CN40" t="s">
        <v>743</v>
      </c>
      <c r="CO40">
        <v>0</v>
      </c>
      <c r="CP40">
        <f t="shared" si="45"/>
        <v>7.57</v>
      </c>
      <c r="CQ40">
        <f t="shared" si="46"/>
        <v>0.37</v>
      </c>
      <c r="CR40">
        <f t="shared" si="47"/>
        <v>37.892499999999998</v>
      </c>
      <c r="CS40">
        <f t="shared" si="48"/>
        <v>4.37</v>
      </c>
      <c r="CT40">
        <f t="shared" si="49"/>
        <v>24.849775000000001</v>
      </c>
      <c r="CU40">
        <f t="shared" si="50"/>
        <v>0</v>
      </c>
      <c r="CV40">
        <f t="shared" si="51"/>
        <v>3.0417499999999991</v>
      </c>
      <c r="CW40">
        <f t="shared" si="52"/>
        <v>0.41687499999999994</v>
      </c>
      <c r="CX40">
        <f t="shared" si="53"/>
        <v>0</v>
      </c>
      <c r="CY40">
        <f t="shared" si="54"/>
        <v>3.85</v>
      </c>
      <c r="CZ40">
        <f t="shared" si="55"/>
        <v>2.38</v>
      </c>
      <c r="DC40" t="s">
        <v>3</v>
      </c>
      <c r="DD40" t="s">
        <v>3</v>
      </c>
      <c r="DE40" t="s">
        <v>52</v>
      </c>
      <c r="DF40" t="s">
        <v>52</v>
      </c>
      <c r="DG40" t="s">
        <v>53</v>
      </c>
      <c r="DH40" t="s">
        <v>3</v>
      </c>
      <c r="DI40" t="s">
        <v>53</v>
      </c>
      <c r="DJ40" t="s">
        <v>52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1007</v>
      </c>
      <c r="DV40" t="s">
        <v>96</v>
      </c>
      <c r="DW40" t="s">
        <v>96</v>
      </c>
      <c r="DX40">
        <v>1</v>
      </c>
      <c r="EE40">
        <v>45919568</v>
      </c>
      <c r="EF40">
        <v>2</v>
      </c>
      <c r="EG40" t="s">
        <v>54</v>
      </c>
      <c r="EH40">
        <v>0</v>
      </c>
      <c r="EI40" t="s">
        <v>3</v>
      </c>
      <c r="EJ40">
        <v>1</v>
      </c>
      <c r="EK40">
        <v>8001</v>
      </c>
      <c r="EL40" t="s">
        <v>98</v>
      </c>
      <c r="EM40" t="s">
        <v>99</v>
      </c>
      <c r="EO40" t="s">
        <v>3</v>
      </c>
      <c r="EQ40">
        <v>0</v>
      </c>
      <c r="ER40">
        <v>45.52</v>
      </c>
      <c r="ES40">
        <v>0.37</v>
      </c>
      <c r="ET40">
        <v>26.36</v>
      </c>
      <c r="EU40">
        <v>3.04</v>
      </c>
      <c r="EV40">
        <v>18.79</v>
      </c>
      <c r="EW40">
        <v>2.2999999999999998</v>
      </c>
      <c r="EX40">
        <v>0.28999999999999998</v>
      </c>
      <c r="EY40">
        <v>0</v>
      </c>
      <c r="FQ40">
        <v>0</v>
      </c>
      <c r="FR40">
        <f t="shared" si="23"/>
        <v>0</v>
      </c>
      <c r="FS40">
        <v>0</v>
      </c>
      <c r="FT40" t="s">
        <v>58</v>
      </c>
      <c r="FU40" t="s">
        <v>59</v>
      </c>
      <c r="FX40">
        <v>109.8</v>
      </c>
      <c r="FY40">
        <v>68</v>
      </c>
      <c r="GA40" t="s">
        <v>3</v>
      </c>
      <c r="GD40">
        <v>1</v>
      </c>
      <c r="GF40">
        <v>875635144</v>
      </c>
      <c r="GG40">
        <v>2</v>
      </c>
      <c r="GH40">
        <v>1</v>
      </c>
      <c r="GI40">
        <v>-2</v>
      </c>
      <c r="GJ40">
        <v>0</v>
      </c>
      <c r="GK40">
        <v>0</v>
      </c>
      <c r="GL40">
        <f t="shared" si="24"/>
        <v>0</v>
      </c>
      <c r="GM40">
        <f t="shared" si="56"/>
        <v>13.8</v>
      </c>
      <c r="GN40">
        <f t="shared" si="57"/>
        <v>13.8</v>
      </c>
      <c r="GO40">
        <f t="shared" si="58"/>
        <v>0</v>
      </c>
      <c r="GP40">
        <f t="shared" si="59"/>
        <v>0</v>
      </c>
      <c r="GR40">
        <v>0</v>
      </c>
      <c r="GS40">
        <v>3</v>
      </c>
      <c r="GT40">
        <v>0</v>
      </c>
      <c r="GU40" t="s">
        <v>3</v>
      </c>
      <c r="GV40">
        <f t="shared" si="60"/>
        <v>0</v>
      </c>
      <c r="GW40">
        <v>1</v>
      </c>
      <c r="GX40">
        <f t="shared" si="61"/>
        <v>0</v>
      </c>
      <c r="HA40">
        <v>0</v>
      </c>
      <c r="HB40">
        <v>0</v>
      </c>
      <c r="HC40">
        <f t="shared" si="62"/>
        <v>0</v>
      </c>
      <c r="IK40">
        <v>0</v>
      </c>
    </row>
    <row r="41" spans="1:245" x14ac:dyDescent="0.2">
      <c r="A41">
        <v>18</v>
      </c>
      <c r="B41">
        <v>1</v>
      </c>
      <c r="C41">
        <v>54</v>
      </c>
      <c r="E41" t="s">
        <v>100</v>
      </c>
      <c r="F41" t="s">
        <v>101</v>
      </c>
      <c r="G41" t="s">
        <v>102</v>
      </c>
      <c r="H41" t="s">
        <v>96</v>
      </c>
      <c r="I41">
        <f>I40*J41</f>
        <v>0.14399999999999999</v>
      </c>
      <c r="J41">
        <v>1.2</v>
      </c>
      <c r="O41">
        <f t="shared" si="25"/>
        <v>7.96</v>
      </c>
      <c r="P41">
        <f t="shared" si="26"/>
        <v>7.96</v>
      </c>
      <c r="Q41">
        <f t="shared" si="27"/>
        <v>0</v>
      </c>
      <c r="R41">
        <f t="shared" si="28"/>
        <v>0</v>
      </c>
      <c r="S41">
        <f t="shared" si="29"/>
        <v>0</v>
      </c>
      <c r="T41">
        <f t="shared" si="30"/>
        <v>0</v>
      </c>
      <c r="U41">
        <f t="shared" si="31"/>
        <v>0</v>
      </c>
      <c r="V41">
        <f t="shared" si="32"/>
        <v>0</v>
      </c>
      <c r="W41">
        <f t="shared" si="33"/>
        <v>0</v>
      </c>
      <c r="X41">
        <f t="shared" si="34"/>
        <v>0</v>
      </c>
      <c r="Y41">
        <f t="shared" si="35"/>
        <v>0</v>
      </c>
      <c r="AA41">
        <v>47631607</v>
      </c>
      <c r="AB41">
        <f t="shared" si="36"/>
        <v>55.26</v>
      </c>
      <c r="AC41">
        <f t="shared" si="37"/>
        <v>55.26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41"/>
        <v>0</v>
      </c>
      <c r="AH41">
        <f>(EW41)</f>
        <v>0</v>
      </c>
      <c r="AI41">
        <f>(EX41)</f>
        <v>0</v>
      </c>
      <c r="AJ41">
        <f t="shared" si="44"/>
        <v>0</v>
      </c>
      <c r="AK41">
        <v>55.26</v>
      </c>
      <c r="AL41">
        <v>55.26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110</v>
      </c>
      <c r="AU41">
        <v>68</v>
      </c>
      <c r="AV41">
        <v>1.06</v>
      </c>
      <c r="AW41">
        <v>1.06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103</v>
      </c>
      <c r="BM41">
        <v>8001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122</v>
      </c>
      <c r="CA41">
        <v>80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45"/>
        <v>7.96</v>
      </c>
      <c r="CQ41">
        <f t="shared" si="46"/>
        <v>55.26</v>
      </c>
      <c r="CR41">
        <f t="shared" si="47"/>
        <v>0</v>
      </c>
      <c r="CS41">
        <f t="shared" si="48"/>
        <v>0</v>
      </c>
      <c r="CT41">
        <f t="shared" si="49"/>
        <v>0</v>
      </c>
      <c r="CU41">
        <f t="shared" si="50"/>
        <v>0</v>
      </c>
      <c r="CV41">
        <f t="shared" si="51"/>
        <v>0</v>
      </c>
      <c r="CW41">
        <f t="shared" si="52"/>
        <v>0</v>
      </c>
      <c r="CX41">
        <f t="shared" si="53"/>
        <v>0</v>
      </c>
      <c r="CY41">
        <f t="shared" si="54"/>
        <v>0</v>
      </c>
      <c r="CZ41">
        <f t="shared" si="55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1007</v>
      </c>
      <c r="DV41" t="s">
        <v>96</v>
      </c>
      <c r="DW41" t="s">
        <v>96</v>
      </c>
      <c r="DX41">
        <v>1</v>
      </c>
      <c r="EE41">
        <v>45919568</v>
      </c>
      <c r="EF41">
        <v>2</v>
      </c>
      <c r="EG41" t="s">
        <v>54</v>
      </c>
      <c r="EH41">
        <v>0</v>
      </c>
      <c r="EI41" t="s">
        <v>3</v>
      </c>
      <c r="EJ41">
        <v>1</v>
      </c>
      <c r="EK41">
        <v>8001</v>
      </c>
      <c r="EL41" t="s">
        <v>98</v>
      </c>
      <c r="EM41" t="s">
        <v>99</v>
      </c>
      <c r="EO41" t="s">
        <v>3</v>
      </c>
      <c r="EQ41">
        <v>0</v>
      </c>
      <c r="ER41">
        <v>55.26</v>
      </c>
      <c r="ES41">
        <v>55.26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23"/>
        <v>0</v>
      </c>
      <c r="FS41">
        <v>0</v>
      </c>
      <c r="FT41" t="s">
        <v>58</v>
      </c>
      <c r="FU41" t="s">
        <v>59</v>
      </c>
      <c r="FX41">
        <v>109.8</v>
      </c>
      <c r="FY41">
        <v>68</v>
      </c>
      <c r="GA41" t="s">
        <v>3</v>
      </c>
      <c r="GD41">
        <v>1</v>
      </c>
      <c r="GF41">
        <v>-35545874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24"/>
        <v>0</v>
      </c>
      <c r="GM41">
        <f t="shared" si="56"/>
        <v>7.96</v>
      </c>
      <c r="GN41">
        <f t="shared" si="57"/>
        <v>7.96</v>
      </c>
      <c r="GO41">
        <f t="shared" si="58"/>
        <v>0</v>
      </c>
      <c r="GP41">
        <f t="shared" si="59"/>
        <v>0</v>
      </c>
      <c r="GR41">
        <v>0</v>
      </c>
      <c r="GS41">
        <v>3</v>
      </c>
      <c r="GT41">
        <v>0</v>
      </c>
      <c r="GU41" t="s">
        <v>3</v>
      </c>
      <c r="GV41">
        <f t="shared" si="60"/>
        <v>0</v>
      </c>
      <c r="GW41">
        <v>1</v>
      </c>
      <c r="GX41">
        <f t="shared" si="61"/>
        <v>0</v>
      </c>
      <c r="HA41">
        <v>0</v>
      </c>
      <c r="HB41">
        <v>0</v>
      </c>
      <c r="HC41">
        <f t="shared" si="62"/>
        <v>0</v>
      </c>
      <c r="IK41">
        <v>0</v>
      </c>
    </row>
    <row r="42" spans="1:245" x14ac:dyDescent="0.2">
      <c r="A42">
        <v>17</v>
      </c>
      <c r="B42">
        <v>1</v>
      </c>
      <c r="C42">
        <f>ROW(SmtRes!A58)</f>
        <v>58</v>
      </c>
      <c r="D42">
        <f>ROW(EtalonRes!A61)</f>
        <v>61</v>
      </c>
      <c r="E42" t="s">
        <v>104</v>
      </c>
      <c r="F42" t="s">
        <v>105</v>
      </c>
      <c r="G42" t="s">
        <v>106</v>
      </c>
      <c r="H42" t="s">
        <v>22</v>
      </c>
      <c r="I42">
        <f>ROUND(0.75/100,9)</f>
        <v>7.4999999999999997E-3</v>
      </c>
      <c r="J42">
        <v>0</v>
      </c>
      <c r="O42">
        <f t="shared" si="25"/>
        <v>11.49</v>
      </c>
      <c r="P42">
        <f t="shared" si="26"/>
        <v>11.19</v>
      </c>
      <c r="Q42">
        <f t="shared" si="27"/>
        <v>0.01</v>
      </c>
      <c r="R42">
        <f t="shared" si="28"/>
        <v>0</v>
      </c>
      <c r="S42">
        <f t="shared" si="29"/>
        <v>0.28999999999999998</v>
      </c>
      <c r="T42">
        <f t="shared" si="30"/>
        <v>0</v>
      </c>
      <c r="U42">
        <f t="shared" si="31"/>
        <v>3.4219687499999998E-2</v>
      </c>
      <c r="V42">
        <f t="shared" si="32"/>
        <v>2.1562499999999997E-4</v>
      </c>
      <c r="W42">
        <f t="shared" si="33"/>
        <v>0</v>
      </c>
      <c r="X42">
        <f t="shared" si="34"/>
        <v>0.32</v>
      </c>
      <c r="Y42">
        <f t="shared" si="35"/>
        <v>0.19</v>
      </c>
      <c r="AA42">
        <v>47631607</v>
      </c>
      <c r="AB42">
        <f t="shared" si="36"/>
        <v>1532.8643</v>
      </c>
      <c r="AC42">
        <f t="shared" si="37"/>
        <v>1492.06</v>
      </c>
      <c r="AD42">
        <f>ROUND((((((ET42*1.25)*1.15))-(((EU42*1.25)*1.15)))+AE42),6)</f>
        <v>1.8831249999999999</v>
      </c>
      <c r="AE42">
        <f>ROUND((((EU42*1.25)*1.15)),6)</f>
        <v>0.330625</v>
      </c>
      <c r="AF42">
        <f>ROUND((((EV42*1.15)*1.15)),6)</f>
        <v>38.921174999999998</v>
      </c>
      <c r="AG42">
        <f t="shared" si="41"/>
        <v>0</v>
      </c>
      <c r="AH42">
        <f>(((EW42*1.15)*1.15))</f>
        <v>4.5626249999999997</v>
      </c>
      <c r="AI42">
        <f>(((EX42*1.25)*1.15))</f>
        <v>2.8749999999999998E-2</v>
      </c>
      <c r="AJ42">
        <f t="shared" si="44"/>
        <v>0</v>
      </c>
      <c r="AK42">
        <v>1522.8</v>
      </c>
      <c r="AL42">
        <v>1492.06</v>
      </c>
      <c r="AM42">
        <v>1.31</v>
      </c>
      <c r="AN42">
        <v>0.23</v>
      </c>
      <c r="AO42">
        <v>29.43</v>
      </c>
      <c r="AP42">
        <v>0</v>
      </c>
      <c r="AQ42">
        <v>3.45</v>
      </c>
      <c r="AR42">
        <v>0.02</v>
      </c>
      <c r="AS42">
        <v>0</v>
      </c>
      <c r="AT42">
        <v>111</v>
      </c>
      <c r="AU42">
        <v>64</v>
      </c>
      <c r="AV42">
        <v>1.06</v>
      </c>
      <c r="AW42">
        <v>1.06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1</v>
      </c>
      <c r="BJ42" t="s">
        <v>107</v>
      </c>
      <c r="BM42">
        <v>11001</v>
      </c>
      <c r="BN42">
        <v>0</v>
      </c>
      <c r="BO42" t="s">
        <v>3</v>
      </c>
      <c r="BP42">
        <v>0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123</v>
      </c>
      <c r="CA42">
        <v>75</v>
      </c>
      <c r="CE42">
        <v>0</v>
      </c>
      <c r="CF42">
        <v>0</v>
      </c>
      <c r="CG42">
        <v>0</v>
      </c>
      <c r="CM42">
        <v>0</v>
      </c>
      <c r="CN42" t="s">
        <v>743</v>
      </c>
      <c r="CO42">
        <v>0</v>
      </c>
      <c r="CP42">
        <f t="shared" si="45"/>
        <v>11.489999999999998</v>
      </c>
      <c r="CQ42">
        <f t="shared" si="46"/>
        <v>1492.06</v>
      </c>
      <c r="CR42">
        <f t="shared" si="47"/>
        <v>1.8831249999999999</v>
      </c>
      <c r="CS42">
        <f t="shared" si="48"/>
        <v>0.330625</v>
      </c>
      <c r="CT42">
        <f t="shared" si="49"/>
        <v>38.921174999999998</v>
      </c>
      <c r="CU42">
        <f t="shared" si="50"/>
        <v>0</v>
      </c>
      <c r="CV42">
        <f t="shared" si="51"/>
        <v>4.5626249999999997</v>
      </c>
      <c r="CW42">
        <f t="shared" si="52"/>
        <v>2.8749999999999998E-2</v>
      </c>
      <c r="CX42">
        <f t="shared" si="53"/>
        <v>0</v>
      </c>
      <c r="CY42">
        <f t="shared" si="54"/>
        <v>0.32189999999999996</v>
      </c>
      <c r="CZ42">
        <f t="shared" si="55"/>
        <v>0.18559999999999999</v>
      </c>
      <c r="DC42" t="s">
        <v>3</v>
      </c>
      <c r="DD42" t="s">
        <v>3</v>
      </c>
      <c r="DE42" t="s">
        <v>52</v>
      </c>
      <c r="DF42" t="s">
        <v>52</v>
      </c>
      <c r="DG42" t="s">
        <v>53</v>
      </c>
      <c r="DH42" t="s">
        <v>3</v>
      </c>
      <c r="DI42" t="s">
        <v>53</v>
      </c>
      <c r="DJ42" t="s">
        <v>52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1005</v>
      </c>
      <c r="DV42" t="s">
        <v>22</v>
      </c>
      <c r="DW42" t="s">
        <v>22</v>
      </c>
      <c r="DX42">
        <v>100</v>
      </c>
      <c r="EE42">
        <v>45919571</v>
      </c>
      <c r="EF42">
        <v>2</v>
      </c>
      <c r="EG42" t="s">
        <v>54</v>
      </c>
      <c r="EH42">
        <v>0</v>
      </c>
      <c r="EI42" t="s">
        <v>3</v>
      </c>
      <c r="EJ42">
        <v>1</v>
      </c>
      <c r="EK42">
        <v>11001</v>
      </c>
      <c r="EL42" t="s">
        <v>108</v>
      </c>
      <c r="EM42" t="s">
        <v>109</v>
      </c>
      <c r="EO42" t="s">
        <v>3</v>
      </c>
      <c r="EQ42">
        <v>0</v>
      </c>
      <c r="ER42">
        <v>1522.8</v>
      </c>
      <c r="ES42">
        <v>1492.06</v>
      </c>
      <c r="ET42">
        <v>1.31</v>
      </c>
      <c r="EU42">
        <v>0.23</v>
      </c>
      <c r="EV42">
        <v>29.43</v>
      </c>
      <c r="EW42">
        <v>3.45</v>
      </c>
      <c r="EX42">
        <v>0.02</v>
      </c>
      <c r="EY42">
        <v>0</v>
      </c>
      <c r="FQ42">
        <v>0</v>
      </c>
      <c r="FR42">
        <f t="shared" si="23"/>
        <v>0</v>
      </c>
      <c r="FS42">
        <v>0</v>
      </c>
      <c r="FT42" t="s">
        <v>58</v>
      </c>
      <c r="FU42" t="s">
        <v>59</v>
      </c>
      <c r="FX42">
        <v>110.7</v>
      </c>
      <c r="FY42">
        <v>63.75</v>
      </c>
      <c r="GA42" t="s">
        <v>3</v>
      </c>
      <c r="GD42">
        <v>1</v>
      </c>
      <c r="GF42">
        <v>-515006301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24"/>
        <v>0</v>
      </c>
      <c r="GM42">
        <f t="shared" si="56"/>
        <v>12</v>
      </c>
      <c r="GN42">
        <f t="shared" si="57"/>
        <v>12</v>
      </c>
      <c r="GO42">
        <f t="shared" si="58"/>
        <v>0</v>
      </c>
      <c r="GP42">
        <f t="shared" si="59"/>
        <v>0</v>
      </c>
      <c r="GR42">
        <v>0</v>
      </c>
      <c r="GS42">
        <v>3</v>
      </c>
      <c r="GT42">
        <v>0</v>
      </c>
      <c r="GU42" t="s">
        <v>3</v>
      </c>
      <c r="GV42">
        <f t="shared" si="60"/>
        <v>0</v>
      </c>
      <c r="GW42">
        <v>1</v>
      </c>
      <c r="GX42">
        <f t="shared" si="61"/>
        <v>0</v>
      </c>
      <c r="HA42">
        <v>0</v>
      </c>
      <c r="HB42">
        <v>0</v>
      </c>
      <c r="HC42">
        <f t="shared" si="62"/>
        <v>0</v>
      </c>
      <c r="IK42">
        <v>0</v>
      </c>
    </row>
    <row r="43" spans="1:245" x14ac:dyDescent="0.2">
      <c r="A43">
        <v>17</v>
      </c>
      <c r="B43">
        <v>1</v>
      </c>
      <c r="C43">
        <f>ROW(SmtRes!A63)</f>
        <v>63</v>
      </c>
      <c r="D43">
        <f>ROW(EtalonRes!A67)</f>
        <v>67</v>
      </c>
      <c r="E43" t="s">
        <v>110</v>
      </c>
      <c r="F43" t="s">
        <v>111</v>
      </c>
      <c r="G43" t="s">
        <v>112</v>
      </c>
      <c r="H43" t="s">
        <v>67</v>
      </c>
      <c r="I43">
        <f>ROUND(1/100,9)</f>
        <v>0.01</v>
      </c>
      <c r="J43">
        <v>0</v>
      </c>
      <c r="O43">
        <f t="shared" si="25"/>
        <v>12.28</v>
      </c>
      <c r="P43">
        <f t="shared" si="26"/>
        <v>1.88</v>
      </c>
      <c r="Q43">
        <f t="shared" si="27"/>
        <v>1.67</v>
      </c>
      <c r="R43">
        <f t="shared" si="28"/>
        <v>0.06</v>
      </c>
      <c r="S43">
        <f t="shared" si="29"/>
        <v>8.73</v>
      </c>
      <c r="T43">
        <f t="shared" si="30"/>
        <v>0</v>
      </c>
      <c r="U43">
        <f t="shared" si="31"/>
        <v>1.0234827499999999</v>
      </c>
      <c r="V43">
        <f t="shared" si="32"/>
        <v>4.8875000000000004E-3</v>
      </c>
      <c r="W43">
        <f t="shared" si="33"/>
        <v>0</v>
      </c>
      <c r="X43">
        <f t="shared" si="34"/>
        <v>10.28</v>
      </c>
      <c r="Y43">
        <f t="shared" si="35"/>
        <v>6.33</v>
      </c>
      <c r="AA43">
        <v>47631607</v>
      </c>
      <c r="AB43">
        <f t="shared" si="36"/>
        <v>1228.6964</v>
      </c>
      <c r="AC43">
        <f t="shared" si="37"/>
        <v>188.48</v>
      </c>
      <c r="AD43">
        <f>ROUND((((((ET43*1.25)*1.15))-(((EU43*1.25)*1.15)))+AE43),6)</f>
        <v>167.18125000000001</v>
      </c>
      <c r="AE43">
        <f>ROUND((((EU43*1.25)*1.15)),6)</f>
        <v>5.6637500000000003</v>
      </c>
      <c r="AF43">
        <f>ROUND((((EV43*1.15)*1.15)),6)</f>
        <v>873.03515000000004</v>
      </c>
      <c r="AG43">
        <f t="shared" si="41"/>
        <v>0</v>
      </c>
      <c r="AH43">
        <f>(((EW43*1.15)*1.15))</f>
        <v>102.34827499999999</v>
      </c>
      <c r="AI43">
        <f>(((EX43*1.25)*1.15))</f>
        <v>0.48875000000000002</v>
      </c>
      <c r="AJ43">
        <f t="shared" si="44"/>
        <v>0</v>
      </c>
      <c r="AK43">
        <v>964.92</v>
      </c>
      <c r="AL43">
        <v>188.48</v>
      </c>
      <c r="AM43">
        <v>116.3</v>
      </c>
      <c r="AN43">
        <v>3.94</v>
      </c>
      <c r="AO43">
        <v>660.14</v>
      </c>
      <c r="AP43">
        <v>0</v>
      </c>
      <c r="AQ43">
        <v>77.39</v>
      </c>
      <c r="AR43">
        <v>0.34</v>
      </c>
      <c r="AS43">
        <v>0</v>
      </c>
      <c r="AT43">
        <v>117</v>
      </c>
      <c r="AU43">
        <v>72</v>
      </c>
      <c r="AV43">
        <v>1.06</v>
      </c>
      <c r="AW43">
        <v>1.06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1</v>
      </c>
      <c r="BJ43" t="s">
        <v>113</v>
      </c>
      <c r="BM43">
        <v>7001</v>
      </c>
      <c r="BN43">
        <v>0</v>
      </c>
      <c r="BO43" t="s">
        <v>3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130</v>
      </c>
      <c r="CA43">
        <v>85</v>
      </c>
      <c r="CE43">
        <v>0</v>
      </c>
      <c r="CF43">
        <v>0</v>
      </c>
      <c r="CG43">
        <v>0</v>
      </c>
      <c r="CM43">
        <v>0</v>
      </c>
      <c r="CN43" t="s">
        <v>743</v>
      </c>
      <c r="CO43">
        <v>0</v>
      </c>
      <c r="CP43">
        <f t="shared" si="45"/>
        <v>12.280000000000001</v>
      </c>
      <c r="CQ43">
        <f t="shared" si="46"/>
        <v>188.48</v>
      </c>
      <c r="CR43">
        <f t="shared" si="47"/>
        <v>167.18125000000001</v>
      </c>
      <c r="CS43">
        <f t="shared" si="48"/>
        <v>5.6637500000000003</v>
      </c>
      <c r="CT43">
        <f t="shared" si="49"/>
        <v>873.03515000000004</v>
      </c>
      <c r="CU43">
        <f t="shared" si="50"/>
        <v>0</v>
      </c>
      <c r="CV43">
        <f t="shared" si="51"/>
        <v>102.34827499999999</v>
      </c>
      <c r="CW43">
        <f t="shared" si="52"/>
        <v>0.48875000000000002</v>
      </c>
      <c r="CX43">
        <f t="shared" si="53"/>
        <v>0</v>
      </c>
      <c r="CY43">
        <f t="shared" si="54"/>
        <v>10.2843</v>
      </c>
      <c r="CZ43">
        <f t="shared" si="55"/>
        <v>6.3288000000000011</v>
      </c>
      <c r="DC43" t="s">
        <v>3</v>
      </c>
      <c r="DD43" t="s">
        <v>3</v>
      </c>
      <c r="DE43" t="s">
        <v>52</v>
      </c>
      <c r="DF43" t="s">
        <v>52</v>
      </c>
      <c r="DG43" t="s">
        <v>53</v>
      </c>
      <c r="DH43" t="s">
        <v>3</v>
      </c>
      <c r="DI43" t="s">
        <v>53</v>
      </c>
      <c r="DJ43" t="s">
        <v>52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67</v>
      </c>
      <c r="DW43" t="s">
        <v>67</v>
      </c>
      <c r="DX43">
        <v>1</v>
      </c>
      <c r="EE43">
        <v>45919560</v>
      </c>
      <c r="EF43">
        <v>2</v>
      </c>
      <c r="EG43" t="s">
        <v>54</v>
      </c>
      <c r="EH43">
        <v>0</v>
      </c>
      <c r="EI43" t="s">
        <v>3</v>
      </c>
      <c r="EJ43">
        <v>1</v>
      </c>
      <c r="EK43">
        <v>7001</v>
      </c>
      <c r="EL43" t="s">
        <v>114</v>
      </c>
      <c r="EM43" t="s">
        <v>115</v>
      </c>
      <c r="EO43" t="s">
        <v>3</v>
      </c>
      <c r="EQ43">
        <v>0</v>
      </c>
      <c r="ER43">
        <v>964.92</v>
      </c>
      <c r="ES43">
        <v>188.48</v>
      </c>
      <c r="ET43">
        <v>116.3</v>
      </c>
      <c r="EU43">
        <v>3.94</v>
      </c>
      <c r="EV43">
        <v>660.14</v>
      </c>
      <c r="EW43">
        <v>77.39</v>
      </c>
      <c r="EX43">
        <v>0.34</v>
      </c>
      <c r="EY43">
        <v>0</v>
      </c>
      <c r="FQ43">
        <v>0</v>
      </c>
      <c r="FR43">
        <f t="shared" si="23"/>
        <v>0</v>
      </c>
      <c r="FS43">
        <v>0</v>
      </c>
      <c r="FT43" t="s">
        <v>58</v>
      </c>
      <c r="FU43" t="s">
        <v>59</v>
      </c>
      <c r="FX43">
        <v>117</v>
      </c>
      <c r="FY43">
        <v>72.25</v>
      </c>
      <c r="GA43" t="s">
        <v>3</v>
      </c>
      <c r="GD43">
        <v>1</v>
      </c>
      <c r="GF43">
        <v>-1704493091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24"/>
        <v>0</v>
      </c>
      <c r="GM43">
        <f t="shared" si="56"/>
        <v>28.89</v>
      </c>
      <c r="GN43">
        <f t="shared" si="57"/>
        <v>28.89</v>
      </c>
      <c r="GO43">
        <f t="shared" si="58"/>
        <v>0</v>
      </c>
      <c r="GP43">
        <f t="shared" si="59"/>
        <v>0</v>
      </c>
      <c r="GR43">
        <v>0</v>
      </c>
      <c r="GS43">
        <v>3</v>
      </c>
      <c r="GT43">
        <v>0</v>
      </c>
      <c r="GU43" t="s">
        <v>3</v>
      </c>
      <c r="GV43">
        <f t="shared" si="60"/>
        <v>0</v>
      </c>
      <c r="GW43">
        <v>1</v>
      </c>
      <c r="GX43">
        <f t="shared" si="61"/>
        <v>0</v>
      </c>
      <c r="HA43">
        <v>0</v>
      </c>
      <c r="HB43">
        <v>0</v>
      </c>
      <c r="HC43">
        <f t="shared" si="62"/>
        <v>0</v>
      </c>
      <c r="IK43">
        <v>0</v>
      </c>
    </row>
    <row r="44" spans="1:245" x14ac:dyDescent="0.2">
      <c r="A44">
        <v>17</v>
      </c>
      <c r="B44">
        <v>1</v>
      </c>
      <c r="C44">
        <f>ROW(SmtRes!A73)</f>
        <v>73</v>
      </c>
      <c r="D44">
        <f>ROW(EtalonRes!A81)</f>
        <v>81</v>
      </c>
      <c r="E44" t="s">
        <v>116</v>
      </c>
      <c r="F44" t="s">
        <v>117</v>
      </c>
      <c r="G44" t="s">
        <v>118</v>
      </c>
      <c r="H44" t="s">
        <v>67</v>
      </c>
      <c r="I44">
        <f>ROUND(1/100,9)</f>
        <v>0.01</v>
      </c>
      <c r="J44">
        <v>0</v>
      </c>
      <c r="O44">
        <f t="shared" si="25"/>
        <v>452.98</v>
      </c>
      <c r="P44">
        <f t="shared" si="26"/>
        <v>17.43</v>
      </c>
      <c r="Q44">
        <f t="shared" si="27"/>
        <v>185.12</v>
      </c>
      <c r="R44">
        <f t="shared" si="28"/>
        <v>22.45</v>
      </c>
      <c r="S44">
        <f t="shared" si="29"/>
        <v>250.43</v>
      </c>
      <c r="T44">
        <f t="shared" si="30"/>
        <v>0</v>
      </c>
      <c r="U44">
        <f t="shared" si="31"/>
        <v>25.659144999999999</v>
      </c>
      <c r="V44">
        <f t="shared" si="32"/>
        <v>1.6945249999999998</v>
      </c>
      <c r="W44">
        <f t="shared" si="33"/>
        <v>0</v>
      </c>
      <c r="X44">
        <f t="shared" si="34"/>
        <v>319.27</v>
      </c>
      <c r="Y44">
        <f t="shared" si="35"/>
        <v>196.47</v>
      </c>
      <c r="AA44">
        <v>47631607</v>
      </c>
      <c r="AB44">
        <f t="shared" si="36"/>
        <v>45298.856</v>
      </c>
      <c r="AC44">
        <f t="shared" si="37"/>
        <v>1743.48</v>
      </c>
      <c r="AD44">
        <f>ROUND((((((ET44*1.25)*1.15))-(((EU44*1.25)*1.15)))+AE44),6)</f>
        <v>18512.053124999999</v>
      </c>
      <c r="AE44">
        <f>ROUND((((EU44*1.25)*1.15)),6)</f>
        <v>2244.9006250000002</v>
      </c>
      <c r="AF44">
        <f>ROUND((((EV44*1.15)*1.15)),6)</f>
        <v>25043.322875000002</v>
      </c>
      <c r="AG44">
        <f t="shared" si="41"/>
        <v>0</v>
      </c>
      <c r="AH44">
        <f>(((EW44*1.15)*1.15))</f>
        <v>2565.9144999999999</v>
      </c>
      <c r="AI44">
        <f>(((EX44*1.25)*1.15))</f>
        <v>169.45249999999999</v>
      </c>
      <c r="AJ44">
        <f t="shared" si="44"/>
        <v>0</v>
      </c>
      <c r="AK44">
        <v>33557.78</v>
      </c>
      <c r="AL44">
        <v>1743.48</v>
      </c>
      <c r="AM44">
        <v>12877.95</v>
      </c>
      <c r="AN44">
        <v>1561.67</v>
      </c>
      <c r="AO44">
        <v>18936.349999999999</v>
      </c>
      <c r="AP44">
        <v>0</v>
      </c>
      <c r="AQ44">
        <v>1940.2</v>
      </c>
      <c r="AR44">
        <v>117.88</v>
      </c>
      <c r="AS44">
        <v>0</v>
      </c>
      <c r="AT44">
        <v>117</v>
      </c>
      <c r="AU44">
        <v>72</v>
      </c>
      <c r="AV44">
        <v>1.06</v>
      </c>
      <c r="AW44">
        <v>1.06</v>
      </c>
      <c r="AZ44">
        <v>1</v>
      </c>
      <c r="BA44">
        <v>1</v>
      </c>
      <c r="BB44">
        <v>1</v>
      </c>
      <c r="BC44">
        <v>1</v>
      </c>
      <c r="BD44" t="s">
        <v>3</v>
      </c>
      <c r="BE44" t="s">
        <v>3</v>
      </c>
      <c r="BF44" t="s">
        <v>3</v>
      </c>
      <c r="BG44" t="s">
        <v>3</v>
      </c>
      <c r="BH44">
        <v>0</v>
      </c>
      <c r="BI44">
        <v>1</v>
      </c>
      <c r="BJ44" t="s">
        <v>119</v>
      </c>
      <c r="BM44">
        <v>7001</v>
      </c>
      <c r="BN44">
        <v>0</v>
      </c>
      <c r="BO44" t="s">
        <v>3</v>
      </c>
      <c r="BP44">
        <v>0</v>
      </c>
      <c r="BQ44">
        <v>2</v>
      </c>
      <c r="BR44">
        <v>0</v>
      </c>
      <c r="BS44">
        <v>1</v>
      </c>
      <c r="BT44">
        <v>1</v>
      </c>
      <c r="BU44">
        <v>1</v>
      </c>
      <c r="BV44">
        <v>1</v>
      </c>
      <c r="BW44">
        <v>1</v>
      </c>
      <c r="BX44">
        <v>1</v>
      </c>
      <c r="BY44" t="s">
        <v>3</v>
      </c>
      <c r="BZ44">
        <v>130</v>
      </c>
      <c r="CA44">
        <v>85</v>
      </c>
      <c r="CE44">
        <v>0</v>
      </c>
      <c r="CF44">
        <v>0</v>
      </c>
      <c r="CG44">
        <v>0</v>
      </c>
      <c r="CM44">
        <v>0</v>
      </c>
      <c r="CN44" t="s">
        <v>743</v>
      </c>
      <c r="CO44">
        <v>0</v>
      </c>
      <c r="CP44">
        <f t="shared" si="45"/>
        <v>452.98</v>
      </c>
      <c r="CQ44">
        <f t="shared" si="46"/>
        <v>1743.48</v>
      </c>
      <c r="CR44">
        <f t="shared" si="47"/>
        <v>18512.053124999999</v>
      </c>
      <c r="CS44">
        <f t="shared" si="48"/>
        <v>2244.9006250000002</v>
      </c>
      <c r="CT44">
        <f t="shared" si="49"/>
        <v>25043.322875000002</v>
      </c>
      <c r="CU44">
        <f t="shared" si="50"/>
        <v>0</v>
      </c>
      <c r="CV44">
        <f t="shared" si="51"/>
        <v>2565.9144999999999</v>
      </c>
      <c r="CW44">
        <f t="shared" si="52"/>
        <v>169.45249999999999</v>
      </c>
      <c r="CX44">
        <f t="shared" si="53"/>
        <v>0</v>
      </c>
      <c r="CY44">
        <f t="shared" si="54"/>
        <v>319.26959999999997</v>
      </c>
      <c r="CZ44">
        <f t="shared" si="55"/>
        <v>196.4736</v>
      </c>
      <c r="DC44" t="s">
        <v>3</v>
      </c>
      <c r="DD44" t="s">
        <v>3</v>
      </c>
      <c r="DE44" t="s">
        <v>52</v>
      </c>
      <c r="DF44" t="s">
        <v>52</v>
      </c>
      <c r="DG44" t="s">
        <v>53</v>
      </c>
      <c r="DH44" t="s">
        <v>3</v>
      </c>
      <c r="DI44" t="s">
        <v>53</v>
      </c>
      <c r="DJ44" t="s">
        <v>52</v>
      </c>
      <c r="DK44" t="s">
        <v>3</v>
      </c>
      <c r="DL44" t="s">
        <v>3</v>
      </c>
      <c r="DM44" t="s">
        <v>3</v>
      </c>
      <c r="DN44">
        <v>0</v>
      </c>
      <c r="DO44">
        <v>0</v>
      </c>
      <c r="DP44">
        <v>1</v>
      </c>
      <c r="DQ44">
        <v>1</v>
      </c>
      <c r="DU44">
        <v>1013</v>
      </c>
      <c r="DV44" t="s">
        <v>67</v>
      </c>
      <c r="DW44" t="s">
        <v>67</v>
      </c>
      <c r="DX44">
        <v>1</v>
      </c>
      <c r="EE44">
        <v>45919560</v>
      </c>
      <c r="EF44">
        <v>2</v>
      </c>
      <c r="EG44" t="s">
        <v>54</v>
      </c>
      <c r="EH44">
        <v>0</v>
      </c>
      <c r="EI44" t="s">
        <v>3</v>
      </c>
      <c r="EJ44">
        <v>1</v>
      </c>
      <c r="EK44">
        <v>7001</v>
      </c>
      <c r="EL44" t="s">
        <v>114</v>
      </c>
      <c r="EM44" t="s">
        <v>115</v>
      </c>
      <c r="EO44" t="s">
        <v>3</v>
      </c>
      <c r="EQ44">
        <v>0</v>
      </c>
      <c r="ER44">
        <v>33557.78</v>
      </c>
      <c r="ES44">
        <v>1743.48</v>
      </c>
      <c r="ET44">
        <v>12877.95</v>
      </c>
      <c r="EU44">
        <v>1561.67</v>
      </c>
      <c r="EV44">
        <v>18936.349999999999</v>
      </c>
      <c r="EW44">
        <v>1940.2</v>
      </c>
      <c r="EX44">
        <v>117.88</v>
      </c>
      <c r="EY44">
        <v>0</v>
      </c>
      <c r="FQ44">
        <v>0</v>
      </c>
      <c r="FR44">
        <f t="shared" si="23"/>
        <v>0</v>
      </c>
      <c r="FS44">
        <v>0</v>
      </c>
      <c r="FT44" t="s">
        <v>58</v>
      </c>
      <c r="FU44" t="s">
        <v>59</v>
      </c>
      <c r="FX44">
        <v>117</v>
      </c>
      <c r="FY44">
        <v>72.25</v>
      </c>
      <c r="GA44" t="s">
        <v>3</v>
      </c>
      <c r="GD44">
        <v>1</v>
      </c>
      <c r="GF44">
        <v>-1999243132</v>
      </c>
      <c r="GG44">
        <v>2</v>
      </c>
      <c r="GH44">
        <v>1</v>
      </c>
      <c r="GI44">
        <v>-2</v>
      </c>
      <c r="GJ44">
        <v>0</v>
      </c>
      <c r="GK44">
        <v>0</v>
      </c>
      <c r="GL44">
        <f t="shared" si="24"/>
        <v>0</v>
      </c>
      <c r="GM44">
        <f t="shared" si="56"/>
        <v>968.72</v>
      </c>
      <c r="GN44">
        <f t="shared" si="57"/>
        <v>968.72</v>
      </c>
      <c r="GO44">
        <f t="shared" si="58"/>
        <v>0</v>
      </c>
      <c r="GP44">
        <f t="shared" si="59"/>
        <v>0</v>
      </c>
      <c r="GR44">
        <v>0</v>
      </c>
      <c r="GS44">
        <v>3</v>
      </c>
      <c r="GT44">
        <v>0</v>
      </c>
      <c r="GU44" t="s">
        <v>3</v>
      </c>
      <c r="GV44">
        <f t="shared" si="60"/>
        <v>0</v>
      </c>
      <c r="GW44">
        <v>1</v>
      </c>
      <c r="GX44">
        <f t="shared" si="61"/>
        <v>0</v>
      </c>
      <c r="HA44">
        <v>0</v>
      </c>
      <c r="HB44">
        <v>0</v>
      </c>
      <c r="HC44">
        <f t="shared" si="62"/>
        <v>0</v>
      </c>
      <c r="IK44">
        <v>0</v>
      </c>
    </row>
    <row r="45" spans="1:245" x14ac:dyDescent="0.2">
      <c r="A45">
        <v>17</v>
      </c>
      <c r="B45">
        <v>1</v>
      </c>
      <c r="C45">
        <f>ROW(SmtRes!A79)</f>
        <v>79</v>
      </c>
      <c r="D45">
        <f>ROW(EtalonRes!A91)</f>
        <v>91</v>
      </c>
      <c r="E45" t="s">
        <v>120</v>
      </c>
      <c r="F45" t="s">
        <v>121</v>
      </c>
      <c r="G45" t="s">
        <v>122</v>
      </c>
      <c r="H45" t="s">
        <v>123</v>
      </c>
      <c r="I45">
        <f>ROUND(1/100,9)</f>
        <v>0.01</v>
      </c>
      <c r="J45">
        <v>0</v>
      </c>
      <c r="O45">
        <f t="shared" si="25"/>
        <v>146.16</v>
      </c>
      <c r="P45">
        <f t="shared" si="26"/>
        <v>2.83</v>
      </c>
      <c r="Q45">
        <f t="shared" si="27"/>
        <v>19.5</v>
      </c>
      <c r="R45">
        <f t="shared" si="28"/>
        <v>1.75</v>
      </c>
      <c r="S45">
        <f t="shared" si="29"/>
        <v>123.83</v>
      </c>
      <c r="T45">
        <f t="shared" si="30"/>
        <v>0</v>
      </c>
      <c r="U45">
        <f t="shared" si="31"/>
        <v>13.976708999999996</v>
      </c>
      <c r="V45">
        <f t="shared" si="32"/>
        <v>0.15079375</v>
      </c>
      <c r="W45">
        <f t="shared" si="33"/>
        <v>0</v>
      </c>
      <c r="X45">
        <f t="shared" si="34"/>
        <v>146.93</v>
      </c>
      <c r="Y45">
        <f t="shared" si="35"/>
        <v>90.42</v>
      </c>
      <c r="AA45">
        <v>47631607</v>
      </c>
      <c r="AB45">
        <f t="shared" si="36"/>
        <v>14615.9635</v>
      </c>
      <c r="AC45">
        <f t="shared" si="37"/>
        <v>282.72000000000003</v>
      </c>
      <c r="AD45">
        <f>ROUND((((((ET45*1.25)*1.15))-(((EU45*1.25)*1.15)))+AE45),6)</f>
        <v>1949.8824999999999</v>
      </c>
      <c r="AE45">
        <f>ROUND((((EU45*1.25)*1.15)),6)</f>
        <v>174.92937499999999</v>
      </c>
      <c r="AF45">
        <f>ROUND((((EV45*1.15)*1.15)),6)</f>
        <v>12383.361000000001</v>
      </c>
      <c r="AG45">
        <f t="shared" si="41"/>
        <v>0</v>
      </c>
      <c r="AH45">
        <f>(((EW45*1.15)*1.15))</f>
        <v>1397.6708999999996</v>
      </c>
      <c r="AI45">
        <f>(((EX45*1.25)*1.15))</f>
        <v>15.079374999999999</v>
      </c>
      <c r="AJ45">
        <f t="shared" si="44"/>
        <v>0</v>
      </c>
      <c r="AK45">
        <v>11002.76</v>
      </c>
      <c r="AL45">
        <v>282.72000000000003</v>
      </c>
      <c r="AM45">
        <v>1356.44</v>
      </c>
      <c r="AN45">
        <v>121.69</v>
      </c>
      <c r="AO45">
        <v>9363.6</v>
      </c>
      <c r="AP45">
        <v>0</v>
      </c>
      <c r="AQ45">
        <v>1056.8399999999999</v>
      </c>
      <c r="AR45">
        <v>10.49</v>
      </c>
      <c r="AS45">
        <v>0</v>
      </c>
      <c r="AT45">
        <v>117</v>
      </c>
      <c r="AU45">
        <v>72</v>
      </c>
      <c r="AV45">
        <v>1.06</v>
      </c>
      <c r="AW45">
        <v>1.06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0</v>
      </c>
      <c r="BI45">
        <v>1</v>
      </c>
      <c r="BJ45" t="s">
        <v>124</v>
      </c>
      <c r="BM45">
        <v>7001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130</v>
      </c>
      <c r="CA45">
        <v>85</v>
      </c>
      <c r="CE45">
        <v>0</v>
      </c>
      <c r="CF45">
        <v>0</v>
      </c>
      <c r="CG45">
        <v>0</v>
      </c>
      <c r="CM45">
        <v>0</v>
      </c>
      <c r="CN45" t="s">
        <v>743</v>
      </c>
      <c r="CO45">
        <v>0</v>
      </c>
      <c r="CP45">
        <f t="shared" si="45"/>
        <v>146.16</v>
      </c>
      <c r="CQ45">
        <f t="shared" si="46"/>
        <v>282.72000000000003</v>
      </c>
      <c r="CR45">
        <f t="shared" si="47"/>
        <v>1949.8824999999999</v>
      </c>
      <c r="CS45">
        <f t="shared" si="48"/>
        <v>174.92937499999999</v>
      </c>
      <c r="CT45">
        <f t="shared" si="49"/>
        <v>12383.361000000001</v>
      </c>
      <c r="CU45">
        <f t="shared" si="50"/>
        <v>0</v>
      </c>
      <c r="CV45">
        <f t="shared" si="51"/>
        <v>1397.6708999999996</v>
      </c>
      <c r="CW45">
        <f t="shared" si="52"/>
        <v>15.079374999999999</v>
      </c>
      <c r="CX45">
        <f t="shared" si="53"/>
        <v>0</v>
      </c>
      <c r="CY45">
        <f t="shared" si="54"/>
        <v>146.92860000000002</v>
      </c>
      <c r="CZ45">
        <f t="shared" si="55"/>
        <v>90.417600000000007</v>
      </c>
      <c r="DC45" t="s">
        <v>3</v>
      </c>
      <c r="DD45" t="s">
        <v>3</v>
      </c>
      <c r="DE45" t="s">
        <v>52</v>
      </c>
      <c r="DF45" t="s">
        <v>52</v>
      </c>
      <c r="DG45" t="s">
        <v>53</v>
      </c>
      <c r="DH45" t="s">
        <v>3</v>
      </c>
      <c r="DI45" t="s">
        <v>53</v>
      </c>
      <c r="DJ45" t="s">
        <v>52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1010</v>
      </c>
      <c r="DV45" t="s">
        <v>123</v>
      </c>
      <c r="DW45" t="s">
        <v>123</v>
      </c>
      <c r="DX45">
        <v>100</v>
      </c>
      <c r="EE45">
        <v>45919560</v>
      </c>
      <c r="EF45">
        <v>2</v>
      </c>
      <c r="EG45" t="s">
        <v>54</v>
      </c>
      <c r="EH45">
        <v>0</v>
      </c>
      <c r="EI45" t="s">
        <v>3</v>
      </c>
      <c r="EJ45">
        <v>1</v>
      </c>
      <c r="EK45">
        <v>7001</v>
      </c>
      <c r="EL45" t="s">
        <v>114</v>
      </c>
      <c r="EM45" t="s">
        <v>115</v>
      </c>
      <c r="EO45" t="s">
        <v>3</v>
      </c>
      <c r="EQ45">
        <v>0</v>
      </c>
      <c r="ER45">
        <v>11002.76</v>
      </c>
      <c r="ES45">
        <v>282.72000000000003</v>
      </c>
      <c r="ET45">
        <v>1356.44</v>
      </c>
      <c r="EU45">
        <v>121.69</v>
      </c>
      <c r="EV45">
        <v>9363.6</v>
      </c>
      <c r="EW45">
        <v>1056.8399999999999</v>
      </c>
      <c r="EX45">
        <v>10.49</v>
      </c>
      <c r="EY45">
        <v>0</v>
      </c>
      <c r="FQ45">
        <v>0</v>
      </c>
      <c r="FR45">
        <f t="shared" si="23"/>
        <v>0</v>
      </c>
      <c r="FS45">
        <v>0</v>
      </c>
      <c r="FT45" t="s">
        <v>58</v>
      </c>
      <c r="FU45" t="s">
        <v>59</v>
      </c>
      <c r="FX45">
        <v>117</v>
      </c>
      <c r="FY45">
        <v>72.25</v>
      </c>
      <c r="GA45" t="s">
        <v>3</v>
      </c>
      <c r="GD45">
        <v>1</v>
      </c>
      <c r="GF45">
        <v>-598424829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24"/>
        <v>0</v>
      </c>
      <c r="GM45">
        <f t="shared" si="56"/>
        <v>383.51</v>
      </c>
      <c r="GN45">
        <f t="shared" si="57"/>
        <v>383.51</v>
      </c>
      <c r="GO45">
        <f t="shared" si="58"/>
        <v>0</v>
      </c>
      <c r="GP45">
        <f t="shared" si="59"/>
        <v>0</v>
      </c>
      <c r="GR45">
        <v>0</v>
      </c>
      <c r="GS45">
        <v>3</v>
      </c>
      <c r="GT45">
        <v>0</v>
      </c>
      <c r="GU45" t="s">
        <v>3</v>
      </c>
      <c r="GV45">
        <f t="shared" si="60"/>
        <v>0</v>
      </c>
      <c r="GW45">
        <v>1</v>
      </c>
      <c r="GX45">
        <f t="shared" si="61"/>
        <v>0</v>
      </c>
      <c r="HA45">
        <v>0</v>
      </c>
      <c r="HB45">
        <v>0</v>
      </c>
      <c r="HC45">
        <f t="shared" si="62"/>
        <v>0</v>
      </c>
      <c r="IK45">
        <v>0</v>
      </c>
    </row>
    <row r="46" spans="1:245" x14ac:dyDescent="0.2">
      <c r="A46">
        <v>17</v>
      </c>
      <c r="B46">
        <v>1</v>
      </c>
      <c r="C46">
        <f>ROW(SmtRes!A87)</f>
        <v>87</v>
      </c>
      <c r="D46">
        <f>ROW(EtalonRes!A99)</f>
        <v>99</v>
      </c>
      <c r="E46" t="s">
        <v>125</v>
      </c>
      <c r="F46" t="s">
        <v>126</v>
      </c>
      <c r="G46" t="s">
        <v>127</v>
      </c>
      <c r="H46" t="s">
        <v>22</v>
      </c>
      <c r="I46">
        <f>ROUND((2.7*274)/100,9)</f>
        <v>7.3979999999999997</v>
      </c>
      <c r="J46">
        <v>0</v>
      </c>
      <c r="O46">
        <f t="shared" si="25"/>
        <v>2366.15</v>
      </c>
      <c r="P46">
        <f t="shared" si="26"/>
        <v>1649.69</v>
      </c>
      <c r="Q46">
        <f t="shared" si="27"/>
        <v>107.86</v>
      </c>
      <c r="R46">
        <f t="shared" si="28"/>
        <v>2.57</v>
      </c>
      <c r="S46">
        <f t="shared" si="29"/>
        <v>608.6</v>
      </c>
      <c r="T46">
        <f t="shared" si="30"/>
        <v>0</v>
      </c>
      <c r="U46">
        <f t="shared" si="31"/>
        <v>57.147497054999988</v>
      </c>
      <c r="V46">
        <f t="shared" si="32"/>
        <v>0.23396175</v>
      </c>
      <c r="W46">
        <f t="shared" si="33"/>
        <v>0</v>
      </c>
      <c r="X46">
        <f t="shared" si="34"/>
        <v>495.05</v>
      </c>
      <c r="Y46">
        <f t="shared" si="35"/>
        <v>366.7</v>
      </c>
      <c r="AA46">
        <v>47631607</v>
      </c>
      <c r="AB46">
        <f t="shared" si="36"/>
        <v>319.83723800000001</v>
      </c>
      <c r="AC46">
        <f>ROUND(((ES46*1.1)),6)</f>
        <v>222.99199999999999</v>
      </c>
      <c r="AD46">
        <f>ROUND(((((((ET46*1.1)*1.25)*1.15))-((((EU46*1.1)*1.25)*1.15)))+AE46),6)</f>
        <v>14.579124999999999</v>
      </c>
      <c r="AE46">
        <f>ROUND(((((EU46*1.1)*1.25)*1.15)),6)</f>
        <v>0.34787499999999999</v>
      </c>
      <c r="AF46">
        <f>ROUND(((((EV46*1.1)*1.15)*1.15)),6)</f>
        <v>82.266113000000004</v>
      </c>
      <c r="AG46">
        <f t="shared" si="41"/>
        <v>0</v>
      </c>
      <c r="AH46">
        <f>((((EW46*1.1)*1.15)*1.15))</f>
        <v>7.7247224999999986</v>
      </c>
      <c r="AI46">
        <f>((((EX46*1.1)*1.25)*1.15))</f>
        <v>3.1625E-2</v>
      </c>
      <c r="AJ46">
        <f t="shared" si="44"/>
        <v>0</v>
      </c>
      <c r="AK46">
        <v>268.49</v>
      </c>
      <c r="AL46">
        <v>202.72</v>
      </c>
      <c r="AM46">
        <v>9.2200000000000006</v>
      </c>
      <c r="AN46">
        <v>0.22</v>
      </c>
      <c r="AO46">
        <v>56.55</v>
      </c>
      <c r="AP46">
        <v>0</v>
      </c>
      <c r="AQ46">
        <v>5.31</v>
      </c>
      <c r="AR46">
        <v>0.02</v>
      </c>
      <c r="AS46">
        <v>0</v>
      </c>
      <c r="AT46">
        <v>81</v>
      </c>
      <c r="AU46">
        <v>60</v>
      </c>
      <c r="AV46">
        <v>1.06</v>
      </c>
      <c r="AW46">
        <v>1.06</v>
      </c>
      <c r="AZ46">
        <v>1</v>
      </c>
      <c r="BA46">
        <v>1</v>
      </c>
      <c r="BB46">
        <v>1</v>
      </c>
      <c r="BC46">
        <v>1</v>
      </c>
      <c r="BD46" t="s">
        <v>3</v>
      </c>
      <c r="BE46" t="s">
        <v>3</v>
      </c>
      <c r="BF46" t="s">
        <v>3</v>
      </c>
      <c r="BG46" t="s">
        <v>3</v>
      </c>
      <c r="BH46">
        <v>0</v>
      </c>
      <c r="BI46">
        <v>1</v>
      </c>
      <c r="BJ46" t="s">
        <v>128</v>
      </c>
      <c r="BM46">
        <v>13001</v>
      </c>
      <c r="BN46">
        <v>0</v>
      </c>
      <c r="BO46" t="s">
        <v>3</v>
      </c>
      <c r="BP46">
        <v>0</v>
      </c>
      <c r="BQ46">
        <v>2</v>
      </c>
      <c r="BR46">
        <v>0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 t="s">
        <v>3</v>
      </c>
      <c r="BZ46">
        <v>90</v>
      </c>
      <c r="CA46">
        <v>70</v>
      </c>
      <c r="CE46">
        <v>0</v>
      </c>
      <c r="CF46">
        <v>0</v>
      </c>
      <c r="CG46">
        <v>0</v>
      </c>
      <c r="CM46">
        <v>0</v>
      </c>
      <c r="CN46" t="s">
        <v>744</v>
      </c>
      <c r="CO46">
        <v>0</v>
      </c>
      <c r="CP46">
        <f t="shared" si="45"/>
        <v>2366.15</v>
      </c>
      <c r="CQ46">
        <f t="shared" si="46"/>
        <v>222.99199999999999</v>
      </c>
      <c r="CR46">
        <f t="shared" si="47"/>
        <v>14.579124999999999</v>
      </c>
      <c r="CS46">
        <f t="shared" si="48"/>
        <v>0.34787499999999999</v>
      </c>
      <c r="CT46">
        <f t="shared" si="49"/>
        <v>82.266113000000004</v>
      </c>
      <c r="CU46">
        <f t="shared" si="50"/>
        <v>0</v>
      </c>
      <c r="CV46">
        <f t="shared" si="51"/>
        <v>7.7247224999999986</v>
      </c>
      <c r="CW46">
        <f t="shared" si="52"/>
        <v>3.1625E-2</v>
      </c>
      <c r="CX46">
        <f t="shared" si="53"/>
        <v>0</v>
      </c>
      <c r="CY46">
        <f t="shared" si="54"/>
        <v>495.04770000000002</v>
      </c>
      <c r="CZ46">
        <f t="shared" si="55"/>
        <v>366.70200000000006</v>
      </c>
      <c r="DC46" t="s">
        <v>3</v>
      </c>
      <c r="DD46" t="s">
        <v>129</v>
      </c>
      <c r="DE46" t="s">
        <v>130</v>
      </c>
      <c r="DF46" t="s">
        <v>130</v>
      </c>
      <c r="DG46" t="s">
        <v>131</v>
      </c>
      <c r="DH46" t="s">
        <v>3</v>
      </c>
      <c r="DI46" t="s">
        <v>131</v>
      </c>
      <c r="DJ46" t="s">
        <v>130</v>
      </c>
      <c r="DK46" t="s">
        <v>3</v>
      </c>
      <c r="DL46" t="s">
        <v>3</v>
      </c>
      <c r="DM46" t="s">
        <v>3</v>
      </c>
      <c r="DN46">
        <v>0</v>
      </c>
      <c r="DO46">
        <v>0</v>
      </c>
      <c r="DP46">
        <v>1</v>
      </c>
      <c r="DQ46">
        <v>1</v>
      </c>
      <c r="DU46">
        <v>1005</v>
      </c>
      <c r="DV46" t="s">
        <v>22</v>
      </c>
      <c r="DW46" t="s">
        <v>22</v>
      </c>
      <c r="DX46">
        <v>100</v>
      </c>
      <c r="EE46">
        <v>45919573</v>
      </c>
      <c r="EF46">
        <v>2</v>
      </c>
      <c r="EG46" t="s">
        <v>54</v>
      </c>
      <c r="EH46">
        <v>0</v>
      </c>
      <c r="EI46" t="s">
        <v>3</v>
      </c>
      <c r="EJ46">
        <v>1</v>
      </c>
      <c r="EK46">
        <v>13001</v>
      </c>
      <c r="EL46" t="s">
        <v>132</v>
      </c>
      <c r="EM46" t="s">
        <v>133</v>
      </c>
      <c r="EO46" t="s">
        <v>134</v>
      </c>
      <c r="EQ46">
        <v>0</v>
      </c>
      <c r="ER46">
        <v>268.49</v>
      </c>
      <c r="ES46">
        <v>202.72</v>
      </c>
      <c r="ET46">
        <v>9.2200000000000006</v>
      </c>
      <c r="EU46">
        <v>0.22</v>
      </c>
      <c r="EV46">
        <v>56.55</v>
      </c>
      <c r="EW46">
        <v>5.31</v>
      </c>
      <c r="EX46">
        <v>0.02</v>
      </c>
      <c r="EY46">
        <v>0</v>
      </c>
      <c r="FQ46">
        <v>0</v>
      </c>
      <c r="FR46">
        <f t="shared" si="23"/>
        <v>0</v>
      </c>
      <c r="FS46">
        <v>0</v>
      </c>
      <c r="FT46" t="s">
        <v>58</v>
      </c>
      <c r="FU46" t="s">
        <v>59</v>
      </c>
      <c r="FX46">
        <v>81</v>
      </c>
      <c r="FY46">
        <v>59.5</v>
      </c>
      <c r="GA46" t="s">
        <v>3</v>
      </c>
      <c r="GD46">
        <v>1</v>
      </c>
      <c r="GF46">
        <v>859514846</v>
      </c>
      <c r="GG46">
        <v>2</v>
      </c>
      <c r="GH46">
        <v>1</v>
      </c>
      <c r="GI46">
        <v>-2</v>
      </c>
      <c r="GJ46">
        <v>0</v>
      </c>
      <c r="GK46">
        <v>0</v>
      </c>
      <c r="GL46">
        <f t="shared" si="24"/>
        <v>0</v>
      </c>
      <c r="GM46">
        <f t="shared" si="56"/>
        <v>3227.9</v>
      </c>
      <c r="GN46">
        <f t="shared" si="57"/>
        <v>3227.9</v>
      </c>
      <c r="GO46">
        <f t="shared" si="58"/>
        <v>0</v>
      </c>
      <c r="GP46">
        <f t="shared" si="59"/>
        <v>0</v>
      </c>
      <c r="GR46">
        <v>0</v>
      </c>
      <c r="GS46">
        <v>3</v>
      </c>
      <c r="GT46">
        <v>0</v>
      </c>
      <c r="GU46" t="s">
        <v>3</v>
      </c>
      <c r="GV46">
        <f t="shared" si="60"/>
        <v>0</v>
      </c>
      <c r="GW46">
        <v>1</v>
      </c>
      <c r="GX46">
        <f t="shared" si="61"/>
        <v>0</v>
      </c>
      <c r="HA46">
        <v>0</v>
      </c>
      <c r="HB46">
        <v>0</v>
      </c>
      <c r="HC46">
        <f t="shared" si="62"/>
        <v>0</v>
      </c>
      <c r="IK46">
        <v>0</v>
      </c>
    </row>
    <row r="47" spans="1:245" x14ac:dyDescent="0.2">
      <c r="A47">
        <v>17</v>
      </c>
      <c r="B47">
        <v>1</v>
      </c>
      <c r="C47">
        <f>ROW(SmtRes!A96)</f>
        <v>96</v>
      </c>
      <c r="D47">
        <f>ROW(EtalonRes!A107)</f>
        <v>107</v>
      </c>
      <c r="E47" t="s">
        <v>135</v>
      </c>
      <c r="F47" t="s">
        <v>136</v>
      </c>
      <c r="G47" t="s">
        <v>137</v>
      </c>
      <c r="H47" t="s">
        <v>22</v>
      </c>
      <c r="I47">
        <f>ROUND(I46,9)</f>
        <v>7.3979999999999997</v>
      </c>
      <c r="J47">
        <v>0</v>
      </c>
      <c r="O47">
        <f t="shared" si="25"/>
        <v>5466.21</v>
      </c>
      <c r="P47">
        <f t="shared" si="26"/>
        <v>4577.84</v>
      </c>
      <c r="Q47">
        <f t="shared" si="27"/>
        <v>140.61000000000001</v>
      </c>
      <c r="R47">
        <f t="shared" si="28"/>
        <v>5.15</v>
      </c>
      <c r="S47">
        <f t="shared" si="29"/>
        <v>747.76</v>
      </c>
      <c r="T47">
        <f t="shared" si="30"/>
        <v>0</v>
      </c>
      <c r="U47">
        <f t="shared" si="31"/>
        <v>82.43876222999998</v>
      </c>
      <c r="V47">
        <f t="shared" si="32"/>
        <v>0.46792349999999999</v>
      </c>
      <c r="W47">
        <f t="shared" si="33"/>
        <v>0</v>
      </c>
      <c r="X47">
        <f t="shared" si="34"/>
        <v>609.86</v>
      </c>
      <c r="Y47">
        <f t="shared" si="35"/>
        <v>451.75</v>
      </c>
      <c r="AA47">
        <v>47631607</v>
      </c>
      <c r="AB47">
        <f t="shared" si="36"/>
        <v>738.87665500000003</v>
      </c>
      <c r="AC47">
        <f>ROUND(((ES47*1.1*2)),6)</f>
        <v>618.79399999999998</v>
      </c>
      <c r="AD47">
        <f>ROUND(((((((ET47*1.1*2)*1.25)*1.15))-((((EU47*1.1*2)*1.25)*1.15)))+AE47),6)</f>
        <v>19.006625</v>
      </c>
      <c r="AE47">
        <f>ROUND(((((EU47*1.1*2)*1.25)*1.15)),6)</f>
        <v>0.69574999999999998</v>
      </c>
      <c r="AF47">
        <f>ROUND((((((EV47*1.1)*2)*1.15)*1.15)),6)</f>
        <v>101.07603</v>
      </c>
      <c r="AG47">
        <f t="shared" si="41"/>
        <v>0</v>
      </c>
      <c r="AH47">
        <f>(((((EW47*1.1)*2)*1.15)*1.15))</f>
        <v>11.143384999999999</v>
      </c>
      <c r="AI47">
        <f>((((EX47*1.1*2)*1.25)*1.15))</f>
        <v>6.3250000000000001E-2</v>
      </c>
      <c r="AJ47">
        <f t="shared" si="44"/>
        <v>0</v>
      </c>
      <c r="AK47">
        <v>322.02</v>
      </c>
      <c r="AL47">
        <v>281.27</v>
      </c>
      <c r="AM47">
        <v>6.01</v>
      </c>
      <c r="AN47">
        <v>0.22</v>
      </c>
      <c r="AO47">
        <v>34.74</v>
      </c>
      <c r="AP47">
        <v>0</v>
      </c>
      <c r="AQ47">
        <v>3.83</v>
      </c>
      <c r="AR47">
        <v>0.02</v>
      </c>
      <c r="AS47">
        <v>0</v>
      </c>
      <c r="AT47">
        <v>81</v>
      </c>
      <c r="AU47">
        <v>60</v>
      </c>
      <c r="AV47">
        <v>1.06</v>
      </c>
      <c r="AW47">
        <v>1.06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1</v>
      </c>
      <c r="BJ47" t="s">
        <v>138</v>
      </c>
      <c r="BM47">
        <v>13001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90</v>
      </c>
      <c r="CA47">
        <v>70</v>
      </c>
      <c r="CE47">
        <v>0</v>
      </c>
      <c r="CF47">
        <v>0</v>
      </c>
      <c r="CG47">
        <v>0</v>
      </c>
      <c r="CM47">
        <v>0</v>
      </c>
      <c r="CN47" t="s">
        <v>745</v>
      </c>
      <c r="CO47">
        <v>0</v>
      </c>
      <c r="CP47">
        <f t="shared" si="45"/>
        <v>5466.21</v>
      </c>
      <c r="CQ47">
        <f t="shared" si="46"/>
        <v>618.79399999999998</v>
      </c>
      <c r="CR47">
        <f t="shared" si="47"/>
        <v>19.006625</v>
      </c>
      <c r="CS47">
        <f t="shared" si="48"/>
        <v>0.69574999999999998</v>
      </c>
      <c r="CT47">
        <f t="shared" si="49"/>
        <v>101.07603</v>
      </c>
      <c r="CU47">
        <f t="shared" si="50"/>
        <v>0</v>
      </c>
      <c r="CV47">
        <f t="shared" si="51"/>
        <v>11.143384999999999</v>
      </c>
      <c r="CW47">
        <f t="shared" si="52"/>
        <v>6.3250000000000001E-2</v>
      </c>
      <c r="CX47">
        <f t="shared" si="53"/>
        <v>0</v>
      </c>
      <c r="CY47">
        <f t="shared" si="54"/>
        <v>609.85709999999995</v>
      </c>
      <c r="CZ47">
        <f t="shared" si="55"/>
        <v>451.74599999999998</v>
      </c>
      <c r="DC47" t="s">
        <v>3</v>
      </c>
      <c r="DD47" t="s">
        <v>139</v>
      </c>
      <c r="DE47" t="s">
        <v>140</v>
      </c>
      <c r="DF47" t="s">
        <v>140</v>
      </c>
      <c r="DG47" t="s">
        <v>141</v>
      </c>
      <c r="DH47" t="s">
        <v>3</v>
      </c>
      <c r="DI47" t="s">
        <v>141</v>
      </c>
      <c r="DJ47" t="s">
        <v>140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1005</v>
      </c>
      <c r="DV47" t="s">
        <v>22</v>
      </c>
      <c r="DW47" t="s">
        <v>22</v>
      </c>
      <c r="DX47">
        <v>100</v>
      </c>
      <c r="EE47">
        <v>45919573</v>
      </c>
      <c r="EF47">
        <v>2</v>
      </c>
      <c r="EG47" t="s">
        <v>54</v>
      </c>
      <c r="EH47">
        <v>0</v>
      </c>
      <c r="EI47" t="s">
        <v>3</v>
      </c>
      <c r="EJ47">
        <v>1</v>
      </c>
      <c r="EK47">
        <v>13001</v>
      </c>
      <c r="EL47" t="s">
        <v>132</v>
      </c>
      <c r="EM47" t="s">
        <v>133</v>
      </c>
      <c r="EO47" t="s">
        <v>134</v>
      </c>
      <c r="EQ47">
        <v>0</v>
      </c>
      <c r="ER47">
        <v>322.02</v>
      </c>
      <c r="ES47">
        <v>281.27</v>
      </c>
      <c r="ET47">
        <v>6.01</v>
      </c>
      <c r="EU47">
        <v>0.22</v>
      </c>
      <c r="EV47">
        <v>34.74</v>
      </c>
      <c r="EW47">
        <v>3.83</v>
      </c>
      <c r="EX47">
        <v>0.02</v>
      </c>
      <c r="EY47">
        <v>0</v>
      </c>
      <c r="FQ47">
        <v>0</v>
      </c>
      <c r="FR47">
        <f t="shared" si="23"/>
        <v>0</v>
      </c>
      <c r="FS47">
        <v>0</v>
      </c>
      <c r="FT47" t="s">
        <v>58</v>
      </c>
      <c r="FU47" t="s">
        <v>59</v>
      </c>
      <c r="FX47">
        <v>81</v>
      </c>
      <c r="FY47">
        <v>59.5</v>
      </c>
      <c r="GA47" t="s">
        <v>3</v>
      </c>
      <c r="GD47">
        <v>1</v>
      </c>
      <c r="GF47">
        <v>886243478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t="shared" si="24"/>
        <v>0</v>
      </c>
      <c r="GM47">
        <f t="shared" si="56"/>
        <v>6527.82</v>
      </c>
      <c r="GN47">
        <f t="shared" si="57"/>
        <v>6527.82</v>
      </c>
      <c r="GO47">
        <f t="shared" si="58"/>
        <v>0</v>
      </c>
      <c r="GP47">
        <f t="shared" si="59"/>
        <v>0</v>
      </c>
      <c r="GR47">
        <v>0</v>
      </c>
      <c r="GS47">
        <v>3</v>
      </c>
      <c r="GT47">
        <v>0</v>
      </c>
      <c r="GU47" t="s">
        <v>3</v>
      </c>
      <c r="GV47">
        <f t="shared" si="60"/>
        <v>0</v>
      </c>
      <c r="GW47">
        <v>1</v>
      </c>
      <c r="GX47">
        <f t="shared" si="61"/>
        <v>0</v>
      </c>
      <c r="HA47">
        <v>0</v>
      </c>
      <c r="HB47">
        <v>0</v>
      </c>
      <c r="HC47">
        <f t="shared" si="62"/>
        <v>0</v>
      </c>
      <c r="IK47">
        <v>0</v>
      </c>
    </row>
    <row r="48" spans="1:245" x14ac:dyDescent="0.2">
      <c r="A48">
        <v>18</v>
      </c>
      <c r="B48">
        <v>1</v>
      </c>
      <c r="C48">
        <v>95</v>
      </c>
      <c r="E48" t="s">
        <v>142</v>
      </c>
      <c r="F48" t="s">
        <v>143</v>
      </c>
      <c r="G48" t="s">
        <v>144</v>
      </c>
      <c r="H48" t="s">
        <v>32</v>
      </c>
      <c r="I48">
        <f>I47*J48</f>
        <v>0.30923600000000001</v>
      </c>
      <c r="J48">
        <v>4.1799945931332794E-2</v>
      </c>
      <c r="O48">
        <f t="shared" si="25"/>
        <v>5041.47</v>
      </c>
      <c r="P48">
        <f t="shared" si="26"/>
        <v>5041.47</v>
      </c>
      <c r="Q48">
        <f t="shared" si="27"/>
        <v>0</v>
      </c>
      <c r="R48">
        <f t="shared" si="28"/>
        <v>0</v>
      </c>
      <c r="S48">
        <f t="shared" si="29"/>
        <v>0</v>
      </c>
      <c r="T48">
        <f t="shared" si="30"/>
        <v>0</v>
      </c>
      <c r="U48">
        <f t="shared" si="31"/>
        <v>0</v>
      </c>
      <c r="V48">
        <f t="shared" si="32"/>
        <v>0</v>
      </c>
      <c r="W48">
        <f t="shared" si="33"/>
        <v>0</v>
      </c>
      <c r="X48">
        <f t="shared" si="34"/>
        <v>0</v>
      </c>
      <c r="Y48">
        <f t="shared" si="35"/>
        <v>0</v>
      </c>
      <c r="AA48">
        <v>47631607</v>
      </c>
      <c r="AB48">
        <f t="shared" si="36"/>
        <v>16303</v>
      </c>
      <c r="AC48">
        <f>ROUND((ES48),6)</f>
        <v>16303</v>
      </c>
      <c r="AD48">
        <f>ROUND((((ET48)-(EU48))+AE48),6)</f>
        <v>0</v>
      </c>
      <c r="AE48">
        <f>ROUND((EU48),6)</f>
        <v>0</v>
      </c>
      <c r="AF48">
        <f>ROUND((EV48),6)</f>
        <v>0</v>
      </c>
      <c r="AG48">
        <f t="shared" si="41"/>
        <v>0</v>
      </c>
      <c r="AH48">
        <f>(EW48)</f>
        <v>0</v>
      </c>
      <c r="AI48">
        <f>(EX48)</f>
        <v>0</v>
      </c>
      <c r="AJ48">
        <f t="shared" si="44"/>
        <v>0</v>
      </c>
      <c r="AK48">
        <v>16303</v>
      </c>
      <c r="AL48">
        <v>16303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81</v>
      </c>
      <c r="AU48">
        <v>60</v>
      </c>
      <c r="AV48">
        <v>1.06</v>
      </c>
      <c r="AW48">
        <v>1.06</v>
      </c>
      <c r="AZ48">
        <v>1</v>
      </c>
      <c r="BA48">
        <v>1</v>
      </c>
      <c r="BB48">
        <v>1</v>
      </c>
      <c r="BC48">
        <v>1</v>
      </c>
      <c r="BD48" t="s">
        <v>3</v>
      </c>
      <c r="BE48" t="s">
        <v>3</v>
      </c>
      <c r="BF48" t="s">
        <v>3</v>
      </c>
      <c r="BG48" t="s">
        <v>3</v>
      </c>
      <c r="BH48">
        <v>3</v>
      </c>
      <c r="BI48">
        <v>1</v>
      </c>
      <c r="BJ48" t="s">
        <v>145</v>
      </c>
      <c r="BM48">
        <v>13001</v>
      </c>
      <c r="BN48">
        <v>0</v>
      </c>
      <c r="BO48" t="s">
        <v>3</v>
      </c>
      <c r="BP48">
        <v>0</v>
      </c>
      <c r="BQ48">
        <v>2</v>
      </c>
      <c r="BR48">
        <v>0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 t="s">
        <v>3</v>
      </c>
      <c r="BZ48">
        <v>90</v>
      </c>
      <c r="CA48">
        <v>70</v>
      </c>
      <c r="CE48">
        <v>0</v>
      </c>
      <c r="CF48">
        <v>0</v>
      </c>
      <c r="CG48">
        <v>0</v>
      </c>
      <c r="CM48">
        <v>0</v>
      </c>
      <c r="CN48" t="s">
        <v>146</v>
      </c>
      <c r="CO48">
        <v>0</v>
      </c>
      <c r="CP48">
        <f t="shared" si="45"/>
        <v>5041.47</v>
      </c>
      <c r="CQ48">
        <f t="shared" si="46"/>
        <v>16303</v>
      </c>
      <c r="CR48">
        <f t="shared" si="47"/>
        <v>0</v>
      </c>
      <c r="CS48">
        <f t="shared" si="48"/>
        <v>0</v>
      </c>
      <c r="CT48">
        <f t="shared" si="49"/>
        <v>0</v>
      </c>
      <c r="CU48">
        <f t="shared" si="50"/>
        <v>0</v>
      </c>
      <c r="CV48">
        <f t="shared" si="51"/>
        <v>0</v>
      </c>
      <c r="CW48">
        <f t="shared" si="52"/>
        <v>0</v>
      </c>
      <c r="CX48">
        <f t="shared" si="53"/>
        <v>0</v>
      </c>
      <c r="CY48">
        <f t="shared" si="54"/>
        <v>0</v>
      </c>
      <c r="CZ48">
        <f t="shared" si="55"/>
        <v>0</v>
      </c>
      <c r="DC48" t="s">
        <v>3</v>
      </c>
      <c r="DD48" t="s">
        <v>3</v>
      </c>
      <c r="DE48" t="s">
        <v>3</v>
      </c>
      <c r="DF48" t="s">
        <v>3</v>
      </c>
      <c r="DG48" t="s">
        <v>3</v>
      </c>
      <c r="DH48" t="s">
        <v>3</v>
      </c>
      <c r="DI48" t="s">
        <v>3</v>
      </c>
      <c r="DJ48" t="s">
        <v>3</v>
      </c>
      <c r="DK48" t="s">
        <v>3</v>
      </c>
      <c r="DL48" t="s">
        <v>3</v>
      </c>
      <c r="DM48" t="s">
        <v>3</v>
      </c>
      <c r="DN48">
        <v>0</v>
      </c>
      <c r="DO48">
        <v>0</v>
      </c>
      <c r="DP48">
        <v>1</v>
      </c>
      <c r="DQ48">
        <v>1</v>
      </c>
      <c r="DU48">
        <v>1009</v>
      </c>
      <c r="DV48" t="s">
        <v>32</v>
      </c>
      <c r="DW48" t="s">
        <v>32</v>
      </c>
      <c r="DX48">
        <v>1000</v>
      </c>
      <c r="EE48">
        <v>45919573</v>
      </c>
      <c r="EF48">
        <v>2</v>
      </c>
      <c r="EG48" t="s">
        <v>54</v>
      </c>
      <c r="EH48">
        <v>0</v>
      </c>
      <c r="EI48" t="s">
        <v>3</v>
      </c>
      <c r="EJ48">
        <v>1</v>
      </c>
      <c r="EK48">
        <v>13001</v>
      </c>
      <c r="EL48" t="s">
        <v>132</v>
      </c>
      <c r="EM48" t="s">
        <v>133</v>
      </c>
      <c r="EO48" t="s">
        <v>134</v>
      </c>
      <c r="EQ48">
        <v>0</v>
      </c>
      <c r="ER48">
        <v>16303</v>
      </c>
      <c r="ES48">
        <v>16303</v>
      </c>
      <c r="ET48">
        <v>0</v>
      </c>
      <c r="EU48">
        <v>0</v>
      </c>
      <c r="EV48">
        <v>0</v>
      </c>
      <c r="EW48">
        <v>0</v>
      </c>
      <c r="EX48">
        <v>0</v>
      </c>
      <c r="FQ48">
        <v>0</v>
      </c>
      <c r="FR48">
        <f t="shared" si="23"/>
        <v>0</v>
      </c>
      <c r="FS48">
        <v>0</v>
      </c>
      <c r="FT48" t="s">
        <v>58</v>
      </c>
      <c r="FU48" t="s">
        <v>59</v>
      </c>
      <c r="FX48">
        <v>81</v>
      </c>
      <c r="FY48">
        <v>59.5</v>
      </c>
      <c r="GA48" t="s">
        <v>3</v>
      </c>
      <c r="GD48">
        <v>1</v>
      </c>
      <c r="GF48">
        <v>-1644319245</v>
      </c>
      <c r="GG48">
        <v>2</v>
      </c>
      <c r="GH48">
        <v>1</v>
      </c>
      <c r="GI48">
        <v>-2</v>
      </c>
      <c r="GJ48">
        <v>0</v>
      </c>
      <c r="GK48">
        <v>0</v>
      </c>
      <c r="GL48">
        <f t="shared" si="24"/>
        <v>0</v>
      </c>
      <c r="GM48">
        <f t="shared" si="56"/>
        <v>5041.47</v>
      </c>
      <c r="GN48">
        <f t="shared" si="57"/>
        <v>5041.47</v>
      </c>
      <c r="GO48">
        <f t="shared" si="58"/>
        <v>0</v>
      </c>
      <c r="GP48">
        <f t="shared" si="59"/>
        <v>0</v>
      </c>
      <c r="GR48">
        <v>0</v>
      </c>
      <c r="GS48">
        <v>3</v>
      </c>
      <c r="GT48">
        <v>0</v>
      </c>
      <c r="GU48" t="s">
        <v>3</v>
      </c>
      <c r="GV48">
        <f t="shared" si="60"/>
        <v>0</v>
      </c>
      <c r="GW48">
        <v>1</v>
      </c>
      <c r="GX48">
        <f t="shared" si="61"/>
        <v>0</v>
      </c>
      <c r="HA48">
        <v>0</v>
      </c>
      <c r="HB48">
        <v>0</v>
      </c>
      <c r="HC48">
        <f t="shared" si="62"/>
        <v>0</v>
      </c>
      <c r="IK48">
        <v>0</v>
      </c>
    </row>
    <row r="49" spans="1:245" x14ac:dyDescent="0.2">
      <c r="A49">
        <v>18</v>
      </c>
      <c r="B49">
        <v>1</v>
      </c>
      <c r="C49">
        <v>94</v>
      </c>
      <c r="E49" t="s">
        <v>147</v>
      </c>
      <c r="F49" t="s">
        <v>148</v>
      </c>
      <c r="G49" t="s">
        <v>149</v>
      </c>
      <c r="H49" t="s">
        <v>32</v>
      </c>
      <c r="I49">
        <f>I47*J49</f>
        <v>-0.30923600000000001</v>
      </c>
      <c r="J49">
        <v>-4.1799945931332794E-2</v>
      </c>
      <c r="O49">
        <f t="shared" si="25"/>
        <v>-4426.05</v>
      </c>
      <c r="P49">
        <f t="shared" si="26"/>
        <v>-4426.05</v>
      </c>
      <c r="Q49">
        <f t="shared" si="27"/>
        <v>0</v>
      </c>
      <c r="R49">
        <f t="shared" si="28"/>
        <v>0</v>
      </c>
      <c r="S49">
        <f t="shared" si="29"/>
        <v>0</v>
      </c>
      <c r="T49">
        <f t="shared" si="30"/>
        <v>0</v>
      </c>
      <c r="U49">
        <f t="shared" si="31"/>
        <v>0</v>
      </c>
      <c r="V49">
        <f t="shared" si="32"/>
        <v>0</v>
      </c>
      <c r="W49">
        <f t="shared" si="33"/>
        <v>0</v>
      </c>
      <c r="X49">
        <f t="shared" si="34"/>
        <v>0</v>
      </c>
      <c r="Y49">
        <f t="shared" si="35"/>
        <v>0</v>
      </c>
      <c r="AA49">
        <v>47631607</v>
      </c>
      <c r="AB49">
        <f t="shared" si="36"/>
        <v>14312.87</v>
      </c>
      <c r="AC49">
        <f>ROUND((ES49),6)</f>
        <v>14312.87</v>
      </c>
      <c r="AD49">
        <f>ROUND((((ET49)-(EU49))+AE49),6)</f>
        <v>0</v>
      </c>
      <c r="AE49">
        <f>ROUND((EU49),6)</f>
        <v>0</v>
      </c>
      <c r="AF49">
        <f>ROUND((EV49),6)</f>
        <v>0</v>
      </c>
      <c r="AG49">
        <f t="shared" si="41"/>
        <v>0</v>
      </c>
      <c r="AH49">
        <f>(EW49)</f>
        <v>0</v>
      </c>
      <c r="AI49">
        <f>(EX49)</f>
        <v>0</v>
      </c>
      <c r="AJ49">
        <f t="shared" si="44"/>
        <v>0</v>
      </c>
      <c r="AK49">
        <v>14312.87</v>
      </c>
      <c r="AL49">
        <v>14312.87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81</v>
      </c>
      <c r="AU49">
        <v>60</v>
      </c>
      <c r="AV49">
        <v>1.06</v>
      </c>
      <c r="AW49">
        <v>1.06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150</v>
      </c>
      <c r="BM49">
        <v>13001</v>
      </c>
      <c r="BN49">
        <v>0</v>
      </c>
      <c r="BO49" t="s">
        <v>3</v>
      </c>
      <c r="BP49">
        <v>0</v>
      </c>
      <c r="BQ49">
        <v>2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90</v>
      </c>
      <c r="CA49">
        <v>70</v>
      </c>
      <c r="CE49">
        <v>0</v>
      </c>
      <c r="CF49">
        <v>0</v>
      </c>
      <c r="CG49">
        <v>0</v>
      </c>
      <c r="CM49">
        <v>0</v>
      </c>
      <c r="CN49" t="s">
        <v>146</v>
      </c>
      <c r="CO49">
        <v>0</v>
      </c>
      <c r="CP49">
        <f t="shared" si="45"/>
        <v>-4426.05</v>
      </c>
      <c r="CQ49">
        <f t="shared" si="46"/>
        <v>14312.87</v>
      </c>
      <c r="CR49">
        <f t="shared" si="47"/>
        <v>0</v>
      </c>
      <c r="CS49">
        <f t="shared" si="48"/>
        <v>0</v>
      </c>
      <c r="CT49">
        <f t="shared" si="49"/>
        <v>0</v>
      </c>
      <c r="CU49">
        <f t="shared" si="50"/>
        <v>0</v>
      </c>
      <c r="CV49">
        <f t="shared" si="51"/>
        <v>0</v>
      </c>
      <c r="CW49">
        <f t="shared" si="52"/>
        <v>0</v>
      </c>
      <c r="CX49">
        <f t="shared" si="53"/>
        <v>0</v>
      </c>
      <c r="CY49">
        <f t="shared" si="54"/>
        <v>0</v>
      </c>
      <c r="CZ49">
        <f t="shared" si="55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1009</v>
      </c>
      <c r="DV49" t="s">
        <v>32</v>
      </c>
      <c r="DW49" t="s">
        <v>32</v>
      </c>
      <c r="DX49">
        <v>1000</v>
      </c>
      <c r="EE49">
        <v>45919573</v>
      </c>
      <c r="EF49">
        <v>2</v>
      </c>
      <c r="EG49" t="s">
        <v>54</v>
      </c>
      <c r="EH49">
        <v>0</v>
      </c>
      <c r="EI49" t="s">
        <v>3</v>
      </c>
      <c r="EJ49">
        <v>1</v>
      </c>
      <c r="EK49">
        <v>13001</v>
      </c>
      <c r="EL49" t="s">
        <v>132</v>
      </c>
      <c r="EM49" t="s">
        <v>133</v>
      </c>
      <c r="EO49" t="s">
        <v>134</v>
      </c>
      <c r="EQ49">
        <v>0</v>
      </c>
      <c r="ER49">
        <v>14312.87</v>
      </c>
      <c r="ES49">
        <v>14312.87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23"/>
        <v>0</v>
      </c>
      <c r="FS49">
        <v>0</v>
      </c>
      <c r="FT49" t="s">
        <v>58</v>
      </c>
      <c r="FU49" t="s">
        <v>59</v>
      </c>
      <c r="FX49">
        <v>81</v>
      </c>
      <c r="FY49">
        <v>59.5</v>
      </c>
      <c r="GA49" t="s">
        <v>3</v>
      </c>
      <c r="GD49">
        <v>1</v>
      </c>
      <c r="GF49">
        <v>314961973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t="shared" si="24"/>
        <v>0</v>
      </c>
      <c r="GM49">
        <f t="shared" si="56"/>
        <v>-4426.05</v>
      </c>
      <c r="GN49">
        <f t="shared" si="57"/>
        <v>-4426.05</v>
      </c>
      <c r="GO49">
        <f t="shared" si="58"/>
        <v>0</v>
      </c>
      <c r="GP49">
        <f t="shared" si="59"/>
        <v>0</v>
      </c>
      <c r="GR49">
        <v>0</v>
      </c>
      <c r="GS49">
        <v>3</v>
      </c>
      <c r="GT49">
        <v>0</v>
      </c>
      <c r="GU49" t="s">
        <v>3</v>
      </c>
      <c r="GV49">
        <f t="shared" si="60"/>
        <v>0</v>
      </c>
      <c r="GW49">
        <v>1</v>
      </c>
      <c r="GX49">
        <f t="shared" si="61"/>
        <v>0</v>
      </c>
      <c r="HA49">
        <v>0</v>
      </c>
      <c r="HB49">
        <v>0</v>
      </c>
      <c r="HC49">
        <f t="shared" si="62"/>
        <v>0</v>
      </c>
      <c r="IK49">
        <v>0</v>
      </c>
    </row>
    <row r="50" spans="1:245" x14ac:dyDescent="0.2">
      <c r="A50">
        <v>17</v>
      </c>
      <c r="B50">
        <v>1</v>
      </c>
      <c r="C50">
        <f>ROW(SmtRes!A97)</f>
        <v>97</v>
      </c>
      <c r="D50">
        <f>ROW(EtalonRes!A108)</f>
        <v>108</v>
      </c>
      <c r="E50" t="s">
        <v>151</v>
      </c>
      <c r="F50" t="s">
        <v>152</v>
      </c>
      <c r="G50" t="s">
        <v>153</v>
      </c>
      <c r="H50" t="s">
        <v>154</v>
      </c>
      <c r="I50">
        <f>ROUND((20.27+0.12-7.47-0.291-2.496)/100,9)</f>
        <v>0.10133</v>
      </c>
      <c r="J50">
        <v>0</v>
      </c>
      <c r="O50">
        <f t="shared" si="25"/>
        <v>259.23</v>
      </c>
      <c r="P50">
        <f t="shared" si="26"/>
        <v>0</v>
      </c>
      <c r="Q50">
        <f t="shared" si="27"/>
        <v>0</v>
      </c>
      <c r="R50">
        <f t="shared" si="28"/>
        <v>0</v>
      </c>
      <c r="S50">
        <f t="shared" si="29"/>
        <v>259.23</v>
      </c>
      <c r="T50">
        <f t="shared" si="30"/>
        <v>0</v>
      </c>
      <c r="U50">
        <f t="shared" si="31"/>
        <v>33.234213399999994</v>
      </c>
      <c r="V50">
        <f t="shared" si="32"/>
        <v>0</v>
      </c>
      <c r="W50">
        <f t="shared" si="33"/>
        <v>0</v>
      </c>
      <c r="X50">
        <f t="shared" si="34"/>
        <v>186.65</v>
      </c>
      <c r="Y50">
        <f t="shared" si="35"/>
        <v>98.51</v>
      </c>
      <c r="AA50">
        <v>47631607</v>
      </c>
      <c r="AB50">
        <f t="shared" si="36"/>
        <v>2558.2440000000001</v>
      </c>
      <c r="AC50">
        <f>ROUND((ES50),6)</f>
        <v>0</v>
      </c>
      <c r="AD50">
        <f>ROUND((((((ET50*1.25)*1.15))-(((EU50*1.25)*1.15)))+AE50),6)</f>
        <v>0</v>
      </c>
      <c r="AE50">
        <f>ROUND((((EU50*1.25)*1.15)),6)</f>
        <v>0</v>
      </c>
      <c r="AF50">
        <f>ROUND((((EV50*1.15)*1.15)),6)</f>
        <v>2558.2440000000001</v>
      </c>
      <c r="AG50">
        <f t="shared" si="41"/>
        <v>0</v>
      </c>
      <c r="AH50">
        <f>(((EW50*1.15)*1.15))</f>
        <v>327.97999999999996</v>
      </c>
      <c r="AI50">
        <f>(((EX50*1.25)*1.15))</f>
        <v>0</v>
      </c>
      <c r="AJ50">
        <f t="shared" si="44"/>
        <v>0</v>
      </c>
      <c r="AK50">
        <v>1934.4</v>
      </c>
      <c r="AL50">
        <v>0</v>
      </c>
      <c r="AM50">
        <v>0</v>
      </c>
      <c r="AN50">
        <v>0</v>
      </c>
      <c r="AO50">
        <v>1934.4</v>
      </c>
      <c r="AP50">
        <v>0</v>
      </c>
      <c r="AQ50">
        <v>248</v>
      </c>
      <c r="AR50">
        <v>0</v>
      </c>
      <c r="AS50">
        <v>0</v>
      </c>
      <c r="AT50">
        <v>72</v>
      </c>
      <c r="AU50">
        <v>38</v>
      </c>
      <c r="AV50">
        <v>1.06</v>
      </c>
      <c r="AW50">
        <v>1.06</v>
      </c>
      <c r="AZ50">
        <v>1</v>
      </c>
      <c r="BA50">
        <v>1</v>
      </c>
      <c r="BB50">
        <v>1</v>
      </c>
      <c r="BC50">
        <v>1</v>
      </c>
      <c r="BD50" t="s">
        <v>3</v>
      </c>
      <c r="BE50" t="s">
        <v>3</v>
      </c>
      <c r="BF50" t="s">
        <v>3</v>
      </c>
      <c r="BG50" t="s">
        <v>3</v>
      </c>
      <c r="BH50">
        <v>0</v>
      </c>
      <c r="BI50">
        <v>1</v>
      </c>
      <c r="BJ50" t="s">
        <v>155</v>
      </c>
      <c r="BM50">
        <v>1003</v>
      </c>
      <c r="BN50">
        <v>0</v>
      </c>
      <c r="BO50" t="s">
        <v>3</v>
      </c>
      <c r="BP50">
        <v>0</v>
      </c>
      <c r="BQ50">
        <v>2</v>
      </c>
      <c r="BR50">
        <v>0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 t="s">
        <v>3</v>
      </c>
      <c r="BZ50">
        <v>80</v>
      </c>
      <c r="CA50">
        <v>45</v>
      </c>
      <c r="CE50">
        <v>0</v>
      </c>
      <c r="CF50">
        <v>0</v>
      </c>
      <c r="CG50">
        <v>0</v>
      </c>
      <c r="CM50">
        <v>0</v>
      </c>
      <c r="CN50" t="s">
        <v>743</v>
      </c>
      <c r="CO50">
        <v>0</v>
      </c>
      <c r="CP50">
        <f t="shared" si="45"/>
        <v>259.23</v>
      </c>
      <c r="CQ50">
        <f t="shared" si="46"/>
        <v>0</v>
      </c>
      <c r="CR50">
        <f t="shared" si="47"/>
        <v>0</v>
      </c>
      <c r="CS50">
        <f t="shared" si="48"/>
        <v>0</v>
      </c>
      <c r="CT50">
        <f t="shared" si="49"/>
        <v>2558.2440000000001</v>
      </c>
      <c r="CU50">
        <f t="shared" si="50"/>
        <v>0</v>
      </c>
      <c r="CV50">
        <f t="shared" si="51"/>
        <v>327.97999999999996</v>
      </c>
      <c r="CW50">
        <f t="shared" si="52"/>
        <v>0</v>
      </c>
      <c r="CX50">
        <f t="shared" si="53"/>
        <v>0</v>
      </c>
      <c r="CY50">
        <f t="shared" si="54"/>
        <v>186.6456</v>
      </c>
      <c r="CZ50">
        <f t="shared" si="55"/>
        <v>98.507400000000018</v>
      </c>
      <c r="DC50" t="s">
        <v>3</v>
      </c>
      <c r="DD50" t="s">
        <v>3</v>
      </c>
      <c r="DE50" t="s">
        <v>52</v>
      </c>
      <c r="DF50" t="s">
        <v>52</v>
      </c>
      <c r="DG50" t="s">
        <v>53</v>
      </c>
      <c r="DH50" t="s">
        <v>3</v>
      </c>
      <c r="DI50" t="s">
        <v>53</v>
      </c>
      <c r="DJ50" t="s">
        <v>52</v>
      </c>
      <c r="DK50" t="s">
        <v>3</v>
      </c>
      <c r="DL50" t="s">
        <v>3</v>
      </c>
      <c r="DM50" t="s">
        <v>3</v>
      </c>
      <c r="DN50">
        <v>0</v>
      </c>
      <c r="DO50">
        <v>0</v>
      </c>
      <c r="DP50">
        <v>1</v>
      </c>
      <c r="DQ50">
        <v>1</v>
      </c>
      <c r="DU50">
        <v>1007</v>
      </c>
      <c r="DV50" t="s">
        <v>154</v>
      </c>
      <c r="DW50" t="s">
        <v>154</v>
      </c>
      <c r="DX50">
        <v>100</v>
      </c>
      <c r="EE50">
        <v>45919546</v>
      </c>
      <c r="EF50">
        <v>2</v>
      </c>
      <c r="EG50" t="s">
        <v>54</v>
      </c>
      <c r="EH50">
        <v>0</v>
      </c>
      <c r="EI50" t="s">
        <v>3</v>
      </c>
      <c r="EJ50">
        <v>1</v>
      </c>
      <c r="EK50">
        <v>1003</v>
      </c>
      <c r="EL50" t="s">
        <v>156</v>
      </c>
      <c r="EM50" t="s">
        <v>157</v>
      </c>
      <c r="EO50" t="s">
        <v>3</v>
      </c>
      <c r="EQ50">
        <v>0</v>
      </c>
      <c r="ER50">
        <v>1934.4</v>
      </c>
      <c r="ES50">
        <v>0</v>
      </c>
      <c r="ET50">
        <v>0</v>
      </c>
      <c r="EU50">
        <v>0</v>
      </c>
      <c r="EV50">
        <v>1934.4</v>
      </c>
      <c r="EW50">
        <v>248</v>
      </c>
      <c r="EX50">
        <v>0</v>
      </c>
      <c r="EY50">
        <v>0</v>
      </c>
      <c r="FQ50">
        <v>0</v>
      </c>
      <c r="FR50">
        <f t="shared" si="23"/>
        <v>0</v>
      </c>
      <c r="FS50">
        <v>0</v>
      </c>
      <c r="FT50" t="s">
        <v>58</v>
      </c>
      <c r="FU50" t="s">
        <v>59</v>
      </c>
      <c r="FX50">
        <v>72</v>
      </c>
      <c r="FY50">
        <v>38.25</v>
      </c>
      <c r="GA50" t="s">
        <v>3</v>
      </c>
      <c r="GD50">
        <v>1</v>
      </c>
      <c r="GF50">
        <v>-1045304412</v>
      </c>
      <c r="GG50">
        <v>2</v>
      </c>
      <c r="GH50">
        <v>1</v>
      </c>
      <c r="GI50">
        <v>-2</v>
      </c>
      <c r="GJ50">
        <v>0</v>
      </c>
      <c r="GK50">
        <v>0</v>
      </c>
      <c r="GL50">
        <f t="shared" si="24"/>
        <v>0</v>
      </c>
      <c r="GM50">
        <f t="shared" si="56"/>
        <v>544.39</v>
      </c>
      <c r="GN50">
        <f t="shared" si="57"/>
        <v>544.39</v>
      </c>
      <c r="GO50">
        <f t="shared" si="58"/>
        <v>0</v>
      </c>
      <c r="GP50">
        <f t="shared" si="59"/>
        <v>0</v>
      </c>
      <c r="GR50">
        <v>0</v>
      </c>
      <c r="GS50">
        <v>3</v>
      </c>
      <c r="GT50">
        <v>0</v>
      </c>
      <c r="GU50" t="s">
        <v>3</v>
      </c>
      <c r="GV50">
        <f t="shared" si="60"/>
        <v>0</v>
      </c>
      <c r="GW50">
        <v>1</v>
      </c>
      <c r="GX50">
        <f t="shared" si="61"/>
        <v>0</v>
      </c>
      <c r="HA50">
        <v>0</v>
      </c>
      <c r="HB50">
        <v>0</v>
      </c>
      <c r="HC50">
        <f t="shared" si="62"/>
        <v>0</v>
      </c>
      <c r="IK50">
        <v>0</v>
      </c>
    </row>
    <row r="51" spans="1:245" x14ac:dyDescent="0.2">
      <c r="A51">
        <v>17</v>
      </c>
      <c r="B51">
        <v>1</v>
      </c>
      <c r="C51">
        <f>ROW(SmtRes!A104)</f>
        <v>104</v>
      </c>
      <c r="D51">
        <f>ROW(EtalonRes!A116)</f>
        <v>116</v>
      </c>
      <c r="E51" t="s">
        <v>158</v>
      </c>
      <c r="F51" t="s">
        <v>159</v>
      </c>
      <c r="G51" t="s">
        <v>160</v>
      </c>
      <c r="H51" t="s">
        <v>154</v>
      </c>
      <c r="I51">
        <f>ROUND((20.27-7.47-0.291-2.496)/100,9)</f>
        <v>0.10013</v>
      </c>
      <c r="J51">
        <v>0</v>
      </c>
      <c r="O51">
        <f t="shared" si="25"/>
        <v>505.12</v>
      </c>
      <c r="P51">
        <f t="shared" si="26"/>
        <v>90.67</v>
      </c>
      <c r="Q51">
        <f t="shared" si="27"/>
        <v>228.53</v>
      </c>
      <c r="R51">
        <f t="shared" si="28"/>
        <v>35.19</v>
      </c>
      <c r="S51">
        <f t="shared" si="29"/>
        <v>185.92</v>
      </c>
      <c r="T51">
        <f t="shared" si="30"/>
        <v>0</v>
      </c>
      <c r="U51">
        <f t="shared" si="31"/>
        <v>23.835946499999995</v>
      </c>
      <c r="V51">
        <f t="shared" si="32"/>
        <v>2.6095755437499997</v>
      </c>
      <c r="W51">
        <f t="shared" si="33"/>
        <v>0</v>
      </c>
      <c r="X51">
        <f t="shared" si="34"/>
        <v>210.05</v>
      </c>
      <c r="Y51">
        <f t="shared" si="35"/>
        <v>121.61</v>
      </c>
      <c r="AA51">
        <v>47631607</v>
      </c>
      <c r="AB51">
        <f t="shared" si="36"/>
        <v>5044.65625</v>
      </c>
      <c r="AC51">
        <f>ROUND((ES51),6)</f>
        <v>905.49</v>
      </c>
      <c r="AD51">
        <f>ROUND((((((ET51*1.25)*1.15))-(((EU51*1.25)*1.15)))+AE51),6)</f>
        <v>2282.3762499999998</v>
      </c>
      <c r="AE51">
        <f>ROUND((((EU51*1.25)*1.15)),6)</f>
        <v>351.48312499999997</v>
      </c>
      <c r="AF51">
        <f>ROUND((((EV51*1.15)*1.15)),6)</f>
        <v>1856.79</v>
      </c>
      <c r="AG51">
        <f t="shared" si="41"/>
        <v>0</v>
      </c>
      <c r="AH51">
        <f>(((EW51*1.15)*1.15))</f>
        <v>238.04999999999995</v>
      </c>
      <c r="AI51">
        <f>(((EX51*1.25)*1.15))</f>
        <v>26.061874999999997</v>
      </c>
      <c r="AJ51">
        <f t="shared" si="44"/>
        <v>0</v>
      </c>
      <c r="AK51">
        <v>3897.23</v>
      </c>
      <c r="AL51">
        <v>905.49</v>
      </c>
      <c r="AM51">
        <v>1587.74</v>
      </c>
      <c r="AN51">
        <v>244.51</v>
      </c>
      <c r="AO51">
        <v>1404</v>
      </c>
      <c r="AP51">
        <v>0</v>
      </c>
      <c r="AQ51">
        <v>180</v>
      </c>
      <c r="AR51">
        <v>18.13</v>
      </c>
      <c r="AS51">
        <v>0</v>
      </c>
      <c r="AT51">
        <v>95</v>
      </c>
      <c r="AU51">
        <v>55</v>
      </c>
      <c r="AV51">
        <v>1.06</v>
      </c>
      <c r="AW51">
        <v>1.06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0</v>
      </c>
      <c r="BI51">
        <v>1</v>
      </c>
      <c r="BJ51" t="s">
        <v>161</v>
      </c>
      <c r="BM51">
        <v>6001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105</v>
      </c>
      <c r="CA51">
        <v>65</v>
      </c>
      <c r="CE51">
        <v>0</v>
      </c>
      <c r="CF51">
        <v>0</v>
      </c>
      <c r="CG51">
        <v>0</v>
      </c>
      <c r="CM51">
        <v>0</v>
      </c>
      <c r="CN51" t="s">
        <v>743</v>
      </c>
      <c r="CO51">
        <v>0</v>
      </c>
      <c r="CP51">
        <f t="shared" si="45"/>
        <v>505.12</v>
      </c>
      <c r="CQ51">
        <f t="shared" si="46"/>
        <v>905.49</v>
      </c>
      <c r="CR51">
        <f t="shared" si="47"/>
        <v>2282.3762499999998</v>
      </c>
      <c r="CS51">
        <f t="shared" si="48"/>
        <v>351.48312499999997</v>
      </c>
      <c r="CT51">
        <f t="shared" si="49"/>
        <v>1856.79</v>
      </c>
      <c r="CU51">
        <f t="shared" si="50"/>
        <v>0</v>
      </c>
      <c r="CV51">
        <f t="shared" si="51"/>
        <v>238.04999999999995</v>
      </c>
      <c r="CW51">
        <f t="shared" si="52"/>
        <v>26.061874999999997</v>
      </c>
      <c r="CX51">
        <f t="shared" si="53"/>
        <v>0</v>
      </c>
      <c r="CY51">
        <f t="shared" si="54"/>
        <v>210.05449999999996</v>
      </c>
      <c r="CZ51">
        <f t="shared" si="55"/>
        <v>121.61049999999999</v>
      </c>
      <c r="DC51" t="s">
        <v>3</v>
      </c>
      <c r="DD51" t="s">
        <v>3</v>
      </c>
      <c r="DE51" t="s">
        <v>52</v>
      </c>
      <c r="DF51" t="s">
        <v>52</v>
      </c>
      <c r="DG51" t="s">
        <v>53</v>
      </c>
      <c r="DH51" t="s">
        <v>3</v>
      </c>
      <c r="DI51" t="s">
        <v>53</v>
      </c>
      <c r="DJ51" t="s">
        <v>52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1007</v>
      </c>
      <c r="DV51" t="s">
        <v>154</v>
      </c>
      <c r="DW51" t="s">
        <v>154</v>
      </c>
      <c r="DX51">
        <v>100</v>
      </c>
      <c r="EE51">
        <v>45919557</v>
      </c>
      <c r="EF51">
        <v>2</v>
      </c>
      <c r="EG51" t="s">
        <v>54</v>
      </c>
      <c r="EH51">
        <v>0</v>
      </c>
      <c r="EI51" t="s">
        <v>3</v>
      </c>
      <c r="EJ51">
        <v>1</v>
      </c>
      <c r="EK51">
        <v>6001</v>
      </c>
      <c r="EL51" t="s">
        <v>162</v>
      </c>
      <c r="EM51" t="s">
        <v>163</v>
      </c>
      <c r="EO51" t="s">
        <v>3</v>
      </c>
      <c r="EQ51">
        <v>0</v>
      </c>
      <c r="ER51">
        <v>3897.23</v>
      </c>
      <c r="ES51">
        <v>905.49</v>
      </c>
      <c r="ET51">
        <v>1587.74</v>
      </c>
      <c r="EU51">
        <v>244.51</v>
      </c>
      <c r="EV51">
        <v>1404</v>
      </c>
      <c r="EW51">
        <v>180</v>
      </c>
      <c r="EX51">
        <v>18.13</v>
      </c>
      <c r="EY51">
        <v>0</v>
      </c>
      <c r="FQ51">
        <v>0</v>
      </c>
      <c r="FR51">
        <f t="shared" si="23"/>
        <v>0</v>
      </c>
      <c r="FS51">
        <v>0</v>
      </c>
      <c r="FT51" t="s">
        <v>58</v>
      </c>
      <c r="FU51" t="s">
        <v>59</v>
      </c>
      <c r="FX51">
        <v>94.5</v>
      </c>
      <c r="FY51">
        <v>55.25</v>
      </c>
      <c r="GA51" t="s">
        <v>3</v>
      </c>
      <c r="GD51">
        <v>1</v>
      </c>
      <c r="GF51">
        <v>-1406609557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24"/>
        <v>0</v>
      </c>
      <c r="GM51">
        <f t="shared" si="56"/>
        <v>836.78</v>
      </c>
      <c r="GN51">
        <f t="shared" si="57"/>
        <v>836.78</v>
      </c>
      <c r="GO51">
        <f t="shared" si="58"/>
        <v>0</v>
      </c>
      <c r="GP51">
        <f t="shared" si="59"/>
        <v>0</v>
      </c>
      <c r="GR51">
        <v>0</v>
      </c>
      <c r="GS51">
        <v>3</v>
      </c>
      <c r="GT51">
        <v>0</v>
      </c>
      <c r="GU51" t="s">
        <v>3</v>
      </c>
      <c r="GV51">
        <f t="shared" si="60"/>
        <v>0</v>
      </c>
      <c r="GW51">
        <v>1</v>
      </c>
      <c r="GX51">
        <f t="shared" si="61"/>
        <v>0</v>
      </c>
      <c r="HA51">
        <v>0</v>
      </c>
      <c r="HB51">
        <v>0</v>
      </c>
      <c r="HC51">
        <f t="shared" si="62"/>
        <v>0</v>
      </c>
      <c r="IK51">
        <v>0</v>
      </c>
    </row>
    <row r="52" spans="1:245" x14ac:dyDescent="0.2">
      <c r="A52">
        <v>17</v>
      </c>
      <c r="B52">
        <v>1</v>
      </c>
      <c r="C52">
        <f>ROW(SmtRes!A105)</f>
        <v>105</v>
      </c>
      <c r="D52">
        <f>ROW(EtalonRes!A117)</f>
        <v>117</v>
      </c>
      <c r="E52" t="s">
        <v>164</v>
      </c>
      <c r="F52" t="s">
        <v>165</v>
      </c>
      <c r="G52" t="s">
        <v>166</v>
      </c>
      <c r="H52" t="s">
        <v>154</v>
      </c>
      <c r="I52">
        <f>ROUND(20.39/100,9)</f>
        <v>0.2039</v>
      </c>
      <c r="J52">
        <v>0</v>
      </c>
      <c r="O52">
        <f t="shared" si="25"/>
        <v>168.73</v>
      </c>
      <c r="P52">
        <f t="shared" si="26"/>
        <v>0</v>
      </c>
      <c r="Q52">
        <f t="shared" si="27"/>
        <v>0</v>
      </c>
      <c r="R52">
        <f t="shared" si="28"/>
        <v>0</v>
      </c>
      <c r="S52">
        <f t="shared" si="29"/>
        <v>168.73</v>
      </c>
      <c r="T52">
        <f t="shared" si="30"/>
        <v>0</v>
      </c>
      <c r="U52">
        <f t="shared" si="31"/>
        <v>22.497546082499998</v>
      </c>
      <c r="V52">
        <f t="shared" si="32"/>
        <v>0</v>
      </c>
      <c r="W52">
        <f t="shared" si="33"/>
        <v>0</v>
      </c>
      <c r="X52">
        <f t="shared" si="34"/>
        <v>121.49</v>
      </c>
      <c r="Y52">
        <f t="shared" si="35"/>
        <v>64.12</v>
      </c>
      <c r="AA52">
        <v>47631607</v>
      </c>
      <c r="AB52">
        <f t="shared" si="36"/>
        <v>827.52792499999998</v>
      </c>
      <c r="AC52">
        <f>ROUND((ES52),6)</f>
        <v>0</v>
      </c>
      <c r="AD52">
        <f>ROUND((((((ET52*1.25)*1.15))-(((EU52*1.25)*1.15)))+AE52),6)</f>
        <v>0</v>
      </c>
      <c r="AE52">
        <f>ROUND((((EU52*1.25)*1.15)),6)</f>
        <v>0</v>
      </c>
      <c r="AF52">
        <f>ROUND((((EV52*1.15)*1.15)),6)</f>
        <v>827.52792499999998</v>
      </c>
      <c r="AG52">
        <f t="shared" si="41"/>
        <v>0</v>
      </c>
      <c r="AH52">
        <f>(((EW52*1.15)*1.15))</f>
        <v>110.336175</v>
      </c>
      <c r="AI52">
        <f>(((EX52*1.25)*1.15))</f>
        <v>0</v>
      </c>
      <c r="AJ52">
        <f t="shared" si="44"/>
        <v>0</v>
      </c>
      <c r="AK52">
        <v>625.73</v>
      </c>
      <c r="AL52">
        <v>0</v>
      </c>
      <c r="AM52">
        <v>0</v>
      </c>
      <c r="AN52">
        <v>0</v>
      </c>
      <c r="AO52">
        <v>625.73</v>
      </c>
      <c r="AP52">
        <v>0</v>
      </c>
      <c r="AQ52">
        <v>83.43</v>
      </c>
      <c r="AR52">
        <v>0</v>
      </c>
      <c r="AS52">
        <v>0</v>
      </c>
      <c r="AT52">
        <v>72</v>
      </c>
      <c r="AU52">
        <v>38</v>
      </c>
      <c r="AV52">
        <v>1.06</v>
      </c>
      <c r="AW52">
        <v>1.06</v>
      </c>
      <c r="AZ52">
        <v>1</v>
      </c>
      <c r="BA52">
        <v>1</v>
      </c>
      <c r="BB52">
        <v>1</v>
      </c>
      <c r="BC52">
        <v>1</v>
      </c>
      <c r="BD52" t="s">
        <v>3</v>
      </c>
      <c r="BE52" t="s">
        <v>3</v>
      </c>
      <c r="BF52" t="s">
        <v>3</v>
      </c>
      <c r="BG52" t="s">
        <v>3</v>
      </c>
      <c r="BH52">
        <v>0</v>
      </c>
      <c r="BI52">
        <v>1</v>
      </c>
      <c r="BJ52" t="s">
        <v>167</v>
      </c>
      <c r="BM52">
        <v>1003</v>
      </c>
      <c r="BN52">
        <v>0</v>
      </c>
      <c r="BO52" t="s">
        <v>3</v>
      </c>
      <c r="BP52">
        <v>0</v>
      </c>
      <c r="BQ52">
        <v>2</v>
      </c>
      <c r="BR52">
        <v>0</v>
      </c>
      <c r="BS52">
        <v>1</v>
      </c>
      <c r="BT52">
        <v>1</v>
      </c>
      <c r="BU52">
        <v>1</v>
      </c>
      <c r="BV52">
        <v>1</v>
      </c>
      <c r="BW52">
        <v>1</v>
      </c>
      <c r="BX52">
        <v>1</v>
      </c>
      <c r="BY52" t="s">
        <v>3</v>
      </c>
      <c r="BZ52">
        <v>80</v>
      </c>
      <c r="CA52">
        <v>45</v>
      </c>
      <c r="CE52">
        <v>0</v>
      </c>
      <c r="CF52">
        <v>0</v>
      </c>
      <c r="CG52">
        <v>0</v>
      </c>
      <c r="CM52">
        <v>0</v>
      </c>
      <c r="CN52" t="s">
        <v>743</v>
      </c>
      <c r="CO52">
        <v>0</v>
      </c>
      <c r="CP52">
        <f t="shared" si="45"/>
        <v>168.73</v>
      </c>
      <c r="CQ52">
        <f t="shared" si="46"/>
        <v>0</v>
      </c>
      <c r="CR52">
        <f t="shared" si="47"/>
        <v>0</v>
      </c>
      <c r="CS52">
        <f t="shared" si="48"/>
        <v>0</v>
      </c>
      <c r="CT52">
        <f t="shared" si="49"/>
        <v>827.52792499999998</v>
      </c>
      <c r="CU52">
        <f t="shared" si="50"/>
        <v>0</v>
      </c>
      <c r="CV52">
        <f t="shared" si="51"/>
        <v>110.336175</v>
      </c>
      <c r="CW52">
        <f t="shared" si="52"/>
        <v>0</v>
      </c>
      <c r="CX52">
        <f t="shared" si="53"/>
        <v>0</v>
      </c>
      <c r="CY52">
        <f t="shared" si="54"/>
        <v>121.48559999999999</v>
      </c>
      <c r="CZ52">
        <f t="shared" si="55"/>
        <v>64.117400000000004</v>
      </c>
      <c r="DC52" t="s">
        <v>3</v>
      </c>
      <c r="DD52" t="s">
        <v>3</v>
      </c>
      <c r="DE52" t="s">
        <v>52</v>
      </c>
      <c r="DF52" t="s">
        <v>52</v>
      </c>
      <c r="DG52" t="s">
        <v>53</v>
      </c>
      <c r="DH52" t="s">
        <v>3</v>
      </c>
      <c r="DI52" t="s">
        <v>53</v>
      </c>
      <c r="DJ52" t="s">
        <v>52</v>
      </c>
      <c r="DK52" t="s">
        <v>3</v>
      </c>
      <c r="DL52" t="s">
        <v>3</v>
      </c>
      <c r="DM52" t="s">
        <v>3</v>
      </c>
      <c r="DN52">
        <v>0</v>
      </c>
      <c r="DO52">
        <v>0</v>
      </c>
      <c r="DP52">
        <v>1</v>
      </c>
      <c r="DQ52">
        <v>1</v>
      </c>
      <c r="DU52">
        <v>1007</v>
      </c>
      <c r="DV52" t="s">
        <v>154</v>
      </c>
      <c r="DW52" t="s">
        <v>154</v>
      </c>
      <c r="DX52">
        <v>100</v>
      </c>
      <c r="EE52">
        <v>45919546</v>
      </c>
      <c r="EF52">
        <v>2</v>
      </c>
      <c r="EG52" t="s">
        <v>54</v>
      </c>
      <c r="EH52">
        <v>0</v>
      </c>
      <c r="EI52" t="s">
        <v>3</v>
      </c>
      <c r="EJ52">
        <v>1</v>
      </c>
      <c r="EK52">
        <v>1003</v>
      </c>
      <c r="EL52" t="s">
        <v>156</v>
      </c>
      <c r="EM52" t="s">
        <v>157</v>
      </c>
      <c r="EO52" t="s">
        <v>3</v>
      </c>
      <c r="EQ52">
        <v>0</v>
      </c>
      <c r="ER52">
        <v>625.73</v>
      </c>
      <c r="ES52">
        <v>0</v>
      </c>
      <c r="ET52">
        <v>0</v>
      </c>
      <c r="EU52">
        <v>0</v>
      </c>
      <c r="EV52">
        <v>625.73</v>
      </c>
      <c r="EW52">
        <v>83.43</v>
      </c>
      <c r="EX52">
        <v>0</v>
      </c>
      <c r="EY52">
        <v>0</v>
      </c>
      <c r="FQ52">
        <v>0</v>
      </c>
      <c r="FR52">
        <f t="shared" si="23"/>
        <v>0</v>
      </c>
      <c r="FS52">
        <v>0</v>
      </c>
      <c r="FT52" t="s">
        <v>58</v>
      </c>
      <c r="FU52" t="s">
        <v>59</v>
      </c>
      <c r="FX52">
        <v>72</v>
      </c>
      <c r="FY52">
        <v>38.25</v>
      </c>
      <c r="GA52" t="s">
        <v>3</v>
      </c>
      <c r="GD52">
        <v>1</v>
      </c>
      <c r="GF52">
        <v>571347977</v>
      </c>
      <c r="GG52">
        <v>2</v>
      </c>
      <c r="GH52">
        <v>1</v>
      </c>
      <c r="GI52">
        <v>-2</v>
      </c>
      <c r="GJ52">
        <v>0</v>
      </c>
      <c r="GK52">
        <v>0</v>
      </c>
      <c r="GL52">
        <f t="shared" si="24"/>
        <v>0</v>
      </c>
      <c r="GM52">
        <f t="shared" si="56"/>
        <v>354.34</v>
      </c>
      <c r="GN52">
        <f t="shared" si="57"/>
        <v>354.34</v>
      </c>
      <c r="GO52">
        <f t="shared" si="58"/>
        <v>0</v>
      </c>
      <c r="GP52">
        <f t="shared" si="59"/>
        <v>0</v>
      </c>
      <c r="GR52">
        <v>0</v>
      </c>
      <c r="GS52">
        <v>3</v>
      </c>
      <c r="GT52">
        <v>0</v>
      </c>
      <c r="GU52" t="s">
        <v>3</v>
      </c>
      <c r="GV52">
        <f t="shared" si="60"/>
        <v>0</v>
      </c>
      <c r="GW52">
        <v>1</v>
      </c>
      <c r="GX52">
        <f t="shared" si="61"/>
        <v>0</v>
      </c>
      <c r="HA52">
        <v>0</v>
      </c>
      <c r="HB52">
        <v>0</v>
      </c>
      <c r="HC52">
        <f t="shared" si="62"/>
        <v>0</v>
      </c>
      <c r="IK52">
        <v>0</v>
      </c>
    </row>
    <row r="53" spans="1:245" x14ac:dyDescent="0.2">
      <c r="A53">
        <v>17</v>
      </c>
      <c r="B53">
        <v>1</v>
      </c>
      <c r="E53" t="s">
        <v>168</v>
      </c>
      <c r="F53" t="s">
        <v>42</v>
      </c>
      <c r="G53" t="s">
        <v>43</v>
      </c>
      <c r="H53" t="s">
        <v>36</v>
      </c>
      <c r="I53">
        <f>ROUND(I52*1.5*100,9)</f>
        <v>30.585000000000001</v>
      </c>
      <c r="J53">
        <v>0</v>
      </c>
      <c r="O53">
        <f>0</f>
        <v>0</v>
      </c>
      <c r="P53">
        <f>0</f>
        <v>0</v>
      </c>
      <c r="Q53">
        <f>0</f>
        <v>0</v>
      </c>
      <c r="R53">
        <f>0</f>
        <v>0</v>
      </c>
      <c r="S53">
        <f>0</f>
        <v>0</v>
      </c>
      <c r="T53">
        <f>0</f>
        <v>0</v>
      </c>
      <c r="U53">
        <f>0</f>
        <v>0</v>
      </c>
      <c r="V53">
        <f>0</f>
        <v>0</v>
      </c>
      <c r="W53">
        <f>0</f>
        <v>0</v>
      </c>
      <c r="X53">
        <f>0</f>
        <v>0</v>
      </c>
      <c r="Y53">
        <f>0</f>
        <v>0</v>
      </c>
      <c r="AA53">
        <v>47631607</v>
      </c>
      <c r="AB53">
        <f>ROUND((AK53),6)</f>
        <v>17.32</v>
      </c>
      <c r="AC53">
        <f>0</f>
        <v>0</v>
      </c>
      <c r="AD53">
        <f>0</f>
        <v>0</v>
      </c>
      <c r="AE53">
        <f>0</f>
        <v>0</v>
      </c>
      <c r="AF53">
        <f>0</f>
        <v>0</v>
      </c>
      <c r="AG53">
        <f>0</f>
        <v>0</v>
      </c>
      <c r="AH53">
        <f>0</f>
        <v>0</v>
      </c>
      <c r="AI53">
        <f>0</f>
        <v>0</v>
      </c>
      <c r="AJ53">
        <f>0</f>
        <v>0</v>
      </c>
      <c r="AK53">
        <v>17.32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1.06</v>
      </c>
      <c r="AW53">
        <v>1.06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44</v>
      </c>
      <c r="BM53">
        <v>700005</v>
      </c>
      <c r="BN53">
        <v>0</v>
      </c>
      <c r="BO53" t="s">
        <v>3</v>
      </c>
      <c r="BP53">
        <v>0</v>
      </c>
      <c r="BQ53">
        <v>10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0</v>
      </c>
      <c r="CA53">
        <v>0</v>
      </c>
      <c r="CE53">
        <v>0</v>
      </c>
      <c r="CF53">
        <v>0</v>
      </c>
      <c r="CG53">
        <v>0</v>
      </c>
      <c r="CM53">
        <v>0</v>
      </c>
      <c r="CN53" t="s">
        <v>3</v>
      </c>
      <c r="CO53">
        <v>0</v>
      </c>
      <c r="CP53">
        <f>AB53*AZ53</f>
        <v>17.32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36</v>
      </c>
      <c r="DW53" t="s">
        <v>36</v>
      </c>
      <c r="DX53">
        <v>1</v>
      </c>
      <c r="EE53">
        <v>45919762</v>
      </c>
      <c r="EF53">
        <v>10</v>
      </c>
      <c r="EG53" t="s">
        <v>45</v>
      </c>
      <c r="EH53">
        <v>0</v>
      </c>
      <c r="EI53" t="s">
        <v>3</v>
      </c>
      <c r="EJ53">
        <v>1</v>
      </c>
      <c r="EK53">
        <v>700005</v>
      </c>
      <c r="EL53" t="s">
        <v>46</v>
      </c>
      <c r="EM53" t="s">
        <v>47</v>
      </c>
      <c r="EO53" t="s">
        <v>3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FQ53">
        <v>0</v>
      </c>
      <c r="FR53">
        <f t="shared" si="23"/>
        <v>0</v>
      </c>
      <c r="FS53">
        <v>0</v>
      </c>
      <c r="FX53">
        <v>0</v>
      </c>
      <c r="FY53">
        <v>0</v>
      </c>
      <c r="GA53" t="s">
        <v>3</v>
      </c>
      <c r="GD53">
        <v>1</v>
      </c>
      <c r="GF53">
        <v>1719553039</v>
      </c>
      <c r="GG53">
        <v>2</v>
      </c>
      <c r="GH53">
        <v>1</v>
      </c>
      <c r="GI53">
        <v>-2</v>
      </c>
      <c r="GJ53">
        <v>2</v>
      </c>
      <c r="GK53">
        <v>0</v>
      </c>
      <c r="GL53">
        <f t="shared" si="24"/>
        <v>0</v>
      </c>
      <c r="GM53">
        <f>ROUND(CP53*I53,2)</f>
        <v>529.73</v>
      </c>
      <c r="GN53">
        <f>IF(OR(BI53=0,BI53=1),ROUND(CP53*I53,2),0)</f>
        <v>529.73</v>
      </c>
      <c r="GO53">
        <f>IF(BI53=2,ROUND(CP53*I53,2),0)</f>
        <v>0</v>
      </c>
      <c r="GP53">
        <f>IF(BI53=4,ROUND(CP53*I53,2)+GX53,0)</f>
        <v>0</v>
      </c>
      <c r="GR53">
        <v>0</v>
      </c>
      <c r="GS53">
        <v>3</v>
      </c>
      <c r="GT53">
        <v>0</v>
      </c>
      <c r="GU53" t="s">
        <v>3</v>
      </c>
      <c r="GV53">
        <f>0</f>
        <v>0</v>
      </c>
      <c r="GW53">
        <v>1</v>
      </c>
      <c r="GX53">
        <f>0</f>
        <v>0</v>
      </c>
      <c r="HA53">
        <v>0</v>
      </c>
      <c r="HB53">
        <v>0</v>
      </c>
      <c r="HC53">
        <v>0</v>
      </c>
      <c r="IK53">
        <v>0</v>
      </c>
    </row>
    <row r="54" spans="1:245" x14ac:dyDescent="0.2">
      <c r="A54">
        <v>17</v>
      </c>
      <c r="B54">
        <v>1</v>
      </c>
      <c r="E54" t="s">
        <v>169</v>
      </c>
      <c r="F54" t="s">
        <v>170</v>
      </c>
      <c r="G54" t="s">
        <v>171</v>
      </c>
      <c r="H54" t="s">
        <v>96</v>
      </c>
      <c r="I54">
        <f>ROUND(19.74+0.53,9)</f>
        <v>20.27</v>
      </c>
      <c r="J54">
        <v>0</v>
      </c>
      <c r="O54">
        <f t="shared" ref="O54:O63" si="63">ROUND(CP54,2)</f>
        <v>13479.55</v>
      </c>
      <c r="P54">
        <f t="shared" ref="P54:P63" si="64">ROUND(CQ54*I54,2)</f>
        <v>13479.55</v>
      </c>
      <c r="Q54">
        <f t="shared" ref="Q54:Q63" si="65">ROUND(CR54*I54,2)</f>
        <v>0</v>
      </c>
      <c r="R54">
        <f t="shared" ref="R54:R63" si="66">ROUND(CS54*I54,2)</f>
        <v>0</v>
      </c>
      <c r="S54">
        <f t="shared" ref="S54:S63" si="67">ROUND(CT54*I54,2)</f>
        <v>0</v>
      </c>
      <c r="T54">
        <f t="shared" ref="T54:T63" si="68">ROUND(CU54*I54,2)</f>
        <v>0</v>
      </c>
      <c r="U54">
        <f t="shared" ref="U54:U63" si="69">CV54*I54</f>
        <v>0</v>
      </c>
      <c r="V54">
        <f t="shared" ref="V54:V63" si="70">CW54*I54</f>
        <v>0</v>
      </c>
      <c r="W54">
        <f t="shared" ref="W54:W63" si="71">ROUND(CX54*I54,2)</f>
        <v>0</v>
      </c>
      <c r="X54">
        <f t="shared" ref="X54:X63" si="72">ROUND(CY54,2)</f>
        <v>0</v>
      </c>
      <c r="Y54">
        <f t="shared" ref="Y54:Y63" si="73">ROUND(CZ54,2)</f>
        <v>0</v>
      </c>
      <c r="AA54">
        <v>47631607</v>
      </c>
      <c r="AB54">
        <f t="shared" ref="AB54:AB63" si="74">ROUND((AC54+AD54+AF54),6)</f>
        <v>665</v>
      </c>
      <c r="AC54">
        <f t="shared" ref="AC54:AC63" si="75">ROUND((ES54),6)</f>
        <v>665</v>
      </c>
      <c r="AD54">
        <f t="shared" ref="AD54:AD63" si="76">ROUND((((ET54)-(EU54))+AE54),6)</f>
        <v>0</v>
      </c>
      <c r="AE54">
        <f t="shared" ref="AE54:AE63" si="77">ROUND((EU54),6)</f>
        <v>0</v>
      </c>
      <c r="AF54">
        <f t="shared" ref="AF54:AF63" si="78">ROUND((EV54),6)</f>
        <v>0</v>
      </c>
      <c r="AG54">
        <f t="shared" ref="AG54:AG63" si="79">ROUND((AP54),6)</f>
        <v>0</v>
      </c>
      <c r="AH54">
        <f t="shared" ref="AH54:AH63" si="80">(EW54)</f>
        <v>0</v>
      </c>
      <c r="AI54">
        <f t="shared" ref="AI54:AI63" si="81">(EX54)</f>
        <v>0</v>
      </c>
      <c r="AJ54">
        <f t="shared" ref="AJ54:AJ63" si="82">(AS54)</f>
        <v>0</v>
      </c>
      <c r="AK54">
        <v>665</v>
      </c>
      <c r="AL54">
        <v>665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1.06</v>
      </c>
      <c r="AW54">
        <v>1.06</v>
      </c>
      <c r="AZ54">
        <v>1</v>
      </c>
      <c r="BA54">
        <v>1</v>
      </c>
      <c r="BB54">
        <v>1</v>
      </c>
      <c r="BC54">
        <v>1</v>
      </c>
      <c r="BD54" t="s">
        <v>3</v>
      </c>
      <c r="BE54" t="s">
        <v>3</v>
      </c>
      <c r="BF54" t="s">
        <v>3</v>
      </c>
      <c r="BG54" t="s">
        <v>3</v>
      </c>
      <c r="BH54">
        <v>3</v>
      </c>
      <c r="BI54">
        <v>1</v>
      </c>
      <c r="BJ54" t="s">
        <v>172</v>
      </c>
      <c r="BM54">
        <v>500001</v>
      </c>
      <c r="BN54">
        <v>0</v>
      </c>
      <c r="BO54" t="s">
        <v>3</v>
      </c>
      <c r="BP54">
        <v>0</v>
      </c>
      <c r="BQ54">
        <v>8</v>
      </c>
      <c r="BR54">
        <v>0</v>
      </c>
      <c r="BS54">
        <v>1</v>
      </c>
      <c r="BT54">
        <v>1</v>
      </c>
      <c r="BU54">
        <v>1</v>
      </c>
      <c r="BV54">
        <v>1</v>
      </c>
      <c r="BW54">
        <v>1</v>
      </c>
      <c r="BX54">
        <v>1</v>
      </c>
      <c r="BY54" t="s">
        <v>3</v>
      </c>
      <c r="BZ54">
        <v>0</v>
      </c>
      <c r="CA54">
        <v>0</v>
      </c>
      <c r="CE54">
        <v>0</v>
      </c>
      <c r="CF54">
        <v>0</v>
      </c>
      <c r="CG54">
        <v>0</v>
      </c>
      <c r="CM54">
        <v>0</v>
      </c>
      <c r="CN54" t="s">
        <v>3</v>
      </c>
      <c r="CO54">
        <v>0</v>
      </c>
      <c r="CP54">
        <f t="shared" ref="CP54:CP63" si="83">(P54+Q54+S54)</f>
        <v>13479.55</v>
      </c>
      <c r="CQ54">
        <f t="shared" ref="CQ54:CQ63" si="84">AC54*BC54</f>
        <v>665</v>
      </c>
      <c r="CR54">
        <f t="shared" ref="CR54:CR63" si="85">AD54*BB54</f>
        <v>0</v>
      </c>
      <c r="CS54">
        <f t="shared" ref="CS54:CS63" si="86">AE54*BS54</f>
        <v>0</v>
      </c>
      <c r="CT54">
        <f t="shared" ref="CT54:CT63" si="87">AF54*BA54</f>
        <v>0</v>
      </c>
      <c r="CU54">
        <f t="shared" ref="CU54:CU63" si="88">AG54</f>
        <v>0</v>
      </c>
      <c r="CV54">
        <f t="shared" ref="CV54:CV63" si="89">AH54</f>
        <v>0</v>
      </c>
      <c r="CW54">
        <f t="shared" ref="CW54:CW63" si="90">AI54</f>
        <v>0</v>
      </c>
      <c r="CX54">
        <f t="shared" ref="CX54:CX63" si="91">AJ54</f>
        <v>0</v>
      </c>
      <c r="CY54">
        <f t="shared" ref="CY54:CY63" si="92">(((S54+R54)*AT54)/100)</f>
        <v>0</v>
      </c>
      <c r="CZ54">
        <f t="shared" ref="CZ54:CZ63" si="93">(((S54+R54)*AU54)/100)</f>
        <v>0</v>
      </c>
      <c r="DC54" t="s">
        <v>3</v>
      </c>
      <c r="DD54" t="s">
        <v>3</v>
      </c>
      <c r="DE54" t="s">
        <v>3</v>
      </c>
      <c r="DF54" t="s">
        <v>3</v>
      </c>
      <c r="DG54" t="s">
        <v>3</v>
      </c>
      <c r="DH54" t="s">
        <v>3</v>
      </c>
      <c r="DI54" t="s">
        <v>3</v>
      </c>
      <c r="DJ54" t="s">
        <v>3</v>
      </c>
      <c r="DK54" t="s">
        <v>3</v>
      </c>
      <c r="DL54" t="s">
        <v>3</v>
      </c>
      <c r="DM54" t="s">
        <v>3</v>
      </c>
      <c r="DN54">
        <v>0</v>
      </c>
      <c r="DO54">
        <v>0</v>
      </c>
      <c r="DP54">
        <v>1</v>
      </c>
      <c r="DQ54">
        <v>1</v>
      </c>
      <c r="DU54">
        <v>1007</v>
      </c>
      <c r="DV54" t="s">
        <v>96</v>
      </c>
      <c r="DW54" t="s">
        <v>96</v>
      </c>
      <c r="DX54">
        <v>1</v>
      </c>
      <c r="EE54">
        <v>45919503</v>
      </c>
      <c r="EF54">
        <v>8</v>
      </c>
      <c r="EG54" t="s">
        <v>16</v>
      </c>
      <c r="EH54">
        <v>0</v>
      </c>
      <c r="EI54" t="s">
        <v>3</v>
      </c>
      <c r="EJ54">
        <v>1</v>
      </c>
      <c r="EK54">
        <v>500001</v>
      </c>
      <c r="EL54" t="s">
        <v>173</v>
      </c>
      <c r="EM54" t="s">
        <v>174</v>
      </c>
      <c r="EO54" t="s">
        <v>3</v>
      </c>
      <c r="EQ54">
        <v>0</v>
      </c>
      <c r="ER54">
        <v>665</v>
      </c>
      <c r="ES54">
        <v>665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FQ54">
        <v>0</v>
      </c>
      <c r="FR54">
        <f t="shared" si="23"/>
        <v>0</v>
      </c>
      <c r="FS54">
        <v>0</v>
      </c>
      <c r="FX54">
        <v>0</v>
      </c>
      <c r="FY54">
        <v>0</v>
      </c>
      <c r="GA54" t="s">
        <v>3</v>
      </c>
      <c r="GD54">
        <v>1</v>
      </c>
      <c r="GF54">
        <v>455679834</v>
      </c>
      <c r="GG54">
        <v>2</v>
      </c>
      <c r="GH54">
        <v>1</v>
      </c>
      <c r="GI54">
        <v>-2</v>
      </c>
      <c r="GJ54">
        <v>0</v>
      </c>
      <c r="GK54">
        <v>0</v>
      </c>
      <c r="GL54">
        <f t="shared" si="24"/>
        <v>0</v>
      </c>
      <c r="GM54">
        <f t="shared" ref="GM54:GM63" si="94">ROUND(O54+X54+Y54,2)+GX54</f>
        <v>13479.55</v>
      </c>
      <c r="GN54">
        <f t="shared" ref="GN54:GN63" si="95">IF(OR(BI54=0,BI54=1),ROUND(O54+X54+Y54,2),0)</f>
        <v>13479.55</v>
      </c>
      <c r="GO54">
        <f t="shared" ref="GO54:GO63" si="96">IF(BI54=2,ROUND(O54+X54+Y54,2),0)</f>
        <v>0</v>
      </c>
      <c r="GP54">
        <f t="shared" ref="GP54:GP63" si="97">IF(BI54=4,ROUND(O54+X54+Y54,2)+GX54,0)</f>
        <v>0</v>
      </c>
      <c r="GR54">
        <v>0</v>
      </c>
      <c r="GS54">
        <v>3</v>
      </c>
      <c r="GT54">
        <v>0</v>
      </c>
      <c r="GU54" t="s">
        <v>3</v>
      </c>
      <c r="GV54">
        <f t="shared" ref="GV54:GV63" si="98">ROUND((GT54),6)</f>
        <v>0</v>
      </c>
      <c r="GW54">
        <v>1</v>
      </c>
      <c r="GX54">
        <f t="shared" ref="GX54:GX63" si="99">ROUND(HC54*I54,2)</f>
        <v>0</v>
      </c>
      <c r="HA54">
        <v>0</v>
      </c>
      <c r="HB54">
        <v>0</v>
      </c>
      <c r="HC54">
        <f t="shared" ref="HC54:HC63" si="100">GV54*GW54</f>
        <v>0</v>
      </c>
      <c r="IK54">
        <v>0</v>
      </c>
    </row>
    <row r="55" spans="1:245" x14ac:dyDescent="0.2">
      <c r="A55">
        <v>17</v>
      </c>
      <c r="B55">
        <v>1</v>
      </c>
      <c r="E55" t="s">
        <v>175</v>
      </c>
      <c r="F55" t="s">
        <v>176</v>
      </c>
      <c r="G55" t="s">
        <v>177</v>
      </c>
      <c r="H55" t="s">
        <v>32</v>
      </c>
      <c r="I55">
        <f>ROUND(6.502,9)</f>
        <v>6.5019999999999998</v>
      </c>
      <c r="J55">
        <v>0</v>
      </c>
      <c r="O55">
        <f t="shared" si="63"/>
        <v>45697.23</v>
      </c>
      <c r="P55">
        <f t="shared" si="64"/>
        <v>45697.23</v>
      </c>
      <c r="Q55">
        <f t="shared" si="65"/>
        <v>0</v>
      </c>
      <c r="R55">
        <f t="shared" si="66"/>
        <v>0</v>
      </c>
      <c r="S55">
        <f t="shared" si="67"/>
        <v>0</v>
      </c>
      <c r="T55">
        <f t="shared" si="68"/>
        <v>0</v>
      </c>
      <c r="U55">
        <f t="shared" si="69"/>
        <v>0</v>
      </c>
      <c r="V55">
        <f t="shared" si="70"/>
        <v>0</v>
      </c>
      <c r="W55">
        <f t="shared" si="71"/>
        <v>0</v>
      </c>
      <c r="X55">
        <f t="shared" si="72"/>
        <v>0</v>
      </c>
      <c r="Y55">
        <f t="shared" si="73"/>
        <v>0</v>
      </c>
      <c r="AA55">
        <v>47631607</v>
      </c>
      <c r="AB55">
        <f t="shared" si="74"/>
        <v>7028.18</v>
      </c>
      <c r="AC55">
        <f t="shared" si="75"/>
        <v>7028.18</v>
      </c>
      <c r="AD55">
        <f t="shared" si="76"/>
        <v>0</v>
      </c>
      <c r="AE55">
        <f t="shared" si="77"/>
        <v>0</v>
      </c>
      <c r="AF55">
        <f t="shared" si="78"/>
        <v>0</v>
      </c>
      <c r="AG55">
        <f t="shared" si="79"/>
        <v>0</v>
      </c>
      <c r="AH55">
        <f t="shared" si="80"/>
        <v>0</v>
      </c>
      <c r="AI55">
        <f t="shared" si="81"/>
        <v>0</v>
      </c>
      <c r="AJ55">
        <f t="shared" si="82"/>
        <v>0</v>
      </c>
      <c r="AK55">
        <v>7028.18</v>
      </c>
      <c r="AL55">
        <v>7028.18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1.06</v>
      </c>
      <c r="AW55">
        <v>1.06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178</v>
      </c>
      <c r="BM55">
        <v>500001</v>
      </c>
      <c r="BN55">
        <v>0</v>
      </c>
      <c r="BO55" t="s">
        <v>3</v>
      </c>
      <c r="BP55">
        <v>0</v>
      </c>
      <c r="BQ55">
        <v>8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0</v>
      </c>
      <c r="CA55">
        <v>0</v>
      </c>
      <c r="CE55">
        <v>0</v>
      </c>
      <c r="CF55">
        <v>0</v>
      </c>
      <c r="CG55">
        <v>0</v>
      </c>
      <c r="CM55">
        <v>0</v>
      </c>
      <c r="CN55" t="s">
        <v>3</v>
      </c>
      <c r="CO55">
        <v>0</v>
      </c>
      <c r="CP55">
        <f t="shared" si="83"/>
        <v>45697.23</v>
      </c>
      <c r="CQ55">
        <f t="shared" si="84"/>
        <v>7028.18</v>
      </c>
      <c r="CR55">
        <f t="shared" si="85"/>
        <v>0</v>
      </c>
      <c r="CS55">
        <f t="shared" si="86"/>
        <v>0</v>
      </c>
      <c r="CT55">
        <f t="shared" si="87"/>
        <v>0</v>
      </c>
      <c r="CU55">
        <f t="shared" si="88"/>
        <v>0</v>
      </c>
      <c r="CV55">
        <f t="shared" si="89"/>
        <v>0</v>
      </c>
      <c r="CW55">
        <f t="shared" si="90"/>
        <v>0</v>
      </c>
      <c r="CX55">
        <f t="shared" si="91"/>
        <v>0</v>
      </c>
      <c r="CY55">
        <f t="shared" si="92"/>
        <v>0</v>
      </c>
      <c r="CZ55">
        <f t="shared" si="93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1009</v>
      </c>
      <c r="DV55" t="s">
        <v>32</v>
      </c>
      <c r="DW55" t="s">
        <v>32</v>
      </c>
      <c r="DX55">
        <v>1000</v>
      </c>
      <c r="EE55">
        <v>45919503</v>
      </c>
      <c r="EF55">
        <v>8</v>
      </c>
      <c r="EG55" t="s">
        <v>16</v>
      </c>
      <c r="EH55">
        <v>0</v>
      </c>
      <c r="EI55" t="s">
        <v>3</v>
      </c>
      <c r="EJ55">
        <v>1</v>
      </c>
      <c r="EK55">
        <v>500001</v>
      </c>
      <c r="EL55" t="s">
        <v>173</v>
      </c>
      <c r="EM55" t="s">
        <v>174</v>
      </c>
      <c r="EO55" t="s">
        <v>3</v>
      </c>
      <c r="EQ55">
        <v>0</v>
      </c>
      <c r="ER55">
        <v>7028.18</v>
      </c>
      <c r="ES55">
        <v>7028.18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FQ55">
        <v>0</v>
      </c>
      <c r="FR55">
        <f t="shared" si="23"/>
        <v>0</v>
      </c>
      <c r="FS55">
        <v>0</v>
      </c>
      <c r="FX55">
        <v>0</v>
      </c>
      <c r="FY55">
        <v>0</v>
      </c>
      <c r="GA55" t="s">
        <v>3</v>
      </c>
      <c r="GD55">
        <v>1</v>
      </c>
      <c r="GF55">
        <v>-1540357215</v>
      </c>
      <c r="GG55">
        <v>2</v>
      </c>
      <c r="GH55">
        <v>1</v>
      </c>
      <c r="GI55">
        <v>-2</v>
      </c>
      <c r="GJ55">
        <v>0</v>
      </c>
      <c r="GK55">
        <v>0</v>
      </c>
      <c r="GL55">
        <f t="shared" si="24"/>
        <v>0</v>
      </c>
      <c r="GM55">
        <f t="shared" si="94"/>
        <v>45697.23</v>
      </c>
      <c r="GN55">
        <f t="shared" si="95"/>
        <v>45697.23</v>
      </c>
      <c r="GO55">
        <f t="shared" si="96"/>
        <v>0</v>
      </c>
      <c r="GP55">
        <f t="shared" si="97"/>
        <v>0</v>
      </c>
      <c r="GR55">
        <v>0</v>
      </c>
      <c r="GS55">
        <v>3</v>
      </c>
      <c r="GT55">
        <v>0</v>
      </c>
      <c r="GU55" t="s">
        <v>3</v>
      </c>
      <c r="GV55">
        <f t="shared" si="98"/>
        <v>0</v>
      </c>
      <c r="GW55">
        <v>1</v>
      </c>
      <c r="GX55">
        <f t="shared" si="99"/>
        <v>0</v>
      </c>
      <c r="HA55">
        <v>0</v>
      </c>
      <c r="HB55">
        <v>0</v>
      </c>
      <c r="HC55">
        <f t="shared" si="100"/>
        <v>0</v>
      </c>
      <c r="IK55">
        <v>0</v>
      </c>
    </row>
    <row r="56" spans="1:245" x14ac:dyDescent="0.2">
      <c r="A56">
        <v>17</v>
      </c>
      <c r="B56">
        <v>1</v>
      </c>
      <c r="E56" t="s">
        <v>179</v>
      </c>
      <c r="F56" t="s">
        <v>180</v>
      </c>
      <c r="G56" t="s">
        <v>181</v>
      </c>
      <c r="H56" t="s">
        <v>32</v>
      </c>
      <c r="I56">
        <v>0.114</v>
      </c>
      <c r="J56">
        <v>0</v>
      </c>
      <c r="O56">
        <f t="shared" si="63"/>
        <v>760.6</v>
      </c>
      <c r="P56">
        <f t="shared" si="64"/>
        <v>760.6</v>
      </c>
      <c r="Q56">
        <f t="shared" si="65"/>
        <v>0</v>
      </c>
      <c r="R56">
        <f t="shared" si="66"/>
        <v>0</v>
      </c>
      <c r="S56">
        <f t="shared" si="67"/>
        <v>0</v>
      </c>
      <c r="T56">
        <f t="shared" si="68"/>
        <v>0</v>
      </c>
      <c r="U56">
        <f t="shared" si="69"/>
        <v>0</v>
      </c>
      <c r="V56">
        <f t="shared" si="70"/>
        <v>0</v>
      </c>
      <c r="W56">
        <f t="shared" si="71"/>
        <v>0</v>
      </c>
      <c r="X56">
        <f t="shared" si="72"/>
        <v>0</v>
      </c>
      <c r="Y56">
        <f t="shared" si="73"/>
        <v>0</v>
      </c>
      <c r="AA56">
        <v>47631607</v>
      </c>
      <c r="AB56">
        <f t="shared" si="74"/>
        <v>6671.97</v>
      </c>
      <c r="AC56">
        <f t="shared" si="75"/>
        <v>6671.97</v>
      </c>
      <c r="AD56">
        <f t="shared" si="76"/>
        <v>0</v>
      </c>
      <c r="AE56">
        <f t="shared" si="77"/>
        <v>0</v>
      </c>
      <c r="AF56">
        <f t="shared" si="78"/>
        <v>0</v>
      </c>
      <c r="AG56">
        <f t="shared" si="79"/>
        <v>0</v>
      </c>
      <c r="AH56">
        <f t="shared" si="80"/>
        <v>0</v>
      </c>
      <c r="AI56">
        <f t="shared" si="81"/>
        <v>0</v>
      </c>
      <c r="AJ56">
        <f t="shared" si="82"/>
        <v>0</v>
      </c>
      <c r="AK56">
        <v>6671.97</v>
      </c>
      <c r="AL56">
        <v>6671.97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1.06</v>
      </c>
      <c r="AW56">
        <v>1.06</v>
      </c>
      <c r="AZ56">
        <v>1</v>
      </c>
      <c r="BA56">
        <v>1</v>
      </c>
      <c r="BB56">
        <v>1</v>
      </c>
      <c r="BC56">
        <v>1</v>
      </c>
      <c r="BD56" t="s">
        <v>3</v>
      </c>
      <c r="BE56" t="s">
        <v>3</v>
      </c>
      <c r="BF56" t="s">
        <v>3</v>
      </c>
      <c r="BG56" t="s">
        <v>3</v>
      </c>
      <c r="BH56">
        <v>3</v>
      </c>
      <c r="BI56">
        <v>1</v>
      </c>
      <c r="BJ56" t="s">
        <v>182</v>
      </c>
      <c r="BM56">
        <v>500001</v>
      </c>
      <c r="BN56">
        <v>0</v>
      </c>
      <c r="BO56" t="s">
        <v>3</v>
      </c>
      <c r="BP56">
        <v>0</v>
      </c>
      <c r="BQ56">
        <v>8</v>
      </c>
      <c r="BR56">
        <v>0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 t="s">
        <v>3</v>
      </c>
      <c r="BZ56">
        <v>0</v>
      </c>
      <c r="CA56">
        <v>0</v>
      </c>
      <c r="CE56">
        <v>0</v>
      </c>
      <c r="CF56">
        <v>0</v>
      </c>
      <c r="CG56">
        <v>0</v>
      </c>
      <c r="CM56">
        <v>0</v>
      </c>
      <c r="CN56" t="s">
        <v>3</v>
      </c>
      <c r="CO56">
        <v>0</v>
      </c>
      <c r="CP56">
        <f t="shared" si="83"/>
        <v>760.6</v>
      </c>
      <c r="CQ56">
        <f t="shared" si="84"/>
        <v>6671.97</v>
      </c>
      <c r="CR56">
        <f t="shared" si="85"/>
        <v>0</v>
      </c>
      <c r="CS56">
        <f t="shared" si="86"/>
        <v>0</v>
      </c>
      <c r="CT56">
        <f t="shared" si="87"/>
        <v>0</v>
      </c>
      <c r="CU56">
        <f t="shared" si="88"/>
        <v>0</v>
      </c>
      <c r="CV56">
        <f t="shared" si="89"/>
        <v>0</v>
      </c>
      <c r="CW56">
        <f t="shared" si="90"/>
        <v>0</v>
      </c>
      <c r="CX56">
        <f t="shared" si="91"/>
        <v>0</v>
      </c>
      <c r="CY56">
        <f t="shared" si="92"/>
        <v>0</v>
      </c>
      <c r="CZ56">
        <f t="shared" si="93"/>
        <v>0</v>
      </c>
      <c r="DC56" t="s">
        <v>3</v>
      </c>
      <c r="DD56" t="s">
        <v>3</v>
      </c>
      <c r="DE56" t="s">
        <v>3</v>
      </c>
      <c r="DF56" t="s">
        <v>3</v>
      </c>
      <c r="DG56" t="s">
        <v>3</v>
      </c>
      <c r="DH56" t="s">
        <v>3</v>
      </c>
      <c r="DI56" t="s">
        <v>3</v>
      </c>
      <c r="DJ56" t="s">
        <v>3</v>
      </c>
      <c r="DK56" t="s">
        <v>3</v>
      </c>
      <c r="DL56" t="s">
        <v>3</v>
      </c>
      <c r="DM56" t="s">
        <v>3</v>
      </c>
      <c r="DN56">
        <v>0</v>
      </c>
      <c r="DO56">
        <v>0</v>
      </c>
      <c r="DP56">
        <v>1</v>
      </c>
      <c r="DQ56">
        <v>1</v>
      </c>
      <c r="DU56">
        <v>1009</v>
      </c>
      <c r="DV56" t="s">
        <v>32</v>
      </c>
      <c r="DW56" t="s">
        <v>32</v>
      </c>
      <c r="DX56">
        <v>1000</v>
      </c>
      <c r="EE56">
        <v>45919503</v>
      </c>
      <c r="EF56">
        <v>8</v>
      </c>
      <c r="EG56" t="s">
        <v>16</v>
      </c>
      <c r="EH56">
        <v>0</v>
      </c>
      <c r="EI56" t="s">
        <v>3</v>
      </c>
      <c r="EJ56">
        <v>1</v>
      </c>
      <c r="EK56">
        <v>500001</v>
      </c>
      <c r="EL56" t="s">
        <v>173</v>
      </c>
      <c r="EM56" t="s">
        <v>174</v>
      </c>
      <c r="EO56" t="s">
        <v>3</v>
      </c>
      <c r="EQ56">
        <v>0</v>
      </c>
      <c r="ER56">
        <v>6671.97</v>
      </c>
      <c r="ES56">
        <v>6671.97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FQ56">
        <v>0</v>
      </c>
      <c r="FR56">
        <f t="shared" si="23"/>
        <v>0</v>
      </c>
      <c r="FS56">
        <v>0</v>
      </c>
      <c r="FX56">
        <v>0</v>
      </c>
      <c r="FY56">
        <v>0</v>
      </c>
      <c r="GA56" t="s">
        <v>3</v>
      </c>
      <c r="GD56">
        <v>1</v>
      </c>
      <c r="GF56">
        <v>1974734235</v>
      </c>
      <c r="GG56">
        <v>2</v>
      </c>
      <c r="GH56">
        <v>1</v>
      </c>
      <c r="GI56">
        <v>-2</v>
      </c>
      <c r="GJ56">
        <v>0</v>
      </c>
      <c r="GK56">
        <v>0</v>
      </c>
      <c r="GL56">
        <f t="shared" si="24"/>
        <v>0</v>
      </c>
      <c r="GM56">
        <f t="shared" si="94"/>
        <v>760.6</v>
      </c>
      <c r="GN56">
        <f t="shared" si="95"/>
        <v>760.6</v>
      </c>
      <c r="GO56">
        <f t="shared" si="96"/>
        <v>0</v>
      </c>
      <c r="GP56">
        <f t="shared" si="97"/>
        <v>0</v>
      </c>
      <c r="GR56">
        <v>0</v>
      </c>
      <c r="GS56">
        <v>3</v>
      </c>
      <c r="GT56">
        <v>0</v>
      </c>
      <c r="GU56" t="s">
        <v>3</v>
      </c>
      <c r="GV56">
        <f t="shared" si="98"/>
        <v>0</v>
      </c>
      <c r="GW56">
        <v>1</v>
      </c>
      <c r="GX56">
        <f t="shared" si="99"/>
        <v>0</v>
      </c>
      <c r="HA56">
        <v>0</v>
      </c>
      <c r="HB56">
        <v>0</v>
      </c>
      <c r="HC56">
        <f t="shared" si="100"/>
        <v>0</v>
      </c>
      <c r="IK56">
        <v>0</v>
      </c>
    </row>
    <row r="57" spans="1:245" x14ac:dyDescent="0.2">
      <c r="A57">
        <v>17</v>
      </c>
      <c r="B57">
        <v>1</v>
      </c>
      <c r="E57" t="s">
        <v>183</v>
      </c>
      <c r="F57" t="s">
        <v>184</v>
      </c>
      <c r="G57" t="s">
        <v>185</v>
      </c>
      <c r="H57" t="s">
        <v>186</v>
      </c>
      <c r="I57">
        <v>6</v>
      </c>
      <c r="J57">
        <v>0</v>
      </c>
      <c r="O57">
        <f t="shared" si="63"/>
        <v>72</v>
      </c>
      <c r="P57">
        <f t="shared" si="64"/>
        <v>72</v>
      </c>
      <c r="Q57">
        <f t="shared" si="65"/>
        <v>0</v>
      </c>
      <c r="R57">
        <f t="shared" si="66"/>
        <v>0</v>
      </c>
      <c r="S57">
        <f t="shared" si="67"/>
        <v>0</v>
      </c>
      <c r="T57">
        <f t="shared" si="68"/>
        <v>0</v>
      </c>
      <c r="U57">
        <f t="shared" si="69"/>
        <v>0</v>
      </c>
      <c r="V57">
        <f t="shared" si="70"/>
        <v>0</v>
      </c>
      <c r="W57">
        <f t="shared" si="71"/>
        <v>0</v>
      </c>
      <c r="X57">
        <f t="shared" si="72"/>
        <v>0</v>
      </c>
      <c r="Y57">
        <f t="shared" si="73"/>
        <v>0</v>
      </c>
      <c r="AA57">
        <v>47631607</v>
      </c>
      <c r="AB57">
        <f t="shared" si="74"/>
        <v>12</v>
      </c>
      <c r="AC57">
        <f t="shared" si="75"/>
        <v>12</v>
      </c>
      <c r="AD57">
        <f t="shared" si="76"/>
        <v>0</v>
      </c>
      <c r="AE57">
        <f t="shared" si="77"/>
        <v>0</v>
      </c>
      <c r="AF57">
        <f t="shared" si="78"/>
        <v>0</v>
      </c>
      <c r="AG57">
        <f t="shared" si="79"/>
        <v>0</v>
      </c>
      <c r="AH57">
        <f t="shared" si="80"/>
        <v>0</v>
      </c>
      <c r="AI57">
        <f t="shared" si="81"/>
        <v>0</v>
      </c>
      <c r="AJ57">
        <f t="shared" si="82"/>
        <v>0</v>
      </c>
      <c r="AK57">
        <v>12</v>
      </c>
      <c r="AL57">
        <v>12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1.06</v>
      </c>
      <c r="AW57">
        <v>1.06</v>
      </c>
      <c r="AZ57">
        <v>1</v>
      </c>
      <c r="BA57">
        <v>1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187</v>
      </c>
      <c r="BM57">
        <v>500001</v>
      </c>
      <c r="BN57">
        <v>0</v>
      </c>
      <c r="BO57" t="s">
        <v>3</v>
      </c>
      <c r="BP57">
        <v>0</v>
      </c>
      <c r="BQ57">
        <v>8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0</v>
      </c>
      <c r="CA57">
        <v>0</v>
      </c>
      <c r="CE57">
        <v>0</v>
      </c>
      <c r="CF57">
        <v>0</v>
      </c>
      <c r="CG57">
        <v>0</v>
      </c>
      <c r="CM57">
        <v>0</v>
      </c>
      <c r="CN57" t="s">
        <v>3</v>
      </c>
      <c r="CO57">
        <v>0</v>
      </c>
      <c r="CP57">
        <f t="shared" si="83"/>
        <v>72</v>
      </c>
      <c r="CQ57">
        <f t="shared" si="84"/>
        <v>12</v>
      </c>
      <c r="CR57">
        <f t="shared" si="85"/>
        <v>0</v>
      </c>
      <c r="CS57">
        <f t="shared" si="86"/>
        <v>0</v>
      </c>
      <c r="CT57">
        <f t="shared" si="87"/>
        <v>0</v>
      </c>
      <c r="CU57">
        <f t="shared" si="88"/>
        <v>0</v>
      </c>
      <c r="CV57">
        <f t="shared" si="89"/>
        <v>0</v>
      </c>
      <c r="CW57">
        <f t="shared" si="90"/>
        <v>0</v>
      </c>
      <c r="CX57">
        <f t="shared" si="91"/>
        <v>0</v>
      </c>
      <c r="CY57">
        <f t="shared" si="92"/>
        <v>0</v>
      </c>
      <c r="CZ57">
        <f t="shared" si="93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1010</v>
      </c>
      <c r="DV57" t="s">
        <v>186</v>
      </c>
      <c r="DW57" t="s">
        <v>186</v>
      </c>
      <c r="DX57">
        <v>1</v>
      </c>
      <c r="EE57">
        <v>45919503</v>
      </c>
      <c r="EF57">
        <v>8</v>
      </c>
      <c r="EG57" t="s">
        <v>16</v>
      </c>
      <c r="EH57">
        <v>0</v>
      </c>
      <c r="EI57" t="s">
        <v>3</v>
      </c>
      <c r="EJ57">
        <v>1</v>
      </c>
      <c r="EK57">
        <v>500001</v>
      </c>
      <c r="EL57" t="s">
        <v>173</v>
      </c>
      <c r="EM57" t="s">
        <v>174</v>
      </c>
      <c r="EO57" t="s">
        <v>3</v>
      </c>
      <c r="EQ57">
        <v>0</v>
      </c>
      <c r="ER57">
        <v>12</v>
      </c>
      <c r="ES57">
        <v>12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0</v>
      </c>
      <c r="FQ57">
        <v>0</v>
      </c>
      <c r="FR57">
        <f t="shared" si="23"/>
        <v>0</v>
      </c>
      <c r="FS57">
        <v>0</v>
      </c>
      <c r="FX57">
        <v>0</v>
      </c>
      <c r="FY57">
        <v>0</v>
      </c>
      <c r="GA57" t="s">
        <v>3</v>
      </c>
      <c r="GD57">
        <v>1</v>
      </c>
      <c r="GF57">
        <v>-550193002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t="shared" si="24"/>
        <v>0</v>
      </c>
      <c r="GM57">
        <f t="shared" si="94"/>
        <v>72</v>
      </c>
      <c r="GN57">
        <f t="shared" si="95"/>
        <v>72</v>
      </c>
      <c r="GO57">
        <f t="shared" si="96"/>
        <v>0</v>
      </c>
      <c r="GP57">
        <f t="shared" si="97"/>
        <v>0</v>
      </c>
      <c r="GR57">
        <v>0</v>
      </c>
      <c r="GS57">
        <v>3</v>
      </c>
      <c r="GT57">
        <v>0</v>
      </c>
      <c r="GU57" t="s">
        <v>3</v>
      </c>
      <c r="GV57">
        <f t="shared" si="98"/>
        <v>0</v>
      </c>
      <c r="GW57">
        <v>1</v>
      </c>
      <c r="GX57">
        <f t="shared" si="99"/>
        <v>0</v>
      </c>
      <c r="HA57">
        <v>0</v>
      </c>
      <c r="HB57">
        <v>0</v>
      </c>
      <c r="HC57">
        <f t="shared" si="100"/>
        <v>0</v>
      </c>
      <c r="IK57">
        <v>0</v>
      </c>
    </row>
    <row r="58" spans="1:245" x14ac:dyDescent="0.2">
      <c r="A58">
        <v>17</v>
      </c>
      <c r="B58">
        <v>1</v>
      </c>
      <c r="E58" t="s">
        <v>188</v>
      </c>
      <c r="F58" t="s">
        <v>189</v>
      </c>
      <c r="G58" t="s">
        <v>190</v>
      </c>
      <c r="H58" t="s">
        <v>32</v>
      </c>
      <c r="I58">
        <f>ROUND(15498.03/1000,9)</f>
        <v>15.49803</v>
      </c>
      <c r="J58">
        <v>0</v>
      </c>
      <c r="O58">
        <f t="shared" si="63"/>
        <v>155693.21</v>
      </c>
      <c r="P58">
        <f t="shared" si="64"/>
        <v>155693.21</v>
      </c>
      <c r="Q58">
        <f t="shared" si="65"/>
        <v>0</v>
      </c>
      <c r="R58">
        <f t="shared" si="66"/>
        <v>0</v>
      </c>
      <c r="S58">
        <f t="shared" si="67"/>
        <v>0</v>
      </c>
      <c r="T58">
        <f t="shared" si="68"/>
        <v>0</v>
      </c>
      <c r="U58">
        <f t="shared" si="69"/>
        <v>0</v>
      </c>
      <c r="V58">
        <f t="shared" si="70"/>
        <v>0</v>
      </c>
      <c r="W58">
        <f t="shared" si="71"/>
        <v>0</v>
      </c>
      <c r="X58">
        <f t="shared" si="72"/>
        <v>0</v>
      </c>
      <c r="Y58">
        <f t="shared" si="73"/>
        <v>0</v>
      </c>
      <c r="AA58">
        <v>47631607</v>
      </c>
      <c r="AB58">
        <f t="shared" si="74"/>
        <v>10046</v>
      </c>
      <c r="AC58">
        <f t="shared" si="75"/>
        <v>10046</v>
      </c>
      <c r="AD58">
        <f t="shared" si="76"/>
        <v>0</v>
      </c>
      <c r="AE58">
        <f t="shared" si="77"/>
        <v>0</v>
      </c>
      <c r="AF58">
        <f t="shared" si="78"/>
        <v>0</v>
      </c>
      <c r="AG58">
        <f t="shared" si="79"/>
        <v>0</v>
      </c>
      <c r="AH58">
        <f t="shared" si="80"/>
        <v>0</v>
      </c>
      <c r="AI58">
        <f t="shared" si="81"/>
        <v>0</v>
      </c>
      <c r="AJ58">
        <f t="shared" si="82"/>
        <v>0</v>
      </c>
      <c r="AK58">
        <v>10046</v>
      </c>
      <c r="AL58">
        <v>10046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1.06</v>
      </c>
      <c r="AW58">
        <v>1.06</v>
      </c>
      <c r="AZ58">
        <v>1</v>
      </c>
      <c r="BA58">
        <v>1</v>
      </c>
      <c r="BB58">
        <v>1</v>
      </c>
      <c r="BC58">
        <v>1</v>
      </c>
      <c r="BD58" t="s">
        <v>3</v>
      </c>
      <c r="BE58" t="s">
        <v>3</v>
      </c>
      <c r="BF58" t="s">
        <v>3</v>
      </c>
      <c r="BG58" t="s">
        <v>3</v>
      </c>
      <c r="BH58">
        <v>3</v>
      </c>
      <c r="BI58">
        <v>1</v>
      </c>
      <c r="BJ58" t="s">
        <v>191</v>
      </c>
      <c r="BM58">
        <v>500001</v>
      </c>
      <c r="BN58">
        <v>0</v>
      </c>
      <c r="BO58" t="s">
        <v>3</v>
      </c>
      <c r="BP58">
        <v>0</v>
      </c>
      <c r="BQ58">
        <v>8</v>
      </c>
      <c r="BR58">
        <v>0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 t="s">
        <v>3</v>
      </c>
      <c r="BZ58">
        <v>0</v>
      </c>
      <c r="CA58">
        <v>0</v>
      </c>
      <c r="CE58">
        <v>0</v>
      </c>
      <c r="CF58">
        <v>0</v>
      </c>
      <c r="CG58">
        <v>0</v>
      </c>
      <c r="CM58">
        <v>0</v>
      </c>
      <c r="CN58" t="s">
        <v>3</v>
      </c>
      <c r="CO58">
        <v>0</v>
      </c>
      <c r="CP58">
        <f t="shared" si="83"/>
        <v>155693.21</v>
      </c>
      <c r="CQ58">
        <f t="shared" si="84"/>
        <v>10046</v>
      </c>
      <c r="CR58">
        <f t="shared" si="85"/>
        <v>0</v>
      </c>
      <c r="CS58">
        <f t="shared" si="86"/>
        <v>0</v>
      </c>
      <c r="CT58">
        <f t="shared" si="87"/>
        <v>0</v>
      </c>
      <c r="CU58">
        <f t="shared" si="88"/>
        <v>0</v>
      </c>
      <c r="CV58">
        <f t="shared" si="89"/>
        <v>0</v>
      </c>
      <c r="CW58">
        <f t="shared" si="90"/>
        <v>0</v>
      </c>
      <c r="CX58">
        <f t="shared" si="91"/>
        <v>0</v>
      </c>
      <c r="CY58">
        <f t="shared" si="92"/>
        <v>0</v>
      </c>
      <c r="CZ58">
        <f t="shared" si="93"/>
        <v>0</v>
      </c>
      <c r="DC58" t="s">
        <v>3</v>
      </c>
      <c r="DD58" t="s">
        <v>3</v>
      </c>
      <c r="DE58" t="s">
        <v>3</v>
      </c>
      <c r="DF58" t="s">
        <v>3</v>
      </c>
      <c r="DG58" t="s">
        <v>3</v>
      </c>
      <c r="DH58" t="s">
        <v>3</v>
      </c>
      <c r="DI58" t="s">
        <v>3</v>
      </c>
      <c r="DJ58" t="s">
        <v>3</v>
      </c>
      <c r="DK58" t="s">
        <v>3</v>
      </c>
      <c r="DL58" t="s">
        <v>3</v>
      </c>
      <c r="DM58" t="s">
        <v>3</v>
      </c>
      <c r="DN58">
        <v>0</v>
      </c>
      <c r="DO58">
        <v>0</v>
      </c>
      <c r="DP58">
        <v>1</v>
      </c>
      <c r="DQ58">
        <v>1</v>
      </c>
      <c r="DU58">
        <v>1009</v>
      </c>
      <c r="DV58" t="s">
        <v>32</v>
      </c>
      <c r="DW58" t="s">
        <v>32</v>
      </c>
      <c r="DX58">
        <v>1000</v>
      </c>
      <c r="EE58">
        <v>45919503</v>
      </c>
      <c r="EF58">
        <v>8</v>
      </c>
      <c r="EG58" t="s">
        <v>16</v>
      </c>
      <c r="EH58">
        <v>0</v>
      </c>
      <c r="EI58" t="s">
        <v>3</v>
      </c>
      <c r="EJ58">
        <v>1</v>
      </c>
      <c r="EK58">
        <v>500001</v>
      </c>
      <c r="EL58" t="s">
        <v>173</v>
      </c>
      <c r="EM58" t="s">
        <v>174</v>
      </c>
      <c r="EO58" t="s">
        <v>3</v>
      </c>
      <c r="EQ58">
        <v>0</v>
      </c>
      <c r="ER58">
        <v>10046</v>
      </c>
      <c r="ES58">
        <v>10046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FQ58">
        <v>0</v>
      </c>
      <c r="FR58">
        <f t="shared" si="23"/>
        <v>0</v>
      </c>
      <c r="FS58">
        <v>0</v>
      </c>
      <c r="FX58">
        <v>0</v>
      </c>
      <c r="FY58">
        <v>0</v>
      </c>
      <c r="GA58" t="s">
        <v>3</v>
      </c>
      <c r="GD58">
        <v>1</v>
      </c>
      <c r="GF58">
        <v>1430830833</v>
      </c>
      <c r="GG58">
        <v>2</v>
      </c>
      <c r="GH58">
        <v>1</v>
      </c>
      <c r="GI58">
        <v>-2</v>
      </c>
      <c r="GJ58">
        <v>0</v>
      </c>
      <c r="GK58">
        <v>0</v>
      </c>
      <c r="GL58">
        <f t="shared" si="24"/>
        <v>0</v>
      </c>
      <c r="GM58">
        <f t="shared" si="94"/>
        <v>155693.21</v>
      </c>
      <c r="GN58">
        <f t="shared" si="95"/>
        <v>155693.21</v>
      </c>
      <c r="GO58">
        <f t="shared" si="96"/>
        <v>0</v>
      </c>
      <c r="GP58">
        <f t="shared" si="97"/>
        <v>0</v>
      </c>
      <c r="GR58">
        <v>0</v>
      </c>
      <c r="GS58">
        <v>3</v>
      </c>
      <c r="GT58">
        <v>0</v>
      </c>
      <c r="GU58" t="s">
        <v>3</v>
      </c>
      <c r="GV58">
        <f t="shared" si="98"/>
        <v>0</v>
      </c>
      <c r="GW58">
        <v>1</v>
      </c>
      <c r="GX58">
        <f t="shared" si="99"/>
        <v>0</v>
      </c>
      <c r="HA58">
        <v>0</v>
      </c>
      <c r="HB58">
        <v>0</v>
      </c>
      <c r="HC58">
        <f t="shared" si="100"/>
        <v>0</v>
      </c>
      <c r="IK58">
        <v>0</v>
      </c>
    </row>
    <row r="59" spans="1:245" x14ac:dyDescent="0.2">
      <c r="A59">
        <v>17</v>
      </c>
      <c r="B59">
        <v>1</v>
      </c>
      <c r="E59" t="s">
        <v>192</v>
      </c>
      <c r="F59" t="s">
        <v>189</v>
      </c>
      <c r="G59" t="s">
        <v>193</v>
      </c>
      <c r="H59" t="s">
        <v>32</v>
      </c>
      <c r="I59">
        <v>8.0299999999999996E-2</v>
      </c>
      <c r="J59">
        <v>0</v>
      </c>
      <c r="O59">
        <f t="shared" si="63"/>
        <v>806.69</v>
      </c>
      <c r="P59">
        <f t="shared" si="64"/>
        <v>806.69</v>
      </c>
      <c r="Q59">
        <f t="shared" si="65"/>
        <v>0</v>
      </c>
      <c r="R59">
        <f t="shared" si="66"/>
        <v>0</v>
      </c>
      <c r="S59">
        <f t="shared" si="67"/>
        <v>0</v>
      </c>
      <c r="T59">
        <f t="shared" si="68"/>
        <v>0</v>
      </c>
      <c r="U59">
        <f t="shared" si="69"/>
        <v>0</v>
      </c>
      <c r="V59">
        <f t="shared" si="70"/>
        <v>0</v>
      </c>
      <c r="W59">
        <f t="shared" si="71"/>
        <v>0</v>
      </c>
      <c r="X59">
        <f t="shared" si="72"/>
        <v>0</v>
      </c>
      <c r="Y59">
        <f t="shared" si="73"/>
        <v>0</v>
      </c>
      <c r="AA59">
        <v>47631607</v>
      </c>
      <c r="AB59">
        <f t="shared" si="74"/>
        <v>10046</v>
      </c>
      <c r="AC59">
        <f t="shared" si="75"/>
        <v>10046</v>
      </c>
      <c r="AD59">
        <f t="shared" si="76"/>
        <v>0</v>
      </c>
      <c r="AE59">
        <f t="shared" si="77"/>
        <v>0</v>
      </c>
      <c r="AF59">
        <f t="shared" si="78"/>
        <v>0</v>
      </c>
      <c r="AG59">
        <f t="shared" si="79"/>
        <v>0</v>
      </c>
      <c r="AH59">
        <f t="shared" si="80"/>
        <v>0</v>
      </c>
      <c r="AI59">
        <f t="shared" si="81"/>
        <v>0</v>
      </c>
      <c r="AJ59">
        <f t="shared" si="82"/>
        <v>0</v>
      </c>
      <c r="AK59">
        <v>10046</v>
      </c>
      <c r="AL59">
        <v>10046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1.06</v>
      </c>
      <c r="AW59">
        <v>1.06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191</v>
      </c>
      <c r="BM59">
        <v>500001</v>
      </c>
      <c r="BN59">
        <v>0</v>
      </c>
      <c r="BO59" t="s">
        <v>3</v>
      </c>
      <c r="BP59">
        <v>0</v>
      </c>
      <c r="BQ59">
        <v>8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0</v>
      </c>
      <c r="CA59">
        <v>0</v>
      </c>
      <c r="CE59">
        <v>0</v>
      </c>
      <c r="CF59">
        <v>0</v>
      </c>
      <c r="CG59">
        <v>0</v>
      </c>
      <c r="CM59">
        <v>0</v>
      </c>
      <c r="CN59" t="s">
        <v>3</v>
      </c>
      <c r="CO59">
        <v>0</v>
      </c>
      <c r="CP59">
        <f t="shared" si="83"/>
        <v>806.69</v>
      </c>
      <c r="CQ59">
        <f t="shared" si="84"/>
        <v>10046</v>
      </c>
      <c r="CR59">
        <f t="shared" si="85"/>
        <v>0</v>
      </c>
      <c r="CS59">
        <f t="shared" si="86"/>
        <v>0</v>
      </c>
      <c r="CT59">
        <f t="shared" si="87"/>
        <v>0</v>
      </c>
      <c r="CU59">
        <f t="shared" si="88"/>
        <v>0</v>
      </c>
      <c r="CV59">
        <f t="shared" si="89"/>
        <v>0</v>
      </c>
      <c r="CW59">
        <f t="shared" si="90"/>
        <v>0</v>
      </c>
      <c r="CX59">
        <f t="shared" si="91"/>
        <v>0</v>
      </c>
      <c r="CY59">
        <f t="shared" si="92"/>
        <v>0</v>
      </c>
      <c r="CZ59">
        <f t="shared" si="93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1009</v>
      </c>
      <c r="DV59" t="s">
        <v>32</v>
      </c>
      <c r="DW59" t="s">
        <v>32</v>
      </c>
      <c r="DX59">
        <v>1000</v>
      </c>
      <c r="EE59">
        <v>45919503</v>
      </c>
      <c r="EF59">
        <v>8</v>
      </c>
      <c r="EG59" t="s">
        <v>16</v>
      </c>
      <c r="EH59">
        <v>0</v>
      </c>
      <c r="EI59" t="s">
        <v>3</v>
      </c>
      <c r="EJ59">
        <v>1</v>
      </c>
      <c r="EK59">
        <v>500001</v>
      </c>
      <c r="EL59" t="s">
        <v>173</v>
      </c>
      <c r="EM59" t="s">
        <v>174</v>
      </c>
      <c r="EO59" t="s">
        <v>3</v>
      </c>
      <c r="EQ59">
        <v>0</v>
      </c>
      <c r="ER59">
        <v>10046</v>
      </c>
      <c r="ES59">
        <v>10046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FQ59">
        <v>0</v>
      </c>
      <c r="FR59">
        <f t="shared" si="23"/>
        <v>0</v>
      </c>
      <c r="FS59">
        <v>0</v>
      </c>
      <c r="FX59">
        <v>0</v>
      </c>
      <c r="FY59">
        <v>0</v>
      </c>
      <c r="GA59" t="s">
        <v>3</v>
      </c>
      <c r="GD59">
        <v>1</v>
      </c>
      <c r="GF59">
        <v>1168749980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24"/>
        <v>0</v>
      </c>
      <c r="GM59">
        <f t="shared" si="94"/>
        <v>806.69</v>
      </c>
      <c r="GN59">
        <f t="shared" si="95"/>
        <v>806.69</v>
      </c>
      <c r="GO59">
        <f t="shared" si="96"/>
        <v>0</v>
      </c>
      <c r="GP59">
        <f t="shared" si="97"/>
        <v>0</v>
      </c>
      <c r="GR59">
        <v>0</v>
      </c>
      <c r="GS59">
        <v>3</v>
      </c>
      <c r="GT59">
        <v>0</v>
      </c>
      <c r="GU59" t="s">
        <v>3</v>
      </c>
      <c r="GV59">
        <f t="shared" si="98"/>
        <v>0</v>
      </c>
      <c r="GW59">
        <v>1</v>
      </c>
      <c r="GX59">
        <f t="shared" si="99"/>
        <v>0</v>
      </c>
      <c r="HA59">
        <v>0</v>
      </c>
      <c r="HB59">
        <v>0</v>
      </c>
      <c r="HC59">
        <f t="shared" si="100"/>
        <v>0</v>
      </c>
      <c r="IK59">
        <v>0</v>
      </c>
    </row>
    <row r="60" spans="1:245" x14ac:dyDescent="0.2">
      <c r="A60">
        <v>17</v>
      </c>
      <c r="B60">
        <v>1</v>
      </c>
      <c r="E60" t="s">
        <v>194</v>
      </c>
      <c r="F60" t="s">
        <v>189</v>
      </c>
      <c r="G60" t="s">
        <v>195</v>
      </c>
      <c r="H60" t="s">
        <v>32</v>
      </c>
      <c r="I60">
        <v>0.41536000000000001</v>
      </c>
      <c r="J60">
        <v>0</v>
      </c>
      <c r="O60">
        <f t="shared" si="63"/>
        <v>4172.71</v>
      </c>
      <c r="P60">
        <f t="shared" si="64"/>
        <v>4172.71</v>
      </c>
      <c r="Q60">
        <f t="shared" si="65"/>
        <v>0</v>
      </c>
      <c r="R60">
        <f t="shared" si="66"/>
        <v>0</v>
      </c>
      <c r="S60">
        <f t="shared" si="67"/>
        <v>0</v>
      </c>
      <c r="T60">
        <f t="shared" si="68"/>
        <v>0</v>
      </c>
      <c r="U60">
        <f t="shared" si="69"/>
        <v>0</v>
      </c>
      <c r="V60">
        <f t="shared" si="70"/>
        <v>0</v>
      </c>
      <c r="W60">
        <f t="shared" si="71"/>
        <v>0</v>
      </c>
      <c r="X60">
        <f t="shared" si="72"/>
        <v>0</v>
      </c>
      <c r="Y60">
        <f t="shared" si="73"/>
        <v>0</v>
      </c>
      <c r="AA60">
        <v>47631607</v>
      </c>
      <c r="AB60">
        <f t="shared" si="74"/>
        <v>10046</v>
      </c>
      <c r="AC60">
        <f t="shared" si="75"/>
        <v>10046</v>
      </c>
      <c r="AD60">
        <f t="shared" si="76"/>
        <v>0</v>
      </c>
      <c r="AE60">
        <f t="shared" si="77"/>
        <v>0</v>
      </c>
      <c r="AF60">
        <f t="shared" si="78"/>
        <v>0</v>
      </c>
      <c r="AG60">
        <f t="shared" si="79"/>
        <v>0</v>
      </c>
      <c r="AH60">
        <f t="shared" si="80"/>
        <v>0</v>
      </c>
      <c r="AI60">
        <f t="shared" si="81"/>
        <v>0</v>
      </c>
      <c r="AJ60">
        <f t="shared" si="82"/>
        <v>0</v>
      </c>
      <c r="AK60">
        <v>10046</v>
      </c>
      <c r="AL60">
        <v>10046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1.06</v>
      </c>
      <c r="AW60">
        <v>1.06</v>
      </c>
      <c r="AZ60">
        <v>1</v>
      </c>
      <c r="BA60">
        <v>1</v>
      </c>
      <c r="BB60">
        <v>1</v>
      </c>
      <c r="BC60">
        <v>1</v>
      </c>
      <c r="BD60" t="s">
        <v>3</v>
      </c>
      <c r="BE60" t="s">
        <v>3</v>
      </c>
      <c r="BF60" t="s">
        <v>3</v>
      </c>
      <c r="BG60" t="s">
        <v>3</v>
      </c>
      <c r="BH60">
        <v>3</v>
      </c>
      <c r="BI60">
        <v>1</v>
      </c>
      <c r="BJ60" t="s">
        <v>191</v>
      </c>
      <c r="BM60">
        <v>500001</v>
      </c>
      <c r="BN60">
        <v>0</v>
      </c>
      <c r="BO60" t="s">
        <v>3</v>
      </c>
      <c r="BP60">
        <v>0</v>
      </c>
      <c r="BQ60">
        <v>8</v>
      </c>
      <c r="BR60">
        <v>0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 t="s">
        <v>3</v>
      </c>
      <c r="BZ60">
        <v>0</v>
      </c>
      <c r="CA60">
        <v>0</v>
      </c>
      <c r="CE60">
        <v>0</v>
      </c>
      <c r="CF60">
        <v>0</v>
      </c>
      <c r="CG60">
        <v>0</v>
      </c>
      <c r="CM60">
        <v>0</v>
      </c>
      <c r="CN60" t="s">
        <v>3</v>
      </c>
      <c r="CO60">
        <v>0</v>
      </c>
      <c r="CP60">
        <f t="shared" si="83"/>
        <v>4172.71</v>
      </c>
      <c r="CQ60">
        <f t="shared" si="84"/>
        <v>10046</v>
      </c>
      <c r="CR60">
        <f t="shared" si="85"/>
        <v>0</v>
      </c>
      <c r="CS60">
        <f t="shared" si="86"/>
        <v>0</v>
      </c>
      <c r="CT60">
        <f t="shared" si="87"/>
        <v>0</v>
      </c>
      <c r="CU60">
        <f t="shared" si="88"/>
        <v>0</v>
      </c>
      <c r="CV60">
        <f t="shared" si="89"/>
        <v>0</v>
      </c>
      <c r="CW60">
        <f t="shared" si="90"/>
        <v>0</v>
      </c>
      <c r="CX60">
        <f t="shared" si="91"/>
        <v>0</v>
      </c>
      <c r="CY60">
        <f t="shared" si="92"/>
        <v>0</v>
      </c>
      <c r="CZ60">
        <f t="shared" si="93"/>
        <v>0</v>
      </c>
      <c r="DC60" t="s">
        <v>3</v>
      </c>
      <c r="DD60" t="s">
        <v>3</v>
      </c>
      <c r="DE60" t="s">
        <v>3</v>
      </c>
      <c r="DF60" t="s">
        <v>3</v>
      </c>
      <c r="DG60" t="s">
        <v>3</v>
      </c>
      <c r="DH60" t="s">
        <v>3</v>
      </c>
      <c r="DI60" t="s">
        <v>3</v>
      </c>
      <c r="DJ60" t="s">
        <v>3</v>
      </c>
      <c r="DK60" t="s">
        <v>3</v>
      </c>
      <c r="DL60" t="s">
        <v>3</v>
      </c>
      <c r="DM60" t="s">
        <v>3</v>
      </c>
      <c r="DN60">
        <v>0</v>
      </c>
      <c r="DO60">
        <v>0</v>
      </c>
      <c r="DP60">
        <v>1</v>
      </c>
      <c r="DQ60">
        <v>1</v>
      </c>
      <c r="DU60">
        <v>1009</v>
      </c>
      <c r="DV60" t="s">
        <v>32</v>
      </c>
      <c r="DW60" t="s">
        <v>32</v>
      </c>
      <c r="DX60">
        <v>1000</v>
      </c>
      <c r="EE60">
        <v>45919503</v>
      </c>
      <c r="EF60">
        <v>8</v>
      </c>
      <c r="EG60" t="s">
        <v>16</v>
      </c>
      <c r="EH60">
        <v>0</v>
      </c>
      <c r="EI60" t="s">
        <v>3</v>
      </c>
      <c r="EJ60">
        <v>1</v>
      </c>
      <c r="EK60">
        <v>500001</v>
      </c>
      <c r="EL60" t="s">
        <v>173</v>
      </c>
      <c r="EM60" t="s">
        <v>174</v>
      </c>
      <c r="EO60" t="s">
        <v>3</v>
      </c>
      <c r="EQ60">
        <v>0</v>
      </c>
      <c r="ER60">
        <v>10046</v>
      </c>
      <c r="ES60">
        <v>10046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FQ60">
        <v>0</v>
      </c>
      <c r="FR60">
        <f t="shared" si="23"/>
        <v>0</v>
      </c>
      <c r="FS60">
        <v>0</v>
      </c>
      <c r="FX60">
        <v>0</v>
      </c>
      <c r="FY60">
        <v>0</v>
      </c>
      <c r="GA60" t="s">
        <v>3</v>
      </c>
      <c r="GD60">
        <v>1</v>
      </c>
      <c r="GF60">
        <v>-1145944823</v>
      </c>
      <c r="GG60">
        <v>2</v>
      </c>
      <c r="GH60">
        <v>1</v>
      </c>
      <c r="GI60">
        <v>-2</v>
      </c>
      <c r="GJ60">
        <v>0</v>
      </c>
      <c r="GK60">
        <v>0</v>
      </c>
      <c r="GL60">
        <f t="shared" si="24"/>
        <v>0</v>
      </c>
      <c r="GM60">
        <f t="shared" si="94"/>
        <v>4172.71</v>
      </c>
      <c r="GN60">
        <f t="shared" si="95"/>
        <v>4172.71</v>
      </c>
      <c r="GO60">
        <f t="shared" si="96"/>
        <v>0</v>
      </c>
      <c r="GP60">
        <f t="shared" si="97"/>
        <v>0</v>
      </c>
      <c r="GR60">
        <v>0</v>
      </c>
      <c r="GS60">
        <v>3</v>
      </c>
      <c r="GT60">
        <v>0</v>
      </c>
      <c r="GU60" t="s">
        <v>3</v>
      </c>
      <c r="GV60">
        <f t="shared" si="98"/>
        <v>0</v>
      </c>
      <c r="GW60">
        <v>1</v>
      </c>
      <c r="GX60">
        <f t="shared" si="99"/>
        <v>0</v>
      </c>
      <c r="HA60">
        <v>0</v>
      </c>
      <c r="HB60">
        <v>0</v>
      </c>
      <c r="HC60">
        <f t="shared" si="100"/>
        <v>0</v>
      </c>
      <c r="IK60">
        <v>0</v>
      </c>
    </row>
    <row r="61" spans="1:245" x14ac:dyDescent="0.2">
      <c r="A61">
        <v>17</v>
      </c>
      <c r="B61">
        <v>1</v>
      </c>
      <c r="E61" t="s">
        <v>196</v>
      </c>
      <c r="F61" t="s">
        <v>189</v>
      </c>
      <c r="G61" t="s">
        <v>197</v>
      </c>
      <c r="H61" t="s">
        <v>32</v>
      </c>
      <c r="I61">
        <v>0.35920999999999997</v>
      </c>
      <c r="J61">
        <v>0</v>
      </c>
      <c r="O61">
        <f t="shared" si="63"/>
        <v>3608.62</v>
      </c>
      <c r="P61">
        <f t="shared" si="64"/>
        <v>3608.62</v>
      </c>
      <c r="Q61">
        <f t="shared" si="65"/>
        <v>0</v>
      </c>
      <c r="R61">
        <f t="shared" si="66"/>
        <v>0</v>
      </c>
      <c r="S61">
        <f t="shared" si="67"/>
        <v>0</v>
      </c>
      <c r="T61">
        <f t="shared" si="68"/>
        <v>0</v>
      </c>
      <c r="U61">
        <f t="shared" si="69"/>
        <v>0</v>
      </c>
      <c r="V61">
        <f t="shared" si="70"/>
        <v>0</v>
      </c>
      <c r="W61">
        <f t="shared" si="71"/>
        <v>0</v>
      </c>
      <c r="X61">
        <f t="shared" si="72"/>
        <v>0</v>
      </c>
      <c r="Y61">
        <f t="shared" si="73"/>
        <v>0</v>
      </c>
      <c r="AA61">
        <v>47631607</v>
      </c>
      <c r="AB61">
        <f t="shared" si="74"/>
        <v>10046</v>
      </c>
      <c r="AC61">
        <f t="shared" si="75"/>
        <v>10046</v>
      </c>
      <c r="AD61">
        <f t="shared" si="76"/>
        <v>0</v>
      </c>
      <c r="AE61">
        <f t="shared" si="77"/>
        <v>0</v>
      </c>
      <c r="AF61">
        <f t="shared" si="78"/>
        <v>0</v>
      </c>
      <c r="AG61">
        <f t="shared" si="79"/>
        <v>0</v>
      </c>
      <c r="AH61">
        <f t="shared" si="80"/>
        <v>0</v>
      </c>
      <c r="AI61">
        <f t="shared" si="81"/>
        <v>0</v>
      </c>
      <c r="AJ61">
        <f t="shared" si="82"/>
        <v>0</v>
      </c>
      <c r="AK61">
        <v>10046</v>
      </c>
      <c r="AL61">
        <v>10046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1.06</v>
      </c>
      <c r="AW61">
        <v>1.06</v>
      </c>
      <c r="AZ61">
        <v>1</v>
      </c>
      <c r="BA61">
        <v>1</v>
      </c>
      <c r="BB61">
        <v>1</v>
      </c>
      <c r="BC61">
        <v>1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191</v>
      </c>
      <c r="BM61">
        <v>500001</v>
      </c>
      <c r="BN61">
        <v>0</v>
      </c>
      <c r="BO61" t="s">
        <v>3</v>
      </c>
      <c r="BP61">
        <v>0</v>
      </c>
      <c r="BQ61">
        <v>8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0</v>
      </c>
      <c r="CA61">
        <v>0</v>
      </c>
      <c r="CE61">
        <v>0</v>
      </c>
      <c r="CF61">
        <v>0</v>
      </c>
      <c r="CG61">
        <v>0</v>
      </c>
      <c r="CM61">
        <v>0</v>
      </c>
      <c r="CN61" t="s">
        <v>3</v>
      </c>
      <c r="CO61">
        <v>0</v>
      </c>
      <c r="CP61">
        <f t="shared" si="83"/>
        <v>3608.62</v>
      </c>
      <c r="CQ61">
        <f t="shared" si="84"/>
        <v>10046</v>
      </c>
      <c r="CR61">
        <f t="shared" si="85"/>
        <v>0</v>
      </c>
      <c r="CS61">
        <f t="shared" si="86"/>
        <v>0</v>
      </c>
      <c r="CT61">
        <f t="shared" si="87"/>
        <v>0</v>
      </c>
      <c r="CU61">
        <f t="shared" si="88"/>
        <v>0</v>
      </c>
      <c r="CV61">
        <f t="shared" si="89"/>
        <v>0</v>
      </c>
      <c r="CW61">
        <f t="shared" si="90"/>
        <v>0</v>
      </c>
      <c r="CX61">
        <f t="shared" si="91"/>
        <v>0</v>
      </c>
      <c r="CY61">
        <f t="shared" si="92"/>
        <v>0</v>
      </c>
      <c r="CZ61">
        <f t="shared" si="93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1009</v>
      </c>
      <c r="DV61" t="s">
        <v>32</v>
      </c>
      <c r="DW61" t="s">
        <v>32</v>
      </c>
      <c r="DX61">
        <v>1000</v>
      </c>
      <c r="EE61">
        <v>45919503</v>
      </c>
      <c r="EF61">
        <v>8</v>
      </c>
      <c r="EG61" t="s">
        <v>16</v>
      </c>
      <c r="EH61">
        <v>0</v>
      </c>
      <c r="EI61" t="s">
        <v>3</v>
      </c>
      <c r="EJ61">
        <v>1</v>
      </c>
      <c r="EK61">
        <v>500001</v>
      </c>
      <c r="EL61" t="s">
        <v>173</v>
      </c>
      <c r="EM61" t="s">
        <v>174</v>
      </c>
      <c r="EO61" t="s">
        <v>3</v>
      </c>
      <c r="EQ61">
        <v>0</v>
      </c>
      <c r="ER61">
        <v>10046</v>
      </c>
      <c r="ES61">
        <v>10046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FQ61">
        <v>0</v>
      </c>
      <c r="FR61">
        <f t="shared" si="23"/>
        <v>0</v>
      </c>
      <c r="FS61">
        <v>0</v>
      </c>
      <c r="FX61">
        <v>0</v>
      </c>
      <c r="FY61">
        <v>0</v>
      </c>
      <c r="GA61" t="s">
        <v>3</v>
      </c>
      <c r="GD61">
        <v>1</v>
      </c>
      <c r="GF61">
        <v>1048535299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t="shared" si="24"/>
        <v>0</v>
      </c>
      <c r="GM61">
        <f t="shared" si="94"/>
        <v>3608.62</v>
      </c>
      <c r="GN61">
        <f t="shared" si="95"/>
        <v>3608.62</v>
      </c>
      <c r="GO61">
        <f t="shared" si="96"/>
        <v>0</v>
      </c>
      <c r="GP61">
        <f t="shared" si="97"/>
        <v>0</v>
      </c>
      <c r="GR61">
        <v>0</v>
      </c>
      <c r="GS61">
        <v>3</v>
      </c>
      <c r="GT61">
        <v>0</v>
      </c>
      <c r="GU61" t="s">
        <v>3</v>
      </c>
      <c r="GV61">
        <f t="shared" si="98"/>
        <v>0</v>
      </c>
      <c r="GW61">
        <v>1</v>
      </c>
      <c r="GX61">
        <f t="shared" si="99"/>
        <v>0</v>
      </c>
      <c r="HA61">
        <v>0</v>
      </c>
      <c r="HB61">
        <v>0</v>
      </c>
      <c r="HC61">
        <f t="shared" si="100"/>
        <v>0</v>
      </c>
      <c r="IK61">
        <v>0</v>
      </c>
    </row>
    <row r="62" spans="1:245" x14ac:dyDescent="0.2">
      <c r="A62">
        <v>17</v>
      </c>
      <c r="B62">
        <v>1</v>
      </c>
      <c r="E62" t="s">
        <v>198</v>
      </c>
      <c r="F62" t="s">
        <v>199</v>
      </c>
      <c r="G62" t="s">
        <v>200</v>
      </c>
      <c r="H62" t="s">
        <v>32</v>
      </c>
      <c r="I62">
        <v>1.362E-2</v>
      </c>
      <c r="J62">
        <v>0</v>
      </c>
      <c r="O62">
        <f t="shared" si="63"/>
        <v>92.69</v>
      </c>
      <c r="P62">
        <f t="shared" si="64"/>
        <v>92.69</v>
      </c>
      <c r="Q62">
        <f t="shared" si="65"/>
        <v>0</v>
      </c>
      <c r="R62">
        <f t="shared" si="66"/>
        <v>0</v>
      </c>
      <c r="S62">
        <f t="shared" si="67"/>
        <v>0</v>
      </c>
      <c r="T62">
        <f t="shared" si="68"/>
        <v>0</v>
      </c>
      <c r="U62">
        <f t="shared" si="69"/>
        <v>0</v>
      </c>
      <c r="V62">
        <f t="shared" si="70"/>
        <v>0</v>
      </c>
      <c r="W62">
        <f t="shared" si="71"/>
        <v>0</v>
      </c>
      <c r="X62">
        <f t="shared" si="72"/>
        <v>0</v>
      </c>
      <c r="Y62">
        <f t="shared" si="73"/>
        <v>0</v>
      </c>
      <c r="AA62">
        <v>47631607</v>
      </c>
      <c r="AB62">
        <f t="shared" si="74"/>
        <v>6805.76</v>
      </c>
      <c r="AC62">
        <f t="shared" si="75"/>
        <v>6805.76</v>
      </c>
      <c r="AD62">
        <f t="shared" si="76"/>
        <v>0</v>
      </c>
      <c r="AE62">
        <f t="shared" si="77"/>
        <v>0</v>
      </c>
      <c r="AF62">
        <f t="shared" si="78"/>
        <v>0</v>
      </c>
      <c r="AG62">
        <f t="shared" si="79"/>
        <v>0</v>
      </c>
      <c r="AH62">
        <f t="shared" si="80"/>
        <v>0</v>
      </c>
      <c r="AI62">
        <f t="shared" si="81"/>
        <v>0</v>
      </c>
      <c r="AJ62">
        <f t="shared" si="82"/>
        <v>0</v>
      </c>
      <c r="AK62">
        <v>6805.76</v>
      </c>
      <c r="AL62">
        <v>6805.76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1.06</v>
      </c>
      <c r="AW62">
        <v>1.06</v>
      </c>
      <c r="AZ62">
        <v>1</v>
      </c>
      <c r="BA62">
        <v>1</v>
      </c>
      <c r="BB62">
        <v>1</v>
      </c>
      <c r="BC62">
        <v>1</v>
      </c>
      <c r="BD62" t="s">
        <v>3</v>
      </c>
      <c r="BE62" t="s">
        <v>3</v>
      </c>
      <c r="BF62" t="s">
        <v>3</v>
      </c>
      <c r="BG62" t="s">
        <v>3</v>
      </c>
      <c r="BH62">
        <v>3</v>
      </c>
      <c r="BI62">
        <v>1</v>
      </c>
      <c r="BJ62" t="s">
        <v>201</v>
      </c>
      <c r="BM62">
        <v>500001</v>
      </c>
      <c r="BN62">
        <v>0</v>
      </c>
      <c r="BO62" t="s">
        <v>3</v>
      </c>
      <c r="BP62">
        <v>0</v>
      </c>
      <c r="BQ62">
        <v>8</v>
      </c>
      <c r="BR62">
        <v>0</v>
      </c>
      <c r="BS62">
        <v>1</v>
      </c>
      <c r="BT62">
        <v>1</v>
      </c>
      <c r="BU62">
        <v>1</v>
      </c>
      <c r="BV62">
        <v>1</v>
      </c>
      <c r="BW62">
        <v>1</v>
      </c>
      <c r="BX62">
        <v>1</v>
      </c>
      <c r="BY62" t="s">
        <v>3</v>
      </c>
      <c r="BZ62">
        <v>0</v>
      </c>
      <c r="CA62">
        <v>0</v>
      </c>
      <c r="CE62">
        <v>0</v>
      </c>
      <c r="CF62">
        <v>0</v>
      </c>
      <c r="CG62">
        <v>0</v>
      </c>
      <c r="CM62">
        <v>0</v>
      </c>
      <c r="CN62" t="s">
        <v>3</v>
      </c>
      <c r="CO62">
        <v>0</v>
      </c>
      <c r="CP62">
        <f t="shared" si="83"/>
        <v>92.69</v>
      </c>
      <c r="CQ62">
        <f t="shared" si="84"/>
        <v>6805.76</v>
      </c>
      <c r="CR62">
        <f t="shared" si="85"/>
        <v>0</v>
      </c>
      <c r="CS62">
        <f t="shared" si="86"/>
        <v>0</v>
      </c>
      <c r="CT62">
        <f t="shared" si="87"/>
        <v>0</v>
      </c>
      <c r="CU62">
        <f t="shared" si="88"/>
        <v>0</v>
      </c>
      <c r="CV62">
        <f t="shared" si="89"/>
        <v>0</v>
      </c>
      <c r="CW62">
        <f t="shared" si="90"/>
        <v>0</v>
      </c>
      <c r="CX62">
        <f t="shared" si="91"/>
        <v>0</v>
      </c>
      <c r="CY62">
        <f t="shared" si="92"/>
        <v>0</v>
      </c>
      <c r="CZ62">
        <f t="shared" si="93"/>
        <v>0</v>
      </c>
      <c r="DC62" t="s">
        <v>3</v>
      </c>
      <c r="DD62" t="s">
        <v>3</v>
      </c>
      <c r="DE62" t="s">
        <v>3</v>
      </c>
      <c r="DF62" t="s">
        <v>3</v>
      </c>
      <c r="DG62" t="s">
        <v>3</v>
      </c>
      <c r="DH62" t="s">
        <v>3</v>
      </c>
      <c r="DI62" t="s">
        <v>3</v>
      </c>
      <c r="DJ62" t="s">
        <v>3</v>
      </c>
      <c r="DK62" t="s">
        <v>3</v>
      </c>
      <c r="DL62" t="s">
        <v>3</v>
      </c>
      <c r="DM62" t="s">
        <v>3</v>
      </c>
      <c r="DN62">
        <v>0</v>
      </c>
      <c r="DO62">
        <v>0</v>
      </c>
      <c r="DP62">
        <v>1</v>
      </c>
      <c r="DQ62">
        <v>1</v>
      </c>
      <c r="DU62">
        <v>1009</v>
      </c>
      <c r="DV62" t="s">
        <v>32</v>
      </c>
      <c r="DW62" t="s">
        <v>32</v>
      </c>
      <c r="DX62">
        <v>1000</v>
      </c>
      <c r="EE62">
        <v>45919503</v>
      </c>
      <c r="EF62">
        <v>8</v>
      </c>
      <c r="EG62" t="s">
        <v>16</v>
      </c>
      <c r="EH62">
        <v>0</v>
      </c>
      <c r="EI62" t="s">
        <v>3</v>
      </c>
      <c r="EJ62">
        <v>1</v>
      </c>
      <c r="EK62">
        <v>500001</v>
      </c>
      <c r="EL62" t="s">
        <v>173</v>
      </c>
      <c r="EM62" t="s">
        <v>174</v>
      </c>
      <c r="EO62" t="s">
        <v>3</v>
      </c>
      <c r="EQ62">
        <v>0</v>
      </c>
      <c r="ER62">
        <v>6805.76</v>
      </c>
      <c r="ES62">
        <v>6805.76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FQ62">
        <v>0</v>
      </c>
      <c r="FR62">
        <f t="shared" si="23"/>
        <v>0</v>
      </c>
      <c r="FS62">
        <v>0</v>
      </c>
      <c r="FX62">
        <v>0</v>
      </c>
      <c r="FY62">
        <v>0</v>
      </c>
      <c r="GA62" t="s">
        <v>3</v>
      </c>
      <c r="GD62">
        <v>1</v>
      </c>
      <c r="GF62">
        <v>31468834</v>
      </c>
      <c r="GG62">
        <v>2</v>
      </c>
      <c r="GH62">
        <v>1</v>
      </c>
      <c r="GI62">
        <v>-2</v>
      </c>
      <c r="GJ62">
        <v>0</v>
      </c>
      <c r="GK62">
        <v>0</v>
      </c>
      <c r="GL62">
        <f t="shared" si="24"/>
        <v>0</v>
      </c>
      <c r="GM62">
        <f t="shared" si="94"/>
        <v>92.69</v>
      </c>
      <c r="GN62">
        <f t="shared" si="95"/>
        <v>92.69</v>
      </c>
      <c r="GO62">
        <f t="shared" si="96"/>
        <v>0</v>
      </c>
      <c r="GP62">
        <f t="shared" si="97"/>
        <v>0</v>
      </c>
      <c r="GR62">
        <v>0</v>
      </c>
      <c r="GS62">
        <v>3</v>
      </c>
      <c r="GT62">
        <v>0</v>
      </c>
      <c r="GU62" t="s">
        <v>3</v>
      </c>
      <c r="GV62">
        <f t="shared" si="98"/>
        <v>0</v>
      </c>
      <c r="GW62">
        <v>1</v>
      </c>
      <c r="GX62">
        <f t="shared" si="99"/>
        <v>0</v>
      </c>
      <c r="HA62">
        <v>0</v>
      </c>
      <c r="HB62">
        <v>0</v>
      </c>
      <c r="HC62">
        <f t="shared" si="100"/>
        <v>0</v>
      </c>
      <c r="IK62">
        <v>0</v>
      </c>
    </row>
    <row r="63" spans="1:245" x14ac:dyDescent="0.2">
      <c r="A63">
        <v>17</v>
      </c>
      <c r="B63">
        <v>1</v>
      </c>
      <c r="E63" t="s">
        <v>202</v>
      </c>
      <c r="F63" t="s">
        <v>203</v>
      </c>
      <c r="G63" t="s">
        <v>204</v>
      </c>
      <c r="H63" t="s">
        <v>32</v>
      </c>
      <c r="I63">
        <v>3.3160000000000002E-2</v>
      </c>
      <c r="J63">
        <v>0</v>
      </c>
      <c r="O63">
        <f t="shared" si="63"/>
        <v>449.79</v>
      </c>
      <c r="P63">
        <f t="shared" si="64"/>
        <v>449.79</v>
      </c>
      <c r="Q63">
        <f t="shared" si="65"/>
        <v>0</v>
      </c>
      <c r="R63">
        <f t="shared" si="66"/>
        <v>0</v>
      </c>
      <c r="S63">
        <f t="shared" si="67"/>
        <v>0</v>
      </c>
      <c r="T63">
        <f t="shared" si="68"/>
        <v>0</v>
      </c>
      <c r="U63">
        <f t="shared" si="69"/>
        <v>0</v>
      </c>
      <c r="V63">
        <f t="shared" si="70"/>
        <v>0</v>
      </c>
      <c r="W63">
        <f t="shared" si="71"/>
        <v>0</v>
      </c>
      <c r="X63">
        <f t="shared" si="72"/>
        <v>0</v>
      </c>
      <c r="Y63">
        <f t="shared" si="73"/>
        <v>0</v>
      </c>
      <c r="AA63">
        <v>47631607</v>
      </c>
      <c r="AB63">
        <f t="shared" si="74"/>
        <v>13564.33</v>
      </c>
      <c r="AC63">
        <f t="shared" si="75"/>
        <v>13564.33</v>
      </c>
      <c r="AD63">
        <f t="shared" si="76"/>
        <v>0</v>
      </c>
      <c r="AE63">
        <f t="shared" si="77"/>
        <v>0</v>
      </c>
      <c r="AF63">
        <f t="shared" si="78"/>
        <v>0</v>
      </c>
      <c r="AG63">
        <f t="shared" si="79"/>
        <v>0</v>
      </c>
      <c r="AH63">
        <f t="shared" si="80"/>
        <v>0</v>
      </c>
      <c r="AI63">
        <f t="shared" si="81"/>
        <v>0</v>
      </c>
      <c r="AJ63">
        <f t="shared" si="82"/>
        <v>0</v>
      </c>
      <c r="AK63">
        <v>13564.33</v>
      </c>
      <c r="AL63">
        <v>13564.33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1.06</v>
      </c>
      <c r="AW63">
        <v>1.06</v>
      </c>
      <c r="AZ63">
        <v>1</v>
      </c>
      <c r="BA63">
        <v>1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205</v>
      </c>
      <c r="BM63">
        <v>500001</v>
      </c>
      <c r="BN63">
        <v>0</v>
      </c>
      <c r="BO63" t="s">
        <v>3</v>
      </c>
      <c r="BP63">
        <v>0</v>
      </c>
      <c r="BQ63">
        <v>8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0</v>
      </c>
      <c r="CA63">
        <v>0</v>
      </c>
      <c r="CE63">
        <v>0</v>
      </c>
      <c r="CF63">
        <v>0</v>
      </c>
      <c r="CG63">
        <v>0</v>
      </c>
      <c r="CM63">
        <v>0</v>
      </c>
      <c r="CN63" t="s">
        <v>3</v>
      </c>
      <c r="CO63">
        <v>0</v>
      </c>
      <c r="CP63">
        <f t="shared" si="83"/>
        <v>449.79</v>
      </c>
      <c r="CQ63">
        <f t="shared" si="84"/>
        <v>13564.33</v>
      </c>
      <c r="CR63">
        <f t="shared" si="85"/>
        <v>0</v>
      </c>
      <c r="CS63">
        <f t="shared" si="86"/>
        <v>0</v>
      </c>
      <c r="CT63">
        <f t="shared" si="87"/>
        <v>0</v>
      </c>
      <c r="CU63">
        <f t="shared" si="88"/>
        <v>0</v>
      </c>
      <c r="CV63">
        <f t="shared" si="89"/>
        <v>0</v>
      </c>
      <c r="CW63">
        <f t="shared" si="90"/>
        <v>0</v>
      </c>
      <c r="CX63">
        <f t="shared" si="91"/>
        <v>0</v>
      </c>
      <c r="CY63">
        <f t="shared" si="92"/>
        <v>0</v>
      </c>
      <c r="CZ63">
        <f t="shared" si="93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1009</v>
      </c>
      <c r="DV63" t="s">
        <v>32</v>
      </c>
      <c r="DW63" t="s">
        <v>32</v>
      </c>
      <c r="DX63">
        <v>1000</v>
      </c>
      <c r="EE63">
        <v>45919503</v>
      </c>
      <c r="EF63">
        <v>8</v>
      </c>
      <c r="EG63" t="s">
        <v>16</v>
      </c>
      <c r="EH63">
        <v>0</v>
      </c>
      <c r="EI63" t="s">
        <v>3</v>
      </c>
      <c r="EJ63">
        <v>1</v>
      </c>
      <c r="EK63">
        <v>500001</v>
      </c>
      <c r="EL63" t="s">
        <v>173</v>
      </c>
      <c r="EM63" t="s">
        <v>174</v>
      </c>
      <c r="EO63" t="s">
        <v>3</v>
      </c>
      <c r="EQ63">
        <v>0</v>
      </c>
      <c r="ER63">
        <v>13564.33</v>
      </c>
      <c r="ES63">
        <v>13564.33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FQ63">
        <v>0</v>
      </c>
      <c r="FR63">
        <f t="shared" si="23"/>
        <v>0</v>
      </c>
      <c r="FS63">
        <v>0</v>
      </c>
      <c r="FX63">
        <v>0</v>
      </c>
      <c r="FY63">
        <v>0</v>
      </c>
      <c r="GA63" t="s">
        <v>3</v>
      </c>
      <c r="GD63">
        <v>1</v>
      </c>
      <c r="GF63">
        <v>428926993</v>
      </c>
      <c r="GG63">
        <v>2</v>
      </c>
      <c r="GH63">
        <v>1</v>
      </c>
      <c r="GI63">
        <v>-2</v>
      </c>
      <c r="GJ63">
        <v>0</v>
      </c>
      <c r="GK63">
        <v>0</v>
      </c>
      <c r="GL63">
        <f t="shared" si="24"/>
        <v>0</v>
      </c>
      <c r="GM63">
        <f t="shared" si="94"/>
        <v>449.79</v>
      </c>
      <c r="GN63">
        <f t="shared" si="95"/>
        <v>449.79</v>
      </c>
      <c r="GO63">
        <f t="shared" si="96"/>
        <v>0</v>
      </c>
      <c r="GP63">
        <f t="shared" si="97"/>
        <v>0</v>
      </c>
      <c r="GR63">
        <v>0</v>
      </c>
      <c r="GS63">
        <v>3</v>
      </c>
      <c r="GT63">
        <v>0</v>
      </c>
      <c r="GU63" t="s">
        <v>3</v>
      </c>
      <c r="GV63">
        <f t="shared" si="98"/>
        <v>0</v>
      </c>
      <c r="GW63">
        <v>1</v>
      </c>
      <c r="GX63">
        <f t="shared" si="99"/>
        <v>0</v>
      </c>
      <c r="HA63">
        <v>0</v>
      </c>
      <c r="HB63">
        <v>0</v>
      </c>
      <c r="HC63">
        <f t="shared" si="100"/>
        <v>0</v>
      </c>
      <c r="IK63">
        <v>0</v>
      </c>
    </row>
    <row r="65" spans="1:206" x14ac:dyDescent="0.2">
      <c r="A65" s="2">
        <v>51</v>
      </c>
      <c r="B65" s="2">
        <f>B24</f>
        <v>1</v>
      </c>
      <c r="C65" s="2">
        <f>A24</f>
        <v>4</v>
      </c>
      <c r="D65" s="2">
        <f>ROW(A24)</f>
        <v>24</v>
      </c>
      <c r="E65" s="2"/>
      <c r="F65" s="2" t="str">
        <f>IF(F24&lt;&gt;"",F24,"")</f>
        <v>Металическое ограждение</v>
      </c>
      <c r="G65" s="2" t="str">
        <f>IF(G24&lt;&gt;"",G24,"")</f>
        <v>Металическое ограждение</v>
      </c>
      <c r="H65" s="2">
        <v>0</v>
      </c>
      <c r="I65" s="2"/>
      <c r="J65" s="2"/>
      <c r="K65" s="2"/>
      <c r="L65" s="2"/>
      <c r="M65" s="2"/>
      <c r="N65" s="2"/>
      <c r="O65" s="2">
        <f t="shared" ref="O65:T65" si="101">ROUND(AB65,2)</f>
        <v>258714.86</v>
      </c>
      <c r="P65" s="2">
        <f t="shared" si="101"/>
        <v>233556.29</v>
      </c>
      <c r="Q65" s="2">
        <f t="shared" si="101"/>
        <v>8893.8799999999992</v>
      </c>
      <c r="R65" s="2">
        <f t="shared" si="101"/>
        <v>562.9</v>
      </c>
      <c r="S65" s="2">
        <f t="shared" si="101"/>
        <v>16264.69</v>
      </c>
      <c r="T65" s="2">
        <f t="shared" si="101"/>
        <v>0</v>
      </c>
      <c r="U65" s="2">
        <f>AH65</f>
        <v>1909.8609750482503</v>
      </c>
      <c r="V65" s="2">
        <f>AI65</f>
        <v>45.15627978749999</v>
      </c>
      <c r="W65" s="2">
        <f>ROUND(AJ65,2)</f>
        <v>0</v>
      </c>
      <c r="X65" s="2">
        <f>ROUND(AK65,2)</f>
        <v>14725.68</v>
      </c>
      <c r="Y65" s="2">
        <f>ROUND(AL65,2)</f>
        <v>11192.5</v>
      </c>
      <c r="Z65" s="2"/>
      <c r="AA65" s="2"/>
      <c r="AB65" s="2">
        <f>ROUND(SUMIF(AA28:AA63,"=47631607",O28:O63),2)</f>
        <v>258714.86</v>
      </c>
      <c r="AC65" s="2">
        <f>ROUND(SUMIF(AA28:AA63,"=47631607",P28:P63),2)</f>
        <v>233556.29</v>
      </c>
      <c r="AD65" s="2">
        <f>ROUND(SUMIF(AA28:AA63,"=47631607",Q28:Q63),2)</f>
        <v>8893.8799999999992</v>
      </c>
      <c r="AE65" s="2">
        <f>ROUND(SUMIF(AA28:AA63,"=47631607",R28:R63),2)</f>
        <v>562.9</v>
      </c>
      <c r="AF65" s="2">
        <f>ROUND(SUMIF(AA28:AA63,"=47631607",S28:S63),2)</f>
        <v>16264.69</v>
      </c>
      <c r="AG65" s="2">
        <f>ROUND(SUMIF(AA28:AA63,"=47631607",T28:T63),2)</f>
        <v>0</v>
      </c>
      <c r="AH65" s="2">
        <f>SUMIF(AA28:AA63,"=47631607",U28:U63)</f>
        <v>1909.8609750482503</v>
      </c>
      <c r="AI65" s="2">
        <f>SUMIF(AA28:AA63,"=47631607",V28:V63)</f>
        <v>45.15627978749999</v>
      </c>
      <c r="AJ65" s="2">
        <f>ROUND(SUMIF(AA28:AA63,"=47631607",W28:W63),2)</f>
        <v>0</v>
      </c>
      <c r="AK65" s="2">
        <f>ROUND(SUMIF(AA28:AA63,"=47631607",X28:X63),2)</f>
        <v>14725.68</v>
      </c>
      <c r="AL65" s="2">
        <f>ROUND(SUMIF(AA28:AA63,"=47631607",Y28:Y63),2)</f>
        <v>11192.5</v>
      </c>
      <c r="AM65" s="2"/>
      <c r="AN65" s="2"/>
      <c r="AO65" s="2">
        <f t="shared" ref="AO65:BC65" si="102">ROUND(BX65,2)</f>
        <v>0</v>
      </c>
      <c r="AP65" s="2">
        <f t="shared" si="102"/>
        <v>0</v>
      </c>
      <c r="AQ65" s="2">
        <f t="shared" si="102"/>
        <v>0</v>
      </c>
      <c r="AR65" s="2">
        <f t="shared" si="102"/>
        <v>285395.73</v>
      </c>
      <c r="AS65" s="2">
        <f t="shared" si="102"/>
        <v>284261.59000000003</v>
      </c>
      <c r="AT65" s="2">
        <f t="shared" si="102"/>
        <v>1134.1400000000001</v>
      </c>
      <c r="AU65" s="2">
        <f t="shared" si="102"/>
        <v>0</v>
      </c>
      <c r="AV65" s="2">
        <f t="shared" si="102"/>
        <v>233556.29</v>
      </c>
      <c r="AW65" s="2">
        <f t="shared" si="102"/>
        <v>233556.29</v>
      </c>
      <c r="AX65" s="2">
        <f t="shared" si="102"/>
        <v>0</v>
      </c>
      <c r="AY65" s="2">
        <f t="shared" si="102"/>
        <v>233556.29</v>
      </c>
      <c r="AZ65" s="2">
        <f t="shared" si="102"/>
        <v>0</v>
      </c>
      <c r="BA65" s="2">
        <f t="shared" si="102"/>
        <v>0</v>
      </c>
      <c r="BB65" s="2">
        <f t="shared" si="102"/>
        <v>0</v>
      </c>
      <c r="BC65" s="2">
        <f t="shared" si="102"/>
        <v>0</v>
      </c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>
        <f>ROUND(SUMIF(AA28:AA63,"=47631607",FQ28:FQ63),2)</f>
        <v>0</v>
      </c>
      <c r="BY65" s="2">
        <f>ROUND(SUMIF(AA28:AA63,"=47631607",FR28:FR63),2)</f>
        <v>0</v>
      </c>
      <c r="BZ65" s="2">
        <f>ROUND(SUMIF(AA28:AA63,"=47631607",GL28:GL63),2)</f>
        <v>0</v>
      </c>
      <c r="CA65" s="2">
        <f>ROUND(SUMIF(AA28:AA63,"=47631607",GM28:GM63),2)</f>
        <v>285395.73</v>
      </c>
      <c r="CB65" s="2">
        <f>ROUND(SUMIF(AA28:AA63,"=47631607",GN28:GN63),2)</f>
        <v>284261.59000000003</v>
      </c>
      <c r="CC65" s="2">
        <f>ROUND(SUMIF(AA28:AA63,"=47631607",GO28:GO63),2)</f>
        <v>1134.1400000000001</v>
      </c>
      <c r="CD65" s="2">
        <f>ROUND(SUMIF(AA28:AA63,"=47631607",GP28:GP63),2)</f>
        <v>0</v>
      </c>
      <c r="CE65" s="2">
        <f>AC65-BX65</f>
        <v>233556.29</v>
      </c>
      <c r="CF65" s="2">
        <f>AC65-BY65</f>
        <v>233556.29</v>
      </c>
      <c r="CG65" s="2">
        <f>BX65-BZ65</f>
        <v>0</v>
      </c>
      <c r="CH65" s="2">
        <f>AC65-BX65-BY65+BZ65</f>
        <v>233556.29</v>
      </c>
      <c r="CI65" s="2">
        <f>BY65-BZ65</f>
        <v>0</v>
      </c>
      <c r="CJ65" s="2">
        <f>ROUND(SUMIF(AA28:AA63,"=47631607",GX28:GX63),2)</f>
        <v>0</v>
      </c>
      <c r="CK65" s="2">
        <f>ROUND(SUMIF(AA28:AA63,"=47631607",GY28:GY63),2)</f>
        <v>0</v>
      </c>
      <c r="CL65" s="2">
        <f>ROUND(SUMIF(AA28:AA63,"=47631607",GZ28:GZ63),2)</f>
        <v>0</v>
      </c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>
        <v>0</v>
      </c>
    </row>
    <row r="67" spans="1:206" x14ac:dyDescent="0.2">
      <c r="A67" s="4">
        <v>50</v>
      </c>
      <c r="B67" s="4">
        <v>0</v>
      </c>
      <c r="C67" s="4">
        <v>0</v>
      </c>
      <c r="D67" s="4">
        <v>1</v>
      </c>
      <c r="E67" s="4">
        <v>201</v>
      </c>
      <c r="F67" s="4">
        <f>ROUND(Source!O65,O67)</f>
        <v>258714.86</v>
      </c>
      <c r="G67" s="4" t="s">
        <v>206</v>
      </c>
      <c r="H67" s="4" t="s">
        <v>207</v>
      </c>
      <c r="I67" s="4"/>
      <c r="J67" s="4"/>
      <c r="K67" s="4">
        <v>201</v>
      </c>
      <c r="L67" s="4">
        <v>1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 x14ac:dyDescent="0.2">
      <c r="A68" s="4">
        <v>50</v>
      </c>
      <c r="B68" s="4">
        <v>0</v>
      </c>
      <c r="C68" s="4">
        <v>0</v>
      </c>
      <c r="D68" s="4">
        <v>1</v>
      </c>
      <c r="E68" s="4">
        <v>202</v>
      </c>
      <c r="F68" s="4">
        <f>ROUND(Source!P65,O68)</f>
        <v>233556.29</v>
      </c>
      <c r="G68" s="4" t="s">
        <v>208</v>
      </c>
      <c r="H68" s="4" t="s">
        <v>209</v>
      </c>
      <c r="I68" s="4"/>
      <c r="J68" s="4"/>
      <c r="K68" s="4">
        <v>202</v>
      </c>
      <c r="L68" s="4">
        <v>2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06" x14ac:dyDescent="0.2">
      <c r="A69" s="4">
        <v>50</v>
      </c>
      <c r="B69" s="4">
        <v>0</v>
      </c>
      <c r="C69" s="4">
        <v>0</v>
      </c>
      <c r="D69" s="4">
        <v>1</v>
      </c>
      <c r="E69" s="4">
        <v>222</v>
      </c>
      <c r="F69" s="4">
        <f>ROUND(Source!AO65,O69)</f>
        <v>0</v>
      </c>
      <c r="G69" s="4" t="s">
        <v>210</v>
      </c>
      <c r="H69" s="4" t="s">
        <v>211</v>
      </c>
      <c r="I69" s="4"/>
      <c r="J69" s="4"/>
      <c r="K69" s="4">
        <v>222</v>
      </c>
      <c r="L69" s="4">
        <v>3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0" spans="1:206" x14ac:dyDescent="0.2">
      <c r="A70" s="4">
        <v>50</v>
      </c>
      <c r="B70" s="4">
        <v>0</v>
      </c>
      <c r="C70" s="4">
        <v>0</v>
      </c>
      <c r="D70" s="4">
        <v>1</v>
      </c>
      <c r="E70" s="4">
        <v>225</v>
      </c>
      <c r="F70" s="4">
        <f>ROUND(Source!AV65,O70)</f>
        <v>233556.29</v>
      </c>
      <c r="G70" s="4" t="s">
        <v>212</v>
      </c>
      <c r="H70" s="4" t="s">
        <v>213</v>
      </c>
      <c r="I70" s="4"/>
      <c r="J70" s="4"/>
      <c r="K70" s="4">
        <v>225</v>
      </c>
      <c r="L70" s="4">
        <v>4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/>
    </row>
    <row r="71" spans="1:206" x14ac:dyDescent="0.2">
      <c r="A71" s="4">
        <v>50</v>
      </c>
      <c r="B71" s="4">
        <v>0</v>
      </c>
      <c r="C71" s="4">
        <v>0</v>
      </c>
      <c r="D71" s="4">
        <v>1</v>
      </c>
      <c r="E71" s="4">
        <v>226</v>
      </c>
      <c r="F71" s="4">
        <f>ROUND(Source!AW65,O71)</f>
        <v>233556.29</v>
      </c>
      <c r="G71" s="4" t="s">
        <v>214</v>
      </c>
      <c r="H71" s="4" t="s">
        <v>215</v>
      </c>
      <c r="I71" s="4"/>
      <c r="J71" s="4"/>
      <c r="K71" s="4">
        <v>226</v>
      </c>
      <c r="L71" s="4">
        <v>5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/>
    </row>
    <row r="72" spans="1:206" x14ac:dyDescent="0.2">
      <c r="A72" s="4">
        <v>50</v>
      </c>
      <c r="B72" s="4">
        <v>0</v>
      </c>
      <c r="C72" s="4">
        <v>0</v>
      </c>
      <c r="D72" s="4">
        <v>1</v>
      </c>
      <c r="E72" s="4">
        <v>227</v>
      </c>
      <c r="F72" s="4">
        <f>ROUND(Source!AX65,O72)</f>
        <v>0</v>
      </c>
      <c r="G72" s="4" t="s">
        <v>216</v>
      </c>
      <c r="H72" s="4" t="s">
        <v>217</v>
      </c>
      <c r="I72" s="4"/>
      <c r="J72" s="4"/>
      <c r="K72" s="4">
        <v>227</v>
      </c>
      <c r="L72" s="4">
        <v>6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/>
    </row>
    <row r="73" spans="1:206" x14ac:dyDescent="0.2">
      <c r="A73" s="4">
        <v>50</v>
      </c>
      <c r="B73" s="4">
        <v>0</v>
      </c>
      <c r="C73" s="4">
        <v>0</v>
      </c>
      <c r="D73" s="4">
        <v>1</v>
      </c>
      <c r="E73" s="4">
        <v>228</v>
      </c>
      <c r="F73" s="4">
        <f>ROUND(Source!AY65,O73)</f>
        <v>233556.29</v>
      </c>
      <c r="G73" s="4" t="s">
        <v>218</v>
      </c>
      <c r="H73" s="4" t="s">
        <v>219</v>
      </c>
      <c r="I73" s="4"/>
      <c r="J73" s="4"/>
      <c r="K73" s="4">
        <v>228</v>
      </c>
      <c r="L73" s="4">
        <v>7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06" x14ac:dyDescent="0.2">
      <c r="A74" s="4">
        <v>50</v>
      </c>
      <c r="B74" s="4">
        <v>0</v>
      </c>
      <c r="C74" s="4">
        <v>0</v>
      </c>
      <c r="D74" s="4">
        <v>1</v>
      </c>
      <c r="E74" s="4">
        <v>216</v>
      </c>
      <c r="F74" s="4">
        <f>ROUND(Source!AP65,O74)</f>
        <v>0</v>
      </c>
      <c r="G74" s="4" t="s">
        <v>220</v>
      </c>
      <c r="H74" s="4" t="s">
        <v>221</v>
      </c>
      <c r="I74" s="4"/>
      <c r="J74" s="4"/>
      <c r="K74" s="4">
        <v>216</v>
      </c>
      <c r="L74" s="4">
        <v>8</v>
      </c>
      <c r="M74" s="4">
        <v>3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06" x14ac:dyDescent="0.2">
      <c r="A75" s="4">
        <v>50</v>
      </c>
      <c r="B75" s="4">
        <v>0</v>
      </c>
      <c r="C75" s="4">
        <v>0</v>
      </c>
      <c r="D75" s="4">
        <v>1</v>
      </c>
      <c r="E75" s="4">
        <v>223</v>
      </c>
      <c r="F75" s="4">
        <f>ROUND(Source!AQ65,O75)</f>
        <v>0</v>
      </c>
      <c r="G75" s="4" t="s">
        <v>222</v>
      </c>
      <c r="H75" s="4" t="s">
        <v>223</v>
      </c>
      <c r="I75" s="4"/>
      <c r="J75" s="4"/>
      <c r="K75" s="4">
        <v>223</v>
      </c>
      <c r="L75" s="4">
        <v>9</v>
      </c>
      <c r="M75" s="4">
        <v>3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06" x14ac:dyDescent="0.2">
      <c r="A76" s="4">
        <v>50</v>
      </c>
      <c r="B76" s="4">
        <v>0</v>
      </c>
      <c r="C76" s="4">
        <v>0</v>
      </c>
      <c r="D76" s="4">
        <v>1</v>
      </c>
      <c r="E76" s="4">
        <v>229</v>
      </c>
      <c r="F76" s="4">
        <f>ROUND(Source!AZ65,O76)</f>
        <v>0</v>
      </c>
      <c r="G76" s="4" t="s">
        <v>224</v>
      </c>
      <c r="H76" s="4" t="s">
        <v>225</v>
      </c>
      <c r="I76" s="4"/>
      <c r="J76" s="4"/>
      <c r="K76" s="4">
        <v>229</v>
      </c>
      <c r="L76" s="4">
        <v>10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 x14ac:dyDescent="0.2">
      <c r="A77" s="4">
        <v>50</v>
      </c>
      <c r="B77" s="4">
        <v>0</v>
      </c>
      <c r="C77" s="4">
        <v>0</v>
      </c>
      <c r="D77" s="4">
        <v>1</v>
      </c>
      <c r="E77" s="4">
        <v>203</v>
      </c>
      <c r="F77" s="4">
        <f>ROUND(Source!Q65,O77)</f>
        <v>8893.8799999999992</v>
      </c>
      <c r="G77" s="4" t="s">
        <v>226</v>
      </c>
      <c r="H77" s="4" t="s">
        <v>227</v>
      </c>
      <c r="I77" s="4"/>
      <c r="J77" s="4"/>
      <c r="K77" s="4">
        <v>203</v>
      </c>
      <c r="L77" s="4">
        <v>11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 x14ac:dyDescent="0.2">
      <c r="A78" s="4">
        <v>50</v>
      </c>
      <c r="B78" s="4">
        <v>0</v>
      </c>
      <c r="C78" s="4">
        <v>0</v>
      </c>
      <c r="D78" s="4">
        <v>1</v>
      </c>
      <c r="E78" s="4">
        <v>231</v>
      </c>
      <c r="F78" s="4">
        <f>ROUND(Source!BB65,O78)</f>
        <v>0</v>
      </c>
      <c r="G78" s="4" t="s">
        <v>228</v>
      </c>
      <c r="H78" s="4" t="s">
        <v>229</v>
      </c>
      <c r="I78" s="4"/>
      <c r="J78" s="4"/>
      <c r="K78" s="4">
        <v>231</v>
      </c>
      <c r="L78" s="4">
        <v>12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 x14ac:dyDescent="0.2">
      <c r="A79" s="4">
        <v>50</v>
      </c>
      <c r="B79" s="4">
        <v>0</v>
      </c>
      <c r="C79" s="4">
        <v>0</v>
      </c>
      <c r="D79" s="4">
        <v>1</v>
      </c>
      <c r="E79" s="4">
        <v>204</v>
      </c>
      <c r="F79" s="4">
        <f>ROUND(Source!R65,O79)</f>
        <v>562.9</v>
      </c>
      <c r="G79" s="4" t="s">
        <v>230</v>
      </c>
      <c r="H79" s="4" t="s">
        <v>231</v>
      </c>
      <c r="I79" s="4"/>
      <c r="J79" s="4"/>
      <c r="K79" s="4">
        <v>204</v>
      </c>
      <c r="L79" s="4">
        <v>13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 x14ac:dyDescent="0.2">
      <c r="A80" s="4">
        <v>50</v>
      </c>
      <c r="B80" s="4">
        <v>0</v>
      </c>
      <c r="C80" s="4">
        <v>0</v>
      </c>
      <c r="D80" s="4">
        <v>1</v>
      </c>
      <c r="E80" s="4">
        <v>205</v>
      </c>
      <c r="F80" s="4">
        <f>ROUND(Source!S65,O80)</f>
        <v>16264.69</v>
      </c>
      <c r="G80" s="4" t="s">
        <v>232</v>
      </c>
      <c r="H80" s="4" t="s">
        <v>233</v>
      </c>
      <c r="I80" s="4"/>
      <c r="J80" s="4"/>
      <c r="K80" s="4">
        <v>205</v>
      </c>
      <c r="L80" s="4">
        <v>14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06" x14ac:dyDescent="0.2">
      <c r="A81" s="4">
        <v>50</v>
      </c>
      <c r="B81" s="4">
        <v>0</v>
      </c>
      <c r="C81" s="4">
        <v>0</v>
      </c>
      <c r="D81" s="4">
        <v>1</v>
      </c>
      <c r="E81" s="4">
        <v>232</v>
      </c>
      <c r="F81" s="4">
        <f>ROUND(Source!BC65,O81)</f>
        <v>0</v>
      </c>
      <c r="G81" s="4" t="s">
        <v>234</v>
      </c>
      <c r="H81" s="4" t="s">
        <v>235</v>
      </c>
      <c r="I81" s="4"/>
      <c r="J81" s="4"/>
      <c r="K81" s="4">
        <v>232</v>
      </c>
      <c r="L81" s="4">
        <v>15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06" x14ac:dyDescent="0.2">
      <c r="A82" s="4">
        <v>50</v>
      </c>
      <c r="B82" s="4">
        <v>0</v>
      </c>
      <c r="C82" s="4">
        <v>0</v>
      </c>
      <c r="D82" s="4">
        <v>1</v>
      </c>
      <c r="E82" s="4">
        <v>214</v>
      </c>
      <c r="F82" s="4">
        <f>ROUND(Source!AS65,O82)</f>
        <v>284261.59000000003</v>
      </c>
      <c r="G82" s="4" t="s">
        <v>236</v>
      </c>
      <c r="H82" s="4" t="s">
        <v>237</v>
      </c>
      <c r="I82" s="4"/>
      <c r="J82" s="4"/>
      <c r="K82" s="4">
        <v>214</v>
      </c>
      <c r="L82" s="4">
        <v>16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06" x14ac:dyDescent="0.2">
      <c r="A83" s="4">
        <v>50</v>
      </c>
      <c r="B83" s="4">
        <v>0</v>
      </c>
      <c r="C83" s="4">
        <v>0</v>
      </c>
      <c r="D83" s="4">
        <v>1</v>
      </c>
      <c r="E83" s="4">
        <v>215</v>
      </c>
      <c r="F83" s="4">
        <f>ROUND(Source!AT65,O83)</f>
        <v>1134.1400000000001</v>
      </c>
      <c r="G83" s="4" t="s">
        <v>238</v>
      </c>
      <c r="H83" s="4" t="s">
        <v>239</v>
      </c>
      <c r="I83" s="4"/>
      <c r="J83" s="4"/>
      <c r="K83" s="4">
        <v>215</v>
      </c>
      <c r="L83" s="4">
        <v>17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06" x14ac:dyDescent="0.2">
      <c r="A84" s="4">
        <v>50</v>
      </c>
      <c r="B84" s="4">
        <v>0</v>
      </c>
      <c r="C84" s="4">
        <v>0</v>
      </c>
      <c r="D84" s="4">
        <v>1</v>
      </c>
      <c r="E84" s="4">
        <v>217</v>
      </c>
      <c r="F84" s="4">
        <f>ROUND(Source!AU65,O84)</f>
        <v>0</v>
      </c>
      <c r="G84" s="4" t="s">
        <v>240</v>
      </c>
      <c r="H84" s="4" t="s">
        <v>241</v>
      </c>
      <c r="I84" s="4"/>
      <c r="J84" s="4"/>
      <c r="K84" s="4">
        <v>217</v>
      </c>
      <c r="L84" s="4">
        <v>18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06" x14ac:dyDescent="0.2">
      <c r="A85" s="4">
        <v>50</v>
      </c>
      <c r="B85" s="4">
        <v>0</v>
      </c>
      <c r="C85" s="4">
        <v>0</v>
      </c>
      <c r="D85" s="4">
        <v>1</v>
      </c>
      <c r="E85" s="4">
        <v>230</v>
      </c>
      <c r="F85" s="4">
        <f>ROUND(Source!BA65,O85)</f>
        <v>0</v>
      </c>
      <c r="G85" s="4" t="s">
        <v>242</v>
      </c>
      <c r="H85" s="4" t="s">
        <v>243</v>
      </c>
      <c r="I85" s="4"/>
      <c r="J85" s="4"/>
      <c r="K85" s="4">
        <v>230</v>
      </c>
      <c r="L85" s="4">
        <v>19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06" x14ac:dyDescent="0.2">
      <c r="A86" s="4">
        <v>50</v>
      </c>
      <c r="B86" s="4">
        <v>0</v>
      </c>
      <c r="C86" s="4">
        <v>0</v>
      </c>
      <c r="D86" s="4">
        <v>1</v>
      </c>
      <c r="E86" s="4">
        <v>206</v>
      </c>
      <c r="F86" s="4">
        <f>ROUND(Source!T65,O86)</f>
        <v>0</v>
      </c>
      <c r="G86" s="4" t="s">
        <v>244</v>
      </c>
      <c r="H86" s="4" t="s">
        <v>245</v>
      </c>
      <c r="I86" s="4"/>
      <c r="J86" s="4"/>
      <c r="K86" s="4">
        <v>206</v>
      </c>
      <c r="L86" s="4">
        <v>20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06" x14ac:dyDescent="0.2">
      <c r="A87" s="4">
        <v>50</v>
      </c>
      <c r="B87" s="4">
        <v>0</v>
      </c>
      <c r="C87" s="4">
        <v>0</v>
      </c>
      <c r="D87" s="4">
        <v>1</v>
      </c>
      <c r="E87" s="4">
        <v>207</v>
      </c>
      <c r="F87" s="4">
        <f>Source!U65</f>
        <v>1909.8609750482503</v>
      </c>
      <c r="G87" s="4" t="s">
        <v>246</v>
      </c>
      <c r="H87" s="4" t="s">
        <v>247</v>
      </c>
      <c r="I87" s="4"/>
      <c r="J87" s="4"/>
      <c r="K87" s="4">
        <v>207</v>
      </c>
      <c r="L87" s="4">
        <v>21</v>
      </c>
      <c r="M87" s="4">
        <v>3</v>
      </c>
      <c r="N87" s="4" t="s">
        <v>3</v>
      </c>
      <c r="O87" s="4">
        <v>-1</v>
      </c>
      <c r="P87" s="4"/>
      <c r="Q87" s="4"/>
      <c r="R87" s="4"/>
      <c r="S87" s="4"/>
      <c r="T87" s="4"/>
      <c r="U87" s="4"/>
      <c r="V87" s="4"/>
      <c r="W87" s="4"/>
    </row>
    <row r="88" spans="1:206" x14ac:dyDescent="0.2">
      <c r="A88" s="4">
        <v>50</v>
      </c>
      <c r="B88" s="4">
        <v>0</v>
      </c>
      <c r="C88" s="4">
        <v>0</v>
      </c>
      <c r="D88" s="4">
        <v>1</v>
      </c>
      <c r="E88" s="4">
        <v>208</v>
      </c>
      <c r="F88" s="4">
        <f>Source!V65</f>
        <v>45.15627978749999</v>
      </c>
      <c r="G88" s="4" t="s">
        <v>248</v>
      </c>
      <c r="H88" s="4" t="s">
        <v>249</v>
      </c>
      <c r="I88" s="4"/>
      <c r="J88" s="4"/>
      <c r="K88" s="4">
        <v>208</v>
      </c>
      <c r="L88" s="4">
        <v>22</v>
      </c>
      <c r="M88" s="4">
        <v>3</v>
      </c>
      <c r="N88" s="4" t="s">
        <v>3</v>
      </c>
      <c r="O88" s="4">
        <v>-1</v>
      </c>
      <c r="P88" s="4"/>
      <c r="Q88" s="4"/>
      <c r="R88" s="4"/>
      <c r="S88" s="4"/>
      <c r="T88" s="4"/>
      <c r="U88" s="4"/>
      <c r="V88" s="4"/>
      <c r="W88" s="4"/>
    </row>
    <row r="89" spans="1:206" x14ac:dyDescent="0.2">
      <c r="A89" s="4">
        <v>50</v>
      </c>
      <c r="B89" s="4">
        <v>0</v>
      </c>
      <c r="C89" s="4">
        <v>0</v>
      </c>
      <c r="D89" s="4">
        <v>1</v>
      </c>
      <c r="E89" s="4">
        <v>209</v>
      </c>
      <c r="F89" s="4">
        <f>ROUND(Source!W65,O89)</f>
        <v>0</v>
      </c>
      <c r="G89" s="4" t="s">
        <v>250</v>
      </c>
      <c r="H89" s="4" t="s">
        <v>251</v>
      </c>
      <c r="I89" s="4"/>
      <c r="J89" s="4"/>
      <c r="K89" s="4">
        <v>209</v>
      </c>
      <c r="L89" s="4">
        <v>23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06" x14ac:dyDescent="0.2">
      <c r="A90" s="4">
        <v>50</v>
      </c>
      <c r="B90" s="4">
        <v>0</v>
      </c>
      <c r="C90" s="4">
        <v>0</v>
      </c>
      <c r="D90" s="4">
        <v>1</v>
      </c>
      <c r="E90" s="4">
        <v>210</v>
      </c>
      <c r="F90" s="4">
        <f>ROUND(Source!X65,O90)</f>
        <v>14725.68</v>
      </c>
      <c r="G90" s="4" t="s">
        <v>252</v>
      </c>
      <c r="H90" s="4" t="s">
        <v>253</v>
      </c>
      <c r="I90" s="4"/>
      <c r="J90" s="4"/>
      <c r="K90" s="4">
        <v>210</v>
      </c>
      <c r="L90" s="4">
        <v>24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06" x14ac:dyDescent="0.2">
      <c r="A91" s="4">
        <v>50</v>
      </c>
      <c r="B91" s="4">
        <v>0</v>
      </c>
      <c r="C91" s="4">
        <v>0</v>
      </c>
      <c r="D91" s="4">
        <v>1</v>
      </c>
      <c r="E91" s="4">
        <v>211</v>
      </c>
      <c r="F91" s="4">
        <f>ROUND(Source!Y65,O91)</f>
        <v>11192.5</v>
      </c>
      <c r="G91" s="4" t="s">
        <v>254</v>
      </c>
      <c r="H91" s="4" t="s">
        <v>255</v>
      </c>
      <c r="I91" s="4"/>
      <c r="J91" s="4"/>
      <c r="K91" s="4">
        <v>211</v>
      </c>
      <c r="L91" s="4">
        <v>25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06" x14ac:dyDescent="0.2">
      <c r="A92" s="4">
        <v>50</v>
      </c>
      <c r="B92" s="4">
        <v>0</v>
      </c>
      <c r="C92" s="4">
        <v>0</v>
      </c>
      <c r="D92" s="4">
        <v>1</v>
      </c>
      <c r="E92" s="4">
        <v>224</v>
      </c>
      <c r="F92" s="4">
        <f>ROUND(Source!AR65,O92)</f>
        <v>285395.73</v>
      </c>
      <c r="G92" s="4" t="s">
        <v>256</v>
      </c>
      <c r="H92" s="4" t="s">
        <v>257</v>
      </c>
      <c r="I92" s="4"/>
      <c r="J92" s="4"/>
      <c r="K92" s="4">
        <v>224</v>
      </c>
      <c r="L92" s="4">
        <v>26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4" spans="1:206" x14ac:dyDescent="0.2">
      <c r="A94" s="1">
        <v>4</v>
      </c>
      <c r="B94" s="1">
        <v>1</v>
      </c>
      <c r="C94" s="1"/>
      <c r="D94" s="1">
        <f>ROW(A301)</f>
        <v>301</v>
      </c>
      <c r="E94" s="1"/>
      <c r="F94" s="1" t="s">
        <v>258</v>
      </c>
      <c r="G94" s="1" t="s">
        <v>259</v>
      </c>
      <c r="H94" s="1" t="s">
        <v>3</v>
      </c>
      <c r="I94" s="1">
        <v>0</v>
      </c>
      <c r="J94" s="1"/>
      <c r="K94" s="1">
        <v>0</v>
      </c>
      <c r="L94" s="1"/>
      <c r="M94" s="1"/>
      <c r="N94" s="1"/>
      <c r="O94" s="1"/>
      <c r="P94" s="1"/>
      <c r="Q94" s="1"/>
      <c r="R94" s="1"/>
      <c r="S94" s="1"/>
      <c r="T94" s="1"/>
      <c r="U94" s="1" t="s">
        <v>3</v>
      </c>
      <c r="V94" s="1">
        <v>0</v>
      </c>
      <c r="W94" s="1"/>
      <c r="X94" s="1"/>
      <c r="Y94" s="1"/>
      <c r="Z94" s="1"/>
      <c r="AA94" s="1"/>
      <c r="AB94" s="1" t="s">
        <v>3</v>
      </c>
      <c r="AC94" s="1" t="s">
        <v>3</v>
      </c>
      <c r="AD94" s="1" t="s">
        <v>3</v>
      </c>
      <c r="AE94" s="1" t="s">
        <v>3</v>
      </c>
      <c r="AF94" s="1" t="s">
        <v>3</v>
      </c>
      <c r="AG94" s="1" t="s">
        <v>3</v>
      </c>
      <c r="AH94" s="1"/>
      <c r="AI94" s="1"/>
      <c r="AJ94" s="1"/>
      <c r="AK94" s="1"/>
      <c r="AL94" s="1"/>
      <c r="AM94" s="1"/>
      <c r="AN94" s="1"/>
      <c r="AO94" s="1"/>
      <c r="AP94" s="1" t="s">
        <v>3</v>
      </c>
      <c r="AQ94" s="1" t="s">
        <v>3</v>
      </c>
      <c r="AR94" s="1" t="s">
        <v>3</v>
      </c>
      <c r="AS94" s="1"/>
      <c r="AT94" s="1"/>
      <c r="AU94" s="1"/>
      <c r="AV94" s="1"/>
      <c r="AW94" s="1"/>
      <c r="AX94" s="1"/>
      <c r="AY94" s="1"/>
      <c r="AZ94" s="1" t="s">
        <v>3</v>
      </c>
      <c r="BA94" s="1"/>
      <c r="BB94" s="1" t="s">
        <v>3</v>
      </c>
      <c r="BC94" s="1" t="s">
        <v>3</v>
      </c>
      <c r="BD94" s="1" t="s">
        <v>3</v>
      </c>
      <c r="BE94" s="1" t="s">
        <v>3</v>
      </c>
      <c r="BF94" s="1" t="s">
        <v>3</v>
      </c>
      <c r="BG94" s="1" t="s">
        <v>3</v>
      </c>
      <c r="BH94" s="1" t="s">
        <v>3</v>
      </c>
      <c r="BI94" s="1" t="s">
        <v>3</v>
      </c>
      <c r="BJ94" s="1" t="s">
        <v>3</v>
      </c>
      <c r="BK94" s="1" t="s">
        <v>3</v>
      </c>
      <c r="BL94" s="1" t="s">
        <v>3</v>
      </c>
      <c r="BM94" s="1" t="s">
        <v>3</v>
      </c>
      <c r="BN94" s="1" t="s">
        <v>3</v>
      </c>
      <c r="BO94" s="1" t="s">
        <v>3</v>
      </c>
      <c r="BP94" s="1" t="s">
        <v>3</v>
      </c>
      <c r="BQ94" s="1"/>
      <c r="BR94" s="1"/>
      <c r="BS94" s="1"/>
      <c r="BT94" s="1"/>
      <c r="BU94" s="1"/>
      <c r="BV94" s="1"/>
      <c r="BW94" s="1"/>
      <c r="BX94" s="1">
        <v>0</v>
      </c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>
        <v>0</v>
      </c>
    </row>
    <row r="96" spans="1:206" x14ac:dyDescent="0.2">
      <c r="A96" s="2">
        <v>52</v>
      </c>
      <c r="B96" s="2">
        <f t="shared" ref="B96:G96" si="103">B301</f>
        <v>1</v>
      </c>
      <c r="C96" s="2">
        <f t="shared" si="103"/>
        <v>4</v>
      </c>
      <c r="D96" s="2">
        <f t="shared" si="103"/>
        <v>94</v>
      </c>
      <c r="E96" s="2">
        <f t="shared" si="103"/>
        <v>0</v>
      </c>
      <c r="F96" s="2" t="str">
        <f t="shared" si="103"/>
        <v>Новый раздел</v>
      </c>
      <c r="G96" s="2" t="str">
        <f t="shared" si="103"/>
        <v>Прочие работы</v>
      </c>
      <c r="H96" s="2"/>
      <c r="I96" s="2"/>
      <c r="J96" s="2"/>
      <c r="K96" s="2"/>
      <c r="L96" s="2"/>
      <c r="M96" s="2"/>
      <c r="N96" s="2"/>
      <c r="O96" s="2">
        <f t="shared" ref="O96:AT96" si="104">O301</f>
        <v>166405.17000000001</v>
      </c>
      <c r="P96" s="2">
        <f t="shared" si="104"/>
        <v>132272.22</v>
      </c>
      <c r="Q96" s="2">
        <f t="shared" si="104"/>
        <v>27710.1</v>
      </c>
      <c r="R96" s="2">
        <f t="shared" si="104"/>
        <v>2666.08</v>
      </c>
      <c r="S96" s="2">
        <f t="shared" si="104"/>
        <v>6422.85</v>
      </c>
      <c r="T96" s="2">
        <f t="shared" si="104"/>
        <v>0</v>
      </c>
      <c r="U96" s="2">
        <f t="shared" si="104"/>
        <v>759.59182714999997</v>
      </c>
      <c r="V96" s="2">
        <f t="shared" si="104"/>
        <v>213.32946625</v>
      </c>
      <c r="W96" s="2">
        <f t="shared" si="104"/>
        <v>0</v>
      </c>
      <c r="X96" s="2">
        <f t="shared" si="104"/>
        <v>10752.31</v>
      </c>
      <c r="Y96" s="2">
        <f t="shared" si="104"/>
        <v>6862.5</v>
      </c>
      <c r="Z96" s="2">
        <f t="shared" si="104"/>
        <v>0</v>
      </c>
      <c r="AA96" s="2">
        <f t="shared" si="104"/>
        <v>0</v>
      </c>
      <c r="AB96" s="2">
        <f t="shared" si="104"/>
        <v>0</v>
      </c>
      <c r="AC96" s="2">
        <f t="shared" si="104"/>
        <v>0</v>
      </c>
      <c r="AD96" s="2">
        <f t="shared" si="104"/>
        <v>0</v>
      </c>
      <c r="AE96" s="2">
        <f t="shared" si="104"/>
        <v>0</v>
      </c>
      <c r="AF96" s="2">
        <f t="shared" si="104"/>
        <v>0</v>
      </c>
      <c r="AG96" s="2">
        <f t="shared" si="104"/>
        <v>0</v>
      </c>
      <c r="AH96" s="2">
        <f t="shared" si="104"/>
        <v>0</v>
      </c>
      <c r="AI96" s="2">
        <f t="shared" si="104"/>
        <v>0</v>
      </c>
      <c r="AJ96" s="2">
        <f t="shared" si="104"/>
        <v>0</v>
      </c>
      <c r="AK96" s="2">
        <f t="shared" si="104"/>
        <v>0</v>
      </c>
      <c r="AL96" s="2">
        <f t="shared" si="104"/>
        <v>0</v>
      </c>
      <c r="AM96" s="2">
        <f t="shared" si="104"/>
        <v>0</v>
      </c>
      <c r="AN96" s="2">
        <f t="shared" si="104"/>
        <v>0</v>
      </c>
      <c r="AO96" s="2">
        <f t="shared" si="104"/>
        <v>0</v>
      </c>
      <c r="AP96" s="2">
        <f t="shared" si="104"/>
        <v>0</v>
      </c>
      <c r="AQ96" s="2">
        <f t="shared" si="104"/>
        <v>0</v>
      </c>
      <c r="AR96" s="2">
        <f t="shared" si="104"/>
        <v>200582.25</v>
      </c>
      <c r="AS96" s="2">
        <f t="shared" si="104"/>
        <v>200582.25</v>
      </c>
      <c r="AT96" s="2">
        <f t="shared" si="104"/>
        <v>0</v>
      </c>
      <c r="AU96" s="2">
        <f t="shared" ref="AU96:BZ96" si="105">AU301</f>
        <v>0</v>
      </c>
      <c r="AV96" s="2">
        <f t="shared" si="105"/>
        <v>132272.22</v>
      </c>
      <c r="AW96" s="2">
        <f t="shared" si="105"/>
        <v>132272.22</v>
      </c>
      <c r="AX96" s="2">
        <f t="shared" si="105"/>
        <v>0</v>
      </c>
      <c r="AY96" s="2">
        <f t="shared" si="105"/>
        <v>132272.22</v>
      </c>
      <c r="AZ96" s="2">
        <f t="shared" si="105"/>
        <v>0</v>
      </c>
      <c r="BA96" s="2">
        <f t="shared" si="105"/>
        <v>0</v>
      </c>
      <c r="BB96" s="2">
        <f t="shared" si="105"/>
        <v>0</v>
      </c>
      <c r="BC96" s="2">
        <f t="shared" si="105"/>
        <v>0</v>
      </c>
      <c r="BD96" s="2">
        <f t="shared" si="105"/>
        <v>0</v>
      </c>
      <c r="BE96" s="2">
        <f t="shared" si="105"/>
        <v>0</v>
      </c>
      <c r="BF96" s="2">
        <f t="shared" si="105"/>
        <v>0</v>
      </c>
      <c r="BG96" s="2">
        <f t="shared" si="105"/>
        <v>0</v>
      </c>
      <c r="BH96" s="2">
        <f t="shared" si="105"/>
        <v>0</v>
      </c>
      <c r="BI96" s="2">
        <f t="shared" si="105"/>
        <v>0</v>
      </c>
      <c r="BJ96" s="2">
        <f t="shared" si="105"/>
        <v>0</v>
      </c>
      <c r="BK96" s="2">
        <f t="shared" si="105"/>
        <v>0</v>
      </c>
      <c r="BL96" s="2">
        <f t="shared" si="105"/>
        <v>0</v>
      </c>
      <c r="BM96" s="2">
        <f t="shared" si="105"/>
        <v>0</v>
      </c>
      <c r="BN96" s="2">
        <f t="shared" si="105"/>
        <v>0</v>
      </c>
      <c r="BO96" s="2">
        <f t="shared" si="105"/>
        <v>0</v>
      </c>
      <c r="BP96" s="2">
        <f t="shared" si="105"/>
        <v>0</v>
      </c>
      <c r="BQ96" s="2">
        <f t="shared" si="105"/>
        <v>0</v>
      </c>
      <c r="BR96" s="2">
        <f t="shared" si="105"/>
        <v>0</v>
      </c>
      <c r="BS96" s="2">
        <f t="shared" si="105"/>
        <v>0</v>
      </c>
      <c r="BT96" s="2">
        <f t="shared" si="105"/>
        <v>0</v>
      </c>
      <c r="BU96" s="2">
        <f t="shared" si="105"/>
        <v>0</v>
      </c>
      <c r="BV96" s="2">
        <f t="shared" si="105"/>
        <v>0</v>
      </c>
      <c r="BW96" s="2">
        <f t="shared" si="105"/>
        <v>0</v>
      </c>
      <c r="BX96" s="2">
        <f t="shared" si="105"/>
        <v>0</v>
      </c>
      <c r="BY96" s="2">
        <f t="shared" si="105"/>
        <v>0</v>
      </c>
      <c r="BZ96" s="2">
        <f t="shared" si="105"/>
        <v>0</v>
      </c>
      <c r="CA96" s="2">
        <f t="shared" ref="CA96:DF96" si="106">CA301</f>
        <v>0</v>
      </c>
      <c r="CB96" s="2">
        <f t="shared" si="106"/>
        <v>0</v>
      </c>
      <c r="CC96" s="2">
        <f t="shared" si="106"/>
        <v>0</v>
      </c>
      <c r="CD96" s="2">
        <f t="shared" si="106"/>
        <v>0</v>
      </c>
      <c r="CE96" s="2">
        <f t="shared" si="106"/>
        <v>0</v>
      </c>
      <c r="CF96" s="2">
        <f t="shared" si="106"/>
        <v>0</v>
      </c>
      <c r="CG96" s="2">
        <f t="shared" si="106"/>
        <v>0</v>
      </c>
      <c r="CH96" s="2">
        <f t="shared" si="106"/>
        <v>0</v>
      </c>
      <c r="CI96" s="2">
        <f t="shared" si="106"/>
        <v>0</v>
      </c>
      <c r="CJ96" s="2">
        <f t="shared" si="106"/>
        <v>0</v>
      </c>
      <c r="CK96" s="2">
        <f t="shared" si="106"/>
        <v>0</v>
      </c>
      <c r="CL96" s="2">
        <f t="shared" si="106"/>
        <v>0</v>
      </c>
      <c r="CM96" s="2">
        <f t="shared" si="106"/>
        <v>0</v>
      </c>
      <c r="CN96" s="2">
        <f t="shared" si="106"/>
        <v>0</v>
      </c>
      <c r="CO96" s="2">
        <f t="shared" si="106"/>
        <v>0</v>
      </c>
      <c r="CP96" s="2">
        <f t="shared" si="106"/>
        <v>0</v>
      </c>
      <c r="CQ96" s="2">
        <f t="shared" si="106"/>
        <v>0</v>
      </c>
      <c r="CR96" s="2">
        <f t="shared" si="106"/>
        <v>0</v>
      </c>
      <c r="CS96" s="2">
        <f t="shared" si="106"/>
        <v>0</v>
      </c>
      <c r="CT96" s="2">
        <f t="shared" si="106"/>
        <v>0</v>
      </c>
      <c r="CU96" s="2">
        <f t="shared" si="106"/>
        <v>0</v>
      </c>
      <c r="CV96" s="2">
        <f t="shared" si="106"/>
        <v>0</v>
      </c>
      <c r="CW96" s="2">
        <f t="shared" si="106"/>
        <v>0</v>
      </c>
      <c r="CX96" s="2">
        <f t="shared" si="106"/>
        <v>0</v>
      </c>
      <c r="CY96" s="2">
        <f t="shared" si="106"/>
        <v>0</v>
      </c>
      <c r="CZ96" s="2">
        <f t="shared" si="106"/>
        <v>0</v>
      </c>
      <c r="DA96" s="2">
        <f t="shared" si="106"/>
        <v>0</v>
      </c>
      <c r="DB96" s="2">
        <f t="shared" si="106"/>
        <v>0</v>
      </c>
      <c r="DC96" s="2">
        <f t="shared" si="106"/>
        <v>0</v>
      </c>
      <c r="DD96" s="2">
        <f t="shared" si="106"/>
        <v>0</v>
      </c>
      <c r="DE96" s="2">
        <f t="shared" si="106"/>
        <v>0</v>
      </c>
      <c r="DF96" s="2">
        <f t="shared" si="106"/>
        <v>0</v>
      </c>
      <c r="DG96" s="3">
        <f t="shared" ref="DG96:EL96" si="107">DG301</f>
        <v>0</v>
      </c>
      <c r="DH96" s="3">
        <f t="shared" si="107"/>
        <v>0</v>
      </c>
      <c r="DI96" s="3">
        <f t="shared" si="107"/>
        <v>0</v>
      </c>
      <c r="DJ96" s="3">
        <f t="shared" si="107"/>
        <v>0</v>
      </c>
      <c r="DK96" s="3">
        <f t="shared" si="107"/>
        <v>0</v>
      </c>
      <c r="DL96" s="3">
        <f t="shared" si="107"/>
        <v>0</v>
      </c>
      <c r="DM96" s="3">
        <f t="shared" si="107"/>
        <v>0</v>
      </c>
      <c r="DN96" s="3">
        <f t="shared" si="107"/>
        <v>0</v>
      </c>
      <c r="DO96" s="3">
        <f t="shared" si="107"/>
        <v>0</v>
      </c>
      <c r="DP96" s="3">
        <f t="shared" si="107"/>
        <v>0</v>
      </c>
      <c r="DQ96" s="3">
        <f t="shared" si="107"/>
        <v>0</v>
      </c>
      <c r="DR96" s="3">
        <f t="shared" si="107"/>
        <v>0</v>
      </c>
      <c r="DS96" s="3">
        <f t="shared" si="107"/>
        <v>0</v>
      </c>
      <c r="DT96" s="3">
        <f t="shared" si="107"/>
        <v>0</v>
      </c>
      <c r="DU96" s="3">
        <f t="shared" si="107"/>
        <v>0</v>
      </c>
      <c r="DV96" s="3">
        <f t="shared" si="107"/>
        <v>0</v>
      </c>
      <c r="DW96" s="3">
        <f t="shared" si="107"/>
        <v>0</v>
      </c>
      <c r="DX96" s="3">
        <f t="shared" si="107"/>
        <v>0</v>
      </c>
      <c r="DY96" s="3">
        <f t="shared" si="107"/>
        <v>0</v>
      </c>
      <c r="DZ96" s="3">
        <f t="shared" si="107"/>
        <v>0</v>
      </c>
      <c r="EA96" s="3">
        <f t="shared" si="107"/>
        <v>0</v>
      </c>
      <c r="EB96" s="3">
        <f t="shared" si="107"/>
        <v>0</v>
      </c>
      <c r="EC96" s="3">
        <f t="shared" si="107"/>
        <v>0</v>
      </c>
      <c r="ED96" s="3">
        <f t="shared" si="107"/>
        <v>0</v>
      </c>
      <c r="EE96" s="3">
        <f t="shared" si="107"/>
        <v>0</v>
      </c>
      <c r="EF96" s="3">
        <f t="shared" si="107"/>
        <v>0</v>
      </c>
      <c r="EG96" s="3">
        <f t="shared" si="107"/>
        <v>0</v>
      </c>
      <c r="EH96" s="3">
        <f t="shared" si="107"/>
        <v>0</v>
      </c>
      <c r="EI96" s="3">
        <f t="shared" si="107"/>
        <v>0</v>
      </c>
      <c r="EJ96" s="3">
        <f t="shared" si="107"/>
        <v>0</v>
      </c>
      <c r="EK96" s="3">
        <f t="shared" si="107"/>
        <v>0</v>
      </c>
      <c r="EL96" s="3">
        <f t="shared" si="107"/>
        <v>0</v>
      </c>
      <c r="EM96" s="3">
        <f t="shared" ref="EM96:FR96" si="108">EM301</f>
        <v>0</v>
      </c>
      <c r="EN96" s="3">
        <f t="shared" si="108"/>
        <v>0</v>
      </c>
      <c r="EO96" s="3">
        <f t="shared" si="108"/>
        <v>0</v>
      </c>
      <c r="EP96" s="3">
        <f t="shared" si="108"/>
        <v>0</v>
      </c>
      <c r="EQ96" s="3">
        <f t="shared" si="108"/>
        <v>0</v>
      </c>
      <c r="ER96" s="3">
        <f t="shared" si="108"/>
        <v>0</v>
      </c>
      <c r="ES96" s="3">
        <f t="shared" si="108"/>
        <v>0</v>
      </c>
      <c r="ET96" s="3">
        <f t="shared" si="108"/>
        <v>0</v>
      </c>
      <c r="EU96" s="3">
        <f t="shared" si="108"/>
        <v>0</v>
      </c>
      <c r="EV96" s="3">
        <f t="shared" si="108"/>
        <v>0</v>
      </c>
      <c r="EW96" s="3">
        <f t="shared" si="108"/>
        <v>0</v>
      </c>
      <c r="EX96" s="3">
        <f t="shared" si="108"/>
        <v>0</v>
      </c>
      <c r="EY96" s="3">
        <f t="shared" si="108"/>
        <v>0</v>
      </c>
      <c r="EZ96" s="3">
        <f t="shared" si="108"/>
        <v>0</v>
      </c>
      <c r="FA96" s="3">
        <f t="shared" si="108"/>
        <v>0</v>
      </c>
      <c r="FB96" s="3">
        <f t="shared" si="108"/>
        <v>0</v>
      </c>
      <c r="FC96" s="3">
        <f t="shared" si="108"/>
        <v>0</v>
      </c>
      <c r="FD96" s="3">
        <f t="shared" si="108"/>
        <v>0</v>
      </c>
      <c r="FE96" s="3">
        <f t="shared" si="108"/>
        <v>0</v>
      </c>
      <c r="FF96" s="3">
        <f t="shared" si="108"/>
        <v>0</v>
      </c>
      <c r="FG96" s="3">
        <f t="shared" si="108"/>
        <v>0</v>
      </c>
      <c r="FH96" s="3">
        <f t="shared" si="108"/>
        <v>0</v>
      </c>
      <c r="FI96" s="3">
        <f t="shared" si="108"/>
        <v>0</v>
      </c>
      <c r="FJ96" s="3">
        <f t="shared" si="108"/>
        <v>0</v>
      </c>
      <c r="FK96" s="3">
        <f t="shared" si="108"/>
        <v>0</v>
      </c>
      <c r="FL96" s="3">
        <f t="shared" si="108"/>
        <v>0</v>
      </c>
      <c r="FM96" s="3">
        <f t="shared" si="108"/>
        <v>0</v>
      </c>
      <c r="FN96" s="3">
        <f t="shared" si="108"/>
        <v>0</v>
      </c>
      <c r="FO96" s="3">
        <f t="shared" si="108"/>
        <v>0</v>
      </c>
      <c r="FP96" s="3">
        <f t="shared" si="108"/>
        <v>0</v>
      </c>
      <c r="FQ96" s="3">
        <f t="shared" si="108"/>
        <v>0</v>
      </c>
      <c r="FR96" s="3">
        <f t="shared" si="108"/>
        <v>0</v>
      </c>
      <c r="FS96" s="3">
        <f t="shared" ref="FS96:GX96" si="109">FS301</f>
        <v>0</v>
      </c>
      <c r="FT96" s="3">
        <f t="shared" si="109"/>
        <v>0</v>
      </c>
      <c r="FU96" s="3">
        <f t="shared" si="109"/>
        <v>0</v>
      </c>
      <c r="FV96" s="3">
        <f t="shared" si="109"/>
        <v>0</v>
      </c>
      <c r="FW96" s="3">
        <f t="shared" si="109"/>
        <v>0</v>
      </c>
      <c r="FX96" s="3">
        <f t="shared" si="109"/>
        <v>0</v>
      </c>
      <c r="FY96" s="3">
        <f t="shared" si="109"/>
        <v>0</v>
      </c>
      <c r="FZ96" s="3">
        <f t="shared" si="109"/>
        <v>0</v>
      </c>
      <c r="GA96" s="3">
        <f t="shared" si="109"/>
        <v>0</v>
      </c>
      <c r="GB96" s="3">
        <f t="shared" si="109"/>
        <v>0</v>
      </c>
      <c r="GC96" s="3">
        <f t="shared" si="109"/>
        <v>0</v>
      </c>
      <c r="GD96" s="3">
        <f t="shared" si="109"/>
        <v>0</v>
      </c>
      <c r="GE96" s="3">
        <f t="shared" si="109"/>
        <v>0</v>
      </c>
      <c r="GF96" s="3">
        <f t="shared" si="109"/>
        <v>0</v>
      </c>
      <c r="GG96" s="3">
        <f t="shared" si="109"/>
        <v>0</v>
      </c>
      <c r="GH96" s="3">
        <f t="shared" si="109"/>
        <v>0</v>
      </c>
      <c r="GI96" s="3">
        <f t="shared" si="109"/>
        <v>0</v>
      </c>
      <c r="GJ96" s="3">
        <f t="shared" si="109"/>
        <v>0</v>
      </c>
      <c r="GK96" s="3">
        <f t="shared" si="109"/>
        <v>0</v>
      </c>
      <c r="GL96" s="3">
        <f t="shared" si="109"/>
        <v>0</v>
      </c>
      <c r="GM96" s="3">
        <f t="shared" si="109"/>
        <v>0</v>
      </c>
      <c r="GN96" s="3">
        <f t="shared" si="109"/>
        <v>0</v>
      </c>
      <c r="GO96" s="3">
        <f t="shared" si="109"/>
        <v>0</v>
      </c>
      <c r="GP96" s="3">
        <f t="shared" si="109"/>
        <v>0</v>
      </c>
      <c r="GQ96" s="3">
        <f t="shared" si="109"/>
        <v>0</v>
      </c>
      <c r="GR96" s="3">
        <f t="shared" si="109"/>
        <v>0</v>
      </c>
      <c r="GS96" s="3">
        <f t="shared" si="109"/>
        <v>0</v>
      </c>
      <c r="GT96" s="3">
        <f t="shared" si="109"/>
        <v>0</v>
      </c>
      <c r="GU96" s="3">
        <f t="shared" si="109"/>
        <v>0</v>
      </c>
      <c r="GV96" s="3">
        <f t="shared" si="109"/>
        <v>0</v>
      </c>
      <c r="GW96" s="3">
        <f t="shared" si="109"/>
        <v>0</v>
      </c>
      <c r="GX96" s="3">
        <f t="shared" si="109"/>
        <v>0</v>
      </c>
    </row>
    <row r="98" spans="1:245" x14ac:dyDescent="0.2">
      <c r="A98" s="1">
        <v>5</v>
      </c>
      <c r="B98" s="1">
        <v>1</v>
      </c>
      <c r="C98" s="1"/>
      <c r="D98" s="1">
        <f>ROW(A118)</f>
        <v>118</v>
      </c>
      <c r="E98" s="1"/>
      <c r="F98" s="1" t="s">
        <v>260</v>
      </c>
      <c r="G98" s="1" t="s">
        <v>261</v>
      </c>
      <c r="H98" s="1" t="s">
        <v>3</v>
      </c>
      <c r="I98" s="1">
        <v>0</v>
      </c>
      <c r="J98" s="1"/>
      <c r="K98" s="1">
        <v>0</v>
      </c>
      <c r="L98" s="1"/>
      <c r="M98" s="1"/>
      <c r="N98" s="1"/>
      <c r="O98" s="1"/>
      <c r="P98" s="1"/>
      <c r="Q98" s="1"/>
      <c r="R98" s="1"/>
      <c r="S98" s="1"/>
      <c r="T98" s="1"/>
      <c r="U98" s="1" t="s">
        <v>3</v>
      </c>
      <c r="V98" s="1">
        <v>0</v>
      </c>
      <c r="W98" s="1"/>
      <c r="X98" s="1"/>
      <c r="Y98" s="1"/>
      <c r="Z98" s="1"/>
      <c r="AA98" s="1"/>
      <c r="AB98" s="1" t="s">
        <v>3</v>
      </c>
      <c r="AC98" s="1" t="s">
        <v>3</v>
      </c>
      <c r="AD98" s="1" t="s">
        <v>3</v>
      </c>
      <c r="AE98" s="1" t="s">
        <v>3</v>
      </c>
      <c r="AF98" s="1" t="s">
        <v>3</v>
      </c>
      <c r="AG98" s="1" t="s">
        <v>3</v>
      </c>
      <c r="AH98" s="1"/>
      <c r="AI98" s="1"/>
      <c r="AJ98" s="1"/>
      <c r="AK98" s="1"/>
      <c r="AL98" s="1"/>
      <c r="AM98" s="1"/>
      <c r="AN98" s="1"/>
      <c r="AO98" s="1"/>
      <c r="AP98" s="1" t="s">
        <v>3</v>
      </c>
      <c r="AQ98" s="1" t="s">
        <v>3</v>
      </c>
      <c r="AR98" s="1" t="s">
        <v>3</v>
      </c>
      <c r="AS98" s="1"/>
      <c r="AT98" s="1"/>
      <c r="AU98" s="1"/>
      <c r="AV98" s="1"/>
      <c r="AW98" s="1"/>
      <c r="AX98" s="1"/>
      <c r="AY98" s="1"/>
      <c r="AZ98" s="1" t="s">
        <v>3</v>
      </c>
      <c r="BA98" s="1"/>
      <c r="BB98" s="1" t="s">
        <v>3</v>
      </c>
      <c r="BC98" s="1" t="s">
        <v>3</v>
      </c>
      <c r="BD98" s="1" t="s">
        <v>3</v>
      </c>
      <c r="BE98" s="1" t="s">
        <v>3</v>
      </c>
      <c r="BF98" s="1" t="s">
        <v>3</v>
      </c>
      <c r="BG98" s="1" t="s">
        <v>3</v>
      </c>
      <c r="BH98" s="1" t="s">
        <v>3</v>
      </c>
      <c r="BI98" s="1" t="s">
        <v>3</v>
      </c>
      <c r="BJ98" s="1" t="s">
        <v>3</v>
      </c>
      <c r="BK98" s="1" t="s">
        <v>3</v>
      </c>
      <c r="BL98" s="1" t="s">
        <v>3</v>
      </c>
      <c r="BM98" s="1" t="s">
        <v>3</v>
      </c>
      <c r="BN98" s="1" t="s">
        <v>3</v>
      </c>
      <c r="BO98" s="1" t="s">
        <v>3</v>
      </c>
      <c r="BP98" s="1" t="s">
        <v>3</v>
      </c>
      <c r="BQ98" s="1"/>
      <c r="BR98" s="1"/>
      <c r="BS98" s="1"/>
      <c r="BT98" s="1"/>
      <c r="BU98" s="1"/>
      <c r="BV98" s="1"/>
      <c r="BW98" s="1"/>
      <c r="BX98" s="1">
        <v>0</v>
      </c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>
        <v>0</v>
      </c>
    </row>
    <row r="100" spans="1:245" x14ac:dyDescent="0.2">
      <c r="A100" s="2">
        <v>52</v>
      </c>
      <c r="B100" s="2">
        <f t="shared" ref="B100:G100" si="110">B118</f>
        <v>1</v>
      </c>
      <c r="C100" s="2">
        <f t="shared" si="110"/>
        <v>5</v>
      </c>
      <c r="D100" s="2">
        <f t="shared" si="110"/>
        <v>98</v>
      </c>
      <c r="E100" s="2">
        <f t="shared" si="110"/>
        <v>0</v>
      </c>
      <c r="F100" s="2" t="str">
        <f t="shared" si="110"/>
        <v>Новый подраздел</v>
      </c>
      <c r="G100" s="2" t="str">
        <f t="shared" si="110"/>
        <v>Укладка пешеходных дорожек</v>
      </c>
      <c r="H100" s="2"/>
      <c r="I100" s="2"/>
      <c r="J100" s="2"/>
      <c r="K100" s="2"/>
      <c r="L100" s="2"/>
      <c r="M100" s="2"/>
      <c r="N100" s="2"/>
      <c r="O100" s="2">
        <f t="shared" ref="O100:AT100" si="111">O118</f>
        <v>27269.29</v>
      </c>
      <c r="P100" s="2">
        <f t="shared" si="111"/>
        <v>23047.99</v>
      </c>
      <c r="Q100" s="2">
        <f t="shared" si="111"/>
        <v>2696.93</v>
      </c>
      <c r="R100" s="2">
        <f t="shared" si="111"/>
        <v>275.98</v>
      </c>
      <c r="S100" s="2">
        <f t="shared" si="111"/>
        <v>1524.37</v>
      </c>
      <c r="T100" s="2">
        <f t="shared" si="111"/>
        <v>0</v>
      </c>
      <c r="U100" s="2">
        <f t="shared" si="111"/>
        <v>176.13537884999997</v>
      </c>
      <c r="V100" s="2">
        <f t="shared" si="111"/>
        <v>24.151466249999999</v>
      </c>
      <c r="W100" s="2">
        <f t="shared" si="111"/>
        <v>0</v>
      </c>
      <c r="X100" s="2">
        <f t="shared" si="111"/>
        <v>2227.52</v>
      </c>
      <c r="Y100" s="2">
        <f t="shared" si="111"/>
        <v>1390.98</v>
      </c>
      <c r="Z100" s="2">
        <f t="shared" si="111"/>
        <v>0</v>
      </c>
      <c r="AA100" s="2">
        <f t="shared" si="111"/>
        <v>0</v>
      </c>
      <c r="AB100" s="2">
        <f t="shared" si="111"/>
        <v>27269.29</v>
      </c>
      <c r="AC100" s="2">
        <f t="shared" si="111"/>
        <v>23047.99</v>
      </c>
      <c r="AD100" s="2">
        <f t="shared" si="111"/>
        <v>2696.93</v>
      </c>
      <c r="AE100" s="2">
        <f t="shared" si="111"/>
        <v>275.98</v>
      </c>
      <c r="AF100" s="2">
        <f t="shared" si="111"/>
        <v>1524.37</v>
      </c>
      <c r="AG100" s="2">
        <f t="shared" si="111"/>
        <v>0</v>
      </c>
      <c r="AH100" s="2">
        <f t="shared" si="111"/>
        <v>176.13537884999997</v>
      </c>
      <c r="AI100" s="2">
        <f t="shared" si="111"/>
        <v>24.151466249999999</v>
      </c>
      <c r="AJ100" s="2">
        <f t="shared" si="111"/>
        <v>0</v>
      </c>
      <c r="AK100" s="2">
        <f t="shared" si="111"/>
        <v>2227.52</v>
      </c>
      <c r="AL100" s="2">
        <f t="shared" si="111"/>
        <v>1390.98</v>
      </c>
      <c r="AM100" s="2">
        <f t="shared" si="111"/>
        <v>0</v>
      </c>
      <c r="AN100" s="2">
        <f t="shared" si="111"/>
        <v>0</v>
      </c>
      <c r="AO100" s="2">
        <f t="shared" si="111"/>
        <v>0</v>
      </c>
      <c r="AP100" s="2">
        <f t="shared" si="111"/>
        <v>0</v>
      </c>
      <c r="AQ100" s="2">
        <f t="shared" si="111"/>
        <v>0</v>
      </c>
      <c r="AR100" s="2">
        <f t="shared" si="111"/>
        <v>33452.51</v>
      </c>
      <c r="AS100" s="2">
        <f t="shared" si="111"/>
        <v>33452.51</v>
      </c>
      <c r="AT100" s="2">
        <f t="shared" si="111"/>
        <v>0</v>
      </c>
      <c r="AU100" s="2">
        <f t="shared" ref="AU100:BZ100" si="112">AU118</f>
        <v>0</v>
      </c>
      <c r="AV100" s="2">
        <f t="shared" si="112"/>
        <v>23047.99</v>
      </c>
      <c r="AW100" s="2">
        <f t="shared" si="112"/>
        <v>23047.99</v>
      </c>
      <c r="AX100" s="2">
        <f t="shared" si="112"/>
        <v>0</v>
      </c>
      <c r="AY100" s="2">
        <f t="shared" si="112"/>
        <v>23047.99</v>
      </c>
      <c r="AZ100" s="2">
        <f t="shared" si="112"/>
        <v>0</v>
      </c>
      <c r="BA100" s="2">
        <f t="shared" si="112"/>
        <v>0</v>
      </c>
      <c r="BB100" s="2">
        <f t="shared" si="112"/>
        <v>0</v>
      </c>
      <c r="BC100" s="2">
        <f t="shared" si="112"/>
        <v>0</v>
      </c>
      <c r="BD100" s="2">
        <f t="shared" si="112"/>
        <v>0</v>
      </c>
      <c r="BE100" s="2">
        <f t="shared" si="112"/>
        <v>0</v>
      </c>
      <c r="BF100" s="2">
        <f t="shared" si="112"/>
        <v>0</v>
      </c>
      <c r="BG100" s="2">
        <f t="shared" si="112"/>
        <v>0</v>
      </c>
      <c r="BH100" s="2">
        <f t="shared" si="112"/>
        <v>0</v>
      </c>
      <c r="BI100" s="2">
        <f t="shared" si="112"/>
        <v>0</v>
      </c>
      <c r="BJ100" s="2">
        <f t="shared" si="112"/>
        <v>0</v>
      </c>
      <c r="BK100" s="2">
        <f t="shared" si="112"/>
        <v>0</v>
      </c>
      <c r="BL100" s="2">
        <f t="shared" si="112"/>
        <v>0</v>
      </c>
      <c r="BM100" s="2">
        <f t="shared" si="112"/>
        <v>0</v>
      </c>
      <c r="BN100" s="2">
        <f t="shared" si="112"/>
        <v>0</v>
      </c>
      <c r="BO100" s="2">
        <f t="shared" si="112"/>
        <v>0</v>
      </c>
      <c r="BP100" s="2">
        <f t="shared" si="112"/>
        <v>0</v>
      </c>
      <c r="BQ100" s="2">
        <f t="shared" si="112"/>
        <v>0</v>
      </c>
      <c r="BR100" s="2">
        <f t="shared" si="112"/>
        <v>0</v>
      </c>
      <c r="BS100" s="2">
        <f t="shared" si="112"/>
        <v>0</v>
      </c>
      <c r="BT100" s="2">
        <f t="shared" si="112"/>
        <v>0</v>
      </c>
      <c r="BU100" s="2">
        <f t="shared" si="112"/>
        <v>0</v>
      </c>
      <c r="BV100" s="2">
        <f t="shared" si="112"/>
        <v>0</v>
      </c>
      <c r="BW100" s="2">
        <f t="shared" si="112"/>
        <v>0</v>
      </c>
      <c r="BX100" s="2">
        <f t="shared" si="112"/>
        <v>0</v>
      </c>
      <c r="BY100" s="2">
        <f t="shared" si="112"/>
        <v>0</v>
      </c>
      <c r="BZ100" s="2">
        <f t="shared" si="112"/>
        <v>0</v>
      </c>
      <c r="CA100" s="2">
        <f t="shared" ref="CA100:DF100" si="113">CA118</f>
        <v>33452.51</v>
      </c>
      <c r="CB100" s="2">
        <f t="shared" si="113"/>
        <v>33452.51</v>
      </c>
      <c r="CC100" s="2">
        <f t="shared" si="113"/>
        <v>0</v>
      </c>
      <c r="CD100" s="2">
        <f t="shared" si="113"/>
        <v>0</v>
      </c>
      <c r="CE100" s="2">
        <f t="shared" si="113"/>
        <v>23047.99</v>
      </c>
      <c r="CF100" s="2">
        <f t="shared" si="113"/>
        <v>23047.99</v>
      </c>
      <c r="CG100" s="2">
        <f t="shared" si="113"/>
        <v>0</v>
      </c>
      <c r="CH100" s="2">
        <f t="shared" si="113"/>
        <v>23047.99</v>
      </c>
      <c r="CI100" s="2">
        <f t="shared" si="113"/>
        <v>0</v>
      </c>
      <c r="CJ100" s="2">
        <f t="shared" si="113"/>
        <v>0</v>
      </c>
      <c r="CK100" s="2">
        <f t="shared" si="113"/>
        <v>0</v>
      </c>
      <c r="CL100" s="2">
        <f t="shared" si="113"/>
        <v>0</v>
      </c>
      <c r="CM100" s="2">
        <f t="shared" si="113"/>
        <v>0</v>
      </c>
      <c r="CN100" s="2">
        <f t="shared" si="113"/>
        <v>0</v>
      </c>
      <c r="CO100" s="2">
        <f t="shared" si="113"/>
        <v>0</v>
      </c>
      <c r="CP100" s="2">
        <f t="shared" si="113"/>
        <v>0</v>
      </c>
      <c r="CQ100" s="2">
        <f t="shared" si="113"/>
        <v>0</v>
      </c>
      <c r="CR100" s="2">
        <f t="shared" si="113"/>
        <v>0</v>
      </c>
      <c r="CS100" s="2">
        <f t="shared" si="113"/>
        <v>0</v>
      </c>
      <c r="CT100" s="2">
        <f t="shared" si="113"/>
        <v>0</v>
      </c>
      <c r="CU100" s="2">
        <f t="shared" si="113"/>
        <v>0</v>
      </c>
      <c r="CV100" s="2">
        <f t="shared" si="113"/>
        <v>0</v>
      </c>
      <c r="CW100" s="2">
        <f t="shared" si="113"/>
        <v>0</v>
      </c>
      <c r="CX100" s="2">
        <f t="shared" si="113"/>
        <v>0</v>
      </c>
      <c r="CY100" s="2">
        <f t="shared" si="113"/>
        <v>0</v>
      </c>
      <c r="CZ100" s="2">
        <f t="shared" si="113"/>
        <v>0</v>
      </c>
      <c r="DA100" s="2">
        <f t="shared" si="113"/>
        <v>0</v>
      </c>
      <c r="DB100" s="2">
        <f t="shared" si="113"/>
        <v>0</v>
      </c>
      <c r="DC100" s="2">
        <f t="shared" si="113"/>
        <v>0</v>
      </c>
      <c r="DD100" s="2">
        <f t="shared" si="113"/>
        <v>0</v>
      </c>
      <c r="DE100" s="2">
        <f t="shared" si="113"/>
        <v>0</v>
      </c>
      <c r="DF100" s="2">
        <f t="shared" si="113"/>
        <v>0</v>
      </c>
      <c r="DG100" s="3">
        <f t="shared" ref="DG100:EL100" si="114">DG118</f>
        <v>0</v>
      </c>
      <c r="DH100" s="3">
        <f t="shared" si="114"/>
        <v>0</v>
      </c>
      <c r="DI100" s="3">
        <f t="shared" si="114"/>
        <v>0</v>
      </c>
      <c r="DJ100" s="3">
        <f t="shared" si="114"/>
        <v>0</v>
      </c>
      <c r="DK100" s="3">
        <f t="shared" si="114"/>
        <v>0</v>
      </c>
      <c r="DL100" s="3">
        <f t="shared" si="114"/>
        <v>0</v>
      </c>
      <c r="DM100" s="3">
        <f t="shared" si="114"/>
        <v>0</v>
      </c>
      <c r="DN100" s="3">
        <f t="shared" si="114"/>
        <v>0</v>
      </c>
      <c r="DO100" s="3">
        <f t="shared" si="114"/>
        <v>0</v>
      </c>
      <c r="DP100" s="3">
        <f t="shared" si="114"/>
        <v>0</v>
      </c>
      <c r="DQ100" s="3">
        <f t="shared" si="114"/>
        <v>0</v>
      </c>
      <c r="DR100" s="3">
        <f t="shared" si="114"/>
        <v>0</v>
      </c>
      <c r="DS100" s="3">
        <f t="shared" si="114"/>
        <v>0</v>
      </c>
      <c r="DT100" s="3">
        <f t="shared" si="114"/>
        <v>0</v>
      </c>
      <c r="DU100" s="3">
        <f t="shared" si="114"/>
        <v>0</v>
      </c>
      <c r="DV100" s="3">
        <f t="shared" si="114"/>
        <v>0</v>
      </c>
      <c r="DW100" s="3">
        <f t="shared" si="114"/>
        <v>0</v>
      </c>
      <c r="DX100" s="3">
        <f t="shared" si="114"/>
        <v>0</v>
      </c>
      <c r="DY100" s="3">
        <f t="shared" si="114"/>
        <v>0</v>
      </c>
      <c r="DZ100" s="3">
        <f t="shared" si="114"/>
        <v>0</v>
      </c>
      <c r="EA100" s="3">
        <f t="shared" si="114"/>
        <v>0</v>
      </c>
      <c r="EB100" s="3">
        <f t="shared" si="114"/>
        <v>0</v>
      </c>
      <c r="EC100" s="3">
        <f t="shared" si="114"/>
        <v>0</v>
      </c>
      <c r="ED100" s="3">
        <f t="shared" si="114"/>
        <v>0</v>
      </c>
      <c r="EE100" s="3">
        <f t="shared" si="114"/>
        <v>0</v>
      </c>
      <c r="EF100" s="3">
        <f t="shared" si="114"/>
        <v>0</v>
      </c>
      <c r="EG100" s="3">
        <f t="shared" si="114"/>
        <v>0</v>
      </c>
      <c r="EH100" s="3">
        <f t="shared" si="114"/>
        <v>0</v>
      </c>
      <c r="EI100" s="3">
        <f t="shared" si="114"/>
        <v>0</v>
      </c>
      <c r="EJ100" s="3">
        <f t="shared" si="114"/>
        <v>0</v>
      </c>
      <c r="EK100" s="3">
        <f t="shared" si="114"/>
        <v>0</v>
      </c>
      <c r="EL100" s="3">
        <f t="shared" si="114"/>
        <v>0</v>
      </c>
      <c r="EM100" s="3">
        <f t="shared" ref="EM100:FR100" si="115">EM118</f>
        <v>0</v>
      </c>
      <c r="EN100" s="3">
        <f t="shared" si="115"/>
        <v>0</v>
      </c>
      <c r="EO100" s="3">
        <f t="shared" si="115"/>
        <v>0</v>
      </c>
      <c r="EP100" s="3">
        <f t="shared" si="115"/>
        <v>0</v>
      </c>
      <c r="EQ100" s="3">
        <f t="shared" si="115"/>
        <v>0</v>
      </c>
      <c r="ER100" s="3">
        <f t="shared" si="115"/>
        <v>0</v>
      </c>
      <c r="ES100" s="3">
        <f t="shared" si="115"/>
        <v>0</v>
      </c>
      <c r="ET100" s="3">
        <f t="shared" si="115"/>
        <v>0</v>
      </c>
      <c r="EU100" s="3">
        <f t="shared" si="115"/>
        <v>0</v>
      </c>
      <c r="EV100" s="3">
        <f t="shared" si="115"/>
        <v>0</v>
      </c>
      <c r="EW100" s="3">
        <f t="shared" si="115"/>
        <v>0</v>
      </c>
      <c r="EX100" s="3">
        <f t="shared" si="115"/>
        <v>0</v>
      </c>
      <c r="EY100" s="3">
        <f t="shared" si="115"/>
        <v>0</v>
      </c>
      <c r="EZ100" s="3">
        <f t="shared" si="115"/>
        <v>0</v>
      </c>
      <c r="FA100" s="3">
        <f t="shared" si="115"/>
        <v>0</v>
      </c>
      <c r="FB100" s="3">
        <f t="shared" si="115"/>
        <v>0</v>
      </c>
      <c r="FC100" s="3">
        <f t="shared" si="115"/>
        <v>0</v>
      </c>
      <c r="FD100" s="3">
        <f t="shared" si="115"/>
        <v>0</v>
      </c>
      <c r="FE100" s="3">
        <f t="shared" si="115"/>
        <v>0</v>
      </c>
      <c r="FF100" s="3">
        <f t="shared" si="115"/>
        <v>0</v>
      </c>
      <c r="FG100" s="3">
        <f t="shared" si="115"/>
        <v>0</v>
      </c>
      <c r="FH100" s="3">
        <f t="shared" si="115"/>
        <v>0</v>
      </c>
      <c r="FI100" s="3">
        <f t="shared" si="115"/>
        <v>0</v>
      </c>
      <c r="FJ100" s="3">
        <f t="shared" si="115"/>
        <v>0</v>
      </c>
      <c r="FK100" s="3">
        <f t="shared" si="115"/>
        <v>0</v>
      </c>
      <c r="FL100" s="3">
        <f t="shared" si="115"/>
        <v>0</v>
      </c>
      <c r="FM100" s="3">
        <f t="shared" si="115"/>
        <v>0</v>
      </c>
      <c r="FN100" s="3">
        <f t="shared" si="115"/>
        <v>0</v>
      </c>
      <c r="FO100" s="3">
        <f t="shared" si="115"/>
        <v>0</v>
      </c>
      <c r="FP100" s="3">
        <f t="shared" si="115"/>
        <v>0</v>
      </c>
      <c r="FQ100" s="3">
        <f t="shared" si="115"/>
        <v>0</v>
      </c>
      <c r="FR100" s="3">
        <f t="shared" si="115"/>
        <v>0</v>
      </c>
      <c r="FS100" s="3">
        <f t="shared" ref="FS100:GX100" si="116">FS118</f>
        <v>0</v>
      </c>
      <c r="FT100" s="3">
        <f t="shared" si="116"/>
        <v>0</v>
      </c>
      <c r="FU100" s="3">
        <f t="shared" si="116"/>
        <v>0</v>
      </c>
      <c r="FV100" s="3">
        <f t="shared" si="116"/>
        <v>0</v>
      </c>
      <c r="FW100" s="3">
        <f t="shared" si="116"/>
        <v>0</v>
      </c>
      <c r="FX100" s="3">
        <f t="shared" si="116"/>
        <v>0</v>
      </c>
      <c r="FY100" s="3">
        <f t="shared" si="116"/>
        <v>0</v>
      </c>
      <c r="FZ100" s="3">
        <f t="shared" si="116"/>
        <v>0</v>
      </c>
      <c r="GA100" s="3">
        <f t="shared" si="116"/>
        <v>0</v>
      </c>
      <c r="GB100" s="3">
        <f t="shared" si="116"/>
        <v>0</v>
      </c>
      <c r="GC100" s="3">
        <f t="shared" si="116"/>
        <v>0</v>
      </c>
      <c r="GD100" s="3">
        <f t="shared" si="116"/>
        <v>0</v>
      </c>
      <c r="GE100" s="3">
        <f t="shared" si="116"/>
        <v>0</v>
      </c>
      <c r="GF100" s="3">
        <f t="shared" si="116"/>
        <v>0</v>
      </c>
      <c r="GG100" s="3">
        <f t="shared" si="116"/>
        <v>0</v>
      </c>
      <c r="GH100" s="3">
        <f t="shared" si="116"/>
        <v>0</v>
      </c>
      <c r="GI100" s="3">
        <f t="shared" si="116"/>
        <v>0</v>
      </c>
      <c r="GJ100" s="3">
        <f t="shared" si="116"/>
        <v>0</v>
      </c>
      <c r="GK100" s="3">
        <f t="shared" si="116"/>
        <v>0</v>
      </c>
      <c r="GL100" s="3">
        <f t="shared" si="116"/>
        <v>0</v>
      </c>
      <c r="GM100" s="3">
        <f t="shared" si="116"/>
        <v>0</v>
      </c>
      <c r="GN100" s="3">
        <f t="shared" si="116"/>
        <v>0</v>
      </c>
      <c r="GO100" s="3">
        <f t="shared" si="116"/>
        <v>0</v>
      </c>
      <c r="GP100" s="3">
        <f t="shared" si="116"/>
        <v>0</v>
      </c>
      <c r="GQ100" s="3">
        <f t="shared" si="116"/>
        <v>0</v>
      </c>
      <c r="GR100" s="3">
        <f t="shared" si="116"/>
        <v>0</v>
      </c>
      <c r="GS100" s="3">
        <f t="shared" si="116"/>
        <v>0</v>
      </c>
      <c r="GT100" s="3">
        <f t="shared" si="116"/>
        <v>0</v>
      </c>
      <c r="GU100" s="3">
        <f t="shared" si="116"/>
        <v>0</v>
      </c>
      <c r="GV100" s="3">
        <f t="shared" si="116"/>
        <v>0</v>
      </c>
      <c r="GW100" s="3">
        <f t="shared" si="116"/>
        <v>0</v>
      </c>
      <c r="GX100" s="3">
        <f t="shared" si="116"/>
        <v>0</v>
      </c>
    </row>
    <row r="102" spans="1:245" x14ac:dyDescent="0.2">
      <c r="A102">
        <v>17</v>
      </c>
      <c r="B102">
        <v>1</v>
      </c>
      <c r="C102">
        <f>ROW(SmtRes!A109)</f>
        <v>109</v>
      </c>
      <c r="D102">
        <f>ROW(EtalonRes!A121)</f>
        <v>121</v>
      </c>
      <c r="E102" t="s">
        <v>262</v>
      </c>
      <c r="F102" t="s">
        <v>263</v>
      </c>
      <c r="G102" t="s">
        <v>264</v>
      </c>
      <c r="H102" t="s">
        <v>265</v>
      </c>
      <c r="I102">
        <f>ROUND(243/1000,9)</f>
        <v>0.24299999999999999</v>
      </c>
      <c r="J102">
        <v>0</v>
      </c>
      <c r="O102">
        <f>ROUND(CP102,2)</f>
        <v>549.13</v>
      </c>
      <c r="P102">
        <f>ROUND(CQ102*I102,2)</f>
        <v>0</v>
      </c>
      <c r="Q102">
        <f>ROUND(CR102*I102,2)</f>
        <v>415</v>
      </c>
      <c r="R102">
        <f>ROUND(CS102*I102,2)</f>
        <v>44.14</v>
      </c>
      <c r="S102">
        <f>ROUND(CT102*I102,2)</f>
        <v>134.13</v>
      </c>
      <c r="T102">
        <f>ROUND(CU102*I102,2)</f>
        <v>0</v>
      </c>
      <c r="U102">
        <f>CV102*I102</f>
        <v>16.141031999999999</v>
      </c>
      <c r="V102">
        <f>CW102*I102</f>
        <v>4.3873649999999991</v>
      </c>
      <c r="W102">
        <f>ROUND(CX102*I102,2)</f>
        <v>0</v>
      </c>
      <c r="X102">
        <f>ROUND(CY102,2)</f>
        <v>185.4</v>
      </c>
      <c r="Y102">
        <f>ROUND(CZ102,2)</f>
        <v>106.96</v>
      </c>
      <c r="AA102">
        <v>47631607</v>
      </c>
      <c r="AB102">
        <f>ROUND((AC102+AD102+AF102),6)</f>
        <v>2259.8074999999999</v>
      </c>
      <c r="AC102">
        <f>ROUND((ES102),6)</f>
        <v>0</v>
      </c>
      <c r="AD102">
        <f>ROUND(((((ET102*1.15))-((EU102*1.15)))+AE102),6)</f>
        <v>1707.819</v>
      </c>
      <c r="AE102">
        <f>ROUND(((EU102*1.15)),6)</f>
        <v>181.631</v>
      </c>
      <c r="AF102">
        <f>ROUND(((EV102*1.15)),6)</f>
        <v>551.98850000000004</v>
      </c>
      <c r="AG102">
        <f>ROUND((AP102),6)</f>
        <v>0</v>
      </c>
      <c r="AH102">
        <f>((EW102*1.15))</f>
        <v>66.423999999999992</v>
      </c>
      <c r="AI102">
        <f>((EX102*1.15))</f>
        <v>18.054999999999996</v>
      </c>
      <c r="AJ102">
        <f>(AS102)</f>
        <v>0</v>
      </c>
      <c r="AK102">
        <v>1965.05</v>
      </c>
      <c r="AL102">
        <v>0</v>
      </c>
      <c r="AM102">
        <v>1485.06</v>
      </c>
      <c r="AN102">
        <v>157.94</v>
      </c>
      <c r="AO102">
        <v>479.99</v>
      </c>
      <c r="AP102">
        <v>0</v>
      </c>
      <c r="AQ102">
        <v>57.76</v>
      </c>
      <c r="AR102">
        <v>15.7</v>
      </c>
      <c r="AS102">
        <v>0</v>
      </c>
      <c r="AT102">
        <v>104</v>
      </c>
      <c r="AU102">
        <v>60</v>
      </c>
      <c r="AV102">
        <v>1</v>
      </c>
      <c r="AW102">
        <v>1</v>
      </c>
      <c r="AZ102">
        <v>1</v>
      </c>
      <c r="BA102">
        <v>1</v>
      </c>
      <c r="BB102">
        <v>1</v>
      </c>
      <c r="BC102">
        <v>1</v>
      </c>
      <c r="BD102" t="s">
        <v>3</v>
      </c>
      <c r="BE102" t="s">
        <v>3</v>
      </c>
      <c r="BF102" t="s">
        <v>3</v>
      </c>
      <c r="BG102" t="s">
        <v>3</v>
      </c>
      <c r="BH102">
        <v>0</v>
      </c>
      <c r="BI102">
        <v>1</v>
      </c>
      <c r="BJ102" t="s">
        <v>266</v>
      </c>
      <c r="BM102">
        <v>68001</v>
      </c>
      <c r="BN102">
        <v>0</v>
      </c>
      <c r="BO102" t="s">
        <v>3</v>
      </c>
      <c r="BP102">
        <v>0</v>
      </c>
      <c r="BQ102">
        <v>6</v>
      </c>
      <c r="BR102">
        <v>0</v>
      </c>
      <c r="BS102">
        <v>1</v>
      </c>
      <c r="BT102">
        <v>1</v>
      </c>
      <c r="BU102">
        <v>1</v>
      </c>
      <c r="BV102">
        <v>1</v>
      </c>
      <c r="BW102">
        <v>1</v>
      </c>
      <c r="BX102">
        <v>1</v>
      </c>
      <c r="BY102" t="s">
        <v>3</v>
      </c>
      <c r="BZ102">
        <v>104</v>
      </c>
      <c r="CA102">
        <v>60</v>
      </c>
      <c r="CE102">
        <v>0</v>
      </c>
      <c r="CF102">
        <v>0</v>
      </c>
      <c r="CG102">
        <v>0</v>
      </c>
      <c r="CM102">
        <v>0</v>
      </c>
      <c r="CN102" t="s">
        <v>742</v>
      </c>
      <c r="CO102">
        <v>0</v>
      </c>
      <c r="CP102">
        <f>(P102+Q102+S102)</f>
        <v>549.13</v>
      </c>
      <c r="CQ102">
        <f>AC102*BC102</f>
        <v>0</v>
      </c>
      <c r="CR102">
        <f>AD102*BB102</f>
        <v>1707.819</v>
      </c>
      <c r="CS102">
        <f>AE102*BS102</f>
        <v>181.631</v>
      </c>
      <c r="CT102">
        <f>AF102*BA102</f>
        <v>551.98850000000004</v>
      </c>
      <c r="CU102">
        <f t="shared" ref="CU102:CX103" si="117">AG102</f>
        <v>0</v>
      </c>
      <c r="CV102">
        <f t="shared" si="117"/>
        <v>66.423999999999992</v>
      </c>
      <c r="CW102">
        <f t="shared" si="117"/>
        <v>18.054999999999996</v>
      </c>
      <c r="CX102">
        <f t="shared" si="117"/>
        <v>0</v>
      </c>
      <c r="CY102">
        <f>(((S102+R102)*AT102)/100)</f>
        <v>185.40079999999998</v>
      </c>
      <c r="CZ102">
        <f>(((S102+R102)*AU102)/100)</f>
        <v>106.96199999999999</v>
      </c>
      <c r="DC102" t="s">
        <v>3</v>
      </c>
      <c r="DD102" t="s">
        <v>3</v>
      </c>
      <c r="DE102" t="s">
        <v>24</v>
      </c>
      <c r="DF102" t="s">
        <v>24</v>
      </c>
      <c r="DG102" t="s">
        <v>24</v>
      </c>
      <c r="DH102" t="s">
        <v>3</v>
      </c>
      <c r="DI102" t="s">
        <v>24</v>
      </c>
      <c r="DJ102" t="s">
        <v>24</v>
      </c>
      <c r="DK102" t="s">
        <v>3</v>
      </c>
      <c r="DL102" t="s">
        <v>3</v>
      </c>
      <c r="DM102" t="s">
        <v>3</v>
      </c>
      <c r="DN102">
        <v>0</v>
      </c>
      <c r="DO102">
        <v>0</v>
      </c>
      <c r="DP102">
        <v>1</v>
      </c>
      <c r="DQ102">
        <v>1</v>
      </c>
      <c r="DU102">
        <v>1005</v>
      </c>
      <c r="DV102" t="s">
        <v>265</v>
      </c>
      <c r="DW102" t="s">
        <v>265</v>
      </c>
      <c r="DX102">
        <v>1000</v>
      </c>
      <c r="EE102">
        <v>45919696</v>
      </c>
      <c r="EF102">
        <v>6</v>
      </c>
      <c r="EG102" t="s">
        <v>25</v>
      </c>
      <c r="EH102">
        <v>0</v>
      </c>
      <c r="EI102" t="s">
        <v>3</v>
      </c>
      <c r="EJ102">
        <v>1</v>
      </c>
      <c r="EK102">
        <v>68001</v>
      </c>
      <c r="EL102" t="s">
        <v>26</v>
      </c>
      <c r="EM102" t="s">
        <v>27</v>
      </c>
      <c r="EO102" t="s">
        <v>28</v>
      </c>
      <c r="EQ102">
        <v>0</v>
      </c>
      <c r="ER102">
        <v>1965.05</v>
      </c>
      <c r="ES102">
        <v>0</v>
      </c>
      <c r="ET102">
        <v>1485.06</v>
      </c>
      <c r="EU102">
        <v>157.94</v>
      </c>
      <c r="EV102">
        <v>479.99</v>
      </c>
      <c r="EW102">
        <v>57.76</v>
      </c>
      <c r="EX102">
        <v>15.7</v>
      </c>
      <c r="EY102">
        <v>0</v>
      </c>
      <c r="FQ102">
        <v>0</v>
      </c>
      <c r="FR102">
        <f t="shared" ref="FR102:FR116" si="118">ROUND(IF(AND(BH102=3,BI102=3),P102,0),2)</f>
        <v>0</v>
      </c>
      <c r="FS102">
        <v>0</v>
      </c>
      <c r="FX102">
        <v>104</v>
      </c>
      <c r="FY102">
        <v>60</v>
      </c>
      <c r="GA102" t="s">
        <v>3</v>
      </c>
      <c r="GD102">
        <v>1</v>
      </c>
      <c r="GF102">
        <v>1079786050</v>
      </c>
      <c r="GG102">
        <v>2</v>
      </c>
      <c r="GH102">
        <v>1</v>
      </c>
      <c r="GI102">
        <v>-2</v>
      </c>
      <c r="GJ102">
        <v>0</v>
      </c>
      <c r="GK102">
        <v>0</v>
      </c>
      <c r="GL102">
        <f t="shared" ref="GL102:GL116" si="119">ROUND(IF(AND(BH102=3,BI102=3,FS102&lt;&gt;0),P102,0),2)</f>
        <v>0</v>
      </c>
      <c r="GM102">
        <f>ROUND(O102+X102+Y102,2)+GX102</f>
        <v>841.49</v>
      </c>
      <c r="GN102">
        <f>IF(OR(BI102=0,BI102=1),ROUND(O102+X102+Y102,2),0)</f>
        <v>841.49</v>
      </c>
      <c r="GO102">
        <f>IF(BI102=2,ROUND(O102+X102+Y102,2),0)</f>
        <v>0</v>
      </c>
      <c r="GP102">
        <f>IF(BI102=4,ROUND(O102+X102+Y102,2)+GX102,0)</f>
        <v>0</v>
      </c>
      <c r="GR102">
        <v>0</v>
      </c>
      <c r="GS102">
        <v>3</v>
      </c>
      <c r="GT102">
        <v>0</v>
      </c>
      <c r="GU102" t="s">
        <v>3</v>
      </c>
      <c r="GV102">
        <f>ROUND((GT102),6)</f>
        <v>0</v>
      </c>
      <c r="GW102">
        <v>1</v>
      </c>
      <c r="GX102">
        <f>ROUND(HC102*I102,2)</f>
        <v>0</v>
      </c>
      <c r="HA102">
        <v>0</v>
      </c>
      <c r="HB102">
        <v>0</v>
      </c>
      <c r="HC102">
        <f>GV102*GW102</f>
        <v>0</v>
      </c>
      <c r="IK102">
        <v>0</v>
      </c>
    </row>
    <row r="103" spans="1:245" x14ac:dyDescent="0.2">
      <c r="A103">
        <v>17</v>
      </c>
      <c r="B103">
        <v>1</v>
      </c>
      <c r="C103">
        <f>ROW(SmtRes!A113)</f>
        <v>113</v>
      </c>
      <c r="D103">
        <f>ROW(EtalonRes!A125)</f>
        <v>125</v>
      </c>
      <c r="E103" t="s">
        <v>267</v>
      </c>
      <c r="F103" t="s">
        <v>268</v>
      </c>
      <c r="G103" t="s">
        <v>269</v>
      </c>
      <c r="H103" t="s">
        <v>154</v>
      </c>
      <c r="I103">
        <f>ROUND((I102*0.25)*10,9)</f>
        <v>0.60750000000000004</v>
      </c>
      <c r="J103">
        <v>0</v>
      </c>
      <c r="O103">
        <f>ROUND(CP103,2)</f>
        <v>416.61</v>
      </c>
      <c r="P103">
        <f>ROUND(CQ103*I103,2)</f>
        <v>0</v>
      </c>
      <c r="Q103">
        <f>ROUND(CR103*I103,2)</f>
        <v>315.61</v>
      </c>
      <c r="R103">
        <f>ROUND(CS103*I103,2)</f>
        <v>41.23</v>
      </c>
      <c r="S103">
        <f>ROUND(CT103*I103,2)</f>
        <v>101</v>
      </c>
      <c r="T103">
        <f>ROUND(CU103*I103,2)</f>
        <v>0</v>
      </c>
      <c r="U103">
        <f>CV103*I103</f>
        <v>12.833741250000001</v>
      </c>
      <c r="V103">
        <f>CW103*I103</f>
        <v>3.2486062500000004</v>
      </c>
      <c r="W103">
        <f>ROUND(CX103*I103,2)</f>
        <v>0</v>
      </c>
      <c r="X103">
        <f>ROUND(CY103,2)</f>
        <v>147.91999999999999</v>
      </c>
      <c r="Y103">
        <f>ROUND(CZ103,2)</f>
        <v>85.34</v>
      </c>
      <c r="AA103">
        <v>47631607</v>
      </c>
      <c r="AB103">
        <f>ROUND((AC103+AD103+AF103),6)</f>
        <v>685.77949999999998</v>
      </c>
      <c r="AC103">
        <f>ROUND((ES103),6)</f>
        <v>0</v>
      </c>
      <c r="AD103">
        <f>ROUND(((((ET103*1.15))-((EU103*1.15)))+AE103),6)</f>
        <v>519.524</v>
      </c>
      <c r="AE103">
        <f>ROUND(((EU103*1.15)),6)</f>
        <v>67.873000000000005</v>
      </c>
      <c r="AF103">
        <f>ROUND(((EV103*1.15)),6)</f>
        <v>166.25550000000001</v>
      </c>
      <c r="AG103">
        <f>ROUND((AP103),6)</f>
        <v>0</v>
      </c>
      <c r="AH103">
        <f>((EW103*1.15))</f>
        <v>21.125499999999999</v>
      </c>
      <c r="AI103">
        <f>((EX103*1.15))</f>
        <v>5.3475000000000001</v>
      </c>
      <c r="AJ103">
        <f>(AS103)</f>
        <v>0</v>
      </c>
      <c r="AK103">
        <v>596.33000000000004</v>
      </c>
      <c r="AL103">
        <v>0</v>
      </c>
      <c r="AM103">
        <v>451.76</v>
      </c>
      <c r="AN103">
        <v>59.02</v>
      </c>
      <c r="AO103">
        <v>144.57</v>
      </c>
      <c r="AP103">
        <v>0</v>
      </c>
      <c r="AQ103">
        <v>18.37</v>
      </c>
      <c r="AR103">
        <v>4.6500000000000004</v>
      </c>
      <c r="AS103">
        <v>0</v>
      </c>
      <c r="AT103">
        <v>104</v>
      </c>
      <c r="AU103">
        <v>60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1</v>
      </c>
      <c r="BD103" t="s">
        <v>3</v>
      </c>
      <c r="BE103" t="s">
        <v>3</v>
      </c>
      <c r="BF103" t="s">
        <v>3</v>
      </c>
      <c r="BG103" t="s">
        <v>3</v>
      </c>
      <c r="BH103">
        <v>0</v>
      </c>
      <c r="BI103">
        <v>1</v>
      </c>
      <c r="BJ103" t="s">
        <v>270</v>
      </c>
      <c r="BM103">
        <v>68001</v>
      </c>
      <c r="BN103">
        <v>0</v>
      </c>
      <c r="BO103" t="s">
        <v>3</v>
      </c>
      <c r="BP103">
        <v>0</v>
      </c>
      <c r="BQ103">
        <v>6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104</v>
      </c>
      <c r="CA103">
        <v>60</v>
      </c>
      <c r="CE103">
        <v>0</v>
      </c>
      <c r="CF103">
        <v>0</v>
      </c>
      <c r="CG103">
        <v>0</v>
      </c>
      <c r="CM103">
        <v>0</v>
      </c>
      <c r="CN103" t="s">
        <v>742</v>
      </c>
      <c r="CO103">
        <v>0</v>
      </c>
      <c r="CP103">
        <f>(P103+Q103+S103)</f>
        <v>416.61</v>
      </c>
      <c r="CQ103">
        <f>AC103*BC103</f>
        <v>0</v>
      </c>
      <c r="CR103">
        <f>AD103*BB103</f>
        <v>519.524</v>
      </c>
      <c r="CS103">
        <f>AE103*BS103</f>
        <v>67.873000000000005</v>
      </c>
      <c r="CT103">
        <f>AF103*BA103</f>
        <v>166.25550000000001</v>
      </c>
      <c r="CU103">
        <f t="shared" si="117"/>
        <v>0</v>
      </c>
      <c r="CV103">
        <f t="shared" si="117"/>
        <v>21.125499999999999</v>
      </c>
      <c r="CW103">
        <f t="shared" si="117"/>
        <v>5.3475000000000001</v>
      </c>
      <c r="CX103">
        <f t="shared" si="117"/>
        <v>0</v>
      </c>
      <c r="CY103">
        <f>(((S103+R103)*AT103)/100)</f>
        <v>147.91919999999999</v>
      </c>
      <c r="CZ103">
        <f>(((S103+R103)*AU103)/100)</f>
        <v>85.337999999999994</v>
      </c>
      <c r="DC103" t="s">
        <v>3</v>
      </c>
      <c r="DD103" t="s">
        <v>3</v>
      </c>
      <c r="DE103" t="s">
        <v>24</v>
      </c>
      <c r="DF103" t="s">
        <v>24</v>
      </c>
      <c r="DG103" t="s">
        <v>24</v>
      </c>
      <c r="DH103" t="s">
        <v>3</v>
      </c>
      <c r="DI103" t="s">
        <v>24</v>
      </c>
      <c r="DJ103" t="s">
        <v>24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1007</v>
      </c>
      <c r="DV103" t="s">
        <v>154</v>
      </c>
      <c r="DW103" t="s">
        <v>154</v>
      </c>
      <c r="DX103">
        <v>100</v>
      </c>
      <c r="EE103">
        <v>45919696</v>
      </c>
      <c r="EF103">
        <v>6</v>
      </c>
      <c r="EG103" t="s">
        <v>25</v>
      </c>
      <c r="EH103">
        <v>0</v>
      </c>
      <c r="EI103" t="s">
        <v>3</v>
      </c>
      <c r="EJ103">
        <v>1</v>
      </c>
      <c r="EK103">
        <v>68001</v>
      </c>
      <c r="EL103" t="s">
        <v>26</v>
      </c>
      <c r="EM103" t="s">
        <v>27</v>
      </c>
      <c r="EO103" t="s">
        <v>28</v>
      </c>
      <c r="EQ103">
        <v>0</v>
      </c>
      <c r="ER103">
        <v>596.33000000000004</v>
      </c>
      <c r="ES103">
        <v>0</v>
      </c>
      <c r="ET103">
        <v>451.76</v>
      </c>
      <c r="EU103">
        <v>59.02</v>
      </c>
      <c r="EV103">
        <v>144.57</v>
      </c>
      <c r="EW103">
        <v>18.37</v>
      </c>
      <c r="EX103">
        <v>4.6500000000000004</v>
      </c>
      <c r="EY103">
        <v>0</v>
      </c>
      <c r="FQ103">
        <v>0</v>
      </c>
      <c r="FR103">
        <f t="shared" si="118"/>
        <v>0</v>
      </c>
      <c r="FS103">
        <v>0</v>
      </c>
      <c r="FX103">
        <v>104</v>
      </c>
      <c r="FY103">
        <v>60</v>
      </c>
      <c r="GA103" t="s">
        <v>3</v>
      </c>
      <c r="GD103">
        <v>1</v>
      </c>
      <c r="GF103">
        <v>1969470738</v>
      </c>
      <c r="GG103">
        <v>2</v>
      </c>
      <c r="GH103">
        <v>1</v>
      </c>
      <c r="GI103">
        <v>-2</v>
      </c>
      <c r="GJ103">
        <v>0</v>
      </c>
      <c r="GK103">
        <v>0</v>
      </c>
      <c r="GL103">
        <f t="shared" si="119"/>
        <v>0</v>
      </c>
      <c r="GM103">
        <f>ROUND(O103+X103+Y103,2)+GX103</f>
        <v>649.87</v>
      </c>
      <c r="GN103">
        <f>IF(OR(BI103=0,BI103=1),ROUND(O103+X103+Y103,2),0)</f>
        <v>649.87</v>
      </c>
      <c r="GO103">
        <f>IF(BI103=2,ROUND(O103+X103+Y103,2),0)</f>
        <v>0</v>
      </c>
      <c r="GP103">
        <f>IF(BI103=4,ROUND(O103+X103+Y103,2)+GX103,0)</f>
        <v>0</v>
      </c>
      <c r="GR103">
        <v>0</v>
      </c>
      <c r="GS103">
        <v>3</v>
      </c>
      <c r="GT103">
        <v>0</v>
      </c>
      <c r="GU103" t="s">
        <v>3</v>
      </c>
      <c r="GV103">
        <f>ROUND((GT103),6)</f>
        <v>0</v>
      </c>
      <c r="GW103">
        <v>1</v>
      </c>
      <c r="GX103">
        <f>ROUND(HC103*I103,2)</f>
        <v>0</v>
      </c>
      <c r="HA103">
        <v>0</v>
      </c>
      <c r="HB103">
        <v>0</v>
      </c>
      <c r="HC103">
        <f>GV103*GW103</f>
        <v>0</v>
      </c>
      <c r="IK103">
        <v>0</v>
      </c>
    </row>
    <row r="104" spans="1:245" x14ac:dyDescent="0.2">
      <c r="A104">
        <v>17</v>
      </c>
      <c r="B104">
        <v>1</v>
      </c>
      <c r="E104" t="s">
        <v>271</v>
      </c>
      <c r="F104" t="s">
        <v>272</v>
      </c>
      <c r="G104" t="s">
        <v>273</v>
      </c>
      <c r="H104" t="s">
        <v>36</v>
      </c>
      <c r="I104">
        <f>ROUND(I103*1.35*100+I102*1000*0.04*2,9)</f>
        <v>101.4525</v>
      </c>
      <c r="J104">
        <v>0</v>
      </c>
      <c r="O104">
        <f>0</f>
        <v>0</v>
      </c>
      <c r="P104">
        <f>0</f>
        <v>0</v>
      </c>
      <c r="Q104">
        <f>0</f>
        <v>0</v>
      </c>
      <c r="R104">
        <f>0</f>
        <v>0</v>
      </c>
      <c r="S104">
        <f>0</f>
        <v>0</v>
      </c>
      <c r="T104">
        <f>0</f>
        <v>0</v>
      </c>
      <c r="U104">
        <f>0</f>
        <v>0</v>
      </c>
      <c r="V104">
        <f>0</f>
        <v>0</v>
      </c>
      <c r="W104">
        <f>0</f>
        <v>0</v>
      </c>
      <c r="X104">
        <f>0</f>
        <v>0</v>
      </c>
      <c r="Y104">
        <f>0</f>
        <v>0</v>
      </c>
      <c r="AA104">
        <v>47631607</v>
      </c>
      <c r="AB104">
        <f>ROUND((AK104),6)</f>
        <v>7.96</v>
      </c>
      <c r="AC104">
        <f>0</f>
        <v>0</v>
      </c>
      <c r="AD104">
        <f>0</f>
        <v>0</v>
      </c>
      <c r="AE104">
        <f>0</f>
        <v>0</v>
      </c>
      <c r="AF104">
        <f>0</f>
        <v>0</v>
      </c>
      <c r="AG104">
        <f>0</f>
        <v>0</v>
      </c>
      <c r="AH104">
        <f>0</f>
        <v>0</v>
      </c>
      <c r="AI104">
        <f>0</f>
        <v>0</v>
      </c>
      <c r="AJ104">
        <f>0</f>
        <v>0</v>
      </c>
      <c r="AK104">
        <v>7.96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1</v>
      </c>
      <c r="AW104">
        <v>1</v>
      </c>
      <c r="AZ104">
        <v>1</v>
      </c>
      <c r="BA104">
        <v>1</v>
      </c>
      <c r="BB104">
        <v>1</v>
      </c>
      <c r="BC104">
        <v>1</v>
      </c>
      <c r="BD104" t="s">
        <v>3</v>
      </c>
      <c r="BE104" t="s">
        <v>3</v>
      </c>
      <c r="BF104" t="s">
        <v>3</v>
      </c>
      <c r="BG104" t="s">
        <v>3</v>
      </c>
      <c r="BH104">
        <v>0</v>
      </c>
      <c r="BI104">
        <v>1</v>
      </c>
      <c r="BJ104" t="s">
        <v>274</v>
      </c>
      <c r="BM104">
        <v>700004</v>
      </c>
      <c r="BN104">
        <v>0</v>
      </c>
      <c r="BO104" t="s">
        <v>3</v>
      </c>
      <c r="BP104">
        <v>0</v>
      </c>
      <c r="BQ104">
        <v>19</v>
      </c>
      <c r="BR104">
        <v>0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 t="s">
        <v>3</v>
      </c>
      <c r="BZ104">
        <v>0</v>
      </c>
      <c r="CA104">
        <v>0</v>
      </c>
      <c r="CE104">
        <v>0</v>
      </c>
      <c r="CF104">
        <v>0</v>
      </c>
      <c r="CG104">
        <v>0</v>
      </c>
      <c r="CM104">
        <v>0</v>
      </c>
      <c r="CN104" t="s">
        <v>3</v>
      </c>
      <c r="CO104">
        <v>0</v>
      </c>
      <c r="CP104">
        <f>AB104*AZ104</f>
        <v>7.96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C104" t="s">
        <v>3</v>
      </c>
      <c r="DD104" t="s">
        <v>3</v>
      </c>
      <c r="DE104" t="s">
        <v>3</v>
      </c>
      <c r="DF104" t="s">
        <v>3</v>
      </c>
      <c r="DG104" t="s">
        <v>3</v>
      </c>
      <c r="DH104" t="s">
        <v>3</v>
      </c>
      <c r="DI104" t="s">
        <v>3</v>
      </c>
      <c r="DJ104" t="s">
        <v>3</v>
      </c>
      <c r="DK104" t="s">
        <v>3</v>
      </c>
      <c r="DL104" t="s">
        <v>3</v>
      </c>
      <c r="DM104" t="s">
        <v>3</v>
      </c>
      <c r="DN104">
        <v>0</v>
      </c>
      <c r="DO104">
        <v>0</v>
      </c>
      <c r="DP104">
        <v>1</v>
      </c>
      <c r="DQ104">
        <v>1</v>
      </c>
      <c r="DU104">
        <v>1013</v>
      </c>
      <c r="DV104" t="s">
        <v>36</v>
      </c>
      <c r="DW104" t="s">
        <v>36</v>
      </c>
      <c r="DX104">
        <v>1</v>
      </c>
      <c r="EE104">
        <v>45919758</v>
      </c>
      <c r="EF104">
        <v>19</v>
      </c>
      <c r="EG104" t="s">
        <v>38</v>
      </c>
      <c r="EH104">
        <v>0</v>
      </c>
      <c r="EI104" t="s">
        <v>3</v>
      </c>
      <c r="EJ104">
        <v>1</v>
      </c>
      <c r="EK104">
        <v>700004</v>
      </c>
      <c r="EL104" t="s">
        <v>39</v>
      </c>
      <c r="EM104" t="s">
        <v>40</v>
      </c>
      <c r="EO104" t="s">
        <v>3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FQ104">
        <v>0</v>
      </c>
      <c r="FR104">
        <f t="shared" si="118"/>
        <v>0</v>
      </c>
      <c r="FS104">
        <v>0</v>
      </c>
      <c r="FX104">
        <v>0</v>
      </c>
      <c r="FY104">
        <v>0</v>
      </c>
      <c r="GA104" t="s">
        <v>3</v>
      </c>
      <c r="GD104">
        <v>1</v>
      </c>
      <c r="GF104">
        <v>1271559001</v>
      </c>
      <c r="GG104">
        <v>2</v>
      </c>
      <c r="GH104">
        <v>1</v>
      </c>
      <c r="GI104">
        <v>-2</v>
      </c>
      <c r="GJ104">
        <v>2</v>
      </c>
      <c r="GK104">
        <v>0</v>
      </c>
      <c r="GL104">
        <f t="shared" si="119"/>
        <v>0</v>
      </c>
      <c r="GM104">
        <f>ROUND(CP104*I104,2)</f>
        <v>807.56</v>
      </c>
      <c r="GN104">
        <f>IF(OR(BI104=0,BI104=1),ROUND(CP104*I104,2),0)</f>
        <v>807.56</v>
      </c>
      <c r="GO104">
        <f>IF(BI104=2,ROUND(CP104*I104,2),0)</f>
        <v>0</v>
      </c>
      <c r="GP104">
        <f>IF(BI104=4,ROUND(CP104*I104,2)+GX104,0)</f>
        <v>0</v>
      </c>
      <c r="GR104">
        <v>0</v>
      </c>
      <c r="GS104">
        <v>3</v>
      </c>
      <c r="GT104">
        <v>0</v>
      </c>
      <c r="GU104" t="s">
        <v>3</v>
      </c>
      <c r="GV104">
        <f>0</f>
        <v>0</v>
      </c>
      <c r="GW104">
        <v>1</v>
      </c>
      <c r="GX104">
        <f>0</f>
        <v>0</v>
      </c>
      <c r="HA104">
        <v>0</v>
      </c>
      <c r="HB104">
        <v>0</v>
      </c>
      <c r="HC104">
        <v>0</v>
      </c>
      <c r="IK104">
        <v>0</v>
      </c>
    </row>
    <row r="105" spans="1:245" x14ac:dyDescent="0.2">
      <c r="A105">
        <v>17</v>
      </c>
      <c r="B105">
        <v>1</v>
      </c>
      <c r="E105" t="s">
        <v>275</v>
      </c>
      <c r="F105" t="s">
        <v>42</v>
      </c>
      <c r="G105" t="s">
        <v>43</v>
      </c>
      <c r="H105" t="s">
        <v>36</v>
      </c>
      <c r="I105">
        <f>ROUND(I104,9)</f>
        <v>101.4525</v>
      </c>
      <c r="J105">
        <v>0</v>
      </c>
      <c r="O105">
        <f>0</f>
        <v>0</v>
      </c>
      <c r="P105">
        <f>0</f>
        <v>0</v>
      </c>
      <c r="Q105">
        <f>0</f>
        <v>0</v>
      </c>
      <c r="R105">
        <f>0</f>
        <v>0</v>
      </c>
      <c r="S105">
        <f>0</f>
        <v>0</v>
      </c>
      <c r="T105">
        <f>0</f>
        <v>0</v>
      </c>
      <c r="U105">
        <f>0</f>
        <v>0</v>
      </c>
      <c r="V105">
        <f>0</f>
        <v>0</v>
      </c>
      <c r="W105">
        <f>0</f>
        <v>0</v>
      </c>
      <c r="X105">
        <f>0</f>
        <v>0</v>
      </c>
      <c r="Y105">
        <f>0</f>
        <v>0</v>
      </c>
      <c r="AA105">
        <v>47631607</v>
      </c>
      <c r="AB105">
        <f>ROUND((AK105),6)</f>
        <v>17.32</v>
      </c>
      <c r="AC105">
        <f>0</f>
        <v>0</v>
      </c>
      <c r="AD105">
        <f>0</f>
        <v>0</v>
      </c>
      <c r="AE105">
        <f>0</f>
        <v>0</v>
      </c>
      <c r="AF105">
        <f>0</f>
        <v>0</v>
      </c>
      <c r="AG105">
        <f>0</f>
        <v>0</v>
      </c>
      <c r="AH105">
        <f>0</f>
        <v>0</v>
      </c>
      <c r="AI105">
        <f>0</f>
        <v>0</v>
      </c>
      <c r="AJ105">
        <f>0</f>
        <v>0</v>
      </c>
      <c r="AK105">
        <v>17.32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1</v>
      </c>
      <c r="BD105" t="s">
        <v>3</v>
      </c>
      <c r="BE105" t="s">
        <v>3</v>
      </c>
      <c r="BF105" t="s">
        <v>3</v>
      </c>
      <c r="BG105" t="s">
        <v>3</v>
      </c>
      <c r="BH105">
        <v>0</v>
      </c>
      <c r="BI105">
        <v>1</v>
      </c>
      <c r="BJ105" t="s">
        <v>44</v>
      </c>
      <c r="BM105">
        <v>700005</v>
      </c>
      <c r="BN105">
        <v>0</v>
      </c>
      <c r="BO105" t="s">
        <v>3</v>
      </c>
      <c r="BP105">
        <v>0</v>
      </c>
      <c r="BQ105">
        <v>10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0</v>
      </c>
      <c r="CA105">
        <v>0</v>
      </c>
      <c r="CE105">
        <v>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>AB105*AZ105</f>
        <v>17.32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1013</v>
      </c>
      <c r="DV105" t="s">
        <v>36</v>
      </c>
      <c r="DW105" t="s">
        <v>36</v>
      </c>
      <c r="DX105">
        <v>1</v>
      </c>
      <c r="EE105">
        <v>45919762</v>
      </c>
      <c r="EF105">
        <v>10</v>
      </c>
      <c r="EG105" t="s">
        <v>45</v>
      </c>
      <c r="EH105">
        <v>0</v>
      </c>
      <c r="EI105" t="s">
        <v>3</v>
      </c>
      <c r="EJ105">
        <v>1</v>
      </c>
      <c r="EK105">
        <v>700005</v>
      </c>
      <c r="EL105" t="s">
        <v>46</v>
      </c>
      <c r="EM105" t="s">
        <v>47</v>
      </c>
      <c r="EO105" t="s">
        <v>3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FQ105">
        <v>0</v>
      </c>
      <c r="FR105">
        <f t="shared" si="118"/>
        <v>0</v>
      </c>
      <c r="FS105">
        <v>0</v>
      </c>
      <c r="FX105">
        <v>0</v>
      </c>
      <c r="FY105">
        <v>0</v>
      </c>
      <c r="GA105" t="s">
        <v>3</v>
      </c>
      <c r="GD105">
        <v>1</v>
      </c>
      <c r="GF105">
        <v>1719553039</v>
      </c>
      <c r="GG105">
        <v>2</v>
      </c>
      <c r="GH105">
        <v>1</v>
      </c>
      <c r="GI105">
        <v>-2</v>
      </c>
      <c r="GJ105">
        <v>2</v>
      </c>
      <c r="GK105">
        <v>0</v>
      </c>
      <c r="GL105">
        <f t="shared" si="119"/>
        <v>0</v>
      </c>
      <c r="GM105">
        <f>ROUND(CP105*I105,2)</f>
        <v>1757.16</v>
      </c>
      <c r="GN105">
        <f>IF(OR(BI105=0,BI105=1),ROUND(CP105*I105,2),0)</f>
        <v>1757.16</v>
      </c>
      <c r="GO105">
        <f>IF(BI105=2,ROUND(CP105*I105,2),0)</f>
        <v>0</v>
      </c>
      <c r="GP105">
        <f>IF(BI105=4,ROUND(CP105*I105,2)+GX105,0)</f>
        <v>0</v>
      </c>
      <c r="GR105">
        <v>0</v>
      </c>
      <c r="GS105">
        <v>3</v>
      </c>
      <c r="GT105">
        <v>0</v>
      </c>
      <c r="GU105" t="s">
        <v>3</v>
      </c>
      <c r="GV105">
        <f>0</f>
        <v>0</v>
      </c>
      <c r="GW105">
        <v>1</v>
      </c>
      <c r="GX105">
        <f>0</f>
        <v>0</v>
      </c>
      <c r="HA105">
        <v>0</v>
      </c>
      <c r="HB105">
        <v>0</v>
      </c>
      <c r="HC105">
        <v>0</v>
      </c>
      <c r="IK105">
        <v>0</v>
      </c>
    </row>
    <row r="106" spans="1:245" x14ac:dyDescent="0.2">
      <c r="A106">
        <v>17</v>
      </c>
      <c r="B106">
        <v>1</v>
      </c>
      <c r="C106">
        <f>ROW(SmtRes!A121)</f>
        <v>121</v>
      </c>
      <c r="D106">
        <f>ROW(EtalonRes!A133)</f>
        <v>133</v>
      </c>
      <c r="E106" t="s">
        <v>276</v>
      </c>
      <c r="F106" t="s">
        <v>277</v>
      </c>
      <c r="G106" t="s">
        <v>278</v>
      </c>
      <c r="H106" t="s">
        <v>154</v>
      </c>
      <c r="I106">
        <f>ROUND((243*0.1)/100,9)</f>
        <v>0.24299999999999999</v>
      </c>
      <c r="J106">
        <v>0</v>
      </c>
      <c r="O106">
        <f t="shared" ref="O106:O116" si="120">ROUND(CP106,2)</f>
        <v>792.3</v>
      </c>
      <c r="P106">
        <f t="shared" ref="P106:P116" si="121">ROUND(CQ106*I106,2)</f>
        <v>2.96</v>
      </c>
      <c r="Q106">
        <f t="shared" ref="Q106:Q116" si="122">ROUND(CR106*I106,2)</f>
        <v>748.83</v>
      </c>
      <c r="R106">
        <f t="shared" ref="R106:R116" si="123">ROUND(CS106*I106,2)</f>
        <v>62.03</v>
      </c>
      <c r="S106">
        <f t="shared" ref="S106:S116" si="124">ROUND(CT106*I106,2)</f>
        <v>40.51</v>
      </c>
      <c r="T106">
        <f t="shared" ref="T106:T116" si="125">ROUND(CU106*I106,2)</f>
        <v>0</v>
      </c>
      <c r="U106">
        <f t="shared" ref="U106:U116" si="126">CV106*I106</f>
        <v>5.0518970999999988</v>
      </c>
      <c r="V106">
        <f t="shared" ref="V106:V116" si="127">CW106*I106</f>
        <v>4.8484575000000003</v>
      </c>
      <c r="W106">
        <f t="shared" ref="W106:W116" si="128">ROUND(CX106*I106,2)</f>
        <v>0</v>
      </c>
      <c r="X106">
        <f t="shared" ref="X106:X116" si="129">ROUND(CY106,2)</f>
        <v>131.25</v>
      </c>
      <c r="Y106">
        <f t="shared" ref="Y106:Y116" si="130">ROUND(CZ106,2)</f>
        <v>83.06</v>
      </c>
      <c r="AA106">
        <v>47631607</v>
      </c>
      <c r="AB106">
        <f t="shared" ref="AB106:AB116" si="131">ROUND((AC106+AD106+AF106),6)</f>
        <v>3260.525075</v>
      </c>
      <c r="AC106">
        <f>ROUND((ES106),6)</f>
        <v>12.2</v>
      </c>
      <c r="AD106">
        <f>ROUND((((((ET106*1.15)*1.25))-(((EU106*1.15)*1.25)))+AE106),6)</f>
        <v>3081.5974999999999</v>
      </c>
      <c r="AE106">
        <f>ROUND((((EU106*1.15)*1.25)),6)</f>
        <v>255.28562500000001</v>
      </c>
      <c r="AF106">
        <f>ROUND((((EV106*1.15)*1.15)),6)</f>
        <v>166.727575</v>
      </c>
      <c r="AG106">
        <f t="shared" ref="AG106:AG116" si="132">ROUND((AP106),6)</f>
        <v>0</v>
      </c>
      <c r="AH106">
        <f>(((EW106*1.15)*1.15))</f>
        <v>20.789699999999996</v>
      </c>
      <c r="AI106">
        <f>(((EX106*1.15)*1.25))</f>
        <v>19.952500000000001</v>
      </c>
      <c r="AJ106">
        <f t="shared" ref="AJ106:AJ116" si="133">(AS106)</f>
        <v>0</v>
      </c>
      <c r="AK106">
        <v>2281.9899999999998</v>
      </c>
      <c r="AL106">
        <v>12.2</v>
      </c>
      <c r="AM106">
        <v>2143.7199999999998</v>
      </c>
      <c r="AN106">
        <v>177.59</v>
      </c>
      <c r="AO106">
        <v>126.07</v>
      </c>
      <c r="AP106">
        <v>0</v>
      </c>
      <c r="AQ106">
        <v>15.72</v>
      </c>
      <c r="AR106">
        <v>13.88</v>
      </c>
      <c r="AS106">
        <v>0</v>
      </c>
      <c r="AT106">
        <v>128</v>
      </c>
      <c r="AU106">
        <v>81</v>
      </c>
      <c r="AV106">
        <v>1</v>
      </c>
      <c r="AW106">
        <v>1</v>
      </c>
      <c r="AZ106">
        <v>1</v>
      </c>
      <c r="BA106">
        <v>1</v>
      </c>
      <c r="BB106">
        <v>1</v>
      </c>
      <c r="BC106">
        <v>1</v>
      </c>
      <c r="BD106" t="s">
        <v>3</v>
      </c>
      <c r="BE106" t="s">
        <v>3</v>
      </c>
      <c r="BF106" t="s">
        <v>3</v>
      </c>
      <c r="BG106" t="s">
        <v>3</v>
      </c>
      <c r="BH106">
        <v>0</v>
      </c>
      <c r="BI106">
        <v>1</v>
      </c>
      <c r="BJ106" t="s">
        <v>279</v>
      </c>
      <c r="BM106">
        <v>27001</v>
      </c>
      <c r="BN106">
        <v>0</v>
      </c>
      <c r="BO106" t="s">
        <v>3</v>
      </c>
      <c r="BP106">
        <v>0</v>
      </c>
      <c r="BQ106">
        <v>2</v>
      </c>
      <c r="BR106">
        <v>0</v>
      </c>
      <c r="BS106">
        <v>1</v>
      </c>
      <c r="BT106">
        <v>1</v>
      </c>
      <c r="BU106">
        <v>1</v>
      </c>
      <c r="BV106">
        <v>1</v>
      </c>
      <c r="BW106">
        <v>1</v>
      </c>
      <c r="BX106">
        <v>1</v>
      </c>
      <c r="BY106" t="s">
        <v>3</v>
      </c>
      <c r="BZ106">
        <v>142</v>
      </c>
      <c r="CA106">
        <v>95</v>
      </c>
      <c r="CE106">
        <v>0</v>
      </c>
      <c r="CF106">
        <v>0</v>
      </c>
      <c r="CG106">
        <v>0</v>
      </c>
      <c r="CM106">
        <v>0</v>
      </c>
      <c r="CN106" t="s">
        <v>746</v>
      </c>
      <c r="CO106">
        <v>0</v>
      </c>
      <c r="CP106">
        <f t="shared" ref="CP106:CP116" si="134">(P106+Q106+S106)</f>
        <v>792.30000000000007</v>
      </c>
      <c r="CQ106">
        <f t="shared" ref="CQ106:CQ116" si="135">AC106*BC106</f>
        <v>12.2</v>
      </c>
      <c r="CR106">
        <f t="shared" ref="CR106:CR116" si="136">AD106*BB106</f>
        <v>3081.5974999999999</v>
      </c>
      <c r="CS106">
        <f t="shared" ref="CS106:CS116" si="137">AE106*BS106</f>
        <v>255.28562500000001</v>
      </c>
      <c r="CT106">
        <f t="shared" ref="CT106:CT116" si="138">AF106*BA106</f>
        <v>166.727575</v>
      </c>
      <c r="CU106">
        <f t="shared" ref="CU106:CU116" si="139">AG106</f>
        <v>0</v>
      </c>
      <c r="CV106">
        <f t="shared" ref="CV106:CV116" si="140">AH106</f>
        <v>20.789699999999996</v>
      </c>
      <c r="CW106">
        <f t="shared" ref="CW106:CW116" si="141">AI106</f>
        <v>19.952500000000001</v>
      </c>
      <c r="CX106">
        <f t="shared" ref="CX106:CX116" si="142">AJ106</f>
        <v>0</v>
      </c>
      <c r="CY106">
        <f t="shared" ref="CY106:CY116" si="143">(((S106+R106)*AT106)/100)</f>
        <v>131.25119999999998</v>
      </c>
      <c r="CZ106">
        <f t="shared" ref="CZ106:CZ116" si="144">(((S106+R106)*AU106)/100)</f>
        <v>83.057400000000001</v>
      </c>
      <c r="DC106" t="s">
        <v>3</v>
      </c>
      <c r="DD106" t="s">
        <v>3</v>
      </c>
      <c r="DE106" t="s">
        <v>280</v>
      </c>
      <c r="DF106" t="s">
        <v>280</v>
      </c>
      <c r="DG106" t="s">
        <v>53</v>
      </c>
      <c r="DH106" t="s">
        <v>3</v>
      </c>
      <c r="DI106" t="s">
        <v>53</v>
      </c>
      <c r="DJ106" t="s">
        <v>280</v>
      </c>
      <c r="DK106" t="s">
        <v>3</v>
      </c>
      <c r="DL106" t="s">
        <v>3</v>
      </c>
      <c r="DM106" t="s">
        <v>3</v>
      </c>
      <c r="DN106">
        <v>0</v>
      </c>
      <c r="DO106">
        <v>0</v>
      </c>
      <c r="DP106">
        <v>1</v>
      </c>
      <c r="DQ106">
        <v>1</v>
      </c>
      <c r="DU106">
        <v>1007</v>
      </c>
      <c r="DV106" t="s">
        <v>154</v>
      </c>
      <c r="DW106" t="s">
        <v>154</v>
      </c>
      <c r="DX106">
        <v>100</v>
      </c>
      <c r="EE106">
        <v>45919611</v>
      </c>
      <c r="EF106">
        <v>2</v>
      </c>
      <c r="EG106" t="s">
        <v>54</v>
      </c>
      <c r="EH106">
        <v>0</v>
      </c>
      <c r="EI106" t="s">
        <v>3</v>
      </c>
      <c r="EJ106">
        <v>1</v>
      </c>
      <c r="EK106">
        <v>27001</v>
      </c>
      <c r="EL106" t="s">
        <v>281</v>
      </c>
      <c r="EM106" t="s">
        <v>282</v>
      </c>
      <c r="EO106" t="s">
        <v>283</v>
      </c>
      <c r="EQ106">
        <v>0</v>
      </c>
      <c r="ER106">
        <v>2281.9899999999998</v>
      </c>
      <c r="ES106">
        <v>12.2</v>
      </c>
      <c r="ET106">
        <v>2143.7199999999998</v>
      </c>
      <c r="EU106">
        <v>177.59</v>
      </c>
      <c r="EV106">
        <v>126.07</v>
      </c>
      <c r="EW106">
        <v>15.72</v>
      </c>
      <c r="EX106">
        <v>13.88</v>
      </c>
      <c r="EY106">
        <v>0</v>
      </c>
      <c r="FQ106">
        <v>0</v>
      </c>
      <c r="FR106">
        <f t="shared" si="118"/>
        <v>0</v>
      </c>
      <c r="FS106">
        <v>0</v>
      </c>
      <c r="FT106" t="s">
        <v>58</v>
      </c>
      <c r="FU106" t="s">
        <v>59</v>
      </c>
      <c r="FX106">
        <v>127.8</v>
      </c>
      <c r="FY106">
        <v>80.75</v>
      </c>
      <c r="GA106" t="s">
        <v>3</v>
      </c>
      <c r="GD106">
        <v>1</v>
      </c>
      <c r="GF106">
        <v>-787423772</v>
      </c>
      <c r="GG106">
        <v>2</v>
      </c>
      <c r="GH106">
        <v>1</v>
      </c>
      <c r="GI106">
        <v>-2</v>
      </c>
      <c r="GJ106">
        <v>0</v>
      </c>
      <c r="GK106">
        <v>0</v>
      </c>
      <c r="GL106">
        <f t="shared" si="119"/>
        <v>0</v>
      </c>
      <c r="GM106">
        <f t="shared" ref="GM106:GM116" si="145">ROUND(O106+X106+Y106,2)+GX106</f>
        <v>1006.61</v>
      </c>
      <c r="GN106">
        <f t="shared" ref="GN106:GN116" si="146">IF(OR(BI106=0,BI106=1),ROUND(O106+X106+Y106,2),0)</f>
        <v>1006.61</v>
      </c>
      <c r="GO106">
        <f t="shared" ref="GO106:GO116" si="147">IF(BI106=2,ROUND(O106+X106+Y106,2),0)</f>
        <v>0</v>
      </c>
      <c r="GP106">
        <f t="shared" ref="GP106:GP116" si="148">IF(BI106=4,ROUND(O106+X106+Y106,2)+GX106,0)</f>
        <v>0</v>
      </c>
      <c r="GR106">
        <v>0</v>
      </c>
      <c r="GS106">
        <v>3</v>
      </c>
      <c r="GT106">
        <v>0</v>
      </c>
      <c r="GU106" t="s">
        <v>3</v>
      </c>
      <c r="GV106">
        <f t="shared" ref="GV106:GV116" si="149">ROUND((GT106),6)</f>
        <v>0</v>
      </c>
      <c r="GW106">
        <v>1</v>
      </c>
      <c r="GX106">
        <f t="shared" ref="GX106:GX116" si="150">ROUND(HC106*I106,2)</f>
        <v>0</v>
      </c>
      <c r="HA106">
        <v>0</v>
      </c>
      <c r="HB106">
        <v>0</v>
      </c>
      <c r="HC106">
        <f t="shared" ref="HC106:HC116" si="151">GV106*GW106</f>
        <v>0</v>
      </c>
      <c r="IK106">
        <v>0</v>
      </c>
    </row>
    <row r="107" spans="1:245" x14ac:dyDescent="0.2">
      <c r="A107">
        <v>18</v>
      </c>
      <c r="B107">
        <v>1</v>
      </c>
      <c r="C107">
        <v>121</v>
      </c>
      <c r="E107" t="s">
        <v>284</v>
      </c>
      <c r="F107" t="s">
        <v>101</v>
      </c>
      <c r="G107" t="s">
        <v>102</v>
      </c>
      <c r="H107" t="s">
        <v>96</v>
      </c>
      <c r="I107">
        <f>I106*J107</f>
        <v>24.786000000000001</v>
      </c>
      <c r="J107">
        <v>102.00000000000001</v>
      </c>
      <c r="O107">
        <f t="shared" si="120"/>
        <v>1369.67</v>
      </c>
      <c r="P107">
        <f t="shared" si="121"/>
        <v>1369.67</v>
      </c>
      <c r="Q107">
        <f t="shared" si="122"/>
        <v>0</v>
      </c>
      <c r="R107">
        <f t="shared" si="123"/>
        <v>0</v>
      </c>
      <c r="S107">
        <f t="shared" si="124"/>
        <v>0</v>
      </c>
      <c r="T107">
        <f t="shared" si="125"/>
        <v>0</v>
      </c>
      <c r="U107">
        <f t="shared" si="126"/>
        <v>0</v>
      </c>
      <c r="V107">
        <f t="shared" si="127"/>
        <v>0</v>
      </c>
      <c r="W107">
        <f t="shared" si="128"/>
        <v>0</v>
      </c>
      <c r="X107">
        <f t="shared" si="129"/>
        <v>0</v>
      </c>
      <c r="Y107">
        <f t="shared" si="130"/>
        <v>0</v>
      </c>
      <c r="AA107">
        <v>47631607</v>
      </c>
      <c r="AB107">
        <f t="shared" si="131"/>
        <v>55.26</v>
      </c>
      <c r="AC107">
        <f>ROUND((ES107),6)</f>
        <v>55.26</v>
      </c>
      <c r="AD107">
        <f>ROUND((((ET107)-(EU107))+AE107),6)</f>
        <v>0</v>
      </c>
      <c r="AE107">
        <f>ROUND((EU107),6)</f>
        <v>0</v>
      </c>
      <c r="AF107">
        <f>ROUND((EV107),6)</f>
        <v>0</v>
      </c>
      <c r="AG107">
        <f t="shared" si="132"/>
        <v>0</v>
      </c>
      <c r="AH107">
        <f>(EW107)</f>
        <v>0</v>
      </c>
      <c r="AI107">
        <f>(EX107)</f>
        <v>0</v>
      </c>
      <c r="AJ107">
        <f t="shared" si="133"/>
        <v>0</v>
      </c>
      <c r="AK107">
        <v>55.26</v>
      </c>
      <c r="AL107">
        <v>55.26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128</v>
      </c>
      <c r="AU107">
        <v>81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103</v>
      </c>
      <c r="BM107">
        <v>27001</v>
      </c>
      <c r="BN107">
        <v>0</v>
      </c>
      <c r="BO107" t="s">
        <v>3</v>
      </c>
      <c r="BP107">
        <v>0</v>
      </c>
      <c r="BQ107">
        <v>2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142</v>
      </c>
      <c r="CA107">
        <v>95</v>
      </c>
      <c r="CE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134"/>
        <v>1369.67</v>
      </c>
      <c r="CQ107">
        <f t="shared" si="135"/>
        <v>55.26</v>
      </c>
      <c r="CR107">
        <f t="shared" si="136"/>
        <v>0</v>
      </c>
      <c r="CS107">
        <f t="shared" si="137"/>
        <v>0</v>
      </c>
      <c r="CT107">
        <f t="shared" si="138"/>
        <v>0</v>
      </c>
      <c r="CU107">
        <f t="shared" si="139"/>
        <v>0</v>
      </c>
      <c r="CV107">
        <f t="shared" si="140"/>
        <v>0</v>
      </c>
      <c r="CW107">
        <f t="shared" si="141"/>
        <v>0</v>
      </c>
      <c r="CX107">
        <f t="shared" si="142"/>
        <v>0</v>
      </c>
      <c r="CY107">
        <f t="shared" si="143"/>
        <v>0</v>
      </c>
      <c r="CZ107">
        <f t="shared" si="144"/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1007</v>
      </c>
      <c r="DV107" t="s">
        <v>96</v>
      </c>
      <c r="DW107" t="s">
        <v>96</v>
      </c>
      <c r="DX107">
        <v>1</v>
      </c>
      <c r="EE107">
        <v>45919611</v>
      </c>
      <c r="EF107">
        <v>2</v>
      </c>
      <c r="EG107" t="s">
        <v>54</v>
      </c>
      <c r="EH107">
        <v>0</v>
      </c>
      <c r="EI107" t="s">
        <v>3</v>
      </c>
      <c r="EJ107">
        <v>1</v>
      </c>
      <c r="EK107">
        <v>27001</v>
      </c>
      <c r="EL107" t="s">
        <v>281</v>
      </c>
      <c r="EM107" t="s">
        <v>282</v>
      </c>
      <c r="EO107" t="s">
        <v>3</v>
      </c>
      <c r="EQ107">
        <v>0</v>
      </c>
      <c r="ER107">
        <v>55.26</v>
      </c>
      <c r="ES107">
        <v>55.26</v>
      </c>
      <c r="ET107">
        <v>0</v>
      </c>
      <c r="EU107">
        <v>0</v>
      </c>
      <c r="EV107">
        <v>0</v>
      </c>
      <c r="EW107">
        <v>0</v>
      </c>
      <c r="EX107">
        <v>0</v>
      </c>
      <c r="FQ107">
        <v>0</v>
      </c>
      <c r="FR107">
        <f t="shared" si="118"/>
        <v>0</v>
      </c>
      <c r="FS107">
        <v>0</v>
      </c>
      <c r="FT107" t="s">
        <v>58</v>
      </c>
      <c r="FU107" t="s">
        <v>59</v>
      </c>
      <c r="FX107">
        <v>127.8</v>
      </c>
      <c r="FY107">
        <v>80.75</v>
      </c>
      <c r="GA107" t="s">
        <v>3</v>
      </c>
      <c r="GD107">
        <v>1</v>
      </c>
      <c r="GF107">
        <v>-35545874</v>
      </c>
      <c r="GG107">
        <v>2</v>
      </c>
      <c r="GH107">
        <v>1</v>
      </c>
      <c r="GI107">
        <v>-2</v>
      </c>
      <c r="GJ107">
        <v>0</v>
      </c>
      <c r="GK107">
        <v>0</v>
      </c>
      <c r="GL107">
        <f t="shared" si="119"/>
        <v>0</v>
      </c>
      <c r="GM107">
        <f t="shared" si="145"/>
        <v>1369.67</v>
      </c>
      <c r="GN107">
        <f t="shared" si="146"/>
        <v>1369.67</v>
      </c>
      <c r="GO107">
        <f t="shared" si="147"/>
        <v>0</v>
      </c>
      <c r="GP107">
        <f t="shared" si="148"/>
        <v>0</v>
      </c>
      <c r="GR107">
        <v>0</v>
      </c>
      <c r="GS107">
        <v>3</v>
      </c>
      <c r="GT107">
        <v>0</v>
      </c>
      <c r="GU107" t="s">
        <v>3</v>
      </c>
      <c r="GV107">
        <f t="shared" si="149"/>
        <v>0</v>
      </c>
      <c r="GW107">
        <v>1</v>
      </c>
      <c r="GX107">
        <f t="shared" si="150"/>
        <v>0</v>
      </c>
      <c r="HA107">
        <v>0</v>
      </c>
      <c r="HB107">
        <v>0</v>
      </c>
      <c r="HC107">
        <f t="shared" si="151"/>
        <v>0</v>
      </c>
      <c r="IK107">
        <v>0</v>
      </c>
    </row>
    <row r="108" spans="1:245" x14ac:dyDescent="0.2">
      <c r="A108">
        <v>17</v>
      </c>
      <c r="B108">
        <v>1</v>
      </c>
      <c r="C108">
        <f>ROW(SmtRes!A128)</f>
        <v>128</v>
      </c>
      <c r="D108">
        <f>ROW(EtalonRes!A140)</f>
        <v>140</v>
      </c>
      <c r="E108" t="s">
        <v>285</v>
      </c>
      <c r="F108" t="s">
        <v>286</v>
      </c>
      <c r="G108" t="s">
        <v>287</v>
      </c>
      <c r="H108" t="s">
        <v>22</v>
      </c>
      <c r="I108">
        <f>ROUND(243/100,9)</f>
        <v>2.4300000000000002</v>
      </c>
      <c r="J108">
        <v>0</v>
      </c>
      <c r="O108">
        <f t="shared" si="120"/>
        <v>1681.99</v>
      </c>
      <c r="P108">
        <f t="shared" si="121"/>
        <v>11.86</v>
      </c>
      <c r="Q108">
        <f t="shared" si="122"/>
        <v>956.73</v>
      </c>
      <c r="R108">
        <f t="shared" si="123"/>
        <v>122.26</v>
      </c>
      <c r="S108">
        <f t="shared" si="124"/>
        <v>713.4</v>
      </c>
      <c r="T108">
        <f t="shared" si="125"/>
        <v>0</v>
      </c>
      <c r="U108">
        <f t="shared" si="126"/>
        <v>84.326831999999982</v>
      </c>
      <c r="V108">
        <f t="shared" si="127"/>
        <v>11.07320625</v>
      </c>
      <c r="W108">
        <f t="shared" si="128"/>
        <v>0</v>
      </c>
      <c r="X108">
        <f t="shared" si="129"/>
        <v>1069.6400000000001</v>
      </c>
      <c r="Y108">
        <f t="shared" si="130"/>
        <v>676.88</v>
      </c>
      <c r="AA108">
        <v>47631607</v>
      </c>
      <c r="AB108">
        <f t="shared" si="131"/>
        <v>692.17864999999995</v>
      </c>
      <c r="AC108">
        <f>ROUND((ES108),6)</f>
        <v>4.88</v>
      </c>
      <c r="AD108">
        <f>ROUND((((((ET108*1.15)*1.25))-(((EU108*1.15)*1.25)))+AE108),6)</f>
        <v>393.71687500000002</v>
      </c>
      <c r="AE108">
        <f>ROUND((((EU108*1.15)*1.25)),6)</f>
        <v>50.3125</v>
      </c>
      <c r="AF108">
        <f>ROUND((((EV108*1.15)*1.15)),6)</f>
        <v>293.58177499999999</v>
      </c>
      <c r="AG108">
        <f t="shared" si="132"/>
        <v>0</v>
      </c>
      <c r="AH108">
        <f>(((EW108*1.15)*1.15))</f>
        <v>34.70239999999999</v>
      </c>
      <c r="AI108">
        <f>(((EX108*1.15)*1.25))</f>
        <v>4.5568749999999998</v>
      </c>
      <c r="AJ108">
        <f t="shared" si="133"/>
        <v>0</v>
      </c>
      <c r="AK108">
        <v>500.76</v>
      </c>
      <c r="AL108">
        <v>4.88</v>
      </c>
      <c r="AM108">
        <v>273.89</v>
      </c>
      <c r="AN108">
        <v>35</v>
      </c>
      <c r="AO108">
        <v>221.99</v>
      </c>
      <c r="AP108">
        <v>0</v>
      </c>
      <c r="AQ108">
        <v>26.24</v>
      </c>
      <c r="AR108">
        <v>3.17</v>
      </c>
      <c r="AS108">
        <v>0</v>
      </c>
      <c r="AT108">
        <v>128</v>
      </c>
      <c r="AU108">
        <v>81</v>
      </c>
      <c r="AV108">
        <v>1</v>
      </c>
      <c r="AW108">
        <v>1</v>
      </c>
      <c r="AZ108">
        <v>1</v>
      </c>
      <c r="BA108">
        <v>1</v>
      </c>
      <c r="BB108">
        <v>1</v>
      </c>
      <c r="BC108">
        <v>1</v>
      </c>
      <c r="BD108" t="s">
        <v>3</v>
      </c>
      <c r="BE108" t="s">
        <v>3</v>
      </c>
      <c r="BF108" t="s">
        <v>3</v>
      </c>
      <c r="BG108" t="s">
        <v>3</v>
      </c>
      <c r="BH108">
        <v>0</v>
      </c>
      <c r="BI108">
        <v>1</v>
      </c>
      <c r="BJ108" t="s">
        <v>288</v>
      </c>
      <c r="BM108">
        <v>27001</v>
      </c>
      <c r="BN108">
        <v>0</v>
      </c>
      <c r="BO108" t="s">
        <v>3</v>
      </c>
      <c r="BP108">
        <v>0</v>
      </c>
      <c r="BQ108">
        <v>2</v>
      </c>
      <c r="BR108">
        <v>0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 t="s">
        <v>3</v>
      </c>
      <c r="BZ108">
        <v>142</v>
      </c>
      <c r="CA108">
        <v>95</v>
      </c>
      <c r="CE108">
        <v>0</v>
      </c>
      <c r="CF108">
        <v>0</v>
      </c>
      <c r="CG108">
        <v>0</v>
      </c>
      <c r="CM108">
        <v>0</v>
      </c>
      <c r="CN108" t="s">
        <v>746</v>
      </c>
      <c r="CO108">
        <v>0</v>
      </c>
      <c r="CP108">
        <f t="shared" si="134"/>
        <v>1681.99</v>
      </c>
      <c r="CQ108">
        <f t="shared" si="135"/>
        <v>4.88</v>
      </c>
      <c r="CR108">
        <f t="shared" si="136"/>
        <v>393.71687500000002</v>
      </c>
      <c r="CS108">
        <f t="shared" si="137"/>
        <v>50.3125</v>
      </c>
      <c r="CT108">
        <f t="shared" si="138"/>
        <v>293.58177499999999</v>
      </c>
      <c r="CU108">
        <f t="shared" si="139"/>
        <v>0</v>
      </c>
      <c r="CV108">
        <f t="shared" si="140"/>
        <v>34.70239999999999</v>
      </c>
      <c r="CW108">
        <f t="shared" si="141"/>
        <v>4.5568749999999998</v>
      </c>
      <c r="CX108">
        <f t="shared" si="142"/>
        <v>0</v>
      </c>
      <c r="CY108">
        <f t="shared" si="143"/>
        <v>1069.6448</v>
      </c>
      <c r="CZ108">
        <f t="shared" si="144"/>
        <v>676.88459999999986</v>
      </c>
      <c r="DC108" t="s">
        <v>3</v>
      </c>
      <c r="DD108" t="s">
        <v>3</v>
      </c>
      <c r="DE108" t="s">
        <v>280</v>
      </c>
      <c r="DF108" t="s">
        <v>280</v>
      </c>
      <c r="DG108" t="s">
        <v>53</v>
      </c>
      <c r="DH108" t="s">
        <v>3</v>
      </c>
      <c r="DI108" t="s">
        <v>53</v>
      </c>
      <c r="DJ108" t="s">
        <v>280</v>
      </c>
      <c r="DK108" t="s">
        <v>3</v>
      </c>
      <c r="DL108" t="s">
        <v>3</v>
      </c>
      <c r="DM108" t="s">
        <v>3</v>
      </c>
      <c r="DN108">
        <v>0</v>
      </c>
      <c r="DO108">
        <v>0</v>
      </c>
      <c r="DP108">
        <v>1</v>
      </c>
      <c r="DQ108">
        <v>1</v>
      </c>
      <c r="DU108">
        <v>1005</v>
      </c>
      <c r="DV108" t="s">
        <v>22</v>
      </c>
      <c r="DW108" t="s">
        <v>22</v>
      </c>
      <c r="DX108">
        <v>100</v>
      </c>
      <c r="EE108">
        <v>45919611</v>
      </c>
      <c r="EF108">
        <v>2</v>
      </c>
      <c r="EG108" t="s">
        <v>54</v>
      </c>
      <c r="EH108">
        <v>0</v>
      </c>
      <c r="EI108" t="s">
        <v>3</v>
      </c>
      <c r="EJ108">
        <v>1</v>
      </c>
      <c r="EK108">
        <v>27001</v>
      </c>
      <c r="EL108" t="s">
        <v>281</v>
      </c>
      <c r="EM108" t="s">
        <v>282</v>
      </c>
      <c r="EO108" t="s">
        <v>283</v>
      </c>
      <c r="EQ108">
        <v>0</v>
      </c>
      <c r="ER108">
        <v>500.76</v>
      </c>
      <c r="ES108">
        <v>4.88</v>
      </c>
      <c r="ET108">
        <v>273.89</v>
      </c>
      <c r="EU108">
        <v>35</v>
      </c>
      <c r="EV108">
        <v>221.99</v>
      </c>
      <c r="EW108">
        <v>26.24</v>
      </c>
      <c r="EX108">
        <v>3.17</v>
      </c>
      <c r="EY108">
        <v>0</v>
      </c>
      <c r="FQ108">
        <v>0</v>
      </c>
      <c r="FR108">
        <f t="shared" si="118"/>
        <v>0</v>
      </c>
      <c r="FS108">
        <v>0</v>
      </c>
      <c r="FT108" t="s">
        <v>58</v>
      </c>
      <c r="FU108" t="s">
        <v>59</v>
      </c>
      <c r="FX108">
        <v>127.8</v>
      </c>
      <c r="FY108">
        <v>80.75</v>
      </c>
      <c r="GA108" t="s">
        <v>3</v>
      </c>
      <c r="GD108">
        <v>1</v>
      </c>
      <c r="GF108">
        <v>1556152965</v>
      </c>
      <c r="GG108">
        <v>2</v>
      </c>
      <c r="GH108">
        <v>1</v>
      </c>
      <c r="GI108">
        <v>-2</v>
      </c>
      <c r="GJ108">
        <v>0</v>
      </c>
      <c r="GK108">
        <v>0</v>
      </c>
      <c r="GL108">
        <f t="shared" si="119"/>
        <v>0</v>
      </c>
      <c r="GM108">
        <f t="shared" si="145"/>
        <v>3428.51</v>
      </c>
      <c r="GN108">
        <f t="shared" si="146"/>
        <v>3428.51</v>
      </c>
      <c r="GO108">
        <f t="shared" si="147"/>
        <v>0</v>
      </c>
      <c r="GP108">
        <f t="shared" si="148"/>
        <v>0</v>
      </c>
      <c r="GR108">
        <v>0</v>
      </c>
      <c r="GS108">
        <v>3</v>
      </c>
      <c r="GT108">
        <v>0</v>
      </c>
      <c r="GU108" t="s">
        <v>3</v>
      </c>
      <c r="GV108">
        <f t="shared" si="149"/>
        <v>0</v>
      </c>
      <c r="GW108">
        <v>1</v>
      </c>
      <c r="GX108">
        <f t="shared" si="150"/>
        <v>0</v>
      </c>
      <c r="HA108">
        <v>0</v>
      </c>
      <c r="HB108">
        <v>0</v>
      </c>
      <c r="HC108">
        <f t="shared" si="151"/>
        <v>0</v>
      </c>
      <c r="IK108">
        <v>0</v>
      </c>
    </row>
    <row r="109" spans="1:245" x14ac:dyDescent="0.2">
      <c r="A109">
        <v>18</v>
      </c>
      <c r="B109">
        <v>1</v>
      </c>
      <c r="C109">
        <v>128</v>
      </c>
      <c r="E109" t="s">
        <v>289</v>
      </c>
      <c r="F109" t="s">
        <v>290</v>
      </c>
      <c r="G109" t="s">
        <v>291</v>
      </c>
      <c r="H109" t="s">
        <v>96</v>
      </c>
      <c r="I109">
        <f>I108*J109</f>
        <v>42.281999999999996</v>
      </c>
      <c r="J109">
        <v>17.399999999999999</v>
      </c>
      <c r="O109">
        <f t="shared" si="120"/>
        <v>5903.84</v>
      </c>
      <c r="P109">
        <f t="shared" si="121"/>
        <v>5903.84</v>
      </c>
      <c r="Q109">
        <f t="shared" si="122"/>
        <v>0</v>
      </c>
      <c r="R109">
        <f t="shared" si="123"/>
        <v>0</v>
      </c>
      <c r="S109">
        <f t="shared" si="124"/>
        <v>0</v>
      </c>
      <c r="T109">
        <f t="shared" si="125"/>
        <v>0</v>
      </c>
      <c r="U109">
        <f t="shared" si="126"/>
        <v>0</v>
      </c>
      <c r="V109">
        <f t="shared" si="127"/>
        <v>0</v>
      </c>
      <c r="W109">
        <f t="shared" si="128"/>
        <v>0</v>
      </c>
      <c r="X109">
        <f t="shared" si="129"/>
        <v>0</v>
      </c>
      <c r="Y109">
        <f t="shared" si="130"/>
        <v>0</v>
      </c>
      <c r="AA109">
        <v>47631607</v>
      </c>
      <c r="AB109">
        <f t="shared" si="131"/>
        <v>139.63</v>
      </c>
      <c r="AC109">
        <f>ROUND((ES109),6)</f>
        <v>139.63</v>
      </c>
      <c r="AD109">
        <f>ROUND((((ET109)-(EU109))+AE109),6)</f>
        <v>0</v>
      </c>
      <c r="AE109">
        <f>ROUND((EU109),6)</f>
        <v>0</v>
      </c>
      <c r="AF109">
        <f>ROUND((EV109),6)</f>
        <v>0</v>
      </c>
      <c r="AG109">
        <f t="shared" si="132"/>
        <v>0</v>
      </c>
      <c r="AH109">
        <f>(EW109)</f>
        <v>0</v>
      </c>
      <c r="AI109">
        <f>(EX109)</f>
        <v>0</v>
      </c>
      <c r="AJ109">
        <f t="shared" si="133"/>
        <v>0</v>
      </c>
      <c r="AK109">
        <v>139.63</v>
      </c>
      <c r="AL109">
        <v>139.63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128</v>
      </c>
      <c r="AU109">
        <v>81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292</v>
      </c>
      <c r="BM109">
        <v>27001</v>
      </c>
      <c r="BN109">
        <v>0</v>
      </c>
      <c r="BO109" t="s">
        <v>3</v>
      </c>
      <c r="BP109">
        <v>0</v>
      </c>
      <c r="BQ109">
        <v>2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142</v>
      </c>
      <c r="CA109">
        <v>95</v>
      </c>
      <c r="CE109">
        <v>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>
        <f t="shared" si="134"/>
        <v>5903.84</v>
      </c>
      <c r="CQ109">
        <f t="shared" si="135"/>
        <v>139.63</v>
      </c>
      <c r="CR109">
        <f t="shared" si="136"/>
        <v>0</v>
      </c>
      <c r="CS109">
        <f t="shared" si="137"/>
        <v>0</v>
      </c>
      <c r="CT109">
        <f t="shared" si="138"/>
        <v>0</v>
      </c>
      <c r="CU109">
        <f t="shared" si="139"/>
        <v>0</v>
      </c>
      <c r="CV109">
        <f t="shared" si="140"/>
        <v>0</v>
      </c>
      <c r="CW109">
        <f t="shared" si="141"/>
        <v>0</v>
      </c>
      <c r="CX109">
        <f t="shared" si="142"/>
        <v>0</v>
      </c>
      <c r="CY109">
        <f t="shared" si="143"/>
        <v>0</v>
      </c>
      <c r="CZ109">
        <f t="shared" si="144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1007</v>
      </c>
      <c r="DV109" t="s">
        <v>96</v>
      </c>
      <c r="DW109" t="s">
        <v>96</v>
      </c>
      <c r="DX109">
        <v>1</v>
      </c>
      <c r="EE109">
        <v>45919611</v>
      </c>
      <c r="EF109">
        <v>2</v>
      </c>
      <c r="EG109" t="s">
        <v>54</v>
      </c>
      <c r="EH109">
        <v>0</v>
      </c>
      <c r="EI109" t="s">
        <v>3</v>
      </c>
      <c r="EJ109">
        <v>1</v>
      </c>
      <c r="EK109">
        <v>27001</v>
      </c>
      <c r="EL109" t="s">
        <v>281</v>
      </c>
      <c r="EM109" t="s">
        <v>282</v>
      </c>
      <c r="EO109" t="s">
        <v>3</v>
      </c>
      <c r="EQ109">
        <v>0</v>
      </c>
      <c r="ER109">
        <v>139.63</v>
      </c>
      <c r="ES109">
        <v>139.63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118"/>
        <v>0</v>
      </c>
      <c r="FS109">
        <v>0</v>
      </c>
      <c r="FT109" t="s">
        <v>58</v>
      </c>
      <c r="FU109" t="s">
        <v>59</v>
      </c>
      <c r="FX109">
        <v>127.8</v>
      </c>
      <c r="FY109">
        <v>80.75</v>
      </c>
      <c r="GA109" t="s">
        <v>3</v>
      </c>
      <c r="GD109">
        <v>1</v>
      </c>
      <c r="GF109">
        <v>992648480</v>
      </c>
      <c r="GG109">
        <v>2</v>
      </c>
      <c r="GH109">
        <v>1</v>
      </c>
      <c r="GI109">
        <v>-2</v>
      </c>
      <c r="GJ109">
        <v>0</v>
      </c>
      <c r="GK109">
        <v>0</v>
      </c>
      <c r="GL109">
        <f t="shared" si="119"/>
        <v>0</v>
      </c>
      <c r="GM109">
        <f t="shared" si="145"/>
        <v>5903.84</v>
      </c>
      <c r="GN109">
        <f t="shared" si="146"/>
        <v>5903.84</v>
      </c>
      <c r="GO109">
        <f t="shared" si="147"/>
        <v>0</v>
      </c>
      <c r="GP109">
        <f t="shared" si="148"/>
        <v>0</v>
      </c>
      <c r="GR109">
        <v>0</v>
      </c>
      <c r="GS109">
        <v>3</v>
      </c>
      <c r="GT109">
        <v>0</v>
      </c>
      <c r="GU109" t="s">
        <v>3</v>
      </c>
      <c r="GV109">
        <f t="shared" si="149"/>
        <v>0</v>
      </c>
      <c r="GW109">
        <v>1</v>
      </c>
      <c r="GX109">
        <f t="shared" si="150"/>
        <v>0</v>
      </c>
      <c r="HA109">
        <v>0</v>
      </c>
      <c r="HB109">
        <v>0</v>
      </c>
      <c r="HC109">
        <f t="shared" si="151"/>
        <v>0</v>
      </c>
      <c r="IK109">
        <v>0</v>
      </c>
    </row>
    <row r="110" spans="1:245" x14ac:dyDescent="0.2">
      <c r="A110">
        <v>17</v>
      </c>
      <c r="B110">
        <v>1</v>
      </c>
      <c r="C110">
        <f>ROW(SmtRes!A132)</f>
        <v>132</v>
      </c>
      <c r="D110">
        <f>ROW(EtalonRes!A144)</f>
        <v>144</v>
      </c>
      <c r="E110" t="s">
        <v>293</v>
      </c>
      <c r="F110" t="s">
        <v>294</v>
      </c>
      <c r="G110" t="s">
        <v>295</v>
      </c>
      <c r="H110" t="s">
        <v>22</v>
      </c>
      <c r="I110">
        <f>ROUND(243/100,9)</f>
        <v>2.4300000000000002</v>
      </c>
      <c r="J110">
        <v>0</v>
      </c>
      <c r="O110">
        <f t="shared" si="120"/>
        <v>46.13</v>
      </c>
      <c r="P110">
        <f t="shared" si="121"/>
        <v>0</v>
      </c>
      <c r="Q110">
        <f t="shared" si="122"/>
        <v>31.44</v>
      </c>
      <c r="R110">
        <f t="shared" si="123"/>
        <v>3.53</v>
      </c>
      <c r="S110">
        <f t="shared" si="124"/>
        <v>14.69</v>
      </c>
      <c r="T110">
        <f t="shared" si="125"/>
        <v>0</v>
      </c>
      <c r="U110">
        <f t="shared" si="126"/>
        <v>1.7353844999999999</v>
      </c>
      <c r="V110">
        <f t="shared" si="127"/>
        <v>0.34931249999999997</v>
      </c>
      <c r="W110">
        <f t="shared" si="128"/>
        <v>0</v>
      </c>
      <c r="X110">
        <f t="shared" si="129"/>
        <v>23.32</v>
      </c>
      <c r="Y110">
        <f t="shared" si="130"/>
        <v>14.76</v>
      </c>
      <c r="AA110">
        <v>47631607</v>
      </c>
      <c r="AB110">
        <f t="shared" si="131"/>
        <v>18.981324999999998</v>
      </c>
      <c r="AC110">
        <f>ROUND(((ES110*3)),6)</f>
        <v>0</v>
      </c>
      <c r="AD110">
        <f>ROUND((((((ET110*1.15)*1.25))-(((EU110*1.15)*1.25)))+AE110),6)</f>
        <v>12.9375</v>
      </c>
      <c r="AE110">
        <f>ROUND((((EU110*1.15)*1.25)),6)</f>
        <v>1.451875</v>
      </c>
      <c r="AF110">
        <f>ROUND((((EV110*1.15)*1.15)),6)</f>
        <v>6.043825</v>
      </c>
      <c r="AG110">
        <f t="shared" si="132"/>
        <v>0</v>
      </c>
      <c r="AH110">
        <f>(((EW110*1.15)*1.15))</f>
        <v>0.71414999999999995</v>
      </c>
      <c r="AI110">
        <f>(((EX110*1.15)*1.25))</f>
        <v>0.14374999999999999</v>
      </c>
      <c r="AJ110">
        <f t="shared" si="133"/>
        <v>0</v>
      </c>
      <c r="AK110">
        <v>13.57</v>
      </c>
      <c r="AL110">
        <v>0</v>
      </c>
      <c r="AM110">
        <v>9</v>
      </c>
      <c r="AN110">
        <v>1.01</v>
      </c>
      <c r="AO110">
        <v>4.57</v>
      </c>
      <c r="AP110">
        <v>0</v>
      </c>
      <c r="AQ110">
        <v>0.54</v>
      </c>
      <c r="AR110">
        <v>0.1</v>
      </c>
      <c r="AS110">
        <v>0</v>
      </c>
      <c r="AT110">
        <v>128</v>
      </c>
      <c r="AU110">
        <v>81</v>
      </c>
      <c r="AV110">
        <v>1</v>
      </c>
      <c r="AW110">
        <v>1</v>
      </c>
      <c r="AZ110">
        <v>1</v>
      </c>
      <c r="BA110">
        <v>1</v>
      </c>
      <c r="BB110">
        <v>1</v>
      </c>
      <c r="BC110">
        <v>1</v>
      </c>
      <c r="BD110" t="s">
        <v>3</v>
      </c>
      <c r="BE110" t="s">
        <v>3</v>
      </c>
      <c r="BF110" t="s">
        <v>3</v>
      </c>
      <c r="BG110" t="s">
        <v>3</v>
      </c>
      <c r="BH110">
        <v>0</v>
      </c>
      <c r="BI110">
        <v>1</v>
      </c>
      <c r="BJ110" t="s">
        <v>296</v>
      </c>
      <c r="BM110">
        <v>27001</v>
      </c>
      <c r="BN110">
        <v>0</v>
      </c>
      <c r="BO110" t="s">
        <v>3</v>
      </c>
      <c r="BP110">
        <v>0</v>
      </c>
      <c r="BQ110">
        <v>2</v>
      </c>
      <c r="BR110">
        <v>0</v>
      </c>
      <c r="BS110">
        <v>1</v>
      </c>
      <c r="BT110">
        <v>1</v>
      </c>
      <c r="BU110">
        <v>1</v>
      </c>
      <c r="BV110">
        <v>1</v>
      </c>
      <c r="BW110">
        <v>1</v>
      </c>
      <c r="BX110">
        <v>1</v>
      </c>
      <c r="BY110" t="s">
        <v>3</v>
      </c>
      <c r="BZ110">
        <v>142</v>
      </c>
      <c r="CA110">
        <v>95</v>
      </c>
      <c r="CE110">
        <v>0</v>
      </c>
      <c r="CF110">
        <v>0</v>
      </c>
      <c r="CG110">
        <v>0</v>
      </c>
      <c r="CM110">
        <v>0</v>
      </c>
      <c r="CN110" t="s">
        <v>746</v>
      </c>
      <c r="CO110">
        <v>0</v>
      </c>
      <c r="CP110">
        <f t="shared" si="134"/>
        <v>46.13</v>
      </c>
      <c r="CQ110">
        <f t="shared" si="135"/>
        <v>0</v>
      </c>
      <c r="CR110">
        <f t="shared" si="136"/>
        <v>12.9375</v>
      </c>
      <c r="CS110">
        <f t="shared" si="137"/>
        <v>1.451875</v>
      </c>
      <c r="CT110">
        <f t="shared" si="138"/>
        <v>6.043825</v>
      </c>
      <c r="CU110">
        <f t="shared" si="139"/>
        <v>0</v>
      </c>
      <c r="CV110">
        <f t="shared" si="140"/>
        <v>0.71414999999999995</v>
      </c>
      <c r="CW110">
        <f t="shared" si="141"/>
        <v>0.14374999999999999</v>
      </c>
      <c r="CX110">
        <f t="shared" si="142"/>
        <v>0</v>
      </c>
      <c r="CY110">
        <f t="shared" si="143"/>
        <v>23.3216</v>
      </c>
      <c r="CZ110">
        <f t="shared" si="144"/>
        <v>14.758199999999999</v>
      </c>
      <c r="DC110" t="s">
        <v>3</v>
      </c>
      <c r="DD110" t="s">
        <v>297</v>
      </c>
      <c r="DE110" t="s">
        <v>280</v>
      </c>
      <c r="DF110" t="s">
        <v>280</v>
      </c>
      <c r="DG110" t="s">
        <v>53</v>
      </c>
      <c r="DH110" t="s">
        <v>3</v>
      </c>
      <c r="DI110" t="s">
        <v>53</v>
      </c>
      <c r="DJ110" t="s">
        <v>280</v>
      </c>
      <c r="DK110" t="s">
        <v>3</v>
      </c>
      <c r="DL110" t="s">
        <v>3</v>
      </c>
      <c r="DM110" t="s">
        <v>3</v>
      </c>
      <c r="DN110">
        <v>0</v>
      </c>
      <c r="DO110">
        <v>0</v>
      </c>
      <c r="DP110">
        <v>1</v>
      </c>
      <c r="DQ110">
        <v>1</v>
      </c>
      <c r="DU110">
        <v>1005</v>
      </c>
      <c r="DV110" t="s">
        <v>22</v>
      </c>
      <c r="DW110" t="s">
        <v>22</v>
      </c>
      <c r="DX110">
        <v>100</v>
      </c>
      <c r="EE110">
        <v>45919611</v>
      </c>
      <c r="EF110">
        <v>2</v>
      </c>
      <c r="EG110" t="s">
        <v>54</v>
      </c>
      <c r="EH110">
        <v>0</v>
      </c>
      <c r="EI110" t="s">
        <v>3</v>
      </c>
      <c r="EJ110">
        <v>1</v>
      </c>
      <c r="EK110">
        <v>27001</v>
      </c>
      <c r="EL110" t="s">
        <v>281</v>
      </c>
      <c r="EM110" t="s">
        <v>282</v>
      </c>
      <c r="EO110" t="s">
        <v>283</v>
      </c>
      <c r="EQ110">
        <v>0</v>
      </c>
      <c r="ER110">
        <v>13.57</v>
      </c>
      <c r="ES110">
        <v>0</v>
      </c>
      <c r="ET110">
        <v>9</v>
      </c>
      <c r="EU110">
        <v>1.01</v>
      </c>
      <c r="EV110">
        <v>4.57</v>
      </c>
      <c r="EW110">
        <v>0.54</v>
      </c>
      <c r="EX110">
        <v>0.1</v>
      </c>
      <c r="EY110">
        <v>0</v>
      </c>
      <c r="FQ110">
        <v>0</v>
      </c>
      <c r="FR110">
        <f t="shared" si="118"/>
        <v>0</v>
      </c>
      <c r="FS110">
        <v>0</v>
      </c>
      <c r="FT110" t="s">
        <v>58</v>
      </c>
      <c r="FU110" t="s">
        <v>59</v>
      </c>
      <c r="FX110">
        <v>127.8</v>
      </c>
      <c r="FY110">
        <v>80.75</v>
      </c>
      <c r="GA110" t="s">
        <v>3</v>
      </c>
      <c r="GD110">
        <v>1</v>
      </c>
      <c r="GF110">
        <v>2007186393</v>
      </c>
      <c r="GG110">
        <v>2</v>
      </c>
      <c r="GH110">
        <v>1</v>
      </c>
      <c r="GI110">
        <v>-2</v>
      </c>
      <c r="GJ110">
        <v>0</v>
      </c>
      <c r="GK110">
        <v>0</v>
      </c>
      <c r="GL110">
        <f t="shared" si="119"/>
        <v>0</v>
      </c>
      <c r="GM110">
        <f t="shared" si="145"/>
        <v>84.21</v>
      </c>
      <c r="GN110">
        <f t="shared" si="146"/>
        <v>84.21</v>
      </c>
      <c r="GO110">
        <f t="shared" si="147"/>
        <v>0</v>
      </c>
      <c r="GP110">
        <f t="shared" si="148"/>
        <v>0</v>
      </c>
      <c r="GR110">
        <v>0</v>
      </c>
      <c r="GS110">
        <v>3</v>
      </c>
      <c r="GT110">
        <v>0</v>
      </c>
      <c r="GU110" t="s">
        <v>3</v>
      </c>
      <c r="GV110">
        <f t="shared" si="149"/>
        <v>0</v>
      </c>
      <c r="GW110">
        <v>1</v>
      </c>
      <c r="GX110">
        <f t="shared" si="150"/>
        <v>0</v>
      </c>
      <c r="HA110">
        <v>0</v>
      </c>
      <c r="HB110">
        <v>0</v>
      </c>
      <c r="HC110">
        <f t="shared" si="151"/>
        <v>0</v>
      </c>
      <c r="IK110">
        <v>0</v>
      </c>
    </row>
    <row r="111" spans="1:245" x14ac:dyDescent="0.2">
      <c r="A111">
        <v>18</v>
      </c>
      <c r="B111">
        <v>1</v>
      </c>
      <c r="C111">
        <v>132</v>
      </c>
      <c r="E111" t="s">
        <v>298</v>
      </c>
      <c r="F111" t="s">
        <v>290</v>
      </c>
      <c r="G111" t="s">
        <v>291</v>
      </c>
      <c r="H111" t="s">
        <v>96</v>
      </c>
      <c r="I111">
        <f>I110*J111</f>
        <v>32.805</v>
      </c>
      <c r="J111">
        <v>13.499999999999998</v>
      </c>
      <c r="O111">
        <f t="shared" si="120"/>
        <v>4580.5600000000004</v>
      </c>
      <c r="P111">
        <f t="shared" si="121"/>
        <v>4580.5600000000004</v>
      </c>
      <c r="Q111">
        <f t="shared" si="122"/>
        <v>0</v>
      </c>
      <c r="R111">
        <f t="shared" si="123"/>
        <v>0</v>
      </c>
      <c r="S111">
        <f t="shared" si="124"/>
        <v>0</v>
      </c>
      <c r="T111">
        <f t="shared" si="125"/>
        <v>0</v>
      </c>
      <c r="U111">
        <f t="shared" si="126"/>
        <v>0</v>
      </c>
      <c r="V111">
        <f t="shared" si="127"/>
        <v>0</v>
      </c>
      <c r="W111">
        <f t="shared" si="128"/>
        <v>0</v>
      </c>
      <c r="X111">
        <f t="shared" si="129"/>
        <v>0</v>
      </c>
      <c r="Y111">
        <f t="shared" si="130"/>
        <v>0</v>
      </c>
      <c r="AA111">
        <v>47631607</v>
      </c>
      <c r="AB111">
        <f t="shared" si="131"/>
        <v>139.63</v>
      </c>
      <c r="AC111">
        <f t="shared" ref="AC111:AC116" si="152">ROUND((ES111),6)</f>
        <v>139.63</v>
      </c>
      <c r="AD111">
        <f>ROUND((((ET111)-(EU111))+AE111),6)</f>
        <v>0</v>
      </c>
      <c r="AE111">
        <f>ROUND((EU111),6)</f>
        <v>0</v>
      </c>
      <c r="AF111">
        <f>ROUND((EV111),6)</f>
        <v>0</v>
      </c>
      <c r="AG111">
        <f t="shared" si="132"/>
        <v>0</v>
      </c>
      <c r="AH111">
        <f>(EW111)</f>
        <v>0</v>
      </c>
      <c r="AI111">
        <f>(EX111)</f>
        <v>0</v>
      </c>
      <c r="AJ111">
        <f t="shared" si="133"/>
        <v>0</v>
      </c>
      <c r="AK111">
        <v>139.63</v>
      </c>
      <c r="AL111">
        <v>139.63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128</v>
      </c>
      <c r="AU111">
        <v>81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1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1</v>
      </c>
      <c r="BJ111" t="s">
        <v>292</v>
      </c>
      <c r="BM111">
        <v>27001</v>
      </c>
      <c r="BN111">
        <v>0</v>
      </c>
      <c r="BO111" t="s">
        <v>3</v>
      </c>
      <c r="BP111">
        <v>0</v>
      </c>
      <c r="BQ111">
        <v>2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142</v>
      </c>
      <c r="CA111">
        <v>95</v>
      </c>
      <c r="CE111">
        <v>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134"/>
        <v>4580.5600000000004</v>
      </c>
      <c r="CQ111">
        <f t="shared" si="135"/>
        <v>139.63</v>
      </c>
      <c r="CR111">
        <f t="shared" si="136"/>
        <v>0</v>
      </c>
      <c r="CS111">
        <f t="shared" si="137"/>
        <v>0</v>
      </c>
      <c r="CT111">
        <f t="shared" si="138"/>
        <v>0</v>
      </c>
      <c r="CU111">
        <f t="shared" si="139"/>
        <v>0</v>
      </c>
      <c r="CV111">
        <f t="shared" si="140"/>
        <v>0</v>
      </c>
      <c r="CW111">
        <f t="shared" si="141"/>
        <v>0</v>
      </c>
      <c r="CX111">
        <f t="shared" si="142"/>
        <v>0</v>
      </c>
      <c r="CY111">
        <f t="shared" si="143"/>
        <v>0</v>
      </c>
      <c r="CZ111">
        <f t="shared" si="144"/>
        <v>0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1007</v>
      </c>
      <c r="DV111" t="s">
        <v>96</v>
      </c>
      <c r="DW111" t="s">
        <v>96</v>
      </c>
      <c r="DX111">
        <v>1</v>
      </c>
      <c r="EE111">
        <v>45919611</v>
      </c>
      <c r="EF111">
        <v>2</v>
      </c>
      <c r="EG111" t="s">
        <v>54</v>
      </c>
      <c r="EH111">
        <v>0</v>
      </c>
      <c r="EI111" t="s">
        <v>3</v>
      </c>
      <c r="EJ111">
        <v>1</v>
      </c>
      <c r="EK111">
        <v>27001</v>
      </c>
      <c r="EL111" t="s">
        <v>281</v>
      </c>
      <c r="EM111" t="s">
        <v>282</v>
      </c>
      <c r="EO111" t="s">
        <v>3</v>
      </c>
      <c r="EQ111">
        <v>0</v>
      </c>
      <c r="ER111">
        <v>139.63</v>
      </c>
      <c r="ES111">
        <v>139.63</v>
      </c>
      <c r="ET111">
        <v>0</v>
      </c>
      <c r="EU111">
        <v>0</v>
      </c>
      <c r="EV111">
        <v>0</v>
      </c>
      <c r="EW111">
        <v>0</v>
      </c>
      <c r="EX111">
        <v>0</v>
      </c>
      <c r="FQ111">
        <v>0</v>
      </c>
      <c r="FR111">
        <f t="shared" si="118"/>
        <v>0</v>
      </c>
      <c r="FS111">
        <v>0</v>
      </c>
      <c r="FT111" t="s">
        <v>58</v>
      </c>
      <c r="FU111" t="s">
        <v>59</v>
      </c>
      <c r="FX111">
        <v>127.8</v>
      </c>
      <c r="FY111">
        <v>80.75</v>
      </c>
      <c r="GA111" t="s">
        <v>3</v>
      </c>
      <c r="GD111">
        <v>1</v>
      </c>
      <c r="GF111">
        <v>992648480</v>
      </c>
      <c r="GG111">
        <v>2</v>
      </c>
      <c r="GH111">
        <v>1</v>
      </c>
      <c r="GI111">
        <v>-2</v>
      </c>
      <c r="GJ111">
        <v>0</v>
      </c>
      <c r="GK111">
        <v>0</v>
      </c>
      <c r="GL111">
        <f t="shared" si="119"/>
        <v>0</v>
      </c>
      <c r="GM111">
        <f t="shared" si="145"/>
        <v>4580.5600000000004</v>
      </c>
      <c r="GN111">
        <f t="shared" si="146"/>
        <v>4580.5600000000004</v>
      </c>
      <c r="GO111">
        <f t="shared" si="147"/>
        <v>0</v>
      </c>
      <c r="GP111">
        <f t="shared" si="148"/>
        <v>0</v>
      </c>
      <c r="GR111">
        <v>0</v>
      </c>
      <c r="GS111">
        <v>3</v>
      </c>
      <c r="GT111">
        <v>0</v>
      </c>
      <c r="GU111" t="s">
        <v>3</v>
      </c>
      <c r="GV111">
        <f t="shared" si="149"/>
        <v>0</v>
      </c>
      <c r="GW111">
        <v>1</v>
      </c>
      <c r="GX111">
        <f t="shared" si="150"/>
        <v>0</v>
      </c>
      <c r="HA111">
        <v>0</v>
      </c>
      <c r="HB111">
        <v>0</v>
      </c>
      <c r="HC111">
        <f t="shared" si="151"/>
        <v>0</v>
      </c>
      <c r="IK111">
        <v>0</v>
      </c>
    </row>
    <row r="112" spans="1:245" x14ac:dyDescent="0.2">
      <c r="A112">
        <v>17</v>
      </c>
      <c r="B112">
        <v>1</v>
      </c>
      <c r="C112">
        <f>ROW(SmtRes!A141)</f>
        <v>141</v>
      </c>
      <c r="D112">
        <f>ROW(EtalonRes!A153)</f>
        <v>153</v>
      </c>
      <c r="E112" t="s">
        <v>299</v>
      </c>
      <c r="F112" t="s">
        <v>300</v>
      </c>
      <c r="G112" t="s">
        <v>301</v>
      </c>
      <c r="H112" t="s">
        <v>22</v>
      </c>
      <c r="I112">
        <f>ROUND(243/100,9)</f>
        <v>2.4300000000000002</v>
      </c>
      <c r="J112">
        <v>0</v>
      </c>
      <c r="O112">
        <f t="shared" si="120"/>
        <v>897.77</v>
      </c>
      <c r="P112">
        <f t="shared" si="121"/>
        <v>246.4</v>
      </c>
      <c r="Q112">
        <f t="shared" si="122"/>
        <v>199.98</v>
      </c>
      <c r="R112">
        <f t="shared" si="123"/>
        <v>2.79</v>
      </c>
      <c r="S112">
        <f t="shared" si="124"/>
        <v>451.39</v>
      </c>
      <c r="T112">
        <f t="shared" si="125"/>
        <v>0</v>
      </c>
      <c r="U112">
        <f t="shared" si="126"/>
        <v>48.590765999999988</v>
      </c>
      <c r="V112">
        <f t="shared" si="127"/>
        <v>0.24451875000000003</v>
      </c>
      <c r="W112">
        <f t="shared" si="128"/>
        <v>0</v>
      </c>
      <c r="X112">
        <f t="shared" si="129"/>
        <v>581.35</v>
      </c>
      <c r="Y112">
        <f t="shared" si="130"/>
        <v>367.89</v>
      </c>
      <c r="AA112">
        <v>47631607</v>
      </c>
      <c r="AB112">
        <f t="shared" si="131"/>
        <v>369.45522499999998</v>
      </c>
      <c r="AC112">
        <f t="shared" si="152"/>
        <v>101.4</v>
      </c>
      <c r="AD112">
        <f>ROUND((((((ET112*1.15)*1.25))-(((EU112*1.15)*1.25)))+AE112),6)</f>
        <v>82.296875</v>
      </c>
      <c r="AE112">
        <f>ROUND((((EU112*1.15)*1.25)),6)</f>
        <v>1.1499999999999999</v>
      </c>
      <c r="AF112">
        <f>ROUND((((EV112*1.15)*1.15)),6)</f>
        <v>185.75835000000001</v>
      </c>
      <c r="AG112">
        <f t="shared" si="132"/>
        <v>0</v>
      </c>
      <c r="AH112">
        <f>(((EW112*1.15)*1.15))</f>
        <v>19.996199999999995</v>
      </c>
      <c r="AI112">
        <f>(((EX112*1.15)*1.25))</f>
        <v>0.10062500000000001</v>
      </c>
      <c r="AJ112">
        <f t="shared" si="133"/>
        <v>0</v>
      </c>
      <c r="AK112">
        <v>299.11</v>
      </c>
      <c r="AL112">
        <v>101.4</v>
      </c>
      <c r="AM112">
        <v>57.25</v>
      </c>
      <c r="AN112">
        <v>0.8</v>
      </c>
      <c r="AO112">
        <v>140.46</v>
      </c>
      <c r="AP112">
        <v>0</v>
      </c>
      <c r="AQ112">
        <v>15.12</v>
      </c>
      <c r="AR112">
        <v>7.0000000000000007E-2</v>
      </c>
      <c r="AS112">
        <v>0</v>
      </c>
      <c r="AT112">
        <v>128</v>
      </c>
      <c r="AU112">
        <v>81</v>
      </c>
      <c r="AV112">
        <v>1</v>
      </c>
      <c r="AW112">
        <v>1</v>
      </c>
      <c r="AZ112">
        <v>1</v>
      </c>
      <c r="BA112">
        <v>1</v>
      </c>
      <c r="BB112">
        <v>1</v>
      </c>
      <c r="BC112">
        <v>1</v>
      </c>
      <c r="BD112" t="s">
        <v>3</v>
      </c>
      <c r="BE112" t="s">
        <v>3</v>
      </c>
      <c r="BF112" t="s">
        <v>3</v>
      </c>
      <c r="BG112" t="s">
        <v>3</v>
      </c>
      <c r="BH112">
        <v>0</v>
      </c>
      <c r="BI112">
        <v>1</v>
      </c>
      <c r="BJ112" t="s">
        <v>302</v>
      </c>
      <c r="BM112">
        <v>27001</v>
      </c>
      <c r="BN112">
        <v>0</v>
      </c>
      <c r="BO112" t="s">
        <v>3</v>
      </c>
      <c r="BP112">
        <v>0</v>
      </c>
      <c r="BQ112">
        <v>2</v>
      </c>
      <c r="BR112">
        <v>0</v>
      </c>
      <c r="BS112">
        <v>1</v>
      </c>
      <c r="BT112">
        <v>1</v>
      </c>
      <c r="BU112">
        <v>1</v>
      </c>
      <c r="BV112">
        <v>1</v>
      </c>
      <c r="BW112">
        <v>1</v>
      </c>
      <c r="BX112">
        <v>1</v>
      </c>
      <c r="BY112" t="s">
        <v>3</v>
      </c>
      <c r="BZ112">
        <v>142</v>
      </c>
      <c r="CA112">
        <v>95</v>
      </c>
      <c r="CE112">
        <v>0</v>
      </c>
      <c r="CF112">
        <v>0</v>
      </c>
      <c r="CG112">
        <v>0</v>
      </c>
      <c r="CM112">
        <v>0</v>
      </c>
      <c r="CN112" t="s">
        <v>746</v>
      </c>
      <c r="CO112">
        <v>0</v>
      </c>
      <c r="CP112">
        <f t="shared" si="134"/>
        <v>897.77</v>
      </c>
      <c r="CQ112">
        <f t="shared" si="135"/>
        <v>101.4</v>
      </c>
      <c r="CR112">
        <f t="shared" si="136"/>
        <v>82.296875</v>
      </c>
      <c r="CS112">
        <f t="shared" si="137"/>
        <v>1.1499999999999999</v>
      </c>
      <c r="CT112">
        <f t="shared" si="138"/>
        <v>185.75835000000001</v>
      </c>
      <c r="CU112">
        <f t="shared" si="139"/>
        <v>0</v>
      </c>
      <c r="CV112">
        <f t="shared" si="140"/>
        <v>19.996199999999995</v>
      </c>
      <c r="CW112">
        <f t="shared" si="141"/>
        <v>0.10062500000000001</v>
      </c>
      <c r="CX112">
        <f t="shared" si="142"/>
        <v>0</v>
      </c>
      <c r="CY112">
        <f t="shared" si="143"/>
        <v>581.35040000000004</v>
      </c>
      <c r="CZ112">
        <f t="shared" si="144"/>
        <v>367.88580000000002</v>
      </c>
      <c r="DC112" t="s">
        <v>3</v>
      </c>
      <c r="DD112" t="s">
        <v>3</v>
      </c>
      <c r="DE112" t="s">
        <v>280</v>
      </c>
      <c r="DF112" t="s">
        <v>280</v>
      </c>
      <c r="DG112" t="s">
        <v>53</v>
      </c>
      <c r="DH112" t="s">
        <v>3</v>
      </c>
      <c r="DI112" t="s">
        <v>53</v>
      </c>
      <c r="DJ112" t="s">
        <v>280</v>
      </c>
      <c r="DK112" t="s">
        <v>3</v>
      </c>
      <c r="DL112" t="s">
        <v>3</v>
      </c>
      <c r="DM112" t="s">
        <v>3</v>
      </c>
      <c r="DN112">
        <v>0</v>
      </c>
      <c r="DO112">
        <v>0</v>
      </c>
      <c r="DP112">
        <v>1</v>
      </c>
      <c r="DQ112">
        <v>1</v>
      </c>
      <c r="DU112">
        <v>1005</v>
      </c>
      <c r="DV112" t="s">
        <v>22</v>
      </c>
      <c r="DW112" t="s">
        <v>22</v>
      </c>
      <c r="DX112">
        <v>100</v>
      </c>
      <c r="EE112">
        <v>45919611</v>
      </c>
      <c r="EF112">
        <v>2</v>
      </c>
      <c r="EG112" t="s">
        <v>54</v>
      </c>
      <c r="EH112">
        <v>0</v>
      </c>
      <c r="EI112" t="s">
        <v>3</v>
      </c>
      <c r="EJ112">
        <v>1</v>
      </c>
      <c r="EK112">
        <v>27001</v>
      </c>
      <c r="EL112" t="s">
        <v>281</v>
      </c>
      <c r="EM112" t="s">
        <v>282</v>
      </c>
      <c r="EO112" t="s">
        <v>283</v>
      </c>
      <c r="EQ112">
        <v>0</v>
      </c>
      <c r="ER112">
        <v>299.11</v>
      </c>
      <c r="ES112">
        <v>101.4</v>
      </c>
      <c r="ET112">
        <v>57.25</v>
      </c>
      <c r="EU112">
        <v>0.8</v>
      </c>
      <c r="EV112">
        <v>140.46</v>
      </c>
      <c r="EW112">
        <v>15.12</v>
      </c>
      <c r="EX112">
        <v>7.0000000000000007E-2</v>
      </c>
      <c r="EY112">
        <v>0</v>
      </c>
      <c r="FQ112">
        <v>0</v>
      </c>
      <c r="FR112">
        <f t="shared" si="118"/>
        <v>0</v>
      </c>
      <c r="FS112">
        <v>0</v>
      </c>
      <c r="FT112" t="s">
        <v>58</v>
      </c>
      <c r="FU112" t="s">
        <v>59</v>
      </c>
      <c r="FX112">
        <v>127.8</v>
      </c>
      <c r="FY112">
        <v>80.75</v>
      </c>
      <c r="GA112" t="s">
        <v>3</v>
      </c>
      <c r="GD112">
        <v>1</v>
      </c>
      <c r="GF112">
        <v>-424602008</v>
      </c>
      <c r="GG112">
        <v>2</v>
      </c>
      <c r="GH112">
        <v>1</v>
      </c>
      <c r="GI112">
        <v>-2</v>
      </c>
      <c r="GJ112">
        <v>0</v>
      </c>
      <c r="GK112">
        <v>0</v>
      </c>
      <c r="GL112">
        <f t="shared" si="119"/>
        <v>0</v>
      </c>
      <c r="GM112">
        <f t="shared" si="145"/>
        <v>1847.01</v>
      </c>
      <c r="GN112">
        <f t="shared" si="146"/>
        <v>1847.01</v>
      </c>
      <c r="GO112">
        <f t="shared" si="147"/>
        <v>0</v>
      </c>
      <c r="GP112">
        <f t="shared" si="148"/>
        <v>0</v>
      </c>
      <c r="GR112">
        <v>0</v>
      </c>
      <c r="GS112">
        <v>3</v>
      </c>
      <c r="GT112">
        <v>0</v>
      </c>
      <c r="GU112" t="s">
        <v>3</v>
      </c>
      <c r="GV112">
        <f t="shared" si="149"/>
        <v>0</v>
      </c>
      <c r="GW112">
        <v>1</v>
      </c>
      <c r="GX112">
        <f t="shared" si="150"/>
        <v>0</v>
      </c>
      <c r="HA112">
        <v>0</v>
      </c>
      <c r="HB112">
        <v>0</v>
      </c>
      <c r="HC112">
        <f t="shared" si="151"/>
        <v>0</v>
      </c>
      <c r="IK112">
        <v>0</v>
      </c>
    </row>
    <row r="113" spans="1:245" x14ac:dyDescent="0.2">
      <c r="A113">
        <v>18</v>
      </c>
      <c r="B113">
        <v>1</v>
      </c>
      <c r="C113">
        <v>140</v>
      </c>
      <c r="E113" t="s">
        <v>303</v>
      </c>
      <c r="F113" t="s">
        <v>101</v>
      </c>
      <c r="G113" t="s">
        <v>102</v>
      </c>
      <c r="H113" t="s">
        <v>96</v>
      </c>
      <c r="I113">
        <f>I112*J113</f>
        <v>1.2150000000000001</v>
      </c>
      <c r="J113">
        <v>0.5</v>
      </c>
      <c r="O113">
        <f t="shared" si="120"/>
        <v>67.14</v>
      </c>
      <c r="P113">
        <f t="shared" si="121"/>
        <v>67.14</v>
      </c>
      <c r="Q113">
        <f t="shared" si="122"/>
        <v>0</v>
      </c>
      <c r="R113">
        <f t="shared" si="123"/>
        <v>0</v>
      </c>
      <c r="S113">
        <f t="shared" si="124"/>
        <v>0</v>
      </c>
      <c r="T113">
        <f t="shared" si="125"/>
        <v>0</v>
      </c>
      <c r="U113">
        <f t="shared" si="126"/>
        <v>0</v>
      </c>
      <c r="V113">
        <f t="shared" si="127"/>
        <v>0</v>
      </c>
      <c r="W113">
        <f t="shared" si="128"/>
        <v>0</v>
      </c>
      <c r="X113">
        <f t="shared" si="129"/>
        <v>0</v>
      </c>
      <c r="Y113">
        <f t="shared" si="130"/>
        <v>0</v>
      </c>
      <c r="AA113">
        <v>47631607</v>
      </c>
      <c r="AB113">
        <f t="shared" si="131"/>
        <v>55.26</v>
      </c>
      <c r="AC113">
        <f t="shared" si="152"/>
        <v>55.26</v>
      </c>
      <c r="AD113">
        <f>ROUND((((ET113)-(EU113))+AE113),6)</f>
        <v>0</v>
      </c>
      <c r="AE113">
        <f>ROUND((EU113),6)</f>
        <v>0</v>
      </c>
      <c r="AF113">
        <f>ROUND((EV113),6)</f>
        <v>0</v>
      </c>
      <c r="AG113">
        <f t="shared" si="132"/>
        <v>0</v>
      </c>
      <c r="AH113">
        <f>(EW113)</f>
        <v>0</v>
      </c>
      <c r="AI113">
        <f>(EX113)</f>
        <v>0</v>
      </c>
      <c r="AJ113">
        <f t="shared" si="133"/>
        <v>0</v>
      </c>
      <c r="AK113">
        <v>55.26</v>
      </c>
      <c r="AL113">
        <v>55.26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128</v>
      </c>
      <c r="AU113">
        <v>81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1</v>
      </c>
      <c r="BD113" t="s">
        <v>3</v>
      </c>
      <c r="BE113" t="s">
        <v>3</v>
      </c>
      <c r="BF113" t="s">
        <v>3</v>
      </c>
      <c r="BG113" t="s">
        <v>3</v>
      </c>
      <c r="BH113">
        <v>3</v>
      </c>
      <c r="BI113">
        <v>1</v>
      </c>
      <c r="BJ113" t="s">
        <v>103</v>
      </c>
      <c r="BM113">
        <v>27001</v>
      </c>
      <c r="BN113">
        <v>0</v>
      </c>
      <c r="BO113" t="s">
        <v>3</v>
      </c>
      <c r="BP113">
        <v>0</v>
      </c>
      <c r="BQ113">
        <v>2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142</v>
      </c>
      <c r="CA113">
        <v>95</v>
      </c>
      <c r="CE113">
        <v>0</v>
      </c>
      <c r="CF113">
        <v>0</v>
      </c>
      <c r="CG113">
        <v>0</v>
      </c>
      <c r="CM113">
        <v>0</v>
      </c>
      <c r="CN113" t="s">
        <v>3</v>
      </c>
      <c r="CO113">
        <v>0</v>
      </c>
      <c r="CP113">
        <f t="shared" si="134"/>
        <v>67.14</v>
      </c>
      <c r="CQ113">
        <f t="shared" si="135"/>
        <v>55.26</v>
      </c>
      <c r="CR113">
        <f t="shared" si="136"/>
        <v>0</v>
      </c>
      <c r="CS113">
        <f t="shared" si="137"/>
        <v>0</v>
      </c>
      <c r="CT113">
        <f t="shared" si="138"/>
        <v>0</v>
      </c>
      <c r="CU113">
        <f t="shared" si="139"/>
        <v>0</v>
      </c>
      <c r="CV113">
        <f t="shared" si="140"/>
        <v>0</v>
      </c>
      <c r="CW113">
        <f t="shared" si="141"/>
        <v>0</v>
      </c>
      <c r="CX113">
        <f t="shared" si="142"/>
        <v>0</v>
      </c>
      <c r="CY113">
        <f t="shared" si="143"/>
        <v>0</v>
      </c>
      <c r="CZ113">
        <f t="shared" si="144"/>
        <v>0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1007</v>
      </c>
      <c r="DV113" t="s">
        <v>96</v>
      </c>
      <c r="DW113" t="s">
        <v>96</v>
      </c>
      <c r="DX113">
        <v>1</v>
      </c>
      <c r="EE113">
        <v>45919611</v>
      </c>
      <c r="EF113">
        <v>2</v>
      </c>
      <c r="EG113" t="s">
        <v>54</v>
      </c>
      <c r="EH113">
        <v>0</v>
      </c>
      <c r="EI113" t="s">
        <v>3</v>
      </c>
      <c r="EJ113">
        <v>1</v>
      </c>
      <c r="EK113">
        <v>27001</v>
      </c>
      <c r="EL113" t="s">
        <v>281</v>
      </c>
      <c r="EM113" t="s">
        <v>282</v>
      </c>
      <c r="EO113" t="s">
        <v>3</v>
      </c>
      <c r="EQ113">
        <v>0</v>
      </c>
      <c r="ER113">
        <v>55.26</v>
      </c>
      <c r="ES113">
        <v>55.26</v>
      </c>
      <c r="ET113">
        <v>0</v>
      </c>
      <c r="EU113">
        <v>0</v>
      </c>
      <c r="EV113">
        <v>0</v>
      </c>
      <c r="EW113">
        <v>0</v>
      </c>
      <c r="EX113">
        <v>0</v>
      </c>
      <c r="FQ113">
        <v>0</v>
      </c>
      <c r="FR113">
        <f t="shared" si="118"/>
        <v>0</v>
      </c>
      <c r="FS113">
        <v>0</v>
      </c>
      <c r="FT113" t="s">
        <v>58</v>
      </c>
      <c r="FU113" t="s">
        <v>59</v>
      </c>
      <c r="FX113">
        <v>127.8</v>
      </c>
      <c r="FY113">
        <v>80.75</v>
      </c>
      <c r="GA113" t="s">
        <v>3</v>
      </c>
      <c r="GD113">
        <v>1</v>
      </c>
      <c r="GF113">
        <v>-35545874</v>
      </c>
      <c r="GG113">
        <v>2</v>
      </c>
      <c r="GH113">
        <v>1</v>
      </c>
      <c r="GI113">
        <v>-2</v>
      </c>
      <c r="GJ113">
        <v>0</v>
      </c>
      <c r="GK113">
        <v>0</v>
      </c>
      <c r="GL113">
        <f t="shared" si="119"/>
        <v>0</v>
      </c>
      <c r="GM113">
        <f t="shared" si="145"/>
        <v>67.14</v>
      </c>
      <c r="GN113">
        <f t="shared" si="146"/>
        <v>67.14</v>
      </c>
      <c r="GO113">
        <f t="shared" si="147"/>
        <v>0</v>
      </c>
      <c r="GP113">
        <f t="shared" si="148"/>
        <v>0</v>
      </c>
      <c r="GR113">
        <v>0</v>
      </c>
      <c r="GS113">
        <v>3</v>
      </c>
      <c r="GT113">
        <v>0</v>
      </c>
      <c r="GU113" t="s">
        <v>3</v>
      </c>
      <c r="GV113">
        <f t="shared" si="149"/>
        <v>0</v>
      </c>
      <c r="GW113">
        <v>1</v>
      </c>
      <c r="GX113">
        <f t="shared" si="150"/>
        <v>0</v>
      </c>
      <c r="HA113">
        <v>0</v>
      </c>
      <c r="HB113">
        <v>0</v>
      </c>
      <c r="HC113">
        <f t="shared" si="151"/>
        <v>0</v>
      </c>
      <c r="IK113">
        <v>0</v>
      </c>
    </row>
    <row r="114" spans="1:245" x14ac:dyDescent="0.2">
      <c r="A114">
        <v>18</v>
      </c>
      <c r="B114">
        <v>1</v>
      </c>
      <c r="C114">
        <v>141</v>
      </c>
      <c r="E114" t="s">
        <v>304</v>
      </c>
      <c r="F114" t="s">
        <v>305</v>
      </c>
      <c r="G114" t="s">
        <v>306</v>
      </c>
      <c r="H114" t="s">
        <v>32</v>
      </c>
      <c r="I114">
        <f>I112*J114</f>
        <v>17.350200000000001</v>
      </c>
      <c r="J114">
        <v>7.14</v>
      </c>
      <c r="O114">
        <f t="shared" si="120"/>
        <v>9291.0300000000007</v>
      </c>
      <c r="P114">
        <f t="shared" si="121"/>
        <v>9291.0300000000007</v>
      </c>
      <c r="Q114">
        <f t="shared" si="122"/>
        <v>0</v>
      </c>
      <c r="R114">
        <f t="shared" si="123"/>
        <v>0</v>
      </c>
      <c r="S114">
        <f t="shared" si="124"/>
        <v>0</v>
      </c>
      <c r="T114">
        <f t="shared" si="125"/>
        <v>0</v>
      </c>
      <c r="U114">
        <f t="shared" si="126"/>
        <v>0</v>
      </c>
      <c r="V114">
        <f t="shared" si="127"/>
        <v>0</v>
      </c>
      <c r="W114">
        <f t="shared" si="128"/>
        <v>0</v>
      </c>
      <c r="X114">
        <f t="shared" si="129"/>
        <v>0</v>
      </c>
      <c r="Y114">
        <f t="shared" si="130"/>
        <v>0</v>
      </c>
      <c r="AA114">
        <v>47631607</v>
      </c>
      <c r="AB114">
        <f t="shared" si="131"/>
        <v>535.5</v>
      </c>
      <c r="AC114">
        <f t="shared" si="152"/>
        <v>535.5</v>
      </c>
      <c r="AD114">
        <f>ROUND((((ET114)-(EU114))+AE114),6)</f>
        <v>0</v>
      </c>
      <c r="AE114">
        <f>ROUND((EU114),6)</f>
        <v>0</v>
      </c>
      <c r="AF114">
        <f>ROUND((EV114),6)</f>
        <v>0</v>
      </c>
      <c r="AG114">
        <f t="shared" si="132"/>
        <v>0</v>
      </c>
      <c r="AH114">
        <f>(EW114)</f>
        <v>0</v>
      </c>
      <c r="AI114">
        <f>(EX114)</f>
        <v>0</v>
      </c>
      <c r="AJ114">
        <f t="shared" si="133"/>
        <v>0</v>
      </c>
      <c r="AK114">
        <v>535.5</v>
      </c>
      <c r="AL114">
        <v>535.5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128</v>
      </c>
      <c r="AU114">
        <v>81</v>
      </c>
      <c r="AV114">
        <v>1</v>
      </c>
      <c r="AW114">
        <v>1</v>
      </c>
      <c r="AZ114">
        <v>1</v>
      </c>
      <c r="BA114">
        <v>1</v>
      </c>
      <c r="BB114">
        <v>1</v>
      </c>
      <c r="BC114">
        <v>1</v>
      </c>
      <c r="BD114" t="s">
        <v>3</v>
      </c>
      <c r="BE114" t="s">
        <v>3</v>
      </c>
      <c r="BF114" t="s">
        <v>3</v>
      </c>
      <c r="BG114" t="s">
        <v>3</v>
      </c>
      <c r="BH114">
        <v>3</v>
      </c>
      <c r="BI114">
        <v>1</v>
      </c>
      <c r="BJ114" t="s">
        <v>307</v>
      </c>
      <c r="BM114">
        <v>27001</v>
      </c>
      <c r="BN114">
        <v>0</v>
      </c>
      <c r="BO114" t="s">
        <v>3</v>
      </c>
      <c r="BP114">
        <v>0</v>
      </c>
      <c r="BQ114">
        <v>2</v>
      </c>
      <c r="BR114">
        <v>0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 t="s">
        <v>3</v>
      </c>
      <c r="BZ114">
        <v>142</v>
      </c>
      <c r="CA114">
        <v>95</v>
      </c>
      <c r="CE114">
        <v>0</v>
      </c>
      <c r="CF114">
        <v>0</v>
      </c>
      <c r="CG114">
        <v>0</v>
      </c>
      <c r="CM114">
        <v>0</v>
      </c>
      <c r="CN114" t="s">
        <v>3</v>
      </c>
      <c r="CO114">
        <v>0</v>
      </c>
      <c r="CP114">
        <f t="shared" si="134"/>
        <v>9291.0300000000007</v>
      </c>
      <c r="CQ114">
        <f t="shared" si="135"/>
        <v>535.5</v>
      </c>
      <c r="CR114">
        <f t="shared" si="136"/>
        <v>0</v>
      </c>
      <c r="CS114">
        <f t="shared" si="137"/>
        <v>0</v>
      </c>
      <c r="CT114">
        <f t="shared" si="138"/>
        <v>0</v>
      </c>
      <c r="CU114">
        <f t="shared" si="139"/>
        <v>0</v>
      </c>
      <c r="CV114">
        <f t="shared" si="140"/>
        <v>0</v>
      </c>
      <c r="CW114">
        <f t="shared" si="141"/>
        <v>0</v>
      </c>
      <c r="CX114">
        <f t="shared" si="142"/>
        <v>0</v>
      </c>
      <c r="CY114">
        <f t="shared" si="143"/>
        <v>0</v>
      </c>
      <c r="CZ114">
        <f t="shared" si="144"/>
        <v>0</v>
      </c>
      <c r="DC114" t="s">
        <v>3</v>
      </c>
      <c r="DD114" t="s">
        <v>3</v>
      </c>
      <c r="DE114" t="s">
        <v>3</v>
      </c>
      <c r="DF114" t="s">
        <v>3</v>
      </c>
      <c r="DG114" t="s">
        <v>3</v>
      </c>
      <c r="DH114" t="s">
        <v>3</v>
      </c>
      <c r="DI114" t="s">
        <v>3</v>
      </c>
      <c r="DJ114" t="s">
        <v>3</v>
      </c>
      <c r="DK114" t="s">
        <v>3</v>
      </c>
      <c r="DL114" t="s">
        <v>3</v>
      </c>
      <c r="DM114" t="s">
        <v>3</v>
      </c>
      <c r="DN114">
        <v>0</v>
      </c>
      <c r="DO114">
        <v>0</v>
      </c>
      <c r="DP114">
        <v>1</v>
      </c>
      <c r="DQ114">
        <v>1</v>
      </c>
      <c r="DU114">
        <v>1009</v>
      </c>
      <c r="DV114" t="s">
        <v>32</v>
      </c>
      <c r="DW114" t="s">
        <v>32</v>
      </c>
      <c r="DX114">
        <v>1000</v>
      </c>
      <c r="EE114">
        <v>45919611</v>
      </c>
      <c r="EF114">
        <v>2</v>
      </c>
      <c r="EG114" t="s">
        <v>54</v>
      </c>
      <c r="EH114">
        <v>0</v>
      </c>
      <c r="EI114" t="s">
        <v>3</v>
      </c>
      <c r="EJ114">
        <v>1</v>
      </c>
      <c r="EK114">
        <v>27001</v>
      </c>
      <c r="EL114" t="s">
        <v>281</v>
      </c>
      <c r="EM114" t="s">
        <v>282</v>
      </c>
      <c r="EO114" t="s">
        <v>3</v>
      </c>
      <c r="EQ114">
        <v>0</v>
      </c>
      <c r="ER114">
        <v>535.5</v>
      </c>
      <c r="ES114">
        <v>535.5</v>
      </c>
      <c r="ET114">
        <v>0</v>
      </c>
      <c r="EU114">
        <v>0</v>
      </c>
      <c r="EV114">
        <v>0</v>
      </c>
      <c r="EW114">
        <v>0</v>
      </c>
      <c r="EX114">
        <v>0</v>
      </c>
      <c r="FQ114">
        <v>0</v>
      </c>
      <c r="FR114">
        <f t="shared" si="118"/>
        <v>0</v>
      </c>
      <c r="FS114">
        <v>0</v>
      </c>
      <c r="FT114" t="s">
        <v>58</v>
      </c>
      <c r="FU114" t="s">
        <v>59</v>
      </c>
      <c r="FX114">
        <v>127.8</v>
      </c>
      <c r="FY114">
        <v>80.75</v>
      </c>
      <c r="GA114" t="s">
        <v>3</v>
      </c>
      <c r="GD114">
        <v>1</v>
      </c>
      <c r="GF114">
        <v>1957326309</v>
      </c>
      <c r="GG114">
        <v>2</v>
      </c>
      <c r="GH114">
        <v>1</v>
      </c>
      <c r="GI114">
        <v>-2</v>
      </c>
      <c r="GJ114">
        <v>0</v>
      </c>
      <c r="GK114">
        <v>0</v>
      </c>
      <c r="GL114">
        <f t="shared" si="119"/>
        <v>0</v>
      </c>
      <c r="GM114">
        <f t="shared" si="145"/>
        <v>9291.0300000000007</v>
      </c>
      <c r="GN114">
        <f t="shared" si="146"/>
        <v>9291.0300000000007</v>
      </c>
      <c r="GO114">
        <f t="shared" si="147"/>
        <v>0</v>
      </c>
      <c r="GP114">
        <f t="shared" si="148"/>
        <v>0</v>
      </c>
      <c r="GR114">
        <v>0</v>
      </c>
      <c r="GS114">
        <v>3</v>
      </c>
      <c r="GT114">
        <v>0</v>
      </c>
      <c r="GU114" t="s">
        <v>3</v>
      </c>
      <c r="GV114">
        <f t="shared" si="149"/>
        <v>0</v>
      </c>
      <c r="GW114">
        <v>1</v>
      </c>
      <c r="GX114">
        <f t="shared" si="150"/>
        <v>0</v>
      </c>
      <c r="HA114">
        <v>0</v>
      </c>
      <c r="HB114">
        <v>0</v>
      </c>
      <c r="HC114">
        <f t="shared" si="151"/>
        <v>0</v>
      </c>
      <c r="IK114">
        <v>0</v>
      </c>
    </row>
    <row r="115" spans="1:245" x14ac:dyDescent="0.2">
      <c r="A115">
        <v>17</v>
      </c>
      <c r="B115">
        <v>1</v>
      </c>
      <c r="C115">
        <f>ROW(SmtRes!A144)</f>
        <v>144</v>
      </c>
      <c r="D115">
        <f>ROW(EtalonRes!A156)</f>
        <v>156</v>
      </c>
      <c r="E115" t="s">
        <v>308</v>
      </c>
      <c r="F115" t="s">
        <v>309</v>
      </c>
      <c r="G115" t="s">
        <v>310</v>
      </c>
      <c r="H115" t="s">
        <v>22</v>
      </c>
      <c r="I115">
        <f>ROUND(243/100,9)</f>
        <v>2.4300000000000002</v>
      </c>
      <c r="J115">
        <v>0</v>
      </c>
      <c r="O115">
        <f t="shared" si="120"/>
        <v>98.59</v>
      </c>
      <c r="P115">
        <f t="shared" si="121"/>
        <v>0</v>
      </c>
      <c r="Q115">
        <f t="shared" si="122"/>
        <v>29.34</v>
      </c>
      <c r="R115">
        <f t="shared" si="123"/>
        <v>0</v>
      </c>
      <c r="S115">
        <f t="shared" si="124"/>
        <v>69.25</v>
      </c>
      <c r="T115">
        <f t="shared" si="125"/>
        <v>0</v>
      </c>
      <c r="U115">
        <f t="shared" si="126"/>
        <v>7.4557259999999994</v>
      </c>
      <c r="V115">
        <f t="shared" si="127"/>
        <v>0</v>
      </c>
      <c r="W115">
        <f t="shared" si="128"/>
        <v>0</v>
      </c>
      <c r="X115">
        <f t="shared" si="129"/>
        <v>88.64</v>
      </c>
      <c r="Y115">
        <f t="shared" si="130"/>
        <v>56.09</v>
      </c>
      <c r="AA115">
        <v>47631607</v>
      </c>
      <c r="AB115">
        <f t="shared" si="131"/>
        <v>40.574874999999999</v>
      </c>
      <c r="AC115">
        <f t="shared" si="152"/>
        <v>0</v>
      </c>
      <c r="AD115">
        <f>ROUND((((((ET115*1.15)*1.25))-(((EU115*1.15)*1.25)))+AE115),6)</f>
        <v>12.074999999999999</v>
      </c>
      <c r="AE115">
        <f>ROUND((((EU115*1.15)*1.25)),6)</f>
        <v>0</v>
      </c>
      <c r="AF115">
        <f>ROUND((((EV115*1.15)*1.15)),6)</f>
        <v>28.499874999999999</v>
      </c>
      <c r="AG115">
        <f t="shared" si="132"/>
        <v>0</v>
      </c>
      <c r="AH115">
        <f>(((EW115*1.15)*1.15))</f>
        <v>3.0681999999999996</v>
      </c>
      <c r="AI115">
        <f>(((EX115*1.15)*1.25))</f>
        <v>0</v>
      </c>
      <c r="AJ115">
        <f t="shared" si="133"/>
        <v>0</v>
      </c>
      <c r="AK115">
        <v>29.95</v>
      </c>
      <c r="AL115">
        <v>0</v>
      </c>
      <c r="AM115">
        <v>8.4</v>
      </c>
      <c r="AN115">
        <v>0</v>
      </c>
      <c r="AO115">
        <v>21.55</v>
      </c>
      <c r="AP115">
        <v>0</v>
      </c>
      <c r="AQ115">
        <v>2.3199999999999998</v>
      </c>
      <c r="AR115">
        <v>0</v>
      </c>
      <c r="AS115">
        <v>0</v>
      </c>
      <c r="AT115">
        <v>128</v>
      </c>
      <c r="AU115">
        <v>81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1</v>
      </c>
      <c r="BD115" t="s">
        <v>3</v>
      </c>
      <c r="BE115" t="s">
        <v>3</v>
      </c>
      <c r="BF115" t="s">
        <v>3</v>
      </c>
      <c r="BG115" t="s">
        <v>3</v>
      </c>
      <c r="BH115">
        <v>0</v>
      </c>
      <c r="BI115">
        <v>1</v>
      </c>
      <c r="BJ115" t="s">
        <v>311</v>
      </c>
      <c r="BM115">
        <v>27001</v>
      </c>
      <c r="BN115">
        <v>0</v>
      </c>
      <c r="BO115" t="s">
        <v>3</v>
      </c>
      <c r="BP115">
        <v>0</v>
      </c>
      <c r="BQ115">
        <v>2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142</v>
      </c>
      <c r="CA115">
        <v>95</v>
      </c>
      <c r="CE115">
        <v>0</v>
      </c>
      <c r="CF115">
        <v>0</v>
      </c>
      <c r="CG115">
        <v>0</v>
      </c>
      <c r="CM115">
        <v>0</v>
      </c>
      <c r="CN115" t="s">
        <v>746</v>
      </c>
      <c r="CO115">
        <v>0</v>
      </c>
      <c r="CP115">
        <f t="shared" si="134"/>
        <v>98.59</v>
      </c>
      <c r="CQ115">
        <f t="shared" si="135"/>
        <v>0</v>
      </c>
      <c r="CR115">
        <f t="shared" si="136"/>
        <v>12.074999999999999</v>
      </c>
      <c r="CS115">
        <f t="shared" si="137"/>
        <v>0</v>
      </c>
      <c r="CT115">
        <f t="shared" si="138"/>
        <v>28.499874999999999</v>
      </c>
      <c r="CU115">
        <f t="shared" si="139"/>
        <v>0</v>
      </c>
      <c r="CV115">
        <f t="shared" si="140"/>
        <v>3.0681999999999996</v>
      </c>
      <c r="CW115">
        <f t="shared" si="141"/>
        <v>0</v>
      </c>
      <c r="CX115">
        <f t="shared" si="142"/>
        <v>0</v>
      </c>
      <c r="CY115">
        <f t="shared" si="143"/>
        <v>88.64</v>
      </c>
      <c r="CZ115">
        <f t="shared" si="144"/>
        <v>56.092500000000001</v>
      </c>
      <c r="DC115" t="s">
        <v>3</v>
      </c>
      <c r="DD115" t="s">
        <v>3</v>
      </c>
      <c r="DE115" t="s">
        <v>280</v>
      </c>
      <c r="DF115" t="s">
        <v>280</v>
      </c>
      <c r="DG115" t="s">
        <v>53</v>
      </c>
      <c r="DH115" t="s">
        <v>3</v>
      </c>
      <c r="DI115" t="s">
        <v>53</v>
      </c>
      <c r="DJ115" t="s">
        <v>280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1005</v>
      </c>
      <c r="DV115" t="s">
        <v>22</v>
      </c>
      <c r="DW115" t="s">
        <v>22</v>
      </c>
      <c r="DX115">
        <v>100</v>
      </c>
      <c r="EE115">
        <v>45919611</v>
      </c>
      <c r="EF115">
        <v>2</v>
      </c>
      <c r="EG115" t="s">
        <v>54</v>
      </c>
      <c r="EH115">
        <v>0</v>
      </c>
      <c r="EI115" t="s">
        <v>3</v>
      </c>
      <c r="EJ115">
        <v>1</v>
      </c>
      <c r="EK115">
        <v>27001</v>
      </c>
      <c r="EL115" t="s">
        <v>281</v>
      </c>
      <c r="EM115" t="s">
        <v>282</v>
      </c>
      <c r="EO115" t="s">
        <v>283</v>
      </c>
      <c r="EQ115">
        <v>0</v>
      </c>
      <c r="ER115">
        <v>29.95</v>
      </c>
      <c r="ES115">
        <v>0</v>
      </c>
      <c r="ET115">
        <v>8.4</v>
      </c>
      <c r="EU115">
        <v>0</v>
      </c>
      <c r="EV115">
        <v>21.55</v>
      </c>
      <c r="EW115">
        <v>2.3199999999999998</v>
      </c>
      <c r="EX115">
        <v>0</v>
      </c>
      <c r="EY115">
        <v>0</v>
      </c>
      <c r="FQ115">
        <v>0</v>
      </c>
      <c r="FR115">
        <f t="shared" si="118"/>
        <v>0</v>
      </c>
      <c r="FS115">
        <v>0</v>
      </c>
      <c r="FT115" t="s">
        <v>58</v>
      </c>
      <c r="FU115" t="s">
        <v>59</v>
      </c>
      <c r="FX115">
        <v>127.8</v>
      </c>
      <c r="FY115">
        <v>80.75</v>
      </c>
      <c r="GA115" t="s">
        <v>3</v>
      </c>
      <c r="GD115">
        <v>1</v>
      </c>
      <c r="GF115">
        <v>1654391400</v>
      </c>
      <c r="GG115">
        <v>2</v>
      </c>
      <c r="GH115">
        <v>1</v>
      </c>
      <c r="GI115">
        <v>-2</v>
      </c>
      <c r="GJ115">
        <v>0</v>
      </c>
      <c r="GK115">
        <v>0</v>
      </c>
      <c r="GL115">
        <f t="shared" si="119"/>
        <v>0</v>
      </c>
      <c r="GM115">
        <f t="shared" si="145"/>
        <v>243.32</v>
      </c>
      <c r="GN115">
        <f t="shared" si="146"/>
        <v>243.32</v>
      </c>
      <c r="GO115">
        <f t="shared" si="147"/>
        <v>0</v>
      </c>
      <c r="GP115">
        <f t="shared" si="148"/>
        <v>0</v>
      </c>
      <c r="GR115">
        <v>0</v>
      </c>
      <c r="GS115">
        <v>3</v>
      </c>
      <c r="GT115">
        <v>0</v>
      </c>
      <c r="GU115" t="s">
        <v>3</v>
      </c>
      <c r="GV115">
        <f t="shared" si="149"/>
        <v>0</v>
      </c>
      <c r="GW115">
        <v>1</v>
      </c>
      <c r="GX115">
        <f t="shared" si="150"/>
        <v>0</v>
      </c>
      <c r="HA115">
        <v>0</v>
      </c>
      <c r="HB115">
        <v>0</v>
      </c>
      <c r="HC115">
        <f t="shared" si="151"/>
        <v>0</v>
      </c>
      <c r="IK115">
        <v>0</v>
      </c>
    </row>
    <row r="116" spans="1:245" x14ac:dyDescent="0.2">
      <c r="A116">
        <v>18</v>
      </c>
      <c r="B116">
        <v>1</v>
      </c>
      <c r="C116">
        <v>144</v>
      </c>
      <c r="E116" t="s">
        <v>312</v>
      </c>
      <c r="F116" t="s">
        <v>305</v>
      </c>
      <c r="G116" t="s">
        <v>306</v>
      </c>
      <c r="H116" t="s">
        <v>32</v>
      </c>
      <c r="I116">
        <f>I115*J116</f>
        <v>2.9403000000000001</v>
      </c>
      <c r="J116">
        <v>1.21</v>
      </c>
      <c r="O116">
        <f t="shared" si="120"/>
        <v>1574.53</v>
      </c>
      <c r="P116">
        <f t="shared" si="121"/>
        <v>1574.53</v>
      </c>
      <c r="Q116">
        <f t="shared" si="122"/>
        <v>0</v>
      </c>
      <c r="R116">
        <f t="shared" si="123"/>
        <v>0</v>
      </c>
      <c r="S116">
        <f t="shared" si="124"/>
        <v>0</v>
      </c>
      <c r="T116">
        <f t="shared" si="125"/>
        <v>0</v>
      </c>
      <c r="U116">
        <f t="shared" si="126"/>
        <v>0</v>
      </c>
      <c r="V116">
        <f t="shared" si="127"/>
        <v>0</v>
      </c>
      <c r="W116">
        <f t="shared" si="128"/>
        <v>0</v>
      </c>
      <c r="X116">
        <f t="shared" si="129"/>
        <v>0</v>
      </c>
      <c r="Y116">
        <f t="shared" si="130"/>
        <v>0</v>
      </c>
      <c r="AA116">
        <v>47631607</v>
      </c>
      <c r="AB116">
        <f t="shared" si="131"/>
        <v>535.5</v>
      </c>
      <c r="AC116">
        <f t="shared" si="152"/>
        <v>535.5</v>
      </c>
      <c r="AD116">
        <f>ROUND((((ET116)-(EU116))+AE116),6)</f>
        <v>0</v>
      </c>
      <c r="AE116">
        <f>ROUND((EU116),6)</f>
        <v>0</v>
      </c>
      <c r="AF116">
        <f>ROUND((EV116),6)</f>
        <v>0</v>
      </c>
      <c r="AG116">
        <f t="shared" si="132"/>
        <v>0</v>
      </c>
      <c r="AH116">
        <f>(EW116)</f>
        <v>0</v>
      </c>
      <c r="AI116">
        <f>(EX116)</f>
        <v>0</v>
      </c>
      <c r="AJ116">
        <f t="shared" si="133"/>
        <v>0</v>
      </c>
      <c r="AK116">
        <v>535.5</v>
      </c>
      <c r="AL116">
        <v>535.5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128</v>
      </c>
      <c r="AU116">
        <v>81</v>
      </c>
      <c r="AV116">
        <v>1</v>
      </c>
      <c r="AW116">
        <v>1</v>
      </c>
      <c r="AZ116">
        <v>1</v>
      </c>
      <c r="BA116">
        <v>1</v>
      </c>
      <c r="BB116">
        <v>1</v>
      </c>
      <c r="BC116">
        <v>1</v>
      </c>
      <c r="BD116" t="s">
        <v>3</v>
      </c>
      <c r="BE116" t="s">
        <v>3</v>
      </c>
      <c r="BF116" t="s">
        <v>3</v>
      </c>
      <c r="BG116" t="s">
        <v>3</v>
      </c>
      <c r="BH116">
        <v>3</v>
      </c>
      <c r="BI116">
        <v>1</v>
      </c>
      <c r="BJ116" t="s">
        <v>307</v>
      </c>
      <c r="BM116">
        <v>27001</v>
      </c>
      <c r="BN116">
        <v>0</v>
      </c>
      <c r="BO116" t="s">
        <v>3</v>
      </c>
      <c r="BP116">
        <v>0</v>
      </c>
      <c r="BQ116">
        <v>2</v>
      </c>
      <c r="BR116">
        <v>0</v>
      </c>
      <c r="BS116">
        <v>1</v>
      </c>
      <c r="BT116">
        <v>1</v>
      </c>
      <c r="BU116">
        <v>1</v>
      </c>
      <c r="BV116">
        <v>1</v>
      </c>
      <c r="BW116">
        <v>1</v>
      </c>
      <c r="BX116">
        <v>1</v>
      </c>
      <c r="BY116" t="s">
        <v>3</v>
      </c>
      <c r="BZ116">
        <v>142</v>
      </c>
      <c r="CA116">
        <v>95</v>
      </c>
      <c r="CE116">
        <v>0</v>
      </c>
      <c r="CF116">
        <v>0</v>
      </c>
      <c r="CG116">
        <v>0</v>
      </c>
      <c r="CM116">
        <v>0</v>
      </c>
      <c r="CN116" t="s">
        <v>3</v>
      </c>
      <c r="CO116">
        <v>0</v>
      </c>
      <c r="CP116">
        <f t="shared" si="134"/>
        <v>1574.53</v>
      </c>
      <c r="CQ116">
        <f t="shared" si="135"/>
        <v>535.5</v>
      </c>
      <c r="CR116">
        <f t="shared" si="136"/>
        <v>0</v>
      </c>
      <c r="CS116">
        <f t="shared" si="137"/>
        <v>0</v>
      </c>
      <c r="CT116">
        <f t="shared" si="138"/>
        <v>0</v>
      </c>
      <c r="CU116">
        <f t="shared" si="139"/>
        <v>0</v>
      </c>
      <c r="CV116">
        <f t="shared" si="140"/>
        <v>0</v>
      </c>
      <c r="CW116">
        <f t="shared" si="141"/>
        <v>0</v>
      </c>
      <c r="CX116">
        <f t="shared" si="142"/>
        <v>0</v>
      </c>
      <c r="CY116">
        <f t="shared" si="143"/>
        <v>0</v>
      </c>
      <c r="CZ116">
        <f t="shared" si="144"/>
        <v>0</v>
      </c>
      <c r="DC116" t="s">
        <v>3</v>
      </c>
      <c r="DD116" t="s">
        <v>3</v>
      </c>
      <c r="DE116" t="s">
        <v>3</v>
      </c>
      <c r="DF116" t="s">
        <v>3</v>
      </c>
      <c r="DG116" t="s">
        <v>3</v>
      </c>
      <c r="DH116" t="s">
        <v>3</v>
      </c>
      <c r="DI116" t="s">
        <v>3</v>
      </c>
      <c r="DJ116" t="s">
        <v>3</v>
      </c>
      <c r="DK116" t="s">
        <v>3</v>
      </c>
      <c r="DL116" t="s">
        <v>3</v>
      </c>
      <c r="DM116" t="s">
        <v>3</v>
      </c>
      <c r="DN116">
        <v>0</v>
      </c>
      <c r="DO116">
        <v>0</v>
      </c>
      <c r="DP116">
        <v>1</v>
      </c>
      <c r="DQ116">
        <v>1</v>
      </c>
      <c r="DU116">
        <v>1009</v>
      </c>
      <c r="DV116" t="s">
        <v>32</v>
      </c>
      <c r="DW116" t="s">
        <v>32</v>
      </c>
      <c r="DX116">
        <v>1000</v>
      </c>
      <c r="EE116">
        <v>45919611</v>
      </c>
      <c r="EF116">
        <v>2</v>
      </c>
      <c r="EG116" t="s">
        <v>54</v>
      </c>
      <c r="EH116">
        <v>0</v>
      </c>
      <c r="EI116" t="s">
        <v>3</v>
      </c>
      <c r="EJ116">
        <v>1</v>
      </c>
      <c r="EK116">
        <v>27001</v>
      </c>
      <c r="EL116" t="s">
        <v>281</v>
      </c>
      <c r="EM116" t="s">
        <v>282</v>
      </c>
      <c r="EO116" t="s">
        <v>3</v>
      </c>
      <c r="EQ116">
        <v>0</v>
      </c>
      <c r="ER116">
        <v>535.5</v>
      </c>
      <c r="ES116">
        <v>535.5</v>
      </c>
      <c r="ET116">
        <v>0</v>
      </c>
      <c r="EU116">
        <v>0</v>
      </c>
      <c r="EV116">
        <v>0</v>
      </c>
      <c r="EW116">
        <v>0</v>
      </c>
      <c r="EX116">
        <v>0</v>
      </c>
      <c r="FQ116">
        <v>0</v>
      </c>
      <c r="FR116">
        <f t="shared" si="118"/>
        <v>0</v>
      </c>
      <c r="FS116">
        <v>0</v>
      </c>
      <c r="FT116" t="s">
        <v>58</v>
      </c>
      <c r="FU116" t="s">
        <v>59</v>
      </c>
      <c r="FX116">
        <v>127.8</v>
      </c>
      <c r="FY116">
        <v>80.75</v>
      </c>
      <c r="GA116" t="s">
        <v>3</v>
      </c>
      <c r="GD116">
        <v>1</v>
      </c>
      <c r="GF116">
        <v>1957326309</v>
      </c>
      <c r="GG116">
        <v>2</v>
      </c>
      <c r="GH116">
        <v>1</v>
      </c>
      <c r="GI116">
        <v>-2</v>
      </c>
      <c r="GJ116">
        <v>0</v>
      </c>
      <c r="GK116">
        <v>0</v>
      </c>
      <c r="GL116">
        <f t="shared" si="119"/>
        <v>0</v>
      </c>
      <c r="GM116">
        <f t="shared" si="145"/>
        <v>1574.53</v>
      </c>
      <c r="GN116">
        <f t="shared" si="146"/>
        <v>1574.53</v>
      </c>
      <c r="GO116">
        <f t="shared" si="147"/>
        <v>0</v>
      </c>
      <c r="GP116">
        <f t="shared" si="148"/>
        <v>0</v>
      </c>
      <c r="GR116">
        <v>0</v>
      </c>
      <c r="GS116">
        <v>3</v>
      </c>
      <c r="GT116">
        <v>0</v>
      </c>
      <c r="GU116" t="s">
        <v>3</v>
      </c>
      <c r="GV116">
        <f t="shared" si="149"/>
        <v>0</v>
      </c>
      <c r="GW116">
        <v>1</v>
      </c>
      <c r="GX116">
        <f t="shared" si="150"/>
        <v>0</v>
      </c>
      <c r="HA116">
        <v>0</v>
      </c>
      <c r="HB116">
        <v>0</v>
      </c>
      <c r="HC116">
        <f t="shared" si="151"/>
        <v>0</v>
      </c>
      <c r="IK116">
        <v>0</v>
      </c>
    </row>
    <row r="118" spans="1:245" x14ac:dyDescent="0.2">
      <c r="A118" s="2">
        <v>51</v>
      </c>
      <c r="B118" s="2">
        <f>B98</f>
        <v>1</v>
      </c>
      <c r="C118" s="2">
        <f>A98</f>
        <v>5</v>
      </c>
      <c r="D118" s="2">
        <f>ROW(A98)</f>
        <v>98</v>
      </c>
      <c r="E118" s="2"/>
      <c r="F118" s="2" t="str">
        <f>IF(F98&lt;&gt;"",F98,"")</f>
        <v>Новый подраздел</v>
      </c>
      <c r="G118" s="2" t="str">
        <f>IF(G98&lt;&gt;"",G98,"")</f>
        <v>Укладка пешеходных дорожек</v>
      </c>
      <c r="H118" s="2">
        <v>0</v>
      </c>
      <c r="I118" s="2"/>
      <c r="J118" s="2"/>
      <c r="K118" s="2"/>
      <c r="L118" s="2"/>
      <c r="M118" s="2"/>
      <c r="N118" s="2"/>
      <c r="O118" s="2">
        <f t="shared" ref="O118:T118" si="153">ROUND(AB118,2)</f>
        <v>27269.29</v>
      </c>
      <c r="P118" s="2">
        <f t="shared" si="153"/>
        <v>23047.99</v>
      </c>
      <c r="Q118" s="2">
        <f t="shared" si="153"/>
        <v>2696.93</v>
      </c>
      <c r="R118" s="2">
        <f t="shared" si="153"/>
        <v>275.98</v>
      </c>
      <c r="S118" s="2">
        <f t="shared" si="153"/>
        <v>1524.37</v>
      </c>
      <c r="T118" s="2">
        <f t="shared" si="153"/>
        <v>0</v>
      </c>
      <c r="U118" s="2">
        <f>AH118</f>
        <v>176.13537884999997</v>
      </c>
      <c r="V118" s="2">
        <f>AI118</f>
        <v>24.151466249999999</v>
      </c>
      <c r="W118" s="2">
        <f>ROUND(AJ118,2)</f>
        <v>0</v>
      </c>
      <c r="X118" s="2">
        <f>ROUND(AK118,2)</f>
        <v>2227.52</v>
      </c>
      <c r="Y118" s="2">
        <f>ROUND(AL118,2)</f>
        <v>1390.98</v>
      </c>
      <c r="Z118" s="2"/>
      <c r="AA118" s="2"/>
      <c r="AB118" s="2">
        <f>ROUND(SUMIF(AA102:AA116,"=47631607",O102:O116),2)</f>
        <v>27269.29</v>
      </c>
      <c r="AC118" s="2">
        <f>ROUND(SUMIF(AA102:AA116,"=47631607",P102:P116),2)</f>
        <v>23047.99</v>
      </c>
      <c r="AD118" s="2">
        <f>ROUND(SUMIF(AA102:AA116,"=47631607",Q102:Q116),2)</f>
        <v>2696.93</v>
      </c>
      <c r="AE118" s="2">
        <f>ROUND(SUMIF(AA102:AA116,"=47631607",R102:R116),2)</f>
        <v>275.98</v>
      </c>
      <c r="AF118" s="2">
        <f>ROUND(SUMIF(AA102:AA116,"=47631607",S102:S116),2)</f>
        <v>1524.37</v>
      </c>
      <c r="AG118" s="2">
        <f>ROUND(SUMIF(AA102:AA116,"=47631607",T102:T116),2)</f>
        <v>0</v>
      </c>
      <c r="AH118" s="2">
        <f>SUMIF(AA102:AA116,"=47631607",U102:U116)</f>
        <v>176.13537884999997</v>
      </c>
      <c r="AI118" s="2">
        <f>SUMIF(AA102:AA116,"=47631607",V102:V116)</f>
        <v>24.151466249999999</v>
      </c>
      <c r="AJ118" s="2">
        <f>ROUND(SUMIF(AA102:AA116,"=47631607",W102:W116),2)</f>
        <v>0</v>
      </c>
      <c r="AK118" s="2">
        <f>ROUND(SUMIF(AA102:AA116,"=47631607",X102:X116),2)</f>
        <v>2227.52</v>
      </c>
      <c r="AL118" s="2">
        <f>ROUND(SUMIF(AA102:AA116,"=47631607",Y102:Y116),2)</f>
        <v>1390.98</v>
      </c>
      <c r="AM118" s="2"/>
      <c r="AN118" s="2"/>
      <c r="AO118" s="2">
        <f t="shared" ref="AO118:BC118" si="154">ROUND(BX118,2)</f>
        <v>0</v>
      </c>
      <c r="AP118" s="2">
        <f t="shared" si="154"/>
        <v>0</v>
      </c>
      <c r="AQ118" s="2">
        <f t="shared" si="154"/>
        <v>0</v>
      </c>
      <c r="AR118" s="2">
        <f t="shared" si="154"/>
        <v>33452.51</v>
      </c>
      <c r="AS118" s="2">
        <f t="shared" si="154"/>
        <v>33452.51</v>
      </c>
      <c r="AT118" s="2">
        <f t="shared" si="154"/>
        <v>0</v>
      </c>
      <c r="AU118" s="2">
        <f t="shared" si="154"/>
        <v>0</v>
      </c>
      <c r="AV118" s="2">
        <f t="shared" si="154"/>
        <v>23047.99</v>
      </c>
      <c r="AW118" s="2">
        <f t="shared" si="154"/>
        <v>23047.99</v>
      </c>
      <c r="AX118" s="2">
        <f t="shared" si="154"/>
        <v>0</v>
      </c>
      <c r="AY118" s="2">
        <f t="shared" si="154"/>
        <v>23047.99</v>
      </c>
      <c r="AZ118" s="2">
        <f t="shared" si="154"/>
        <v>0</v>
      </c>
      <c r="BA118" s="2">
        <f t="shared" si="154"/>
        <v>0</v>
      </c>
      <c r="BB118" s="2">
        <f t="shared" si="154"/>
        <v>0</v>
      </c>
      <c r="BC118" s="2">
        <f t="shared" si="154"/>
        <v>0</v>
      </c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>
        <f>ROUND(SUMIF(AA102:AA116,"=47631607",FQ102:FQ116),2)</f>
        <v>0</v>
      </c>
      <c r="BY118" s="2">
        <f>ROUND(SUMIF(AA102:AA116,"=47631607",FR102:FR116),2)</f>
        <v>0</v>
      </c>
      <c r="BZ118" s="2">
        <f>ROUND(SUMIF(AA102:AA116,"=47631607",GL102:GL116),2)</f>
        <v>0</v>
      </c>
      <c r="CA118" s="2">
        <f>ROUND(SUMIF(AA102:AA116,"=47631607",GM102:GM116),2)</f>
        <v>33452.51</v>
      </c>
      <c r="CB118" s="2">
        <f>ROUND(SUMIF(AA102:AA116,"=47631607",GN102:GN116),2)</f>
        <v>33452.51</v>
      </c>
      <c r="CC118" s="2">
        <f>ROUND(SUMIF(AA102:AA116,"=47631607",GO102:GO116),2)</f>
        <v>0</v>
      </c>
      <c r="CD118" s="2">
        <f>ROUND(SUMIF(AA102:AA116,"=47631607",GP102:GP116),2)</f>
        <v>0</v>
      </c>
      <c r="CE118" s="2">
        <f>AC118-BX118</f>
        <v>23047.99</v>
      </c>
      <c r="CF118" s="2">
        <f>AC118-BY118</f>
        <v>23047.99</v>
      </c>
      <c r="CG118" s="2">
        <f>BX118-BZ118</f>
        <v>0</v>
      </c>
      <c r="CH118" s="2">
        <f>AC118-BX118-BY118+BZ118</f>
        <v>23047.99</v>
      </c>
      <c r="CI118" s="2">
        <f>BY118-BZ118</f>
        <v>0</v>
      </c>
      <c r="CJ118" s="2">
        <f>ROUND(SUMIF(AA102:AA116,"=47631607",GX102:GX116),2)</f>
        <v>0</v>
      </c>
      <c r="CK118" s="2">
        <f>ROUND(SUMIF(AA102:AA116,"=47631607",GY102:GY116),2)</f>
        <v>0</v>
      </c>
      <c r="CL118" s="2">
        <f>ROUND(SUMIF(AA102:AA116,"=47631607",GZ102:GZ116),2)</f>
        <v>0</v>
      </c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>
        <v>0</v>
      </c>
    </row>
    <row r="120" spans="1:245" x14ac:dyDescent="0.2">
      <c r="A120" s="4">
        <v>50</v>
      </c>
      <c r="B120" s="4">
        <v>0</v>
      </c>
      <c r="C120" s="4">
        <v>0</v>
      </c>
      <c r="D120" s="4">
        <v>1</v>
      </c>
      <c r="E120" s="4">
        <v>201</v>
      </c>
      <c r="F120" s="4">
        <f>ROUND(Source!O118,O120)</f>
        <v>27269.29</v>
      </c>
      <c r="G120" s="4" t="s">
        <v>206</v>
      </c>
      <c r="H120" s="4" t="s">
        <v>207</v>
      </c>
      <c r="I120" s="4"/>
      <c r="J120" s="4"/>
      <c r="K120" s="4">
        <v>201</v>
      </c>
      <c r="L120" s="4">
        <v>1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45" x14ac:dyDescent="0.2">
      <c r="A121" s="4">
        <v>50</v>
      </c>
      <c r="B121" s="4">
        <v>0</v>
      </c>
      <c r="C121" s="4">
        <v>0</v>
      </c>
      <c r="D121" s="4">
        <v>1</v>
      </c>
      <c r="E121" s="4">
        <v>202</v>
      </c>
      <c r="F121" s="4">
        <f>ROUND(Source!P118,O121)</f>
        <v>23047.99</v>
      </c>
      <c r="G121" s="4" t="s">
        <v>208</v>
      </c>
      <c r="H121" s="4" t="s">
        <v>209</v>
      </c>
      <c r="I121" s="4"/>
      <c r="J121" s="4"/>
      <c r="K121" s="4">
        <v>202</v>
      </c>
      <c r="L121" s="4">
        <v>2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45" x14ac:dyDescent="0.2">
      <c r="A122" s="4">
        <v>50</v>
      </c>
      <c r="B122" s="4">
        <v>0</v>
      </c>
      <c r="C122" s="4">
        <v>0</v>
      </c>
      <c r="D122" s="4">
        <v>1</v>
      </c>
      <c r="E122" s="4">
        <v>222</v>
      </c>
      <c r="F122" s="4">
        <f>ROUND(Source!AO118,O122)</f>
        <v>0</v>
      </c>
      <c r="G122" s="4" t="s">
        <v>210</v>
      </c>
      <c r="H122" s="4" t="s">
        <v>211</v>
      </c>
      <c r="I122" s="4"/>
      <c r="J122" s="4"/>
      <c r="K122" s="4">
        <v>222</v>
      </c>
      <c r="L122" s="4">
        <v>3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45" x14ac:dyDescent="0.2">
      <c r="A123" s="4">
        <v>50</v>
      </c>
      <c r="B123" s="4">
        <v>0</v>
      </c>
      <c r="C123" s="4">
        <v>0</v>
      </c>
      <c r="D123" s="4">
        <v>1</v>
      </c>
      <c r="E123" s="4">
        <v>225</v>
      </c>
      <c r="F123" s="4">
        <f>ROUND(Source!AV118,O123)</f>
        <v>23047.99</v>
      </c>
      <c r="G123" s="4" t="s">
        <v>212</v>
      </c>
      <c r="H123" s="4" t="s">
        <v>213</v>
      </c>
      <c r="I123" s="4"/>
      <c r="J123" s="4"/>
      <c r="K123" s="4">
        <v>225</v>
      </c>
      <c r="L123" s="4">
        <v>4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45" x14ac:dyDescent="0.2">
      <c r="A124" s="4">
        <v>50</v>
      </c>
      <c r="B124" s="4">
        <v>0</v>
      </c>
      <c r="C124" s="4">
        <v>0</v>
      </c>
      <c r="D124" s="4">
        <v>1</v>
      </c>
      <c r="E124" s="4">
        <v>226</v>
      </c>
      <c r="F124" s="4">
        <f>ROUND(Source!AW118,O124)</f>
        <v>23047.99</v>
      </c>
      <c r="G124" s="4" t="s">
        <v>214</v>
      </c>
      <c r="H124" s="4" t="s">
        <v>215</v>
      </c>
      <c r="I124" s="4"/>
      <c r="J124" s="4"/>
      <c r="K124" s="4">
        <v>226</v>
      </c>
      <c r="L124" s="4">
        <v>5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45" x14ac:dyDescent="0.2">
      <c r="A125" s="4">
        <v>50</v>
      </c>
      <c r="B125" s="4">
        <v>0</v>
      </c>
      <c r="C125" s="4">
        <v>0</v>
      </c>
      <c r="D125" s="4">
        <v>1</v>
      </c>
      <c r="E125" s="4">
        <v>227</v>
      </c>
      <c r="F125" s="4">
        <f>ROUND(Source!AX118,O125)</f>
        <v>0</v>
      </c>
      <c r="G125" s="4" t="s">
        <v>216</v>
      </c>
      <c r="H125" s="4" t="s">
        <v>217</v>
      </c>
      <c r="I125" s="4"/>
      <c r="J125" s="4"/>
      <c r="K125" s="4">
        <v>227</v>
      </c>
      <c r="L125" s="4">
        <v>6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45" x14ac:dyDescent="0.2">
      <c r="A126" s="4">
        <v>50</v>
      </c>
      <c r="B126" s="4">
        <v>0</v>
      </c>
      <c r="C126" s="4">
        <v>0</v>
      </c>
      <c r="D126" s="4">
        <v>1</v>
      </c>
      <c r="E126" s="4">
        <v>228</v>
      </c>
      <c r="F126" s="4">
        <f>ROUND(Source!AY118,O126)</f>
        <v>23047.99</v>
      </c>
      <c r="G126" s="4" t="s">
        <v>218</v>
      </c>
      <c r="H126" s="4" t="s">
        <v>219</v>
      </c>
      <c r="I126" s="4"/>
      <c r="J126" s="4"/>
      <c r="K126" s="4">
        <v>228</v>
      </c>
      <c r="L126" s="4">
        <v>7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45" x14ac:dyDescent="0.2">
      <c r="A127" s="4">
        <v>50</v>
      </c>
      <c r="B127" s="4">
        <v>0</v>
      </c>
      <c r="C127" s="4">
        <v>0</v>
      </c>
      <c r="D127" s="4">
        <v>1</v>
      </c>
      <c r="E127" s="4">
        <v>216</v>
      </c>
      <c r="F127" s="4">
        <f>ROUND(Source!AP118,O127)</f>
        <v>0</v>
      </c>
      <c r="G127" s="4" t="s">
        <v>220</v>
      </c>
      <c r="H127" s="4" t="s">
        <v>221</v>
      </c>
      <c r="I127" s="4"/>
      <c r="J127" s="4"/>
      <c r="K127" s="4">
        <v>216</v>
      </c>
      <c r="L127" s="4">
        <v>8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45" x14ac:dyDescent="0.2">
      <c r="A128" s="4">
        <v>50</v>
      </c>
      <c r="B128" s="4">
        <v>0</v>
      </c>
      <c r="C128" s="4">
        <v>0</v>
      </c>
      <c r="D128" s="4">
        <v>1</v>
      </c>
      <c r="E128" s="4">
        <v>223</v>
      </c>
      <c r="F128" s="4">
        <f>ROUND(Source!AQ118,O128)</f>
        <v>0</v>
      </c>
      <c r="G128" s="4" t="s">
        <v>222</v>
      </c>
      <c r="H128" s="4" t="s">
        <v>223</v>
      </c>
      <c r="I128" s="4"/>
      <c r="J128" s="4"/>
      <c r="K128" s="4">
        <v>223</v>
      </c>
      <c r="L128" s="4">
        <v>9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3" x14ac:dyDescent="0.2">
      <c r="A129" s="4">
        <v>50</v>
      </c>
      <c r="B129" s="4">
        <v>0</v>
      </c>
      <c r="C129" s="4">
        <v>0</v>
      </c>
      <c r="D129" s="4">
        <v>1</v>
      </c>
      <c r="E129" s="4">
        <v>229</v>
      </c>
      <c r="F129" s="4">
        <f>ROUND(Source!AZ118,O129)</f>
        <v>0</v>
      </c>
      <c r="G129" s="4" t="s">
        <v>224</v>
      </c>
      <c r="H129" s="4" t="s">
        <v>225</v>
      </c>
      <c r="I129" s="4"/>
      <c r="J129" s="4"/>
      <c r="K129" s="4">
        <v>229</v>
      </c>
      <c r="L129" s="4">
        <v>10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3" x14ac:dyDescent="0.2">
      <c r="A130" s="4">
        <v>50</v>
      </c>
      <c r="B130" s="4">
        <v>0</v>
      </c>
      <c r="C130" s="4">
        <v>0</v>
      </c>
      <c r="D130" s="4">
        <v>1</v>
      </c>
      <c r="E130" s="4">
        <v>203</v>
      </c>
      <c r="F130" s="4">
        <f>ROUND(Source!Q118,O130)</f>
        <v>2696.93</v>
      </c>
      <c r="G130" s="4" t="s">
        <v>226</v>
      </c>
      <c r="H130" s="4" t="s">
        <v>227</v>
      </c>
      <c r="I130" s="4"/>
      <c r="J130" s="4"/>
      <c r="K130" s="4">
        <v>203</v>
      </c>
      <c r="L130" s="4">
        <v>11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3" x14ac:dyDescent="0.2">
      <c r="A131" s="4">
        <v>50</v>
      </c>
      <c r="B131" s="4">
        <v>0</v>
      </c>
      <c r="C131" s="4">
        <v>0</v>
      </c>
      <c r="D131" s="4">
        <v>1</v>
      </c>
      <c r="E131" s="4">
        <v>231</v>
      </c>
      <c r="F131" s="4">
        <f>ROUND(Source!BB118,O131)</f>
        <v>0</v>
      </c>
      <c r="G131" s="4" t="s">
        <v>228</v>
      </c>
      <c r="H131" s="4" t="s">
        <v>229</v>
      </c>
      <c r="I131" s="4"/>
      <c r="J131" s="4"/>
      <c r="K131" s="4">
        <v>231</v>
      </c>
      <c r="L131" s="4">
        <v>12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3" x14ac:dyDescent="0.2">
      <c r="A132" s="4">
        <v>50</v>
      </c>
      <c r="B132" s="4">
        <v>0</v>
      </c>
      <c r="C132" s="4">
        <v>0</v>
      </c>
      <c r="D132" s="4">
        <v>1</v>
      </c>
      <c r="E132" s="4">
        <v>204</v>
      </c>
      <c r="F132" s="4">
        <f>ROUND(Source!R118,O132)</f>
        <v>275.98</v>
      </c>
      <c r="G132" s="4" t="s">
        <v>230</v>
      </c>
      <c r="H132" s="4" t="s">
        <v>231</v>
      </c>
      <c r="I132" s="4"/>
      <c r="J132" s="4"/>
      <c r="K132" s="4">
        <v>204</v>
      </c>
      <c r="L132" s="4">
        <v>13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3" x14ac:dyDescent="0.2">
      <c r="A133" s="4">
        <v>50</v>
      </c>
      <c r="B133" s="4">
        <v>0</v>
      </c>
      <c r="C133" s="4">
        <v>0</v>
      </c>
      <c r="D133" s="4">
        <v>1</v>
      </c>
      <c r="E133" s="4">
        <v>205</v>
      </c>
      <c r="F133" s="4">
        <f>ROUND(Source!S118,O133)</f>
        <v>1524.37</v>
      </c>
      <c r="G133" s="4" t="s">
        <v>232</v>
      </c>
      <c r="H133" s="4" t="s">
        <v>233</v>
      </c>
      <c r="I133" s="4"/>
      <c r="J133" s="4"/>
      <c r="K133" s="4">
        <v>205</v>
      </c>
      <c r="L133" s="4">
        <v>14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3" x14ac:dyDescent="0.2">
      <c r="A134" s="4">
        <v>50</v>
      </c>
      <c r="B134" s="4">
        <v>0</v>
      </c>
      <c r="C134" s="4">
        <v>0</v>
      </c>
      <c r="D134" s="4">
        <v>1</v>
      </c>
      <c r="E134" s="4">
        <v>232</v>
      </c>
      <c r="F134" s="4">
        <f>ROUND(Source!BC118,O134)</f>
        <v>0</v>
      </c>
      <c r="G134" s="4" t="s">
        <v>234</v>
      </c>
      <c r="H134" s="4" t="s">
        <v>235</v>
      </c>
      <c r="I134" s="4"/>
      <c r="J134" s="4"/>
      <c r="K134" s="4">
        <v>232</v>
      </c>
      <c r="L134" s="4">
        <v>15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3" x14ac:dyDescent="0.2">
      <c r="A135" s="4">
        <v>50</v>
      </c>
      <c r="B135" s="4">
        <v>0</v>
      </c>
      <c r="C135" s="4">
        <v>0</v>
      </c>
      <c r="D135" s="4">
        <v>1</v>
      </c>
      <c r="E135" s="4">
        <v>214</v>
      </c>
      <c r="F135" s="4">
        <f>ROUND(Source!AS118,O135)</f>
        <v>33452.51</v>
      </c>
      <c r="G135" s="4" t="s">
        <v>236</v>
      </c>
      <c r="H135" s="4" t="s">
        <v>237</v>
      </c>
      <c r="I135" s="4"/>
      <c r="J135" s="4"/>
      <c r="K135" s="4">
        <v>214</v>
      </c>
      <c r="L135" s="4">
        <v>16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3" x14ac:dyDescent="0.2">
      <c r="A136" s="4">
        <v>50</v>
      </c>
      <c r="B136" s="4">
        <v>0</v>
      </c>
      <c r="C136" s="4">
        <v>0</v>
      </c>
      <c r="D136" s="4">
        <v>1</v>
      </c>
      <c r="E136" s="4">
        <v>215</v>
      </c>
      <c r="F136" s="4">
        <f>ROUND(Source!AT118,O136)</f>
        <v>0</v>
      </c>
      <c r="G136" s="4" t="s">
        <v>238</v>
      </c>
      <c r="H136" s="4" t="s">
        <v>239</v>
      </c>
      <c r="I136" s="4"/>
      <c r="J136" s="4"/>
      <c r="K136" s="4">
        <v>215</v>
      </c>
      <c r="L136" s="4">
        <v>17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3" x14ac:dyDescent="0.2">
      <c r="A137" s="4">
        <v>50</v>
      </c>
      <c r="B137" s="4">
        <v>0</v>
      </c>
      <c r="C137" s="4">
        <v>0</v>
      </c>
      <c r="D137" s="4">
        <v>1</v>
      </c>
      <c r="E137" s="4">
        <v>217</v>
      </c>
      <c r="F137" s="4">
        <f>ROUND(Source!AU118,O137)</f>
        <v>0</v>
      </c>
      <c r="G137" s="4" t="s">
        <v>240</v>
      </c>
      <c r="H137" s="4" t="s">
        <v>241</v>
      </c>
      <c r="I137" s="4"/>
      <c r="J137" s="4"/>
      <c r="K137" s="4">
        <v>217</v>
      </c>
      <c r="L137" s="4">
        <v>18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3" x14ac:dyDescent="0.2">
      <c r="A138" s="4">
        <v>50</v>
      </c>
      <c r="B138" s="4">
        <v>0</v>
      </c>
      <c r="C138" s="4">
        <v>0</v>
      </c>
      <c r="D138" s="4">
        <v>1</v>
      </c>
      <c r="E138" s="4">
        <v>230</v>
      </c>
      <c r="F138" s="4">
        <f>ROUND(Source!BA118,O138)</f>
        <v>0</v>
      </c>
      <c r="G138" s="4" t="s">
        <v>242</v>
      </c>
      <c r="H138" s="4" t="s">
        <v>243</v>
      </c>
      <c r="I138" s="4"/>
      <c r="J138" s="4"/>
      <c r="K138" s="4">
        <v>230</v>
      </c>
      <c r="L138" s="4">
        <v>19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3" x14ac:dyDescent="0.2">
      <c r="A139" s="4">
        <v>50</v>
      </c>
      <c r="B139" s="4">
        <v>0</v>
      </c>
      <c r="C139" s="4">
        <v>0</v>
      </c>
      <c r="D139" s="4">
        <v>1</v>
      </c>
      <c r="E139" s="4">
        <v>206</v>
      </c>
      <c r="F139" s="4">
        <f>ROUND(Source!T118,O139)</f>
        <v>0</v>
      </c>
      <c r="G139" s="4" t="s">
        <v>244</v>
      </c>
      <c r="H139" s="4" t="s">
        <v>245</v>
      </c>
      <c r="I139" s="4"/>
      <c r="J139" s="4"/>
      <c r="K139" s="4">
        <v>206</v>
      </c>
      <c r="L139" s="4">
        <v>20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3" x14ac:dyDescent="0.2">
      <c r="A140" s="4">
        <v>50</v>
      </c>
      <c r="B140" s="4">
        <v>0</v>
      </c>
      <c r="C140" s="4">
        <v>0</v>
      </c>
      <c r="D140" s="4">
        <v>1</v>
      </c>
      <c r="E140" s="4">
        <v>207</v>
      </c>
      <c r="F140" s="4">
        <f>Source!U118</f>
        <v>176.13537884999997</v>
      </c>
      <c r="G140" s="4" t="s">
        <v>246</v>
      </c>
      <c r="H140" s="4" t="s">
        <v>247</v>
      </c>
      <c r="I140" s="4"/>
      <c r="J140" s="4"/>
      <c r="K140" s="4">
        <v>207</v>
      </c>
      <c r="L140" s="4">
        <v>21</v>
      </c>
      <c r="M140" s="4">
        <v>3</v>
      </c>
      <c r="N140" s="4" t="s">
        <v>3</v>
      </c>
      <c r="O140" s="4">
        <v>-1</v>
      </c>
      <c r="P140" s="4"/>
      <c r="Q140" s="4"/>
      <c r="R140" s="4"/>
      <c r="S140" s="4"/>
      <c r="T140" s="4"/>
      <c r="U140" s="4"/>
      <c r="V140" s="4"/>
      <c r="W140" s="4"/>
    </row>
    <row r="141" spans="1:23" x14ac:dyDescent="0.2">
      <c r="A141" s="4">
        <v>50</v>
      </c>
      <c r="B141" s="4">
        <v>0</v>
      </c>
      <c r="C141" s="4">
        <v>0</v>
      </c>
      <c r="D141" s="4">
        <v>1</v>
      </c>
      <c r="E141" s="4">
        <v>208</v>
      </c>
      <c r="F141" s="4">
        <f>Source!V118</f>
        <v>24.151466249999999</v>
      </c>
      <c r="G141" s="4" t="s">
        <v>248</v>
      </c>
      <c r="H141" s="4" t="s">
        <v>249</v>
      </c>
      <c r="I141" s="4"/>
      <c r="J141" s="4"/>
      <c r="K141" s="4">
        <v>208</v>
      </c>
      <c r="L141" s="4">
        <v>22</v>
      </c>
      <c r="M141" s="4">
        <v>3</v>
      </c>
      <c r="N141" s="4" t="s">
        <v>3</v>
      </c>
      <c r="O141" s="4">
        <v>-1</v>
      </c>
      <c r="P141" s="4"/>
      <c r="Q141" s="4"/>
      <c r="R141" s="4"/>
      <c r="S141" s="4"/>
      <c r="T141" s="4"/>
      <c r="U141" s="4"/>
      <c r="V141" s="4"/>
      <c r="W141" s="4"/>
    </row>
    <row r="142" spans="1:23" x14ac:dyDescent="0.2">
      <c r="A142" s="4">
        <v>50</v>
      </c>
      <c r="B142" s="4">
        <v>0</v>
      </c>
      <c r="C142" s="4">
        <v>0</v>
      </c>
      <c r="D142" s="4">
        <v>1</v>
      </c>
      <c r="E142" s="4">
        <v>209</v>
      </c>
      <c r="F142" s="4">
        <f>ROUND(Source!W118,O142)</f>
        <v>0</v>
      </c>
      <c r="G142" s="4" t="s">
        <v>250</v>
      </c>
      <c r="H142" s="4" t="s">
        <v>251</v>
      </c>
      <c r="I142" s="4"/>
      <c r="J142" s="4"/>
      <c r="K142" s="4">
        <v>209</v>
      </c>
      <c r="L142" s="4">
        <v>23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3" x14ac:dyDescent="0.2">
      <c r="A143" s="4">
        <v>50</v>
      </c>
      <c r="B143" s="4">
        <v>0</v>
      </c>
      <c r="C143" s="4">
        <v>0</v>
      </c>
      <c r="D143" s="4">
        <v>1</v>
      </c>
      <c r="E143" s="4">
        <v>210</v>
      </c>
      <c r="F143" s="4">
        <f>ROUND(Source!X118,O143)</f>
        <v>2227.52</v>
      </c>
      <c r="G143" s="4" t="s">
        <v>252</v>
      </c>
      <c r="H143" s="4" t="s">
        <v>253</v>
      </c>
      <c r="I143" s="4"/>
      <c r="J143" s="4"/>
      <c r="K143" s="4">
        <v>210</v>
      </c>
      <c r="L143" s="4">
        <v>24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3" x14ac:dyDescent="0.2">
      <c r="A144" s="4">
        <v>50</v>
      </c>
      <c r="B144" s="4">
        <v>0</v>
      </c>
      <c r="C144" s="4">
        <v>0</v>
      </c>
      <c r="D144" s="4">
        <v>1</v>
      </c>
      <c r="E144" s="4">
        <v>211</v>
      </c>
      <c r="F144" s="4">
        <f>ROUND(Source!Y118,O144)</f>
        <v>1390.98</v>
      </c>
      <c r="G144" s="4" t="s">
        <v>254</v>
      </c>
      <c r="H144" s="4" t="s">
        <v>255</v>
      </c>
      <c r="I144" s="4"/>
      <c r="J144" s="4"/>
      <c r="K144" s="4">
        <v>211</v>
      </c>
      <c r="L144" s="4">
        <v>25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45" x14ac:dyDescent="0.2">
      <c r="A145" s="4">
        <v>50</v>
      </c>
      <c r="B145" s="4">
        <v>0</v>
      </c>
      <c r="C145" s="4">
        <v>0</v>
      </c>
      <c r="D145" s="4">
        <v>1</v>
      </c>
      <c r="E145" s="4">
        <v>224</v>
      </c>
      <c r="F145" s="4">
        <f>ROUND(Source!AR118,O145)</f>
        <v>33452.51</v>
      </c>
      <c r="G145" s="4" t="s">
        <v>256</v>
      </c>
      <c r="H145" s="4" t="s">
        <v>257</v>
      </c>
      <c r="I145" s="4"/>
      <c r="J145" s="4"/>
      <c r="K145" s="4">
        <v>224</v>
      </c>
      <c r="L145" s="4">
        <v>26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7" spans="1:245" x14ac:dyDescent="0.2">
      <c r="A147" s="1">
        <v>5</v>
      </c>
      <c r="B147" s="1">
        <v>1</v>
      </c>
      <c r="C147" s="1"/>
      <c r="D147" s="1">
        <f>ROW(A170)</f>
        <v>170</v>
      </c>
      <c r="E147" s="1"/>
      <c r="F147" s="1" t="s">
        <v>313</v>
      </c>
      <c r="G147" s="1" t="s">
        <v>313</v>
      </c>
      <c r="H147" s="1" t="s">
        <v>3</v>
      </c>
      <c r="I147" s="1">
        <v>0</v>
      </c>
      <c r="J147" s="1"/>
      <c r="K147" s="1">
        <v>-1</v>
      </c>
      <c r="L147" s="1"/>
      <c r="M147" s="1"/>
      <c r="N147" s="1"/>
      <c r="O147" s="1"/>
      <c r="P147" s="1"/>
      <c r="Q147" s="1"/>
      <c r="R147" s="1"/>
      <c r="S147" s="1"/>
      <c r="T147" s="1"/>
      <c r="U147" s="1" t="s">
        <v>3</v>
      </c>
      <c r="V147" s="1">
        <v>5</v>
      </c>
      <c r="W147" s="1"/>
      <c r="X147" s="1"/>
      <c r="Y147" s="1"/>
      <c r="Z147" s="1"/>
      <c r="AA147" s="1"/>
      <c r="AB147" s="1" t="s">
        <v>3</v>
      </c>
      <c r="AC147" s="1" t="s">
        <v>3</v>
      </c>
      <c r="AD147" s="1" t="s">
        <v>3</v>
      </c>
      <c r="AE147" s="1" t="s">
        <v>3</v>
      </c>
      <c r="AF147" s="1" t="s">
        <v>3</v>
      </c>
      <c r="AG147" s="1" t="s">
        <v>3</v>
      </c>
      <c r="AH147" s="1"/>
      <c r="AI147" s="1"/>
      <c r="AJ147" s="1"/>
      <c r="AK147" s="1"/>
      <c r="AL147" s="1"/>
      <c r="AM147" s="1"/>
      <c r="AN147" s="1"/>
      <c r="AO147" s="1"/>
      <c r="AP147" s="1" t="s">
        <v>3</v>
      </c>
      <c r="AQ147" s="1" t="s">
        <v>3</v>
      </c>
      <c r="AR147" s="1" t="s">
        <v>3</v>
      </c>
      <c r="AS147" s="1"/>
      <c r="AT147" s="1"/>
      <c r="AU147" s="1"/>
      <c r="AV147" s="1"/>
      <c r="AW147" s="1"/>
      <c r="AX147" s="1"/>
      <c r="AY147" s="1"/>
      <c r="AZ147" s="1" t="s">
        <v>3</v>
      </c>
      <c r="BA147" s="1"/>
      <c r="BB147" s="1" t="s">
        <v>3</v>
      </c>
      <c r="BC147" s="1" t="s">
        <v>3</v>
      </c>
      <c r="BD147" s="1" t="s">
        <v>3</v>
      </c>
      <c r="BE147" s="1" t="s">
        <v>3</v>
      </c>
      <c r="BF147" s="1" t="s">
        <v>3</v>
      </c>
      <c r="BG147" s="1" t="s">
        <v>3</v>
      </c>
      <c r="BH147" s="1" t="s">
        <v>3</v>
      </c>
      <c r="BI147" s="1" t="s">
        <v>3</v>
      </c>
      <c r="BJ147" s="1" t="s">
        <v>3</v>
      </c>
      <c r="BK147" s="1" t="s">
        <v>3</v>
      </c>
      <c r="BL147" s="1" t="s">
        <v>3</v>
      </c>
      <c r="BM147" s="1" t="s">
        <v>3</v>
      </c>
      <c r="BN147" s="1" t="s">
        <v>3</v>
      </c>
      <c r="BO147" s="1" t="s">
        <v>3</v>
      </c>
      <c r="BP147" s="1" t="s">
        <v>3</v>
      </c>
      <c r="BQ147" s="1"/>
      <c r="BR147" s="1"/>
      <c r="BS147" s="1"/>
      <c r="BT147" s="1"/>
      <c r="BU147" s="1"/>
      <c r="BV147" s="1"/>
      <c r="BW147" s="1"/>
      <c r="BX147" s="1">
        <v>0</v>
      </c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>
        <v>0</v>
      </c>
    </row>
    <row r="149" spans="1:245" x14ac:dyDescent="0.2">
      <c r="A149" s="2">
        <v>52</v>
      </c>
      <c r="B149" s="2">
        <f t="shared" ref="B149:G149" si="155">B170</f>
        <v>1</v>
      </c>
      <c r="C149" s="2">
        <f t="shared" si="155"/>
        <v>5</v>
      </c>
      <c r="D149" s="2">
        <f t="shared" si="155"/>
        <v>147</v>
      </c>
      <c r="E149" s="2">
        <f t="shared" si="155"/>
        <v>0</v>
      </c>
      <c r="F149" s="2" t="str">
        <f t="shared" si="155"/>
        <v>Востановление пожарных подъездов</v>
      </c>
      <c r="G149" s="2" t="str">
        <f t="shared" si="155"/>
        <v>Востановление пожарных подъездов</v>
      </c>
      <c r="H149" s="2"/>
      <c r="I149" s="2"/>
      <c r="J149" s="2"/>
      <c r="K149" s="2"/>
      <c r="L149" s="2"/>
      <c r="M149" s="2"/>
      <c r="N149" s="2"/>
      <c r="O149" s="2">
        <f t="shared" ref="O149:AT149" si="156">O170</f>
        <v>67091</v>
      </c>
      <c r="P149" s="2">
        <f t="shared" si="156"/>
        <v>54052.15</v>
      </c>
      <c r="Q149" s="2">
        <f t="shared" si="156"/>
        <v>11638.8</v>
      </c>
      <c r="R149" s="2">
        <f t="shared" si="156"/>
        <v>1103.52</v>
      </c>
      <c r="S149" s="2">
        <f t="shared" si="156"/>
        <v>1400.05</v>
      </c>
      <c r="T149" s="2">
        <f t="shared" si="156"/>
        <v>0</v>
      </c>
      <c r="U149" s="2">
        <f t="shared" si="156"/>
        <v>166.23689430000002</v>
      </c>
      <c r="V149" s="2">
        <f t="shared" si="156"/>
        <v>85.802880000000002</v>
      </c>
      <c r="W149" s="2">
        <f t="shared" si="156"/>
        <v>0</v>
      </c>
      <c r="X149" s="2">
        <f t="shared" si="156"/>
        <v>2984.26</v>
      </c>
      <c r="Y149" s="2">
        <f t="shared" si="156"/>
        <v>1835.11</v>
      </c>
      <c r="Z149" s="2">
        <f t="shared" si="156"/>
        <v>0</v>
      </c>
      <c r="AA149" s="2">
        <f t="shared" si="156"/>
        <v>0</v>
      </c>
      <c r="AB149" s="2">
        <f t="shared" si="156"/>
        <v>67091</v>
      </c>
      <c r="AC149" s="2">
        <f t="shared" si="156"/>
        <v>54052.15</v>
      </c>
      <c r="AD149" s="2">
        <f t="shared" si="156"/>
        <v>11638.8</v>
      </c>
      <c r="AE149" s="2">
        <f t="shared" si="156"/>
        <v>1103.52</v>
      </c>
      <c r="AF149" s="2">
        <f t="shared" si="156"/>
        <v>1400.05</v>
      </c>
      <c r="AG149" s="2">
        <f t="shared" si="156"/>
        <v>0</v>
      </c>
      <c r="AH149" s="2">
        <f t="shared" si="156"/>
        <v>166.23689430000002</v>
      </c>
      <c r="AI149" s="2">
        <f t="shared" si="156"/>
        <v>85.802880000000002</v>
      </c>
      <c r="AJ149" s="2">
        <f t="shared" si="156"/>
        <v>0</v>
      </c>
      <c r="AK149" s="2">
        <f t="shared" si="156"/>
        <v>2984.26</v>
      </c>
      <c r="AL149" s="2">
        <f t="shared" si="156"/>
        <v>1835.11</v>
      </c>
      <c r="AM149" s="2">
        <f t="shared" si="156"/>
        <v>0</v>
      </c>
      <c r="AN149" s="2">
        <f t="shared" si="156"/>
        <v>0</v>
      </c>
      <c r="AO149" s="2">
        <f t="shared" si="156"/>
        <v>0</v>
      </c>
      <c r="AP149" s="2">
        <f t="shared" si="156"/>
        <v>0</v>
      </c>
      <c r="AQ149" s="2">
        <f t="shared" si="156"/>
        <v>0</v>
      </c>
      <c r="AR149" s="2">
        <f t="shared" si="156"/>
        <v>79256.240000000005</v>
      </c>
      <c r="AS149" s="2">
        <f t="shared" si="156"/>
        <v>79256.240000000005</v>
      </c>
      <c r="AT149" s="2">
        <f t="shared" si="156"/>
        <v>0</v>
      </c>
      <c r="AU149" s="2">
        <f t="shared" ref="AU149:BZ149" si="157">AU170</f>
        <v>0</v>
      </c>
      <c r="AV149" s="2">
        <f t="shared" si="157"/>
        <v>54052.15</v>
      </c>
      <c r="AW149" s="2">
        <f t="shared" si="157"/>
        <v>54052.15</v>
      </c>
      <c r="AX149" s="2">
        <f t="shared" si="157"/>
        <v>0</v>
      </c>
      <c r="AY149" s="2">
        <f t="shared" si="157"/>
        <v>54052.15</v>
      </c>
      <c r="AZ149" s="2">
        <f t="shared" si="157"/>
        <v>0</v>
      </c>
      <c r="BA149" s="2">
        <f t="shared" si="157"/>
        <v>0</v>
      </c>
      <c r="BB149" s="2">
        <f t="shared" si="157"/>
        <v>0</v>
      </c>
      <c r="BC149" s="2">
        <f t="shared" si="157"/>
        <v>0</v>
      </c>
      <c r="BD149" s="2">
        <f t="shared" si="157"/>
        <v>0</v>
      </c>
      <c r="BE149" s="2">
        <f t="shared" si="157"/>
        <v>0</v>
      </c>
      <c r="BF149" s="2">
        <f t="shared" si="157"/>
        <v>0</v>
      </c>
      <c r="BG149" s="2">
        <f t="shared" si="157"/>
        <v>0</v>
      </c>
      <c r="BH149" s="2">
        <f t="shared" si="157"/>
        <v>0</v>
      </c>
      <c r="BI149" s="2">
        <f t="shared" si="157"/>
        <v>0</v>
      </c>
      <c r="BJ149" s="2">
        <f t="shared" si="157"/>
        <v>0</v>
      </c>
      <c r="BK149" s="2">
        <f t="shared" si="157"/>
        <v>0</v>
      </c>
      <c r="BL149" s="2">
        <f t="shared" si="157"/>
        <v>0</v>
      </c>
      <c r="BM149" s="2">
        <f t="shared" si="157"/>
        <v>0</v>
      </c>
      <c r="BN149" s="2">
        <f t="shared" si="157"/>
        <v>0</v>
      </c>
      <c r="BO149" s="2">
        <f t="shared" si="157"/>
        <v>0</v>
      </c>
      <c r="BP149" s="2">
        <f t="shared" si="157"/>
        <v>0</v>
      </c>
      <c r="BQ149" s="2">
        <f t="shared" si="157"/>
        <v>0</v>
      </c>
      <c r="BR149" s="2">
        <f t="shared" si="157"/>
        <v>0</v>
      </c>
      <c r="BS149" s="2">
        <f t="shared" si="157"/>
        <v>0</v>
      </c>
      <c r="BT149" s="2">
        <f t="shared" si="157"/>
        <v>0</v>
      </c>
      <c r="BU149" s="2">
        <f t="shared" si="157"/>
        <v>0</v>
      </c>
      <c r="BV149" s="2">
        <f t="shared" si="157"/>
        <v>0</v>
      </c>
      <c r="BW149" s="2">
        <f t="shared" si="157"/>
        <v>0</v>
      </c>
      <c r="BX149" s="2">
        <f t="shared" si="157"/>
        <v>0</v>
      </c>
      <c r="BY149" s="2">
        <f t="shared" si="157"/>
        <v>0</v>
      </c>
      <c r="BZ149" s="2">
        <f t="shared" si="157"/>
        <v>0</v>
      </c>
      <c r="CA149" s="2">
        <f t="shared" ref="CA149:DF149" si="158">CA170</f>
        <v>79256.240000000005</v>
      </c>
      <c r="CB149" s="2">
        <f t="shared" si="158"/>
        <v>79256.240000000005</v>
      </c>
      <c r="CC149" s="2">
        <f t="shared" si="158"/>
        <v>0</v>
      </c>
      <c r="CD149" s="2">
        <f t="shared" si="158"/>
        <v>0</v>
      </c>
      <c r="CE149" s="2">
        <f t="shared" si="158"/>
        <v>54052.15</v>
      </c>
      <c r="CF149" s="2">
        <f t="shared" si="158"/>
        <v>54052.15</v>
      </c>
      <c r="CG149" s="2">
        <f t="shared" si="158"/>
        <v>0</v>
      </c>
      <c r="CH149" s="2">
        <f t="shared" si="158"/>
        <v>54052.15</v>
      </c>
      <c r="CI149" s="2">
        <f t="shared" si="158"/>
        <v>0</v>
      </c>
      <c r="CJ149" s="2">
        <f t="shared" si="158"/>
        <v>0</v>
      </c>
      <c r="CK149" s="2">
        <f t="shared" si="158"/>
        <v>0</v>
      </c>
      <c r="CL149" s="2">
        <f t="shared" si="158"/>
        <v>0</v>
      </c>
      <c r="CM149" s="2">
        <f t="shared" si="158"/>
        <v>0</v>
      </c>
      <c r="CN149" s="2">
        <f t="shared" si="158"/>
        <v>0</v>
      </c>
      <c r="CO149" s="2">
        <f t="shared" si="158"/>
        <v>0</v>
      </c>
      <c r="CP149" s="2">
        <f t="shared" si="158"/>
        <v>0</v>
      </c>
      <c r="CQ149" s="2">
        <f t="shared" si="158"/>
        <v>0</v>
      </c>
      <c r="CR149" s="2">
        <f t="shared" si="158"/>
        <v>0</v>
      </c>
      <c r="CS149" s="2">
        <f t="shared" si="158"/>
        <v>0</v>
      </c>
      <c r="CT149" s="2">
        <f t="shared" si="158"/>
        <v>0</v>
      </c>
      <c r="CU149" s="2">
        <f t="shared" si="158"/>
        <v>0</v>
      </c>
      <c r="CV149" s="2">
        <f t="shared" si="158"/>
        <v>0</v>
      </c>
      <c r="CW149" s="2">
        <f t="shared" si="158"/>
        <v>0</v>
      </c>
      <c r="CX149" s="2">
        <f t="shared" si="158"/>
        <v>0</v>
      </c>
      <c r="CY149" s="2">
        <f t="shared" si="158"/>
        <v>0</v>
      </c>
      <c r="CZ149" s="2">
        <f t="shared" si="158"/>
        <v>0</v>
      </c>
      <c r="DA149" s="2">
        <f t="shared" si="158"/>
        <v>0</v>
      </c>
      <c r="DB149" s="2">
        <f t="shared" si="158"/>
        <v>0</v>
      </c>
      <c r="DC149" s="2">
        <f t="shared" si="158"/>
        <v>0</v>
      </c>
      <c r="DD149" s="2">
        <f t="shared" si="158"/>
        <v>0</v>
      </c>
      <c r="DE149" s="2">
        <f t="shared" si="158"/>
        <v>0</v>
      </c>
      <c r="DF149" s="2">
        <f t="shared" si="158"/>
        <v>0</v>
      </c>
      <c r="DG149" s="3">
        <f t="shared" ref="DG149:EL149" si="159">DG170</f>
        <v>0</v>
      </c>
      <c r="DH149" s="3">
        <f t="shared" si="159"/>
        <v>0</v>
      </c>
      <c r="DI149" s="3">
        <f t="shared" si="159"/>
        <v>0</v>
      </c>
      <c r="DJ149" s="3">
        <f t="shared" si="159"/>
        <v>0</v>
      </c>
      <c r="DK149" s="3">
        <f t="shared" si="159"/>
        <v>0</v>
      </c>
      <c r="DL149" s="3">
        <f t="shared" si="159"/>
        <v>0</v>
      </c>
      <c r="DM149" s="3">
        <f t="shared" si="159"/>
        <v>0</v>
      </c>
      <c r="DN149" s="3">
        <f t="shared" si="159"/>
        <v>0</v>
      </c>
      <c r="DO149" s="3">
        <f t="shared" si="159"/>
        <v>0</v>
      </c>
      <c r="DP149" s="3">
        <f t="shared" si="159"/>
        <v>0</v>
      </c>
      <c r="DQ149" s="3">
        <f t="shared" si="159"/>
        <v>0</v>
      </c>
      <c r="DR149" s="3">
        <f t="shared" si="159"/>
        <v>0</v>
      </c>
      <c r="DS149" s="3">
        <f t="shared" si="159"/>
        <v>0</v>
      </c>
      <c r="DT149" s="3">
        <f t="shared" si="159"/>
        <v>0</v>
      </c>
      <c r="DU149" s="3">
        <f t="shared" si="159"/>
        <v>0</v>
      </c>
      <c r="DV149" s="3">
        <f t="shared" si="159"/>
        <v>0</v>
      </c>
      <c r="DW149" s="3">
        <f t="shared" si="159"/>
        <v>0</v>
      </c>
      <c r="DX149" s="3">
        <f t="shared" si="159"/>
        <v>0</v>
      </c>
      <c r="DY149" s="3">
        <f t="shared" si="159"/>
        <v>0</v>
      </c>
      <c r="DZ149" s="3">
        <f t="shared" si="159"/>
        <v>0</v>
      </c>
      <c r="EA149" s="3">
        <f t="shared" si="159"/>
        <v>0</v>
      </c>
      <c r="EB149" s="3">
        <f t="shared" si="159"/>
        <v>0</v>
      </c>
      <c r="EC149" s="3">
        <f t="shared" si="159"/>
        <v>0</v>
      </c>
      <c r="ED149" s="3">
        <f t="shared" si="159"/>
        <v>0</v>
      </c>
      <c r="EE149" s="3">
        <f t="shared" si="159"/>
        <v>0</v>
      </c>
      <c r="EF149" s="3">
        <f t="shared" si="159"/>
        <v>0</v>
      </c>
      <c r="EG149" s="3">
        <f t="shared" si="159"/>
        <v>0</v>
      </c>
      <c r="EH149" s="3">
        <f t="shared" si="159"/>
        <v>0</v>
      </c>
      <c r="EI149" s="3">
        <f t="shared" si="159"/>
        <v>0</v>
      </c>
      <c r="EJ149" s="3">
        <f t="shared" si="159"/>
        <v>0</v>
      </c>
      <c r="EK149" s="3">
        <f t="shared" si="159"/>
        <v>0</v>
      </c>
      <c r="EL149" s="3">
        <f t="shared" si="159"/>
        <v>0</v>
      </c>
      <c r="EM149" s="3">
        <f t="shared" ref="EM149:FR149" si="160">EM170</f>
        <v>0</v>
      </c>
      <c r="EN149" s="3">
        <f t="shared" si="160"/>
        <v>0</v>
      </c>
      <c r="EO149" s="3">
        <f t="shared" si="160"/>
        <v>0</v>
      </c>
      <c r="EP149" s="3">
        <f t="shared" si="160"/>
        <v>0</v>
      </c>
      <c r="EQ149" s="3">
        <f t="shared" si="160"/>
        <v>0</v>
      </c>
      <c r="ER149" s="3">
        <f t="shared" si="160"/>
        <v>0</v>
      </c>
      <c r="ES149" s="3">
        <f t="shared" si="160"/>
        <v>0</v>
      </c>
      <c r="ET149" s="3">
        <f t="shared" si="160"/>
        <v>0</v>
      </c>
      <c r="EU149" s="3">
        <f t="shared" si="160"/>
        <v>0</v>
      </c>
      <c r="EV149" s="3">
        <f t="shared" si="160"/>
        <v>0</v>
      </c>
      <c r="EW149" s="3">
        <f t="shared" si="160"/>
        <v>0</v>
      </c>
      <c r="EX149" s="3">
        <f t="shared" si="160"/>
        <v>0</v>
      </c>
      <c r="EY149" s="3">
        <f t="shared" si="160"/>
        <v>0</v>
      </c>
      <c r="EZ149" s="3">
        <f t="shared" si="160"/>
        <v>0</v>
      </c>
      <c r="FA149" s="3">
        <f t="shared" si="160"/>
        <v>0</v>
      </c>
      <c r="FB149" s="3">
        <f t="shared" si="160"/>
        <v>0</v>
      </c>
      <c r="FC149" s="3">
        <f t="shared" si="160"/>
        <v>0</v>
      </c>
      <c r="FD149" s="3">
        <f t="shared" si="160"/>
        <v>0</v>
      </c>
      <c r="FE149" s="3">
        <f t="shared" si="160"/>
        <v>0</v>
      </c>
      <c r="FF149" s="3">
        <f t="shared" si="160"/>
        <v>0</v>
      </c>
      <c r="FG149" s="3">
        <f t="shared" si="160"/>
        <v>0</v>
      </c>
      <c r="FH149" s="3">
        <f t="shared" si="160"/>
        <v>0</v>
      </c>
      <c r="FI149" s="3">
        <f t="shared" si="160"/>
        <v>0</v>
      </c>
      <c r="FJ149" s="3">
        <f t="shared" si="160"/>
        <v>0</v>
      </c>
      <c r="FK149" s="3">
        <f t="shared" si="160"/>
        <v>0</v>
      </c>
      <c r="FL149" s="3">
        <f t="shared" si="160"/>
        <v>0</v>
      </c>
      <c r="FM149" s="3">
        <f t="shared" si="160"/>
        <v>0</v>
      </c>
      <c r="FN149" s="3">
        <f t="shared" si="160"/>
        <v>0</v>
      </c>
      <c r="FO149" s="3">
        <f t="shared" si="160"/>
        <v>0</v>
      </c>
      <c r="FP149" s="3">
        <f t="shared" si="160"/>
        <v>0</v>
      </c>
      <c r="FQ149" s="3">
        <f t="shared" si="160"/>
        <v>0</v>
      </c>
      <c r="FR149" s="3">
        <f t="shared" si="160"/>
        <v>0</v>
      </c>
      <c r="FS149" s="3">
        <f t="shared" ref="FS149:GX149" si="161">FS170</f>
        <v>0</v>
      </c>
      <c r="FT149" s="3">
        <f t="shared" si="161"/>
        <v>0</v>
      </c>
      <c r="FU149" s="3">
        <f t="shared" si="161"/>
        <v>0</v>
      </c>
      <c r="FV149" s="3">
        <f t="shared" si="161"/>
        <v>0</v>
      </c>
      <c r="FW149" s="3">
        <f t="shared" si="161"/>
        <v>0</v>
      </c>
      <c r="FX149" s="3">
        <f t="shared" si="161"/>
        <v>0</v>
      </c>
      <c r="FY149" s="3">
        <f t="shared" si="161"/>
        <v>0</v>
      </c>
      <c r="FZ149" s="3">
        <f t="shared" si="161"/>
        <v>0</v>
      </c>
      <c r="GA149" s="3">
        <f t="shared" si="161"/>
        <v>0</v>
      </c>
      <c r="GB149" s="3">
        <f t="shared" si="161"/>
        <v>0</v>
      </c>
      <c r="GC149" s="3">
        <f t="shared" si="161"/>
        <v>0</v>
      </c>
      <c r="GD149" s="3">
        <f t="shared" si="161"/>
        <v>0</v>
      </c>
      <c r="GE149" s="3">
        <f t="shared" si="161"/>
        <v>0</v>
      </c>
      <c r="GF149" s="3">
        <f t="shared" si="161"/>
        <v>0</v>
      </c>
      <c r="GG149" s="3">
        <f t="shared" si="161"/>
        <v>0</v>
      </c>
      <c r="GH149" s="3">
        <f t="shared" si="161"/>
        <v>0</v>
      </c>
      <c r="GI149" s="3">
        <f t="shared" si="161"/>
        <v>0</v>
      </c>
      <c r="GJ149" s="3">
        <f t="shared" si="161"/>
        <v>0</v>
      </c>
      <c r="GK149" s="3">
        <f t="shared" si="161"/>
        <v>0</v>
      </c>
      <c r="GL149" s="3">
        <f t="shared" si="161"/>
        <v>0</v>
      </c>
      <c r="GM149" s="3">
        <f t="shared" si="161"/>
        <v>0</v>
      </c>
      <c r="GN149" s="3">
        <f t="shared" si="161"/>
        <v>0</v>
      </c>
      <c r="GO149" s="3">
        <f t="shared" si="161"/>
        <v>0</v>
      </c>
      <c r="GP149" s="3">
        <f t="shared" si="161"/>
        <v>0</v>
      </c>
      <c r="GQ149" s="3">
        <f t="shared" si="161"/>
        <v>0</v>
      </c>
      <c r="GR149" s="3">
        <f t="shared" si="161"/>
        <v>0</v>
      </c>
      <c r="GS149" s="3">
        <f t="shared" si="161"/>
        <v>0</v>
      </c>
      <c r="GT149" s="3">
        <f t="shared" si="161"/>
        <v>0</v>
      </c>
      <c r="GU149" s="3">
        <f t="shared" si="161"/>
        <v>0</v>
      </c>
      <c r="GV149" s="3">
        <f t="shared" si="161"/>
        <v>0</v>
      </c>
      <c r="GW149" s="3">
        <f t="shared" si="161"/>
        <v>0</v>
      </c>
      <c r="GX149" s="3">
        <f t="shared" si="161"/>
        <v>0</v>
      </c>
    </row>
    <row r="151" spans="1:245" x14ac:dyDescent="0.2">
      <c r="A151">
        <v>17</v>
      </c>
      <c r="B151">
        <v>1</v>
      </c>
      <c r="C151">
        <f>ROW(SmtRes!A148)</f>
        <v>148</v>
      </c>
      <c r="D151">
        <f>ROW(EtalonRes!A160)</f>
        <v>160</v>
      </c>
      <c r="E151" t="s">
        <v>314</v>
      </c>
      <c r="F151" t="s">
        <v>263</v>
      </c>
      <c r="G151" t="s">
        <v>315</v>
      </c>
      <c r="H151" t="s">
        <v>265</v>
      </c>
      <c r="I151">
        <f>ROUND((62*4+25*4)/1000,9)</f>
        <v>0.34799999999999998</v>
      </c>
      <c r="J151">
        <v>0</v>
      </c>
      <c r="O151">
        <f>ROUND(CP151,2)</f>
        <v>786.41</v>
      </c>
      <c r="P151">
        <f>ROUND(CQ151*I151,2)</f>
        <v>0</v>
      </c>
      <c r="Q151">
        <f>ROUND(CR151*I151,2)</f>
        <v>594.32000000000005</v>
      </c>
      <c r="R151">
        <f>ROUND(CS151*I151,2)</f>
        <v>63.21</v>
      </c>
      <c r="S151">
        <f>ROUND(CT151*I151,2)</f>
        <v>192.09</v>
      </c>
      <c r="T151">
        <f>ROUND(CU151*I151,2)</f>
        <v>0</v>
      </c>
      <c r="U151">
        <f>CV151*I151</f>
        <v>23.115551999999997</v>
      </c>
      <c r="V151">
        <f>CW151*I151</f>
        <v>6.2831399999999986</v>
      </c>
      <c r="W151">
        <f>ROUND(CX151*I151,2)</f>
        <v>0</v>
      </c>
      <c r="X151">
        <f t="shared" ref="X151:Y153" si="162">ROUND(CY151,2)</f>
        <v>265.51</v>
      </c>
      <c r="Y151">
        <f t="shared" si="162"/>
        <v>153.18</v>
      </c>
      <c r="AA151">
        <v>47631607</v>
      </c>
      <c r="AB151">
        <f>ROUND((AC151+AD151+AF151),6)</f>
        <v>2259.8074999999999</v>
      </c>
      <c r="AC151">
        <f>ROUND((ES151),6)</f>
        <v>0</v>
      </c>
      <c r="AD151">
        <f>ROUND(((((ET151*1.15))-((EU151*1.15)))+AE151),6)</f>
        <v>1707.819</v>
      </c>
      <c r="AE151">
        <f t="shared" ref="AE151:AF153" si="163">ROUND(((EU151*1.15)),6)</f>
        <v>181.631</v>
      </c>
      <c r="AF151">
        <f t="shared" si="163"/>
        <v>551.98850000000004</v>
      </c>
      <c r="AG151">
        <f>ROUND((AP151),6)</f>
        <v>0</v>
      </c>
      <c r="AH151">
        <f t="shared" ref="AH151:AI153" si="164">((EW151*1.15))</f>
        <v>66.423999999999992</v>
      </c>
      <c r="AI151">
        <f t="shared" si="164"/>
        <v>18.054999999999996</v>
      </c>
      <c r="AJ151">
        <f>(AS151)</f>
        <v>0</v>
      </c>
      <c r="AK151">
        <v>1965.05</v>
      </c>
      <c r="AL151">
        <v>0</v>
      </c>
      <c r="AM151">
        <v>1485.06</v>
      </c>
      <c r="AN151">
        <v>157.94</v>
      </c>
      <c r="AO151">
        <v>479.99</v>
      </c>
      <c r="AP151">
        <v>0</v>
      </c>
      <c r="AQ151">
        <v>57.76</v>
      </c>
      <c r="AR151">
        <v>15.7</v>
      </c>
      <c r="AS151">
        <v>0</v>
      </c>
      <c r="AT151">
        <v>104</v>
      </c>
      <c r="AU151">
        <v>60</v>
      </c>
      <c r="AV151">
        <v>1</v>
      </c>
      <c r="AW151">
        <v>1</v>
      </c>
      <c r="AZ151">
        <v>1</v>
      </c>
      <c r="BA151">
        <v>1</v>
      </c>
      <c r="BB151">
        <v>1</v>
      </c>
      <c r="BC151">
        <v>1</v>
      </c>
      <c r="BD151" t="s">
        <v>3</v>
      </c>
      <c r="BE151" t="s">
        <v>3</v>
      </c>
      <c r="BF151" t="s">
        <v>3</v>
      </c>
      <c r="BG151" t="s">
        <v>3</v>
      </c>
      <c r="BH151">
        <v>0</v>
      </c>
      <c r="BI151">
        <v>1</v>
      </c>
      <c r="BJ151" t="s">
        <v>266</v>
      </c>
      <c r="BM151">
        <v>68001</v>
      </c>
      <c r="BN151">
        <v>0</v>
      </c>
      <c r="BO151" t="s">
        <v>3</v>
      </c>
      <c r="BP151">
        <v>0</v>
      </c>
      <c r="BQ151">
        <v>6</v>
      </c>
      <c r="BR151">
        <v>0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</v>
      </c>
      <c r="BZ151">
        <v>104</v>
      </c>
      <c r="CA151">
        <v>60</v>
      </c>
      <c r="CE151">
        <v>0</v>
      </c>
      <c r="CF151">
        <v>0</v>
      </c>
      <c r="CG151">
        <v>0</v>
      </c>
      <c r="CM151">
        <v>0</v>
      </c>
      <c r="CN151" t="s">
        <v>742</v>
      </c>
      <c r="CO151">
        <v>0</v>
      </c>
      <c r="CP151">
        <f>(P151+Q151+S151)</f>
        <v>786.41000000000008</v>
      </c>
      <c r="CQ151">
        <f>AC151*BC151</f>
        <v>0</v>
      </c>
      <c r="CR151">
        <f>AD151*BB151</f>
        <v>1707.819</v>
      </c>
      <c r="CS151">
        <f>AE151*BS151</f>
        <v>181.631</v>
      </c>
      <c r="CT151">
        <f>AF151*BA151</f>
        <v>551.98850000000004</v>
      </c>
      <c r="CU151">
        <f t="shared" ref="CU151:CX153" si="165">AG151</f>
        <v>0</v>
      </c>
      <c r="CV151">
        <f t="shared" si="165"/>
        <v>66.423999999999992</v>
      </c>
      <c r="CW151">
        <f t="shared" si="165"/>
        <v>18.054999999999996</v>
      </c>
      <c r="CX151">
        <f t="shared" si="165"/>
        <v>0</v>
      </c>
      <c r="CY151">
        <f>(((S151+R151)*AT151)/100)</f>
        <v>265.512</v>
      </c>
      <c r="CZ151">
        <f>(((S151+R151)*AU151)/100)</f>
        <v>153.18</v>
      </c>
      <c r="DC151" t="s">
        <v>3</v>
      </c>
      <c r="DD151" t="s">
        <v>3</v>
      </c>
      <c r="DE151" t="s">
        <v>24</v>
      </c>
      <c r="DF151" t="s">
        <v>24</v>
      </c>
      <c r="DG151" t="s">
        <v>24</v>
      </c>
      <c r="DH151" t="s">
        <v>3</v>
      </c>
      <c r="DI151" t="s">
        <v>24</v>
      </c>
      <c r="DJ151" t="s">
        <v>24</v>
      </c>
      <c r="DK151" t="s">
        <v>3</v>
      </c>
      <c r="DL151" t="s">
        <v>3</v>
      </c>
      <c r="DM151" t="s">
        <v>3</v>
      </c>
      <c r="DN151">
        <v>0</v>
      </c>
      <c r="DO151">
        <v>0</v>
      </c>
      <c r="DP151">
        <v>1</v>
      </c>
      <c r="DQ151">
        <v>1</v>
      </c>
      <c r="DU151">
        <v>1005</v>
      </c>
      <c r="DV151" t="s">
        <v>265</v>
      </c>
      <c r="DW151" t="s">
        <v>265</v>
      </c>
      <c r="DX151">
        <v>1000</v>
      </c>
      <c r="EE151">
        <v>45919696</v>
      </c>
      <c r="EF151">
        <v>6</v>
      </c>
      <c r="EG151" t="s">
        <v>25</v>
      </c>
      <c r="EH151">
        <v>0</v>
      </c>
      <c r="EI151" t="s">
        <v>3</v>
      </c>
      <c r="EJ151">
        <v>1</v>
      </c>
      <c r="EK151">
        <v>68001</v>
      </c>
      <c r="EL151" t="s">
        <v>26</v>
      </c>
      <c r="EM151" t="s">
        <v>27</v>
      </c>
      <c r="EO151" t="s">
        <v>28</v>
      </c>
      <c r="EQ151">
        <v>0</v>
      </c>
      <c r="ER151">
        <v>1965.05</v>
      </c>
      <c r="ES151">
        <v>0</v>
      </c>
      <c r="ET151">
        <v>1485.06</v>
      </c>
      <c r="EU151">
        <v>157.94</v>
      </c>
      <c r="EV151">
        <v>479.99</v>
      </c>
      <c r="EW151">
        <v>57.76</v>
      </c>
      <c r="EX151">
        <v>15.7</v>
      </c>
      <c r="EY151">
        <v>0</v>
      </c>
      <c r="FQ151">
        <v>0</v>
      </c>
      <c r="FR151">
        <f t="shared" ref="FR151:FR168" si="166">ROUND(IF(AND(BH151=3,BI151=3),P151,0),2)</f>
        <v>0</v>
      </c>
      <c r="FS151">
        <v>0</v>
      </c>
      <c r="FX151">
        <v>104</v>
      </c>
      <c r="FY151">
        <v>60</v>
      </c>
      <c r="GA151" t="s">
        <v>3</v>
      </c>
      <c r="GD151">
        <v>1</v>
      </c>
      <c r="GF151">
        <v>-238213273</v>
      </c>
      <c r="GG151">
        <v>2</v>
      </c>
      <c r="GH151">
        <v>1</v>
      </c>
      <c r="GI151">
        <v>-2</v>
      </c>
      <c r="GJ151">
        <v>0</v>
      </c>
      <c r="GK151">
        <v>0</v>
      </c>
      <c r="GL151">
        <f t="shared" ref="GL151:GL168" si="167">ROUND(IF(AND(BH151=3,BI151=3,FS151&lt;&gt;0),P151,0),2)</f>
        <v>0</v>
      </c>
      <c r="GM151">
        <f>ROUND(O151+X151+Y151,2)+GX151</f>
        <v>1205.0999999999999</v>
      </c>
      <c r="GN151">
        <f>IF(OR(BI151=0,BI151=1),ROUND(O151+X151+Y151,2),0)</f>
        <v>1205.0999999999999</v>
      </c>
      <c r="GO151">
        <f>IF(BI151=2,ROUND(O151+X151+Y151,2),0)</f>
        <v>0</v>
      </c>
      <c r="GP151">
        <f>IF(BI151=4,ROUND(O151+X151+Y151,2)+GX151,0)</f>
        <v>0</v>
      </c>
      <c r="GR151">
        <v>0</v>
      </c>
      <c r="GS151">
        <v>3</v>
      </c>
      <c r="GT151">
        <v>0</v>
      </c>
      <c r="GU151" t="s">
        <v>3</v>
      </c>
      <c r="GV151">
        <f>ROUND((GT151),6)</f>
        <v>0</v>
      </c>
      <c r="GW151">
        <v>1</v>
      </c>
      <c r="GX151">
        <f>ROUND(HC151*I151,2)</f>
        <v>0</v>
      </c>
      <c r="HA151">
        <v>0</v>
      </c>
      <c r="HB151">
        <v>0</v>
      </c>
      <c r="HC151">
        <f>GV151*GW151</f>
        <v>0</v>
      </c>
      <c r="IK151">
        <v>0</v>
      </c>
    </row>
    <row r="152" spans="1:245" x14ac:dyDescent="0.2">
      <c r="A152">
        <v>17</v>
      </c>
      <c r="B152">
        <v>1</v>
      </c>
      <c r="C152">
        <f>ROW(SmtRes!A152)</f>
        <v>152</v>
      </c>
      <c r="D152">
        <f>ROW(EtalonRes!A164)</f>
        <v>164</v>
      </c>
      <c r="E152" t="s">
        <v>316</v>
      </c>
      <c r="F152" t="s">
        <v>263</v>
      </c>
      <c r="G152" t="s">
        <v>317</v>
      </c>
      <c r="H152" t="s">
        <v>265</v>
      </c>
      <c r="I152">
        <f>ROUND(I151,9)</f>
        <v>0.34799999999999998</v>
      </c>
      <c r="J152">
        <v>0</v>
      </c>
      <c r="O152">
        <f>ROUND(CP152,2)</f>
        <v>786.41</v>
      </c>
      <c r="P152">
        <f>ROUND(CQ152*I152,2)</f>
        <v>0</v>
      </c>
      <c r="Q152">
        <f>ROUND(CR152*I152,2)</f>
        <v>594.32000000000005</v>
      </c>
      <c r="R152">
        <f>ROUND(CS152*I152,2)</f>
        <v>63.21</v>
      </c>
      <c r="S152">
        <f>ROUND(CT152*I152,2)</f>
        <v>192.09</v>
      </c>
      <c r="T152">
        <f>ROUND(CU152*I152,2)</f>
        <v>0</v>
      </c>
      <c r="U152">
        <f>CV152*I152</f>
        <v>23.115551999999997</v>
      </c>
      <c r="V152">
        <f>CW152*I152</f>
        <v>6.2831399999999986</v>
      </c>
      <c r="W152">
        <f>ROUND(CX152*I152,2)</f>
        <v>0</v>
      </c>
      <c r="X152">
        <f t="shared" si="162"/>
        <v>265.51</v>
      </c>
      <c r="Y152">
        <f t="shared" si="162"/>
        <v>153.18</v>
      </c>
      <c r="AA152">
        <v>47631607</v>
      </c>
      <c r="AB152">
        <f>ROUND((AC152+AD152+AF152),6)</f>
        <v>2259.8074999999999</v>
      </c>
      <c r="AC152">
        <f>ROUND((ES152),6)</f>
        <v>0</v>
      </c>
      <c r="AD152">
        <f>ROUND(((((ET152*1.15))-((EU152*1.15)))+AE152),6)</f>
        <v>1707.819</v>
      </c>
      <c r="AE152">
        <f t="shared" si="163"/>
        <v>181.631</v>
      </c>
      <c r="AF152">
        <f t="shared" si="163"/>
        <v>551.98850000000004</v>
      </c>
      <c r="AG152">
        <f>ROUND((AP152),6)</f>
        <v>0</v>
      </c>
      <c r="AH152">
        <f t="shared" si="164"/>
        <v>66.423999999999992</v>
      </c>
      <c r="AI152">
        <f t="shared" si="164"/>
        <v>18.054999999999996</v>
      </c>
      <c r="AJ152">
        <f>(AS152)</f>
        <v>0</v>
      </c>
      <c r="AK152">
        <v>1965.05</v>
      </c>
      <c r="AL152">
        <v>0</v>
      </c>
      <c r="AM152">
        <v>1485.06</v>
      </c>
      <c r="AN152">
        <v>157.94</v>
      </c>
      <c r="AO152">
        <v>479.99</v>
      </c>
      <c r="AP152">
        <v>0</v>
      </c>
      <c r="AQ152">
        <v>57.76</v>
      </c>
      <c r="AR152">
        <v>15.7</v>
      </c>
      <c r="AS152">
        <v>0</v>
      </c>
      <c r="AT152">
        <v>104</v>
      </c>
      <c r="AU152">
        <v>60</v>
      </c>
      <c r="AV152">
        <v>1</v>
      </c>
      <c r="AW152">
        <v>1</v>
      </c>
      <c r="AZ152">
        <v>1</v>
      </c>
      <c r="BA152">
        <v>1</v>
      </c>
      <c r="BB152">
        <v>1</v>
      </c>
      <c r="BC152">
        <v>1</v>
      </c>
      <c r="BD152" t="s">
        <v>3</v>
      </c>
      <c r="BE152" t="s">
        <v>3</v>
      </c>
      <c r="BF152" t="s">
        <v>3</v>
      </c>
      <c r="BG152" t="s">
        <v>3</v>
      </c>
      <c r="BH152">
        <v>0</v>
      </c>
      <c r="BI152">
        <v>1</v>
      </c>
      <c r="BJ152" t="s">
        <v>266</v>
      </c>
      <c r="BM152">
        <v>68001</v>
      </c>
      <c r="BN152">
        <v>0</v>
      </c>
      <c r="BO152" t="s">
        <v>3</v>
      </c>
      <c r="BP152">
        <v>0</v>
      </c>
      <c r="BQ152">
        <v>6</v>
      </c>
      <c r="BR152">
        <v>0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 t="s">
        <v>3</v>
      </c>
      <c r="BZ152">
        <v>104</v>
      </c>
      <c r="CA152">
        <v>60</v>
      </c>
      <c r="CE152">
        <v>0</v>
      </c>
      <c r="CF152">
        <v>0</v>
      </c>
      <c r="CG152">
        <v>0</v>
      </c>
      <c r="CM152">
        <v>0</v>
      </c>
      <c r="CN152" t="s">
        <v>742</v>
      </c>
      <c r="CO152">
        <v>0</v>
      </c>
      <c r="CP152">
        <f>(P152+Q152+S152)</f>
        <v>786.41000000000008</v>
      </c>
      <c r="CQ152">
        <f>AC152*BC152</f>
        <v>0</v>
      </c>
      <c r="CR152">
        <f>AD152*BB152</f>
        <v>1707.819</v>
      </c>
      <c r="CS152">
        <f>AE152*BS152</f>
        <v>181.631</v>
      </c>
      <c r="CT152">
        <f>AF152*BA152</f>
        <v>551.98850000000004</v>
      </c>
      <c r="CU152">
        <f t="shared" si="165"/>
        <v>0</v>
      </c>
      <c r="CV152">
        <f t="shared" si="165"/>
        <v>66.423999999999992</v>
      </c>
      <c r="CW152">
        <f t="shared" si="165"/>
        <v>18.054999999999996</v>
      </c>
      <c r="CX152">
        <f t="shared" si="165"/>
        <v>0</v>
      </c>
      <c r="CY152">
        <f>(((S152+R152)*AT152)/100)</f>
        <v>265.512</v>
      </c>
      <c r="CZ152">
        <f>(((S152+R152)*AU152)/100)</f>
        <v>153.18</v>
      </c>
      <c r="DC152" t="s">
        <v>3</v>
      </c>
      <c r="DD152" t="s">
        <v>3</v>
      </c>
      <c r="DE152" t="s">
        <v>24</v>
      </c>
      <c r="DF152" t="s">
        <v>24</v>
      </c>
      <c r="DG152" t="s">
        <v>24</v>
      </c>
      <c r="DH152" t="s">
        <v>3</v>
      </c>
      <c r="DI152" t="s">
        <v>24</v>
      </c>
      <c r="DJ152" t="s">
        <v>24</v>
      </c>
      <c r="DK152" t="s">
        <v>3</v>
      </c>
      <c r="DL152" t="s">
        <v>3</v>
      </c>
      <c r="DM152" t="s">
        <v>3</v>
      </c>
      <c r="DN152">
        <v>0</v>
      </c>
      <c r="DO152">
        <v>0</v>
      </c>
      <c r="DP152">
        <v>1</v>
      </c>
      <c r="DQ152">
        <v>1</v>
      </c>
      <c r="DU152">
        <v>1005</v>
      </c>
      <c r="DV152" t="s">
        <v>265</v>
      </c>
      <c r="DW152" t="s">
        <v>265</v>
      </c>
      <c r="DX152">
        <v>1000</v>
      </c>
      <c r="EE152">
        <v>45919696</v>
      </c>
      <c r="EF152">
        <v>6</v>
      </c>
      <c r="EG152" t="s">
        <v>25</v>
      </c>
      <c r="EH152">
        <v>0</v>
      </c>
      <c r="EI152" t="s">
        <v>3</v>
      </c>
      <c r="EJ152">
        <v>1</v>
      </c>
      <c r="EK152">
        <v>68001</v>
      </c>
      <c r="EL152" t="s">
        <v>26</v>
      </c>
      <c r="EM152" t="s">
        <v>27</v>
      </c>
      <c r="EO152" t="s">
        <v>28</v>
      </c>
      <c r="EQ152">
        <v>0</v>
      </c>
      <c r="ER152">
        <v>1965.05</v>
      </c>
      <c r="ES152">
        <v>0</v>
      </c>
      <c r="ET152">
        <v>1485.06</v>
      </c>
      <c r="EU152">
        <v>157.94</v>
      </c>
      <c r="EV152">
        <v>479.99</v>
      </c>
      <c r="EW152">
        <v>57.76</v>
      </c>
      <c r="EX152">
        <v>15.7</v>
      </c>
      <c r="EY152">
        <v>0</v>
      </c>
      <c r="FQ152">
        <v>0</v>
      </c>
      <c r="FR152">
        <f t="shared" si="166"/>
        <v>0</v>
      </c>
      <c r="FS152">
        <v>0</v>
      </c>
      <c r="FX152">
        <v>104</v>
      </c>
      <c r="FY152">
        <v>60</v>
      </c>
      <c r="GA152" t="s">
        <v>3</v>
      </c>
      <c r="GD152">
        <v>1</v>
      </c>
      <c r="GF152">
        <v>631798066</v>
      </c>
      <c r="GG152">
        <v>2</v>
      </c>
      <c r="GH152">
        <v>1</v>
      </c>
      <c r="GI152">
        <v>-2</v>
      </c>
      <c r="GJ152">
        <v>0</v>
      </c>
      <c r="GK152">
        <v>0</v>
      </c>
      <c r="GL152">
        <f t="shared" si="167"/>
        <v>0</v>
      </c>
      <c r="GM152">
        <f>ROUND(O152+X152+Y152,2)+GX152</f>
        <v>1205.0999999999999</v>
      </c>
      <c r="GN152">
        <f>IF(OR(BI152=0,BI152=1),ROUND(O152+X152+Y152,2),0)</f>
        <v>1205.0999999999999</v>
      </c>
      <c r="GO152">
        <f>IF(BI152=2,ROUND(O152+X152+Y152,2),0)</f>
        <v>0</v>
      </c>
      <c r="GP152">
        <f>IF(BI152=4,ROUND(O152+X152+Y152,2)+GX152,0)</f>
        <v>0</v>
      </c>
      <c r="GR152">
        <v>0</v>
      </c>
      <c r="GS152">
        <v>3</v>
      </c>
      <c r="GT152">
        <v>0</v>
      </c>
      <c r="GU152" t="s">
        <v>3</v>
      </c>
      <c r="GV152">
        <f>ROUND((GT152),6)</f>
        <v>0</v>
      </c>
      <c r="GW152">
        <v>1</v>
      </c>
      <c r="GX152">
        <f>ROUND(HC152*I152,2)</f>
        <v>0</v>
      </c>
      <c r="HA152">
        <v>0</v>
      </c>
      <c r="HB152">
        <v>0</v>
      </c>
      <c r="HC152">
        <f>GV152*GW152</f>
        <v>0</v>
      </c>
      <c r="IK152">
        <v>0</v>
      </c>
    </row>
    <row r="153" spans="1:245" x14ac:dyDescent="0.2">
      <c r="A153">
        <v>17</v>
      </c>
      <c r="B153">
        <v>1</v>
      </c>
      <c r="C153">
        <f>ROW(SmtRes!A156)</f>
        <v>156</v>
      </c>
      <c r="D153">
        <f>ROW(EtalonRes!A168)</f>
        <v>168</v>
      </c>
      <c r="E153" t="s">
        <v>318</v>
      </c>
      <c r="F153" t="s">
        <v>268</v>
      </c>
      <c r="G153" t="s">
        <v>319</v>
      </c>
      <c r="H153" t="s">
        <v>154</v>
      </c>
      <c r="I153">
        <f>ROUND(348*0.5/100,9)</f>
        <v>1.74</v>
      </c>
      <c r="J153">
        <v>0</v>
      </c>
      <c r="O153">
        <f>ROUND(CP153,2)</f>
        <v>1193.25</v>
      </c>
      <c r="P153">
        <f>ROUND(CQ153*I153,2)</f>
        <v>0</v>
      </c>
      <c r="Q153">
        <f>ROUND(CR153*I153,2)</f>
        <v>903.97</v>
      </c>
      <c r="R153">
        <f>ROUND(CS153*I153,2)</f>
        <v>118.1</v>
      </c>
      <c r="S153">
        <f>ROUND(CT153*I153,2)</f>
        <v>289.27999999999997</v>
      </c>
      <c r="T153">
        <f>ROUND(CU153*I153,2)</f>
        <v>0</v>
      </c>
      <c r="U153">
        <f>CV153*I153</f>
        <v>36.758369999999999</v>
      </c>
      <c r="V153">
        <f>CW153*I153</f>
        <v>9.3046500000000005</v>
      </c>
      <c r="W153">
        <f>ROUND(CX153*I153,2)</f>
        <v>0</v>
      </c>
      <c r="X153">
        <f t="shared" si="162"/>
        <v>423.68</v>
      </c>
      <c r="Y153">
        <f t="shared" si="162"/>
        <v>244.43</v>
      </c>
      <c r="AA153">
        <v>47631607</v>
      </c>
      <c r="AB153">
        <f>ROUND((AC153+AD153+AF153),6)</f>
        <v>685.77949999999998</v>
      </c>
      <c r="AC153">
        <f>ROUND((ES153),6)</f>
        <v>0</v>
      </c>
      <c r="AD153">
        <f>ROUND(((((ET153*1.15))-((EU153*1.15)))+AE153),6)</f>
        <v>519.524</v>
      </c>
      <c r="AE153">
        <f t="shared" si="163"/>
        <v>67.873000000000005</v>
      </c>
      <c r="AF153">
        <f t="shared" si="163"/>
        <v>166.25550000000001</v>
      </c>
      <c r="AG153">
        <f>ROUND((AP153),6)</f>
        <v>0</v>
      </c>
      <c r="AH153">
        <f t="shared" si="164"/>
        <v>21.125499999999999</v>
      </c>
      <c r="AI153">
        <f t="shared" si="164"/>
        <v>5.3475000000000001</v>
      </c>
      <c r="AJ153">
        <f>(AS153)</f>
        <v>0</v>
      </c>
      <c r="AK153">
        <v>596.33000000000004</v>
      </c>
      <c r="AL153">
        <v>0</v>
      </c>
      <c r="AM153">
        <v>451.76</v>
      </c>
      <c r="AN153">
        <v>59.02</v>
      </c>
      <c r="AO153">
        <v>144.57</v>
      </c>
      <c r="AP153">
        <v>0</v>
      </c>
      <c r="AQ153">
        <v>18.37</v>
      </c>
      <c r="AR153">
        <v>4.6500000000000004</v>
      </c>
      <c r="AS153">
        <v>0</v>
      </c>
      <c r="AT153">
        <v>104</v>
      </c>
      <c r="AU153">
        <v>60</v>
      </c>
      <c r="AV153">
        <v>1</v>
      </c>
      <c r="AW153">
        <v>1</v>
      </c>
      <c r="AZ153">
        <v>1</v>
      </c>
      <c r="BA153">
        <v>1</v>
      </c>
      <c r="BB153">
        <v>1</v>
      </c>
      <c r="BC153">
        <v>1</v>
      </c>
      <c r="BD153" t="s">
        <v>3</v>
      </c>
      <c r="BE153" t="s">
        <v>3</v>
      </c>
      <c r="BF153" t="s">
        <v>3</v>
      </c>
      <c r="BG153" t="s">
        <v>3</v>
      </c>
      <c r="BH153">
        <v>0</v>
      </c>
      <c r="BI153">
        <v>1</v>
      </c>
      <c r="BJ153" t="s">
        <v>270</v>
      </c>
      <c r="BM153">
        <v>68001</v>
      </c>
      <c r="BN153">
        <v>0</v>
      </c>
      <c r="BO153" t="s">
        <v>3</v>
      </c>
      <c r="BP153">
        <v>0</v>
      </c>
      <c r="BQ153">
        <v>6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</v>
      </c>
      <c r="BZ153">
        <v>104</v>
      </c>
      <c r="CA153">
        <v>60</v>
      </c>
      <c r="CE153">
        <v>0</v>
      </c>
      <c r="CF153">
        <v>0</v>
      </c>
      <c r="CG153">
        <v>0</v>
      </c>
      <c r="CM153">
        <v>0</v>
      </c>
      <c r="CN153" t="s">
        <v>742</v>
      </c>
      <c r="CO153">
        <v>0</v>
      </c>
      <c r="CP153">
        <f>(P153+Q153+S153)</f>
        <v>1193.25</v>
      </c>
      <c r="CQ153">
        <f>AC153*BC153</f>
        <v>0</v>
      </c>
      <c r="CR153">
        <f>AD153*BB153</f>
        <v>519.524</v>
      </c>
      <c r="CS153">
        <f>AE153*BS153</f>
        <v>67.873000000000005</v>
      </c>
      <c r="CT153">
        <f>AF153*BA153</f>
        <v>166.25550000000001</v>
      </c>
      <c r="CU153">
        <f t="shared" si="165"/>
        <v>0</v>
      </c>
      <c r="CV153">
        <f t="shared" si="165"/>
        <v>21.125499999999999</v>
      </c>
      <c r="CW153">
        <f t="shared" si="165"/>
        <v>5.3475000000000001</v>
      </c>
      <c r="CX153">
        <f t="shared" si="165"/>
        <v>0</v>
      </c>
      <c r="CY153">
        <f>(((S153+R153)*AT153)/100)</f>
        <v>423.67519999999996</v>
      </c>
      <c r="CZ153">
        <f>(((S153+R153)*AU153)/100)</f>
        <v>244.428</v>
      </c>
      <c r="DC153" t="s">
        <v>3</v>
      </c>
      <c r="DD153" t="s">
        <v>3</v>
      </c>
      <c r="DE153" t="s">
        <v>24</v>
      </c>
      <c r="DF153" t="s">
        <v>24</v>
      </c>
      <c r="DG153" t="s">
        <v>24</v>
      </c>
      <c r="DH153" t="s">
        <v>3</v>
      </c>
      <c r="DI153" t="s">
        <v>24</v>
      </c>
      <c r="DJ153" t="s">
        <v>24</v>
      </c>
      <c r="DK153" t="s">
        <v>3</v>
      </c>
      <c r="DL153" t="s">
        <v>3</v>
      </c>
      <c r="DM153" t="s">
        <v>3</v>
      </c>
      <c r="DN153">
        <v>0</v>
      </c>
      <c r="DO153">
        <v>0</v>
      </c>
      <c r="DP153">
        <v>1</v>
      </c>
      <c r="DQ153">
        <v>1</v>
      </c>
      <c r="DU153">
        <v>1007</v>
      </c>
      <c r="DV153" t="s">
        <v>154</v>
      </c>
      <c r="DW153" t="s">
        <v>154</v>
      </c>
      <c r="DX153">
        <v>100</v>
      </c>
      <c r="EE153">
        <v>45919696</v>
      </c>
      <c r="EF153">
        <v>6</v>
      </c>
      <c r="EG153" t="s">
        <v>25</v>
      </c>
      <c r="EH153">
        <v>0</v>
      </c>
      <c r="EI153" t="s">
        <v>3</v>
      </c>
      <c r="EJ153">
        <v>1</v>
      </c>
      <c r="EK153">
        <v>68001</v>
      </c>
      <c r="EL153" t="s">
        <v>26</v>
      </c>
      <c r="EM153" t="s">
        <v>27</v>
      </c>
      <c r="EO153" t="s">
        <v>28</v>
      </c>
      <c r="EQ153">
        <v>0</v>
      </c>
      <c r="ER153">
        <v>596.33000000000004</v>
      </c>
      <c r="ES153">
        <v>0</v>
      </c>
      <c r="ET153">
        <v>451.76</v>
      </c>
      <c r="EU153">
        <v>59.02</v>
      </c>
      <c r="EV153">
        <v>144.57</v>
      </c>
      <c r="EW153">
        <v>18.37</v>
      </c>
      <c r="EX153">
        <v>4.6500000000000004</v>
      </c>
      <c r="EY153">
        <v>0</v>
      </c>
      <c r="FQ153">
        <v>0</v>
      </c>
      <c r="FR153">
        <f t="shared" si="166"/>
        <v>0</v>
      </c>
      <c r="FS153">
        <v>0</v>
      </c>
      <c r="FX153">
        <v>104</v>
      </c>
      <c r="FY153">
        <v>60</v>
      </c>
      <c r="GA153" t="s">
        <v>3</v>
      </c>
      <c r="GD153">
        <v>1</v>
      </c>
      <c r="GF153">
        <v>-60188104</v>
      </c>
      <c r="GG153">
        <v>2</v>
      </c>
      <c r="GH153">
        <v>1</v>
      </c>
      <c r="GI153">
        <v>-2</v>
      </c>
      <c r="GJ153">
        <v>0</v>
      </c>
      <c r="GK153">
        <v>0</v>
      </c>
      <c r="GL153">
        <f t="shared" si="167"/>
        <v>0</v>
      </c>
      <c r="GM153">
        <f>ROUND(O153+X153+Y153,2)+GX153</f>
        <v>1861.36</v>
      </c>
      <c r="GN153">
        <f>IF(OR(BI153=0,BI153=1),ROUND(O153+X153+Y153,2),0)</f>
        <v>1861.36</v>
      </c>
      <c r="GO153">
        <f>IF(BI153=2,ROUND(O153+X153+Y153,2),0)</f>
        <v>0</v>
      </c>
      <c r="GP153">
        <f>IF(BI153=4,ROUND(O153+X153+Y153,2)+GX153,0)</f>
        <v>0</v>
      </c>
      <c r="GR153">
        <v>0</v>
      </c>
      <c r="GS153">
        <v>3</v>
      </c>
      <c r="GT153">
        <v>0</v>
      </c>
      <c r="GU153" t="s">
        <v>3</v>
      </c>
      <c r="GV153">
        <f>ROUND((GT153),6)</f>
        <v>0</v>
      </c>
      <c r="GW153">
        <v>1</v>
      </c>
      <c r="GX153">
        <f>ROUND(HC153*I153,2)</f>
        <v>0</v>
      </c>
      <c r="HA153">
        <v>0</v>
      </c>
      <c r="HB153">
        <v>0</v>
      </c>
      <c r="HC153">
        <f>GV153*GW153</f>
        <v>0</v>
      </c>
      <c r="IK153">
        <v>0</v>
      </c>
    </row>
    <row r="154" spans="1:245" x14ac:dyDescent="0.2">
      <c r="A154">
        <v>17</v>
      </c>
      <c r="B154">
        <v>1</v>
      </c>
      <c r="E154" t="s">
        <v>320</v>
      </c>
      <c r="F154" t="s">
        <v>272</v>
      </c>
      <c r="G154" t="s">
        <v>273</v>
      </c>
      <c r="H154" t="s">
        <v>36</v>
      </c>
      <c r="I154">
        <f>ROUND(I151*1000*0.04*2*2+I153*100*1.35,9)</f>
        <v>290.58</v>
      </c>
      <c r="J154">
        <v>0</v>
      </c>
      <c r="O154">
        <f>0</f>
        <v>0</v>
      </c>
      <c r="P154">
        <f>0</f>
        <v>0</v>
      </c>
      <c r="Q154">
        <f>0</f>
        <v>0</v>
      </c>
      <c r="R154">
        <f>0</f>
        <v>0</v>
      </c>
      <c r="S154">
        <f>0</f>
        <v>0</v>
      </c>
      <c r="T154">
        <f>0</f>
        <v>0</v>
      </c>
      <c r="U154">
        <f>0</f>
        <v>0</v>
      </c>
      <c r="V154">
        <f>0</f>
        <v>0</v>
      </c>
      <c r="W154">
        <f>0</f>
        <v>0</v>
      </c>
      <c r="X154">
        <f>0</f>
        <v>0</v>
      </c>
      <c r="Y154">
        <f>0</f>
        <v>0</v>
      </c>
      <c r="AA154">
        <v>47631607</v>
      </c>
      <c r="AB154">
        <f>ROUND((AK154),6)</f>
        <v>7.96</v>
      </c>
      <c r="AC154">
        <f>0</f>
        <v>0</v>
      </c>
      <c r="AD154">
        <f>0</f>
        <v>0</v>
      </c>
      <c r="AE154">
        <f>0</f>
        <v>0</v>
      </c>
      <c r="AF154">
        <f>0</f>
        <v>0</v>
      </c>
      <c r="AG154">
        <f>0</f>
        <v>0</v>
      </c>
      <c r="AH154">
        <f>0</f>
        <v>0</v>
      </c>
      <c r="AI154">
        <f>0</f>
        <v>0</v>
      </c>
      <c r="AJ154">
        <f>0</f>
        <v>0</v>
      </c>
      <c r="AK154">
        <v>7.96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1</v>
      </c>
      <c r="AW154">
        <v>1</v>
      </c>
      <c r="AZ154">
        <v>1</v>
      </c>
      <c r="BA154">
        <v>1</v>
      </c>
      <c r="BB154">
        <v>1</v>
      </c>
      <c r="BC154">
        <v>1</v>
      </c>
      <c r="BD154" t="s">
        <v>3</v>
      </c>
      <c r="BE154" t="s">
        <v>3</v>
      </c>
      <c r="BF154" t="s">
        <v>3</v>
      </c>
      <c r="BG154" t="s">
        <v>3</v>
      </c>
      <c r="BH154">
        <v>0</v>
      </c>
      <c r="BI154">
        <v>1</v>
      </c>
      <c r="BJ154" t="s">
        <v>274</v>
      </c>
      <c r="BM154">
        <v>700004</v>
      </c>
      <c r="BN154">
        <v>0</v>
      </c>
      <c r="BO154" t="s">
        <v>3</v>
      </c>
      <c r="BP154">
        <v>0</v>
      </c>
      <c r="BQ154">
        <v>19</v>
      </c>
      <c r="BR154">
        <v>0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 t="s">
        <v>3</v>
      </c>
      <c r="BZ154">
        <v>0</v>
      </c>
      <c r="CA154">
        <v>0</v>
      </c>
      <c r="CE154">
        <v>0</v>
      </c>
      <c r="CF154">
        <v>0</v>
      </c>
      <c r="CG154">
        <v>0</v>
      </c>
      <c r="CM154">
        <v>0</v>
      </c>
      <c r="CN154" t="s">
        <v>3</v>
      </c>
      <c r="CO154">
        <v>0</v>
      </c>
      <c r="CP154">
        <f>AB154*AZ154</f>
        <v>7.96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C154" t="s">
        <v>3</v>
      </c>
      <c r="DD154" t="s">
        <v>3</v>
      </c>
      <c r="DE154" t="s">
        <v>3</v>
      </c>
      <c r="DF154" t="s">
        <v>3</v>
      </c>
      <c r="DG154" t="s">
        <v>3</v>
      </c>
      <c r="DH154" t="s">
        <v>3</v>
      </c>
      <c r="DI154" t="s">
        <v>3</v>
      </c>
      <c r="DJ154" t="s">
        <v>3</v>
      </c>
      <c r="DK154" t="s">
        <v>3</v>
      </c>
      <c r="DL154" t="s">
        <v>3</v>
      </c>
      <c r="DM154" t="s">
        <v>3</v>
      </c>
      <c r="DN154">
        <v>0</v>
      </c>
      <c r="DO154">
        <v>0</v>
      </c>
      <c r="DP154">
        <v>1</v>
      </c>
      <c r="DQ154">
        <v>1</v>
      </c>
      <c r="DU154">
        <v>1013</v>
      </c>
      <c r="DV154" t="s">
        <v>36</v>
      </c>
      <c r="DW154" t="s">
        <v>36</v>
      </c>
      <c r="DX154">
        <v>1</v>
      </c>
      <c r="EE154">
        <v>45919758</v>
      </c>
      <c r="EF154">
        <v>19</v>
      </c>
      <c r="EG154" t="s">
        <v>38</v>
      </c>
      <c r="EH154">
        <v>0</v>
      </c>
      <c r="EI154" t="s">
        <v>3</v>
      </c>
      <c r="EJ154">
        <v>1</v>
      </c>
      <c r="EK154">
        <v>700004</v>
      </c>
      <c r="EL154" t="s">
        <v>39</v>
      </c>
      <c r="EM154" t="s">
        <v>40</v>
      </c>
      <c r="EO154" t="s">
        <v>3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FQ154">
        <v>0</v>
      </c>
      <c r="FR154">
        <f t="shared" si="166"/>
        <v>0</v>
      </c>
      <c r="FS154">
        <v>0</v>
      </c>
      <c r="FX154">
        <v>0</v>
      </c>
      <c r="FY154">
        <v>0</v>
      </c>
      <c r="GA154" t="s">
        <v>3</v>
      </c>
      <c r="GD154">
        <v>1</v>
      </c>
      <c r="GF154">
        <v>1271559001</v>
      </c>
      <c r="GG154">
        <v>2</v>
      </c>
      <c r="GH154">
        <v>1</v>
      </c>
      <c r="GI154">
        <v>-2</v>
      </c>
      <c r="GJ154">
        <v>2</v>
      </c>
      <c r="GK154">
        <v>0</v>
      </c>
      <c r="GL154">
        <f t="shared" si="167"/>
        <v>0</v>
      </c>
      <c r="GM154">
        <f>ROUND(CP154*I154,2)</f>
        <v>2313.02</v>
      </c>
      <c r="GN154">
        <f>IF(OR(BI154=0,BI154=1),ROUND(CP154*I154,2),0)</f>
        <v>2313.02</v>
      </c>
      <c r="GO154">
        <f>IF(BI154=2,ROUND(CP154*I154,2),0)</f>
        <v>0</v>
      </c>
      <c r="GP154">
        <f>IF(BI154=4,ROUND(CP154*I154,2)+GX154,0)</f>
        <v>0</v>
      </c>
      <c r="GR154">
        <v>0</v>
      </c>
      <c r="GS154">
        <v>3</v>
      </c>
      <c r="GT154">
        <v>0</v>
      </c>
      <c r="GU154" t="s">
        <v>3</v>
      </c>
      <c r="GV154">
        <f>0</f>
        <v>0</v>
      </c>
      <c r="GW154">
        <v>1</v>
      </c>
      <c r="GX154">
        <f>0</f>
        <v>0</v>
      </c>
      <c r="HA154">
        <v>0</v>
      </c>
      <c r="HB154">
        <v>0</v>
      </c>
      <c r="HC154">
        <v>0</v>
      </c>
      <c r="IK154">
        <v>0</v>
      </c>
    </row>
    <row r="155" spans="1:245" x14ac:dyDescent="0.2">
      <c r="A155">
        <v>17</v>
      </c>
      <c r="B155">
        <v>1</v>
      </c>
      <c r="E155" t="s">
        <v>321</v>
      </c>
      <c r="F155" t="s">
        <v>42</v>
      </c>
      <c r="G155" t="s">
        <v>43</v>
      </c>
      <c r="H155" t="s">
        <v>36</v>
      </c>
      <c r="I155">
        <f>ROUND(I154,9)</f>
        <v>290.58</v>
      </c>
      <c r="J155">
        <v>0</v>
      </c>
      <c r="O155">
        <f>0</f>
        <v>0</v>
      </c>
      <c r="P155">
        <f>0</f>
        <v>0</v>
      </c>
      <c r="Q155">
        <f>0</f>
        <v>0</v>
      </c>
      <c r="R155">
        <f>0</f>
        <v>0</v>
      </c>
      <c r="S155">
        <f>0</f>
        <v>0</v>
      </c>
      <c r="T155">
        <f>0</f>
        <v>0</v>
      </c>
      <c r="U155">
        <f>0</f>
        <v>0</v>
      </c>
      <c r="V155">
        <f>0</f>
        <v>0</v>
      </c>
      <c r="W155">
        <f>0</f>
        <v>0</v>
      </c>
      <c r="X155">
        <f>0</f>
        <v>0</v>
      </c>
      <c r="Y155">
        <f>0</f>
        <v>0</v>
      </c>
      <c r="AA155">
        <v>47631607</v>
      </c>
      <c r="AB155">
        <f>ROUND((AK155),6)</f>
        <v>17.32</v>
      </c>
      <c r="AC155">
        <f>0</f>
        <v>0</v>
      </c>
      <c r="AD155">
        <f>0</f>
        <v>0</v>
      </c>
      <c r="AE155">
        <f>0</f>
        <v>0</v>
      </c>
      <c r="AF155">
        <f>0</f>
        <v>0</v>
      </c>
      <c r="AG155">
        <f>0</f>
        <v>0</v>
      </c>
      <c r="AH155">
        <f>0</f>
        <v>0</v>
      </c>
      <c r="AI155">
        <f>0</f>
        <v>0</v>
      </c>
      <c r="AJ155">
        <f>0</f>
        <v>0</v>
      </c>
      <c r="AK155">
        <v>17.32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1</v>
      </c>
      <c r="AW155">
        <v>1</v>
      </c>
      <c r="AZ155">
        <v>1</v>
      </c>
      <c r="BA155">
        <v>1</v>
      </c>
      <c r="BB155">
        <v>1</v>
      </c>
      <c r="BC155">
        <v>1</v>
      </c>
      <c r="BD155" t="s">
        <v>3</v>
      </c>
      <c r="BE155" t="s">
        <v>3</v>
      </c>
      <c r="BF155" t="s">
        <v>3</v>
      </c>
      <c r="BG155" t="s">
        <v>3</v>
      </c>
      <c r="BH155">
        <v>0</v>
      </c>
      <c r="BI155">
        <v>1</v>
      </c>
      <c r="BJ155" t="s">
        <v>44</v>
      </c>
      <c r="BM155">
        <v>700005</v>
      </c>
      <c r="BN155">
        <v>0</v>
      </c>
      <c r="BO155" t="s">
        <v>3</v>
      </c>
      <c r="BP155">
        <v>0</v>
      </c>
      <c r="BQ155">
        <v>10</v>
      </c>
      <c r="BR155">
        <v>0</v>
      </c>
      <c r="BS155">
        <v>1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</v>
      </c>
      <c r="BZ155">
        <v>0</v>
      </c>
      <c r="CA155">
        <v>0</v>
      </c>
      <c r="CE155">
        <v>0</v>
      </c>
      <c r="CF155">
        <v>0</v>
      </c>
      <c r="CG155">
        <v>0</v>
      </c>
      <c r="CM155">
        <v>0</v>
      </c>
      <c r="CN155" t="s">
        <v>3</v>
      </c>
      <c r="CO155">
        <v>0</v>
      </c>
      <c r="CP155">
        <f>AB155*AZ155</f>
        <v>17.32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C155" t="s">
        <v>3</v>
      </c>
      <c r="DD155" t="s">
        <v>3</v>
      </c>
      <c r="DE155" t="s">
        <v>3</v>
      </c>
      <c r="DF155" t="s">
        <v>3</v>
      </c>
      <c r="DG155" t="s">
        <v>3</v>
      </c>
      <c r="DH155" t="s">
        <v>3</v>
      </c>
      <c r="DI155" t="s">
        <v>3</v>
      </c>
      <c r="DJ155" t="s">
        <v>3</v>
      </c>
      <c r="DK155" t="s">
        <v>3</v>
      </c>
      <c r="DL155" t="s">
        <v>3</v>
      </c>
      <c r="DM155" t="s">
        <v>3</v>
      </c>
      <c r="DN155">
        <v>0</v>
      </c>
      <c r="DO155">
        <v>0</v>
      </c>
      <c r="DP155">
        <v>1</v>
      </c>
      <c r="DQ155">
        <v>1</v>
      </c>
      <c r="DU155">
        <v>1013</v>
      </c>
      <c r="DV155" t="s">
        <v>36</v>
      </c>
      <c r="DW155" t="s">
        <v>36</v>
      </c>
      <c r="DX155">
        <v>1</v>
      </c>
      <c r="EE155">
        <v>45919762</v>
      </c>
      <c r="EF155">
        <v>10</v>
      </c>
      <c r="EG155" t="s">
        <v>45</v>
      </c>
      <c r="EH155">
        <v>0</v>
      </c>
      <c r="EI155" t="s">
        <v>3</v>
      </c>
      <c r="EJ155">
        <v>1</v>
      </c>
      <c r="EK155">
        <v>700005</v>
      </c>
      <c r="EL155" t="s">
        <v>46</v>
      </c>
      <c r="EM155" t="s">
        <v>47</v>
      </c>
      <c r="EO155" t="s">
        <v>3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FQ155">
        <v>0</v>
      </c>
      <c r="FR155">
        <f t="shared" si="166"/>
        <v>0</v>
      </c>
      <c r="FS155">
        <v>0</v>
      </c>
      <c r="FX155">
        <v>0</v>
      </c>
      <c r="FY155">
        <v>0</v>
      </c>
      <c r="GA155" t="s">
        <v>3</v>
      </c>
      <c r="GD155">
        <v>1</v>
      </c>
      <c r="GF155">
        <v>1719553039</v>
      </c>
      <c r="GG155">
        <v>2</v>
      </c>
      <c r="GH155">
        <v>1</v>
      </c>
      <c r="GI155">
        <v>-2</v>
      </c>
      <c r="GJ155">
        <v>2</v>
      </c>
      <c r="GK155">
        <v>0</v>
      </c>
      <c r="GL155">
        <f t="shared" si="167"/>
        <v>0</v>
      </c>
      <c r="GM155">
        <f>ROUND(CP155*I155,2)</f>
        <v>5032.8500000000004</v>
      </c>
      <c r="GN155">
        <f>IF(OR(BI155=0,BI155=1),ROUND(CP155*I155,2),0)</f>
        <v>5032.8500000000004</v>
      </c>
      <c r="GO155">
        <f>IF(BI155=2,ROUND(CP155*I155,2),0)</f>
        <v>0</v>
      </c>
      <c r="GP155">
        <f>IF(BI155=4,ROUND(CP155*I155,2)+GX155,0)</f>
        <v>0</v>
      </c>
      <c r="GR155">
        <v>0</v>
      </c>
      <c r="GS155">
        <v>3</v>
      </c>
      <c r="GT155">
        <v>0</v>
      </c>
      <c r="GU155" t="s">
        <v>3</v>
      </c>
      <c r="GV155">
        <f>0</f>
        <v>0</v>
      </c>
      <c r="GW155">
        <v>1</v>
      </c>
      <c r="GX155">
        <f>0</f>
        <v>0</v>
      </c>
      <c r="HA155">
        <v>0</v>
      </c>
      <c r="HB155">
        <v>0</v>
      </c>
      <c r="HC155">
        <v>0</v>
      </c>
      <c r="IK155">
        <v>0</v>
      </c>
    </row>
    <row r="156" spans="1:245" x14ac:dyDescent="0.2">
      <c r="A156">
        <v>17</v>
      </c>
      <c r="B156">
        <v>1</v>
      </c>
      <c r="C156">
        <f>ROW(SmtRes!A164)</f>
        <v>164</v>
      </c>
      <c r="D156">
        <f>ROW(EtalonRes!A176)</f>
        <v>176</v>
      </c>
      <c r="E156" t="s">
        <v>322</v>
      </c>
      <c r="F156" t="s">
        <v>277</v>
      </c>
      <c r="G156" t="s">
        <v>323</v>
      </c>
      <c r="H156" t="s">
        <v>154</v>
      </c>
      <c r="I156">
        <f>ROUND((348*0.2)/100,9)</f>
        <v>0.69599999999999995</v>
      </c>
      <c r="J156">
        <v>0</v>
      </c>
      <c r="O156">
        <f t="shared" ref="O156:O168" si="168">ROUND(CP156,2)</f>
        <v>2269.3200000000002</v>
      </c>
      <c r="P156">
        <f t="shared" ref="P156:P168" si="169">ROUND(CQ156*I156,2)</f>
        <v>8.49</v>
      </c>
      <c r="Q156">
        <f t="shared" ref="Q156:Q168" si="170">ROUND(CR156*I156,2)</f>
        <v>2144.79</v>
      </c>
      <c r="R156">
        <f t="shared" ref="R156:R168" si="171">ROUND(CS156*I156,2)</f>
        <v>177.68</v>
      </c>
      <c r="S156">
        <f t="shared" ref="S156:S168" si="172">ROUND(CT156*I156,2)</f>
        <v>116.04</v>
      </c>
      <c r="T156">
        <f t="shared" ref="T156:T168" si="173">ROUND(CU156*I156,2)</f>
        <v>0</v>
      </c>
      <c r="U156">
        <f t="shared" ref="U156:U168" si="174">CV156*I156</f>
        <v>14.469631199999997</v>
      </c>
      <c r="V156">
        <f t="shared" ref="V156:V168" si="175">CW156*I156</f>
        <v>13.886939999999999</v>
      </c>
      <c r="W156">
        <f t="shared" ref="W156:W168" si="176">ROUND(CX156*I156,2)</f>
        <v>0</v>
      </c>
      <c r="X156">
        <f t="shared" ref="X156:X168" si="177">ROUND(CY156,2)</f>
        <v>375.96</v>
      </c>
      <c r="Y156">
        <f t="shared" ref="Y156:Y168" si="178">ROUND(CZ156,2)</f>
        <v>237.91</v>
      </c>
      <c r="AA156">
        <v>47631607</v>
      </c>
      <c r="AB156">
        <f t="shared" ref="AB156:AB168" si="179">ROUND((AC156+AD156+AF156),6)</f>
        <v>3260.525075</v>
      </c>
      <c r="AC156">
        <f t="shared" ref="AC156:AC162" si="180">ROUND((ES156),6)</f>
        <v>12.2</v>
      </c>
      <c r="AD156">
        <f>ROUND((((((ET156*1.15)*1.25))-(((EU156*1.15)*1.25)))+AE156),6)</f>
        <v>3081.5974999999999</v>
      </c>
      <c r="AE156">
        <f>ROUND((((EU156*1.15)*1.25)),6)</f>
        <v>255.28562500000001</v>
      </c>
      <c r="AF156">
        <f>ROUND((((EV156*1.15)*1.15)),6)</f>
        <v>166.727575</v>
      </c>
      <c r="AG156">
        <f t="shared" ref="AG156:AG168" si="181">ROUND((AP156),6)</f>
        <v>0</v>
      </c>
      <c r="AH156">
        <f>(((EW156*1.15)*1.15))</f>
        <v>20.789699999999996</v>
      </c>
      <c r="AI156">
        <f>(((EX156*1.15)*1.25))</f>
        <v>19.952500000000001</v>
      </c>
      <c r="AJ156">
        <f t="shared" ref="AJ156:AJ168" si="182">(AS156)</f>
        <v>0</v>
      </c>
      <c r="AK156">
        <v>2281.9899999999998</v>
      </c>
      <c r="AL156">
        <v>12.2</v>
      </c>
      <c r="AM156">
        <v>2143.7199999999998</v>
      </c>
      <c r="AN156">
        <v>177.59</v>
      </c>
      <c r="AO156">
        <v>126.07</v>
      </c>
      <c r="AP156">
        <v>0</v>
      </c>
      <c r="AQ156">
        <v>15.72</v>
      </c>
      <c r="AR156">
        <v>13.88</v>
      </c>
      <c r="AS156">
        <v>0</v>
      </c>
      <c r="AT156">
        <v>128</v>
      </c>
      <c r="AU156">
        <v>81</v>
      </c>
      <c r="AV156">
        <v>1</v>
      </c>
      <c r="AW156">
        <v>1</v>
      </c>
      <c r="AZ156">
        <v>1</v>
      </c>
      <c r="BA156">
        <v>1</v>
      </c>
      <c r="BB156">
        <v>1</v>
      </c>
      <c r="BC156">
        <v>1</v>
      </c>
      <c r="BD156" t="s">
        <v>3</v>
      </c>
      <c r="BE156" t="s">
        <v>3</v>
      </c>
      <c r="BF156" t="s">
        <v>3</v>
      </c>
      <c r="BG156" t="s">
        <v>3</v>
      </c>
      <c r="BH156">
        <v>0</v>
      </c>
      <c r="BI156">
        <v>1</v>
      </c>
      <c r="BJ156" t="s">
        <v>279</v>
      </c>
      <c r="BM156">
        <v>27001</v>
      </c>
      <c r="BN156">
        <v>0</v>
      </c>
      <c r="BO156" t="s">
        <v>3</v>
      </c>
      <c r="BP156">
        <v>0</v>
      </c>
      <c r="BQ156">
        <v>2</v>
      </c>
      <c r="BR156">
        <v>0</v>
      </c>
      <c r="BS156">
        <v>1</v>
      </c>
      <c r="BT156">
        <v>1</v>
      </c>
      <c r="BU156">
        <v>1</v>
      </c>
      <c r="BV156">
        <v>1</v>
      </c>
      <c r="BW156">
        <v>1</v>
      </c>
      <c r="BX156">
        <v>1</v>
      </c>
      <c r="BY156" t="s">
        <v>3</v>
      </c>
      <c r="BZ156">
        <v>142</v>
      </c>
      <c r="CA156">
        <v>95</v>
      </c>
      <c r="CE156">
        <v>0</v>
      </c>
      <c r="CF156">
        <v>0</v>
      </c>
      <c r="CG156">
        <v>0</v>
      </c>
      <c r="CM156">
        <v>0</v>
      </c>
      <c r="CN156" t="s">
        <v>746</v>
      </c>
      <c r="CO156">
        <v>0</v>
      </c>
      <c r="CP156">
        <f t="shared" ref="CP156:CP168" si="183">(P156+Q156+S156)</f>
        <v>2269.3199999999997</v>
      </c>
      <c r="CQ156">
        <f t="shared" ref="CQ156:CQ168" si="184">AC156*BC156</f>
        <v>12.2</v>
      </c>
      <c r="CR156">
        <f t="shared" ref="CR156:CR168" si="185">AD156*BB156</f>
        <v>3081.5974999999999</v>
      </c>
      <c r="CS156">
        <f t="shared" ref="CS156:CS168" si="186">AE156*BS156</f>
        <v>255.28562500000001</v>
      </c>
      <c r="CT156">
        <f t="shared" ref="CT156:CT168" si="187">AF156*BA156</f>
        <v>166.727575</v>
      </c>
      <c r="CU156">
        <f t="shared" ref="CU156:CU168" si="188">AG156</f>
        <v>0</v>
      </c>
      <c r="CV156">
        <f t="shared" ref="CV156:CV168" si="189">AH156</f>
        <v>20.789699999999996</v>
      </c>
      <c r="CW156">
        <f t="shared" ref="CW156:CW168" si="190">AI156</f>
        <v>19.952500000000001</v>
      </c>
      <c r="CX156">
        <f t="shared" ref="CX156:CX168" si="191">AJ156</f>
        <v>0</v>
      </c>
      <c r="CY156">
        <f t="shared" ref="CY156:CY168" si="192">(((S156+R156)*AT156)/100)</f>
        <v>375.96160000000003</v>
      </c>
      <c r="CZ156">
        <f t="shared" ref="CZ156:CZ168" si="193">(((S156+R156)*AU156)/100)</f>
        <v>237.91320000000005</v>
      </c>
      <c r="DC156" t="s">
        <v>3</v>
      </c>
      <c r="DD156" t="s">
        <v>3</v>
      </c>
      <c r="DE156" t="s">
        <v>280</v>
      </c>
      <c r="DF156" t="s">
        <v>280</v>
      </c>
      <c r="DG156" t="s">
        <v>53</v>
      </c>
      <c r="DH156" t="s">
        <v>3</v>
      </c>
      <c r="DI156" t="s">
        <v>53</v>
      </c>
      <c r="DJ156" t="s">
        <v>280</v>
      </c>
      <c r="DK156" t="s">
        <v>3</v>
      </c>
      <c r="DL156" t="s">
        <v>3</v>
      </c>
      <c r="DM156" t="s">
        <v>3</v>
      </c>
      <c r="DN156">
        <v>0</v>
      </c>
      <c r="DO156">
        <v>0</v>
      </c>
      <c r="DP156">
        <v>1</v>
      </c>
      <c r="DQ156">
        <v>1</v>
      </c>
      <c r="DU156">
        <v>1007</v>
      </c>
      <c r="DV156" t="s">
        <v>154</v>
      </c>
      <c r="DW156" t="s">
        <v>154</v>
      </c>
      <c r="DX156">
        <v>100</v>
      </c>
      <c r="EE156">
        <v>45919611</v>
      </c>
      <c r="EF156">
        <v>2</v>
      </c>
      <c r="EG156" t="s">
        <v>54</v>
      </c>
      <c r="EH156">
        <v>0</v>
      </c>
      <c r="EI156" t="s">
        <v>3</v>
      </c>
      <c r="EJ156">
        <v>1</v>
      </c>
      <c r="EK156">
        <v>27001</v>
      </c>
      <c r="EL156" t="s">
        <v>281</v>
      </c>
      <c r="EM156" t="s">
        <v>282</v>
      </c>
      <c r="EO156" t="s">
        <v>283</v>
      </c>
      <c r="EQ156">
        <v>0</v>
      </c>
      <c r="ER156">
        <v>2281.9899999999998</v>
      </c>
      <c r="ES156">
        <v>12.2</v>
      </c>
      <c r="ET156">
        <v>2143.7199999999998</v>
      </c>
      <c r="EU156">
        <v>177.59</v>
      </c>
      <c r="EV156">
        <v>126.07</v>
      </c>
      <c r="EW156">
        <v>15.72</v>
      </c>
      <c r="EX156">
        <v>13.88</v>
      </c>
      <c r="EY156">
        <v>0</v>
      </c>
      <c r="FQ156">
        <v>0</v>
      </c>
      <c r="FR156">
        <f t="shared" si="166"/>
        <v>0</v>
      </c>
      <c r="FS156">
        <v>0</v>
      </c>
      <c r="FT156" t="s">
        <v>58</v>
      </c>
      <c r="FU156" t="s">
        <v>59</v>
      </c>
      <c r="FX156">
        <v>127.8</v>
      </c>
      <c r="FY156">
        <v>80.75</v>
      </c>
      <c r="GA156" t="s">
        <v>3</v>
      </c>
      <c r="GD156">
        <v>1</v>
      </c>
      <c r="GF156">
        <v>-285519431</v>
      </c>
      <c r="GG156">
        <v>2</v>
      </c>
      <c r="GH156">
        <v>1</v>
      </c>
      <c r="GI156">
        <v>-2</v>
      </c>
      <c r="GJ156">
        <v>0</v>
      </c>
      <c r="GK156">
        <v>0</v>
      </c>
      <c r="GL156">
        <f t="shared" si="167"/>
        <v>0</v>
      </c>
      <c r="GM156">
        <f t="shared" ref="GM156:GM168" si="194">ROUND(O156+X156+Y156,2)+GX156</f>
        <v>2883.19</v>
      </c>
      <c r="GN156">
        <f t="shared" ref="GN156:GN168" si="195">IF(OR(BI156=0,BI156=1),ROUND(O156+X156+Y156,2),0)</f>
        <v>2883.19</v>
      </c>
      <c r="GO156">
        <f t="shared" ref="GO156:GO168" si="196">IF(BI156=2,ROUND(O156+X156+Y156,2),0)</f>
        <v>0</v>
      </c>
      <c r="GP156">
        <f t="shared" ref="GP156:GP168" si="197">IF(BI156=4,ROUND(O156+X156+Y156,2)+GX156,0)</f>
        <v>0</v>
      </c>
      <c r="GR156">
        <v>0</v>
      </c>
      <c r="GS156">
        <v>3</v>
      </c>
      <c r="GT156">
        <v>0</v>
      </c>
      <c r="GU156" t="s">
        <v>3</v>
      </c>
      <c r="GV156">
        <f t="shared" ref="GV156:GV168" si="198">ROUND((GT156),6)</f>
        <v>0</v>
      </c>
      <c r="GW156">
        <v>1</v>
      </c>
      <c r="GX156">
        <f t="shared" ref="GX156:GX168" si="199">ROUND(HC156*I156,2)</f>
        <v>0</v>
      </c>
      <c r="HA156">
        <v>0</v>
      </c>
      <c r="HB156">
        <v>0</v>
      </c>
      <c r="HC156">
        <f t="shared" ref="HC156:HC168" si="200">GV156*GW156</f>
        <v>0</v>
      </c>
      <c r="IK156">
        <v>0</v>
      </c>
    </row>
    <row r="157" spans="1:245" x14ac:dyDescent="0.2">
      <c r="A157">
        <v>18</v>
      </c>
      <c r="B157">
        <v>1</v>
      </c>
      <c r="C157">
        <v>164</v>
      </c>
      <c r="E157" t="s">
        <v>324</v>
      </c>
      <c r="F157" t="s">
        <v>101</v>
      </c>
      <c r="G157" t="s">
        <v>102</v>
      </c>
      <c r="H157" t="s">
        <v>96</v>
      </c>
      <c r="I157">
        <f>I156*J157</f>
        <v>71.34</v>
      </c>
      <c r="J157">
        <v>102.50000000000001</v>
      </c>
      <c r="O157">
        <f t="shared" si="168"/>
        <v>3942.25</v>
      </c>
      <c r="P157">
        <f t="shared" si="169"/>
        <v>3942.25</v>
      </c>
      <c r="Q157">
        <f t="shared" si="170"/>
        <v>0</v>
      </c>
      <c r="R157">
        <f t="shared" si="171"/>
        <v>0</v>
      </c>
      <c r="S157">
        <f t="shared" si="172"/>
        <v>0</v>
      </c>
      <c r="T157">
        <f t="shared" si="173"/>
        <v>0</v>
      </c>
      <c r="U157">
        <f t="shared" si="174"/>
        <v>0</v>
      </c>
      <c r="V157">
        <f t="shared" si="175"/>
        <v>0</v>
      </c>
      <c r="W157">
        <f t="shared" si="176"/>
        <v>0</v>
      </c>
      <c r="X157">
        <f t="shared" si="177"/>
        <v>0</v>
      </c>
      <c r="Y157">
        <f t="shared" si="178"/>
        <v>0</v>
      </c>
      <c r="AA157">
        <v>47631607</v>
      </c>
      <c r="AB157">
        <f t="shared" si="179"/>
        <v>55.26</v>
      </c>
      <c r="AC157">
        <f t="shared" si="180"/>
        <v>55.26</v>
      </c>
      <c r="AD157">
        <f>ROUND((((ET157)-(EU157))+AE157),6)</f>
        <v>0</v>
      </c>
      <c r="AE157">
        <f>ROUND((EU157),6)</f>
        <v>0</v>
      </c>
      <c r="AF157">
        <f>ROUND((EV157),6)</f>
        <v>0</v>
      </c>
      <c r="AG157">
        <f t="shared" si="181"/>
        <v>0</v>
      </c>
      <c r="AH157">
        <f>(EW157)</f>
        <v>0</v>
      </c>
      <c r="AI157">
        <f>(EX157)</f>
        <v>0</v>
      </c>
      <c r="AJ157">
        <f t="shared" si="182"/>
        <v>0</v>
      </c>
      <c r="AK157">
        <v>55.26</v>
      </c>
      <c r="AL157">
        <v>55.26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128</v>
      </c>
      <c r="AU157">
        <v>81</v>
      </c>
      <c r="AV157">
        <v>1</v>
      </c>
      <c r="AW157">
        <v>1</v>
      </c>
      <c r="AZ157">
        <v>1</v>
      </c>
      <c r="BA157">
        <v>1</v>
      </c>
      <c r="BB157">
        <v>1</v>
      </c>
      <c r="BC157">
        <v>1</v>
      </c>
      <c r="BD157" t="s">
        <v>3</v>
      </c>
      <c r="BE157" t="s">
        <v>3</v>
      </c>
      <c r="BF157" t="s">
        <v>3</v>
      </c>
      <c r="BG157" t="s">
        <v>3</v>
      </c>
      <c r="BH157">
        <v>3</v>
      </c>
      <c r="BI157">
        <v>1</v>
      </c>
      <c r="BJ157" t="s">
        <v>103</v>
      </c>
      <c r="BM157">
        <v>27001</v>
      </c>
      <c r="BN157">
        <v>0</v>
      </c>
      <c r="BO157" t="s">
        <v>3</v>
      </c>
      <c r="BP157">
        <v>0</v>
      </c>
      <c r="BQ157">
        <v>2</v>
      </c>
      <c r="BR157">
        <v>0</v>
      </c>
      <c r="BS157">
        <v>1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</v>
      </c>
      <c r="BZ157">
        <v>142</v>
      </c>
      <c r="CA157">
        <v>95</v>
      </c>
      <c r="CE157">
        <v>0</v>
      </c>
      <c r="CF157">
        <v>0</v>
      </c>
      <c r="CG157">
        <v>0</v>
      </c>
      <c r="CM157">
        <v>0</v>
      </c>
      <c r="CN157" t="s">
        <v>3</v>
      </c>
      <c r="CO157">
        <v>0</v>
      </c>
      <c r="CP157">
        <f t="shared" si="183"/>
        <v>3942.25</v>
      </c>
      <c r="CQ157">
        <f t="shared" si="184"/>
        <v>55.26</v>
      </c>
      <c r="CR157">
        <f t="shared" si="185"/>
        <v>0</v>
      </c>
      <c r="CS157">
        <f t="shared" si="186"/>
        <v>0</v>
      </c>
      <c r="CT157">
        <f t="shared" si="187"/>
        <v>0</v>
      </c>
      <c r="CU157">
        <f t="shared" si="188"/>
        <v>0</v>
      </c>
      <c r="CV157">
        <f t="shared" si="189"/>
        <v>0</v>
      </c>
      <c r="CW157">
        <f t="shared" si="190"/>
        <v>0</v>
      </c>
      <c r="CX157">
        <f t="shared" si="191"/>
        <v>0</v>
      </c>
      <c r="CY157">
        <f t="shared" si="192"/>
        <v>0</v>
      </c>
      <c r="CZ157">
        <f t="shared" si="193"/>
        <v>0</v>
      </c>
      <c r="DC157" t="s">
        <v>3</v>
      </c>
      <c r="DD157" t="s">
        <v>3</v>
      </c>
      <c r="DE157" t="s">
        <v>3</v>
      </c>
      <c r="DF157" t="s">
        <v>3</v>
      </c>
      <c r="DG157" t="s">
        <v>3</v>
      </c>
      <c r="DH157" t="s">
        <v>3</v>
      </c>
      <c r="DI157" t="s">
        <v>3</v>
      </c>
      <c r="DJ157" t="s">
        <v>3</v>
      </c>
      <c r="DK157" t="s">
        <v>3</v>
      </c>
      <c r="DL157" t="s">
        <v>3</v>
      </c>
      <c r="DM157" t="s">
        <v>3</v>
      </c>
      <c r="DN157">
        <v>0</v>
      </c>
      <c r="DO157">
        <v>0</v>
      </c>
      <c r="DP157">
        <v>1</v>
      </c>
      <c r="DQ157">
        <v>1</v>
      </c>
      <c r="DU157">
        <v>1007</v>
      </c>
      <c r="DV157" t="s">
        <v>96</v>
      </c>
      <c r="DW157" t="s">
        <v>96</v>
      </c>
      <c r="DX157">
        <v>1</v>
      </c>
      <c r="EE157">
        <v>45919611</v>
      </c>
      <c r="EF157">
        <v>2</v>
      </c>
      <c r="EG157" t="s">
        <v>54</v>
      </c>
      <c r="EH157">
        <v>0</v>
      </c>
      <c r="EI157" t="s">
        <v>3</v>
      </c>
      <c r="EJ157">
        <v>1</v>
      </c>
      <c r="EK157">
        <v>27001</v>
      </c>
      <c r="EL157" t="s">
        <v>281</v>
      </c>
      <c r="EM157" t="s">
        <v>282</v>
      </c>
      <c r="EO157" t="s">
        <v>3</v>
      </c>
      <c r="EQ157">
        <v>0</v>
      </c>
      <c r="ER157">
        <v>55.26</v>
      </c>
      <c r="ES157">
        <v>55.26</v>
      </c>
      <c r="ET157">
        <v>0</v>
      </c>
      <c r="EU157">
        <v>0</v>
      </c>
      <c r="EV157">
        <v>0</v>
      </c>
      <c r="EW157">
        <v>0</v>
      </c>
      <c r="EX157">
        <v>0</v>
      </c>
      <c r="FQ157">
        <v>0</v>
      </c>
      <c r="FR157">
        <f t="shared" si="166"/>
        <v>0</v>
      </c>
      <c r="FS157">
        <v>0</v>
      </c>
      <c r="FT157" t="s">
        <v>58</v>
      </c>
      <c r="FU157" t="s">
        <v>59</v>
      </c>
      <c r="FX157">
        <v>127.8</v>
      </c>
      <c r="FY157">
        <v>80.75</v>
      </c>
      <c r="GA157" t="s">
        <v>3</v>
      </c>
      <c r="GD157">
        <v>1</v>
      </c>
      <c r="GF157">
        <v>-35545874</v>
      </c>
      <c r="GG157">
        <v>2</v>
      </c>
      <c r="GH157">
        <v>1</v>
      </c>
      <c r="GI157">
        <v>-2</v>
      </c>
      <c r="GJ157">
        <v>0</v>
      </c>
      <c r="GK157">
        <v>0</v>
      </c>
      <c r="GL157">
        <f t="shared" si="167"/>
        <v>0</v>
      </c>
      <c r="GM157">
        <f t="shared" si="194"/>
        <v>3942.25</v>
      </c>
      <c r="GN157">
        <f t="shared" si="195"/>
        <v>3942.25</v>
      </c>
      <c r="GO157">
        <f t="shared" si="196"/>
        <v>0</v>
      </c>
      <c r="GP157">
        <f t="shared" si="197"/>
        <v>0</v>
      </c>
      <c r="GR157">
        <v>0</v>
      </c>
      <c r="GS157">
        <v>3</v>
      </c>
      <c r="GT157">
        <v>0</v>
      </c>
      <c r="GU157" t="s">
        <v>3</v>
      </c>
      <c r="GV157">
        <f t="shared" si="198"/>
        <v>0</v>
      </c>
      <c r="GW157">
        <v>1</v>
      </c>
      <c r="GX157">
        <f t="shared" si="199"/>
        <v>0</v>
      </c>
      <c r="HA157">
        <v>0</v>
      </c>
      <c r="HB157">
        <v>0</v>
      </c>
      <c r="HC157">
        <f t="shared" si="200"/>
        <v>0</v>
      </c>
      <c r="IK157">
        <v>0</v>
      </c>
    </row>
    <row r="158" spans="1:245" x14ac:dyDescent="0.2">
      <c r="A158">
        <v>17</v>
      </c>
      <c r="B158">
        <v>1</v>
      </c>
      <c r="C158">
        <f>ROW(SmtRes!A173)</f>
        <v>173</v>
      </c>
      <c r="D158">
        <f>ROW(EtalonRes!A185)</f>
        <v>185</v>
      </c>
      <c r="E158" t="s">
        <v>325</v>
      </c>
      <c r="F158" t="s">
        <v>326</v>
      </c>
      <c r="G158" t="s">
        <v>327</v>
      </c>
      <c r="H158" t="s">
        <v>154</v>
      </c>
      <c r="I158">
        <f>ROUND(348*0.3/100,9)</f>
        <v>1.044</v>
      </c>
      <c r="J158">
        <v>0</v>
      </c>
      <c r="O158">
        <f t="shared" si="168"/>
        <v>5298.81</v>
      </c>
      <c r="P158">
        <f t="shared" si="169"/>
        <v>17.829999999999998</v>
      </c>
      <c r="Q158">
        <f t="shared" si="170"/>
        <v>5010.78</v>
      </c>
      <c r="R158">
        <f t="shared" si="171"/>
        <v>418.18</v>
      </c>
      <c r="S158">
        <f t="shared" si="172"/>
        <v>270.2</v>
      </c>
      <c r="T158">
        <f t="shared" si="173"/>
        <v>0</v>
      </c>
      <c r="U158">
        <f t="shared" si="174"/>
        <v>33.3988911</v>
      </c>
      <c r="V158">
        <f t="shared" si="175"/>
        <v>30.915450000000003</v>
      </c>
      <c r="W158">
        <f t="shared" si="176"/>
        <v>0</v>
      </c>
      <c r="X158">
        <f t="shared" si="177"/>
        <v>881.13</v>
      </c>
      <c r="Y158">
        <f t="shared" si="178"/>
        <v>557.59</v>
      </c>
      <c r="AA158">
        <v>47631607</v>
      </c>
      <c r="AB158">
        <f t="shared" si="179"/>
        <v>5075.4901250000003</v>
      </c>
      <c r="AC158">
        <f t="shared" si="180"/>
        <v>17.079999999999998</v>
      </c>
      <c r="AD158">
        <f>ROUND((((((ET158*1.15)*1.25))-(((EU158*1.15)*1.25)))+AE158),6)</f>
        <v>4799.5968750000002</v>
      </c>
      <c r="AE158">
        <f>ROUND((((EU158*1.15)*1.25)),6)</f>
        <v>400.55937499999999</v>
      </c>
      <c r="AF158">
        <f>ROUND((((EV158*1.15)*1.15)),6)</f>
        <v>258.81324999999998</v>
      </c>
      <c r="AG158">
        <f t="shared" si="181"/>
        <v>0</v>
      </c>
      <c r="AH158">
        <f>(((EW158*1.15)*1.15))</f>
        <v>31.991274999999998</v>
      </c>
      <c r="AI158">
        <f>(((EX158*1.15)*1.25))</f>
        <v>29.612500000000001</v>
      </c>
      <c r="AJ158">
        <f t="shared" si="182"/>
        <v>0</v>
      </c>
      <c r="AK158">
        <v>3551.63</v>
      </c>
      <c r="AL158">
        <v>17.079999999999998</v>
      </c>
      <c r="AM158">
        <v>3338.85</v>
      </c>
      <c r="AN158">
        <v>278.64999999999998</v>
      </c>
      <c r="AO158">
        <v>195.7</v>
      </c>
      <c r="AP158">
        <v>0</v>
      </c>
      <c r="AQ158">
        <v>24.19</v>
      </c>
      <c r="AR158">
        <v>20.6</v>
      </c>
      <c r="AS158">
        <v>0</v>
      </c>
      <c r="AT158">
        <v>128</v>
      </c>
      <c r="AU158">
        <v>81</v>
      </c>
      <c r="AV158">
        <v>1</v>
      </c>
      <c r="AW158">
        <v>1</v>
      </c>
      <c r="AZ158">
        <v>1</v>
      </c>
      <c r="BA158">
        <v>1</v>
      </c>
      <c r="BB158">
        <v>1</v>
      </c>
      <c r="BC158">
        <v>1</v>
      </c>
      <c r="BD158" t="s">
        <v>3</v>
      </c>
      <c r="BE158" t="s">
        <v>3</v>
      </c>
      <c r="BF158" t="s">
        <v>3</v>
      </c>
      <c r="BG158" t="s">
        <v>3</v>
      </c>
      <c r="BH158">
        <v>0</v>
      </c>
      <c r="BI158">
        <v>1</v>
      </c>
      <c r="BJ158" t="s">
        <v>328</v>
      </c>
      <c r="BM158">
        <v>27001</v>
      </c>
      <c r="BN158">
        <v>0</v>
      </c>
      <c r="BO158" t="s">
        <v>3</v>
      </c>
      <c r="BP158">
        <v>0</v>
      </c>
      <c r="BQ158">
        <v>2</v>
      </c>
      <c r="BR158">
        <v>0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 t="s">
        <v>3</v>
      </c>
      <c r="BZ158">
        <v>142</v>
      </c>
      <c r="CA158">
        <v>95</v>
      </c>
      <c r="CE158">
        <v>0</v>
      </c>
      <c r="CF158">
        <v>0</v>
      </c>
      <c r="CG158">
        <v>0</v>
      </c>
      <c r="CM158">
        <v>0</v>
      </c>
      <c r="CN158" t="s">
        <v>746</v>
      </c>
      <c r="CO158">
        <v>0</v>
      </c>
      <c r="CP158">
        <f t="shared" si="183"/>
        <v>5298.8099999999995</v>
      </c>
      <c r="CQ158">
        <f t="shared" si="184"/>
        <v>17.079999999999998</v>
      </c>
      <c r="CR158">
        <f t="shared" si="185"/>
        <v>4799.5968750000002</v>
      </c>
      <c r="CS158">
        <f t="shared" si="186"/>
        <v>400.55937499999999</v>
      </c>
      <c r="CT158">
        <f t="shared" si="187"/>
        <v>258.81324999999998</v>
      </c>
      <c r="CU158">
        <f t="shared" si="188"/>
        <v>0</v>
      </c>
      <c r="CV158">
        <f t="shared" si="189"/>
        <v>31.991274999999998</v>
      </c>
      <c r="CW158">
        <f t="shared" si="190"/>
        <v>29.612500000000001</v>
      </c>
      <c r="CX158">
        <f t="shared" si="191"/>
        <v>0</v>
      </c>
      <c r="CY158">
        <f t="shared" si="192"/>
        <v>881.12639999999999</v>
      </c>
      <c r="CZ158">
        <f t="shared" si="193"/>
        <v>557.58780000000002</v>
      </c>
      <c r="DC158" t="s">
        <v>3</v>
      </c>
      <c r="DD158" t="s">
        <v>3</v>
      </c>
      <c r="DE158" t="s">
        <v>280</v>
      </c>
      <c r="DF158" t="s">
        <v>280</v>
      </c>
      <c r="DG158" t="s">
        <v>53</v>
      </c>
      <c r="DH158" t="s">
        <v>3</v>
      </c>
      <c r="DI158" t="s">
        <v>53</v>
      </c>
      <c r="DJ158" t="s">
        <v>280</v>
      </c>
      <c r="DK158" t="s">
        <v>3</v>
      </c>
      <c r="DL158" t="s">
        <v>3</v>
      </c>
      <c r="DM158" t="s">
        <v>3</v>
      </c>
      <c r="DN158">
        <v>0</v>
      </c>
      <c r="DO158">
        <v>0</v>
      </c>
      <c r="DP158">
        <v>1</v>
      </c>
      <c r="DQ158">
        <v>1</v>
      </c>
      <c r="DU158">
        <v>1007</v>
      </c>
      <c r="DV158" t="s">
        <v>154</v>
      </c>
      <c r="DW158" t="s">
        <v>154</v>
      </c>
      <c r="DX158">
        <v>100</v>
      </c>
      <c r="EE158">
        <v>45919611</v>
      </c>
      <c r="EF158">
        <v>2</v>
      </c>
      <c r="EG158" t="s">
        <v>54</v>
      </c>
      <c r="EH158">
        <v>0</v>
      </c>
      <c r="EI158" t="s">
        <v>3</v>
      </c>
      <c r="EJ158">
        <v>1</v>
      </c>
      <c r="EK158">
        <v>27001</v>
      </c>
      <c r="EL158" t="s">
        <v>281</v>
      </c>
      <c r="EM158" t="s">
        <v>282</v>
      </c>
      <c r="EO158" t="s">
        <v>283</v>
      </c>
      <c r="EQ158">
        <v>0</v>
      </c>
      <c r="ER158">
        <v>3551.63</v>
      </c>
      <c r="ES158">
        <v>17.079999999999998</v>
      </c>
      <c r="ET158">
        <v>3338.85</v>
      </c>
      <c r="EU158">
        <v>278.64999999999998</v>
      </c>
      <c r="EV158">
        <v>195.7</v>
      </c>
      <c r="EW158">
        <v>24.19</v>
      </c>
      <c r="EX158">
        <v>20.6</v>
      </c>
      <c r="EY158">
        <v>0</v>
      </c>
      <c r="FQ158">
        <v>0</v>
      </c>
      <c r="FR158">
        <f t="shared" si="166"/>
        <v>0</v>
      </c>
      <c r="FS158">
        <v>0</v>
      </c>
      <c r="FT158" t="s">
        <v>58</v>
      </c>
      <c r="FU158" t="s">
        <v>59</v>
      </c>
      <c r="FX158">
        <v>127.8</v>
      </c>
      <c r="FY158">
        <v>80.75</v>
      </c>
      <c r="GA158" t="s">
        <v>3</v>
      </c>
      <c r="GD158">
        <v>1</v>
      </c>
      <c r="GF158">
        <v>720735505</v>
      </c>
      <c r="GG158">
        <v>2</v>
      </c>
      <c r="GH158">
        <v>1</v>
      </c>
      <c r="GI158">
        <v>-2</v>
      </c>
      <c r="GJ158">
        <v>0</v>
      </c>
      <c r="GK158">
        <v>0</v>
      </c>
      <c r="GL158">
        <f t="shared" si="167"/>
        <v>0</v>
      </c>
      <c r="GM158">
        <f t="shared" si="194"/>
        <v>6737.53</v>
      </c>
      <c r="GN158">
        <f t="shared" si="195"/>
        <v>6737.53</v>
      </c>
      <c r="GO158">
        <f t="shared" si="196"/>
        <v>0</v>
      </c>
      <c r="GP158">
        <f t="shared" si="197"/>
        <v>0</v>
      </c>
      <c r="GR158">
        <v>0</v>
      </c>
      <c r="GS158">
        <v>3</v>
      </c>
      <c r="GT158">
        <v>0</v>
      </c>
      <c r="GU158" t="s">
        <v>3</v>
      </c>
      <c r="GV158">
        <f t="shared" si="198"/>
        <v>0</v>
      </c>
      <c r="GW158">
        <v>1</v>
      </c>
      <c r="GX158">
        <f t="shared" si="199"/>
        <v>0</v>
      </c>
      <c r="HA158">
        <v>0</v>
      </c>
      <c r="HB158">
        <v>0</v>
      </c>
      <c r="HC158">
        <f t="shared" si="200"/>
        <v>0</v>
      </c>
      <c r="IK158">
        <v>0</v>
      </c>
    </row>
    <row r="159" spans="1:245" x14ac:dyDescent="0.2">
      <c r="A159">
        <v>18</v>
      </c>
      <c r="B159">
        <v>1</v>
      </c>
      <c r="C159">
        <v>173</v>
      </c>
      <c r="E159" t="s">
        <v>329</v>
      </c>
      <c r="F159" t="s">
        <v>290</v>
      </c>
      <c r="G159" t="s">
        <v>291</v>
      </c>
      <c r="H159" t="s">
        <v>96</v>
      </c>
      <c r="I159">
        <f>I158*J159</f>
        <v>106.488</v>
      </c>
      <c r="J159">
        <v>102</v>
      </c>
      <c r="O159">
        <f t="shared" si="168"/>
        <v>14868.92</v>
      </c>
      <c r="P159">
        <f t="shared" si="169"/>
        <v>14868.92</v>
      </c>
      <c r="Q159">
        <f t="shared" si="170"/>
        <v>0</v>
      </c>
      <c r="R159">
        <f t="shared" si="171"/>
        <v>0</v>
      </c>
      <c r="S159">
        <f t="shared" si="172"/>
        <v>0</v>
      </c>
      <c r="T159">
        <f t="shared" si="173"/>
        <v>0</v>
      </c>
      <c r="U159">
        <f t="shared" si="174"/>
        <v>0</v>
      </c>
      <c r="V159">
        <f t="shared" si="175"/>
        <v>0</v>
      </c>
      <c r="W159">
        <f t="shared" si="176"/>
        <v>0</v>
      </c>
      <c r="X159">
        <f t="shared" si="177"/>
        <v>0</v>
      </c>
      <c r="Y159">
        <f t="shared" si="178"/>
        <v>0</v>
      </c>
      <c r="AA159">
        <v>47631607</v>
      </c>
      <c r="AB159">
        <f t="shared" si="179"/>
        <v>139.63</v>
      </c>
      <c r="AC159">
        <f t="shared" si="180"/>
        <v>139.63</v>
      </c>
      <c r="AD159">
        <f>ROUND((((ET159)-(EU159))+AE159),6)</f>
        <v>0</v>
      </c>
      <c r="AE159">
        <f>ROUND((EU159),6)</f>
        <v>0</v>
      </c>
      <c r="AF159">
        <f>ROUND((EV159),6)</f>
        <v>0</v>
      </c>
      <c r="AG159">
        <f t="shared" si="181"/>
        <v>0</v>
      </c>
      <c r="AH159">
        <f>(EW159)</f>
        <v>0</v>
      </c>
      <c r="AI159">
        <f>(EX159)</f>
        <v>0</v>
      </c>
      <c r="AJ159">
        <f t="shared" si="182"/>
        <v>0</v>
      </c>
      <c r="AK159">
        <v>139.63</v>
      </c>
      <c r="AL159">
        <v>139.63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128</v>
      </c>
      <c r="AU159">
        <v>81</v>
      </c>
      <c r="AV159">
        <v>1</v>
      </c>
      <c r="AW159">
        <v>1</v>
      </c>
      <c r="AZ159">
        <v>1</v>
      </c>
      <c r="BA159">
        <v>1</v>
      </c>
      <c r="BB159">
        <v>1</v>
      </c>
      <c r="BC159">
        <v>1</v>
      </c>
      <c r="BD159" t="s">
        <v>3</v>
      </c>
      <c r="BE159" t="s">
        <v>3</v>
      </c>
      <c r="BF159" t="s">
        <v>3</v>
      </c>
      <c r="BG159" t="s">
        <v>3</v>
      </c>
      <c r="BH159">
        <v>3</v>
      </c>
      <c r="BI159">
        <v>1</v>
      </c>
      <c r="BJ159" t="s">
        <v>292</v>
      </c>
      <c r="BM159">
        <v>27001</v>
      </c>
      <c r="BN159">
        <v>0</v>
      </c>
      <c r="BO159" t="s">
        <v>3</v>
      </c>
      <c r="BP159">
        <v>0</v>
      </c>
      <c r="BQ159">
        <v>2</v>
      </c>
      <c r="BR159">
        <v>0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</v>
      </c>
      <c r="BZ159">
        <v>142</v>
      </c>
      <c r="CA159">
        <v>95</v>
      </c>
      <c r="CE159">
        <v>0</v>
      </c>
      <c r="CF159">
        <v>0</v>
      </c>
      <c r="CG159">
        <v>0</v>
      </c>
      <c r="CM159">
        <v>0</v>
      </c>
      <c r="CN159" t="s">
        <v>3</v>
      </c>
      <c r="CO159">
        <v>0</v>
      </c>
      <c r="CP159">
        <f t="shared" si="183"/>
        <v>14868.92</v>
      </c>
      <c r="CQ159">
        <f t="shared" si="184"/>
        <v>139.63</v>
      </c>
      <c r="CR159">
        <f t="shared" si="185"/>
        <v>0</v>
      </c>
      <c r="CS159">
        <f t="shared" si="186"/>
        <v>0</v>
      </c>
      <c r="CT159">
        <f t="shared" si="187"/>
        <v>0</v>
      </c>
      <c r="CU159">
        <f t="shared" si="188"/>
        <v>0</v>
      </c>
      <c r="CV159">
        <f t="shared" si="189"/>
        <v>0</v>
      </c>
      <c r="CW159">
        <f t="shared" si="190"/>
        <v>0</v>
      </c>
      <c r="CX159">
        <f t="shared" si="191"/>
        <v>0</v>
      </c>
      <c r="CY159">
        <f t="shared" si="192"/>
        <v>0</v>
      </c>
      <c r="CZ159">
        <f t="shared" si="193"/>
        <v>0</v>
      </c>
      <c r="DC159" t="s">
        <v>3</v>
      </c>
      <c r="DD159" t="s">
        <v>3</v>
      </c>
      <c r="DE159" t="s">
        <v>3</v>
      </c>
      <c r="DF159" t="s">
        <v>3</v>
      </c>
      <c r="DG159" t="s">
        <v>3</v>
      </c>
      <c r="DH159" t="s">
        <v>3</v>
      </c>
      <c r="DI159" t="s">
        <v>3</v>
      </c>
      <c r="DJ159" t="s">
        <v>3</v>
      </c>
      <c r="DK159" t="s">
        <v>3</v>
      </c>
      <c r="DL159" t="s">
        <v>3</v>
      </c>
      <c r="DM159" t="s">
        <v>3</v>
      </c>
      <c r="DN159">
        <v>0</v>
      </c>
      <c r="DO159">
        <v>0</v>
      </c>
      <c r="DP159">
        <v>1</v>
      </c>
      <c r="DQ159">
        <v>1</v>
      </c>
      <c r="DU159">
        <v>1007</v>
      </c>
      <c r="DV159" t="s">
        <v>96</v>
      </c>
      <c r="DW159" t="s">
        <v>96</v>
      </c>
      <c r="DX159">
        <v>1</v>
      </c>
      <c r="EE159">
        <v>45919611</v>
      </c>
      <c r="EF159">
        <v>2</v>
      </c>
      <c r="EG159" t="s">
        <v>54</v>
      </c>
      <c r="EH159">
        <v>0</v>
      </c>
      <c r="EI159" t="s">
        <v>3</v>
      </c>
      <c r="EJ159">
        <v>1</v>
      </c>
      <c r="EK159">
        <v>27001</v>
      </c>
      <c r="EL159" t="s">
        <v>281</v>
      </c>
      <c r="EM159" t="s">
        <v>282</v>
      </c>
      <c r="EO159" t="s">
        <v>3</v>
      </c>
      <c r="EQ159">
        <v>0</v>
      </c>
      <c r="ER159">
        <v>139.63</v>
      </c>
      <c r="ES159">
        <v>139.63</v>
      </c>
      <c r="ET159">
        <v>0</v>
      </c>
      <c r="EU159">
        <v>0</v>
      </c>
      <c r="EV159">
        <v>0</v>
      </c>
      <c r="EW159">
        <v>0</v>
      </c>
      <c r="EX159">
        <v>0</v>
      </c>
      <c r="FQ159">
        <v>0</v>
      </c>
      <c r="FR159">
        <f t="shared" si="166"/>
        <v>0</v>
      </c>
      <c r="FS159">
        <v>0</v>
      </c>
      <c r="FT159" t="s">
        <v>58</v>
      </c>
      <c r="FU159" t="s">
        <v>59</v>
      </c>
      <c r="FX159">
        <v>127.8</v>
      </c>
      <c r="FY159">
        <v>80.75</v>
      </c>
      <c r="GA159" t="s">
        <v>3</v>
      </c>
      <c r="GD159">
        <v>1</v>
      </c>
      <c r="GF159">
        <v>992648480</v>
      </c>
      <c r="GG159">
        <v>2</v>
      </c>
      <c r="GH159">
        <v>1</v>
      </c>
      <c r="GI159">
        <v>-2</v>
      </c>
      <c r="GJ159">
        <v>0</v>
      </c>
      <c r="GK159">
        <v>0</v>
      </c>
      <c r="GL159">
        <f t="shared" si="167"/>
        <v>0</v>
      </c>
      <c r="GM159">
        <f t="shared" si="194"/>
        <v>14868.92</v>
      </c>
      <c r="GN159">
        <f t="shared" si="195"/>
        <v>14868.92</v>
      </c>
      <c r="GO159">
        <f t="shared" si="196"/>
        <v>0</v>
      </c>
      <c r="GP159">
        <f t="shared" si="197"/>
        <v>0</v>
      </c>
      <c r="GR159">
        <v>0</v>
      </c>
      <c r="GS159">
        <v>3</v>
      </c>
      <c r="GT159">
        <v>0</v>
      </c>
      <c r="GU159" t="s">
        <v>3</v>
      </c>
      <c r="GV159">
        <f t="shared" si="198"/>
        <v>0</v>
      </c>
      <c r="GW159">
        <v>1</v>
      </c>
      <c r="GX159">
        <f t="shared" si="199"/>
        <v>0</v>
      </c>
      <c r="HA159">
        <v>0</v>
      </c>
      <c r="HB159">
        <v>0</v>
      </c>
      <c r="HC159">
        <f t="shared" si="200"/>
        <v>0</v>
      </c>
      <c r="IK159">
        <v>0</v>
      </c>
    </row>
    <row r="160" spans="1:245" x14ac:dyDescent="0.2">
      <c r="A160">
        <v>17</v>
      </c>
      <c r="B160">
        <v>1</v>
      </c>
      <c r="C160">
        <f>ROW(SmtRes!A187)</f>
        <v>187</v>
      </c>
      <c r="D160">
        <f>ROW(EtalonRes!A199)</f>
        <v>199</v>
      </c>
      <c r="E160" t="s">
        <v>330</v>
      </c>
      <c r="F160" t="s">
        <v>331</v>
      </c>
      <c r="G160" t="s">
        <v>332</v>
      </c>
      <c r="H160" t="s">
        <v>265</v>
      </c>
      <c r="I160">
        <f>ROUND(348/1000,9)</f>
        <v>0.34799999999999998</v>
      </c>
      <c r="J160">
        <v>0</v>
      </c>
      <c r="O160">
        <f t="shared" si="168"/>
        <v>1443.12</v>
      </c>
      <c r="P160">
        <f t="shared" si="169"/>
        <v>80.27</v>
      </c>
      <c r="Q160">
        <f t="shared" si="170"/>
        <v>1193.28</v>
      </c>
      <c r="R160">
        <f t="shared" si="171"/>
        <v>131.57</v>
      </c>
      <c r="S160">
        <f t="shared" si="172"/>
        <v>169.57</v>
      </c>
      <c r="T160">
        <f t="shared" si="173"/>
        <v>0</v>
      </c>
      <c r="U160">
        <f t="shared" si="174"/>
        <v>17.626808999999998</v>
      </c>
      <c r="V160">
        <f t="shared" si="175"/>
        <v>9.5647799999999989</v>
      </c>
      <c r="W160">
        <f t="shared" si="176"/>
        <v>0</v>
      </c>
      <c r="X160">
        <f t="shared" si="177"/>
        <v>385.46</v>
      </c>
      <c r="Y160">
        <f t="shared" si="178"/>
        <v>243.92</v>
      </c>
      <c r="AA160">
        <v>47631607</v>
      </c>
      <c r="AB160">
        <f t="shared" si="179"/>
        <v>4146.9144999999999</v>
      </c>
      <c r="AC160">
        <f t="shared" si="180"/>
        <v>230.67</v>
      </c>
      <c r="AD160">
        <f>ROUND((((((ET160*1.15)*1.25))-(((EU160*1.15)*1.25)))+AE160),6)</f>
        <v>3428.9693750000001</v>
      </c>
      <c r="AE160">
        <f>ROUND((((EU160*1.15)*1.25)),6)</f>
        <v>378.07687499999997</v>
      </c>
      <c r="AF160">
        <f>ROUND((((EV160*1.15)*1.15)),6)</f>
        <v>487.275125</v>
      </c>
      <c r="AG160">
        <f t="shared" si="181"/>
        <v>0</v>
      </c>
      <c r="AH160">
        <f>(((EW160*1.15)*1.15))</f>
        <v>50.651749999999993</v>
      </c>
      <c r="AI160">
        <f>(((EX160*1.15)*1.25))</f>
        <v>27.484999999999999</v>
      </c>
      <c r="AJ160">
        <f t="shared" si="182"/>
        <v>0</v>
      </c>
      <c r="AK160">
        <v>2984.49</v>
      </c>
      <c r="AL160">
        <v>230.67</v>
      </c>
      <c r="AM160">
        <v>2385.37</v>
      </c>
      <c r="AN160">
        <v>263.01</v>
      </c>
      <c r="AO160">
        <v>368.45</v>
      </c>
      <c r="AP160">
        <v>0</v>
      </c>
      <c r="AQ160">
        <v>38.299999999999997</v>
      </c>
      <c r="AR160">
        <v>19.12</v>
      </c>
      <c r="AS160">
        <v>0</v>
      </c>
      <c r="AT160">
        <v>128</v>
      </c>
      <c r="AU160">
        <v>81</v>
      </c>
      <c r="AV160">
        <v>1</v>
      </c>
      <c r="AW160">
        <v>1</v>
      </c>
      <c r="AZ160">
        <v>1</v>
      </c>
      <c r="BA160">
        <v>1</v>
      </c>
      <c r="BB160">
        <v>1</v>
      </c>
      <c r="BC160">
        <v>1</v>
      </c>
      <c r="BD160" t="s">
        <v>3</v>
      </c>
      <c r="BE160" t="s">
        <v>3</v>
      </c>
      <c r="BF160" t="s">
        <v>3</v>
      </c>
      <c r="BG160" t="s">
        <v>3</v>
      </c>
      <c r="BH160">
        <v>0</v>
      </c>
      <c r="BI160">
        <v>1</v>
      </c>
      <c r="BJ160" t="s">
        <v>333</v>
      </c>
      <c r="BM160">
        <v>27001</v>
      </c>
      <c r="BN160">
        <v>0</v>
      </c>
      <c r="BO160" t="s">
        <v>3</v>
      </c>
      <c r="BP160">
        <v>0</v>
      </c>
      <c r="BQ160">
        <v>2</v>
      </c>
      <c r="BR160">
        <v>0</v>
      </c>
      <c r="BS160">
        <v>1</v>
      </c>
      <c r="BT160">
        <v>1</v>
      </c>
      <c r="BU160">
        <v>1</v>
      </c>
      <c r="BV160">
        <v>1</v>
      </c>
      <c r="BW160">
        <v>1</v>
      </c>
      <c r="BX160">
        <v>1</v>
      </c>
      <c r="BY160" t="s">
        <v>3</v>
      </c>
      <c r="BZ160">
        <v>142</v>
      </c>
      <c r="CA160">
        <v>95</v>
      </c>
      <c r="CE160">
        <v>0</v>
      </c>
      <c r="CF160">
        <v>0</v>
      </c>
      <c r="CG160">
        <v>0</v>
      </c>
      <c r="CM160">
        <v>0</v>
      </c>
      <c r="CN160" t="s">
        <v>746</v>
      </c>
      <c r="CO160">
        <v>0</v>
      </c>
      <c r="CP160">
        <f t="shared" si="183"/>
        <v>1443.12</v>
      </c>
      <c r="CQ160">
        <f t="shared" si="184"/>
        <v>230.67</v>
      </c>
      <c r="CR160">
        <f t="shared" si="185"/>
        <v>3428.9693750000001</v>
      </c>
      <c r="CS160">
        <f t="shared" si="186"/>
        <v>378.07687499999997</v>
      </c>
      <c r="CT160">
        <f t="shared" si="187"/>
        <v>487.275125</v>
      </c>
      <c r="CU160">
        <f t="shared" si="188"/>
        <v>0</v>
      </c>
      <c r="CV160">
        <f t="shared" si="189"/>
        <v>50.651749999999993</v>
      </c>
      <c r="CW160">
        <f t="shared" si="190"/>
        <v>27.484999999999999</v>
      </c>
      <c r="CX160">
        <f t="shared" si="191"/>
        <v>0</v>
      </c>
      <c r="CY160">
        <f t="shared" si="192"/>
        <v>385.45920000000001</v>
      </c>
      <c r="CZ160">
        <f t="shared" si="193"/>
        <v>243.92340000000002</v>
      </c>
      <c r="DC160" t="s">
        <v>3</v>
      </c>
      <c r="DD160" t="s">
        <v>3</v>
      </c>
      <c r="DE160" t="s">
        <v>280</v>
      </c>
      <c r="DF160" t="s">
        <v>280</v>
      </c>
      <c r="DG160" t="s">
        <v>53</v>
      </c>
      <c r="DH160" t="s">
        <v>3</v>
      </c>
      <c r="DI160" t="s">
        <v>53</v>
      </c>
      <c r="DJ160" t="s">
        <v>280</v>
      </c>
      <c r="DK160" t="s">
        <v>3</v>
      </c>
      <c r="DL160" t="s">
        <v>3</v>
      </c>
      <c r="DM160" t="s">
        <v>3</v>
      </c>
      <c r="DN160">
        <v>0</v>
      </c>
      <c r="DO160">
        <v>0</v>
      </c>
      <c r="DP160">
        <v>1</v>
      </c>
      <c r="DQ160">
        <v>1</v>
      </c>
      <c r="DU160">
        <v>1005</v>
      </c>
      <c r="DV160" t="s">
        <v>265</v>
      </c>
      <c r="DW160" t="s">
        <v>265</v>
      </c>
      <c r="DX160">
        <v>1000</v>
      </c>
      <c r="EE160">
        <v>45919611</v>
      </c>
      <c r="EF160">
        <v>2</v>
      </c>
      <c r="EG160" t="s">
        <v>54</v>
      </c>
      <c r="EH160">
        <v>0</v>
      </c>
      <c r="EI160" t="s">
        <v>3</v>
      </c>
      <c r="EJ160">
        <v>1</v>
      </c>
      <c r="EK160">
        <v>27001</v>
      </c>
      <c r="EL160" t="s">
        <v>281</v>
      </c>
      <c r="EM160" t="s">
        <v>282</v>
      </c>
      <c r="EO160" t="s">
        <v>283</v>
      </c>
      <c r="EQ160">
        <v>0</v>
      </c>
      <c r="ER160">
        <v>2984.49</v>
      </c>
      <c r="ES160">
        <v>230.67</v>
      </c>
      <c r="ET160">
        <v>2385.37</v>
      </c>
      <c r="EU160">
        <v>263.01</v>
      </c>
      <c r="EV160">
        <v>368.45</v>
      </c>
      <c r="EW160">
        <v>38.299999999999997</v>
      </c>
      <c r="EX160">
        <v>19.12</v>
      </c>
      <c r="EY160">
        <v>0</v>
      </c>
      <c r="FQ160">
        <v>0</v>
      </c>
      <c r="FR160">
        <f t="shared" si="166"/>
        <v>0</v>
      </c>
      <c r="FS160">
        <v>0</v>
      </c>
      <c r="FT160" t="s">
        <v>58</v>
      </c>
      <c r="FU160" t="s">
        <v>59</v>
      </c>
      <c r="FX160">
        <v>127.8</v>
      </c>
      <c r="FY160">
        <v>80.75</v>
      </c>
      <c r="GA160" t="s">
        <v>3</v>
      </c>
      <c r="GD160">
        <v>1</v>
      </c>
      <c r="GF160">
        <v>235885123</v>
      </c>
      <c r="GG160">
        <v>2</v>
      </c>
      <c r="GH160">
        <v>1</v>
      </c>
      <c r="GI160">
        <v>-2</v>
      </c>
      <c r="GJ160">
        <v>0</v>
      </c>
      <c r="GK160">
        <v>0</v>
      </c>
      <c r="GL160">
        <f t="shared" si="167"/>
        <v>0</v>
      </c>
      <c r="GM160">
        <f t="shared" si="194"/>
        <v>2072.5</v>
      </c>
      <c r="GN160">
        <f t="shared" si="195"/>
        <v>2072.5</v>
      </c>
      <c r="GO160">
        <f t="shared" si="196"/>
        <v>0</v>
      </c>
      <c r="GP160">
        <f t="shared" si="197"/>
        <v>0</v>
      </c>
      <c r="GR160">
        <v>0</v>
      </c>
      <c r="GS160">
        <v>3</v>
      </c>
      <c r="GT160">
        <v>0</v>
      </c>
      <c r="GU160" t="s">
        <v>3</v>
      </c>
      <c r="GV160">
        <f t="shared" si="198"/>
        <v>0</v>
      </c>
      <c r="GW160">
        <v>1</v>
      </c>
      <c r="GX160">
        <f t="shared" si="199"/>
        <v>0</v>
      </c>
      <c r="HA160">
        <v>0</v>
      </c>
      <c r="HB160">
        <v>0</v>
      </c>
      <c r="HC160">
        <f t="shared" si="200"/>
        <v>0</v>
      </c>
      <c r="IK160">
        <v>0</v>
      </c>
    </row>
    <row r="161" spans="1:245" x14ac:dyDescent="0.2">
      <c r="A161">
        <v>18</v>
      </c>
      <c r="B161">
        <v>1</v>
      </c>
      <c r="C161">
        <v>183</v>
      </c>
      <c r="E161" t="s">
        <v>334</v>
      </c>
      <c r="F161" t="s">
        <v>335</v>
      </c>
      <c r="G161" t="s">
        <v>336</v>
      </c>
      <c r="H161" t="s">
        <v>32</v>
      </c>
      <c r="I161">
        <f>I160*J161</f>
        <v>3.7580000000000001E-3</v>
      </c>
      <c r="J161">
        <v>1.0798850574712644E-2</v>
      </c>
      <c r="O161">
        <f t="shared" si="168"/>
        <v>7.32</v>
      </c>
      <c r="P161">
        <f t="shared" si="169"/>
        <v>7.32</v>
      </c>
      <c r="Q161">
        <f t="shared" si="170"/>
        <v>0</v>
      </c>
      <c r="R161">
        <f t="shared" si="171"/>
        <v>0</v>
      </c>
      <c r="S161">
        <f t="shared" si="172"/>
        <v>0</v>
      </c>
      <c r="T161">
        <f t="shared" si="173"/>
        <v>0</v>
      </c>
      <c r="U161">
        <f t="shared" si="174"/>
        <v>0</v>
      </c>
      <c r="V161">
        <f t="shared" si="175"/>
        <v>0</v>
      </c>
      <c r="W161">
        <f t="shared" si="176"/>
        <v>0</v>
      </c>
      <c r="X161">
        <f t="shared" si="177"/>
        <v>0</v>
      </c>
      <c r="Y161">
        <f t="shared" si="178"/>
        <v>0</v>
      </c>
      <c r="AA161">
        <v>47631607</v>
      </c>
      <c r="AB161">
        <f t="shared" si="179"/>
        <v>1946.91</v>
      </c>
      <c r="AC161">
        <f t="shared" si="180"/>
        <v>1946.91</v>
      </c>
      <c r="AD161">
        <f>ROUND((((ET161)-(EU161))+AE161),6)</f>
        <v>0</v>
      </c>
      <c r="AE161">
        <f>ROUND((EU161),6)</f>
        <v>0</v>
      </c>
      <c r="AF161">
        <f>ROUND((EV161),6)</f>
        <v>0</v>
      </c>
      <c r="AG161">
        <f t="shared" si="181"/>
        <v>0</v>
      </c>
      <c r="AH161">
        <f>(EW161)</f>
        <v>0</v>
      </c>
      <c r="AI161">
        <f>(EX161)</f>
        <v>0</v>
      </c>
      <c r="AJ161">
        <f t="shared" si="182"/>
        <v>0</v>
      </c>
      <c r="AK161">
        <v>1946.91</v>
      </c>
      <c r="AL161">
        <v>1946.91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128</v>
      </c>
      <c r="AU161">
        <v>81</v>
      </c>
      <c r="AV161">
        <v>1</v>
      </c>
      <c r="AW161">
        <v>1</v>
      </c>
      <c r="AZ161">
        <v>1</v>
      </c>
      <c r="BA161">
        <v>1</v>
      </c>
      <c r="BB161">
        <v>1</v>
      </c>
      <c r="BC161">
        <v>1</v>
      </c>
      <c r="BD161" t="s">
        <v>3</v>
      </c>
      <c r="BE161" t="s">
        <v>3</v>
      </c>
      <c r="BF161" t="s">
        <v>3</v>
      </c>
      <c r="BG161" t="s">
        <v>3</v>
      </c>
      <c r="BH161">
        <v>3</v>
      </c>
      <c r="BI161">
        <v>1</v>
      </c>
      <c r="BJ161" t="s">
        <v>337</v>
      </c>
      <c r="BM161">
        <v>27001</v>
      </c>
      <c r="BN161">
        <v>0</v>
      </c>
      <c r="BO161" t="s">
        <v>3</v>
      </c>
      <c r="BP161">
        <v>0</v>
      </c>
      <c r="BQ161">
        <v>2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</v>
      </c>
      <c r="BZ161">
        <v>142</v>
      </c>
      <c r="CA161">
        <v>95</v>
      </c>
      <c r="CE161">
        <v>0</v>
      </c>
      <c r="CF161">
        <v>0</v>
      </c>
      <c r="CG161">
        <v>0</v>
      </c>
      <c r="CM161">
        <v>0</v>
      </c>
      <c r="CN161" t="s">
        <v>3</v>
      </c>
      <c r="CO161">
        <v>0</v>
      </c>
      <c r="CP161">
        <f t="shared" si="183"/>
        <v>7.32</v>
      </c>
      <c r="CQ161">
        <f t="shared" si="184"/>
        <v>1946.91</v>
      </c>
      <c r="CR161">
        <f t="shared" si="185"/>
        <v>0</v>
      </c>
      <c r="CS161">
        <f t="shared" si="186"/>
        <v>0</v>
      </c>
      <c r="CT161">
        <f t="shared" si="187"/>
        <v>0</v>
      </c>
      <c r="CU161">
        <f t="shared" si="188"/>
        <v>0</v>
      </c>
      <c r="CV161">
        <f t="shared" si="189"/>
        <v>0</v>
      </c>
      <c r="CW161">
        <f t="shared" si="190"/>
        <v>0</v>
      </c>
      <c r="CX161">
        <f t="shared" si="191"/>
        <v>0</v>
      </c>
      <c r="CY161">
        <f t="shared" si="192"/>
        <v>0</v>
      </c>
      <c r="CZ161">
        <f t="shared" si="193"/>
        <v>0</v>
      </c>
      <c r="DC161" t="s">
        <v>3</v>
      </c>
      <c r="DD161" t="s">
        <v>3</v>
      </c>
      <c r="DE161" t="s">
        <v>3</v>
      </c>
      <c r="DF161" t="s">
        <v>3</v>
      </c>
      <c r="DG161" t="s">
        <v>3</v>
      </c>
      <c r="DH161" t="s">
        <v>3</v>
      </c>
      <c r="DI161" t="s">
        <v>3</v>
      </c>
      <c r="DJ161" t="s">
        <v>3</v>
      </c>
      <c r="DK161" t="s">
        <v>3</v>
      </c>
      <c r="DL161" t="s">
        <v>3</v>
      </c>
      <c r="DM161" t="s">
        <v>3</v>
      </c>
      <c r="DN161">
        <v>0</v>
      </c>
      <c r="DO161">
        <v>0</v>
      </c>
      <c r="DP161">
        <v>1</v>
      </c>
      <c r="DQ161">
        <v>1</v>
      </c>
      <c r="DU161">
        <v>1009</v>
      </c>
      <c r="DV161" t="s">
        <v>32</v>
      </c>
      <c r="DW161" t="s">
        <v>32</v>
      </c>
      <c r="DX161">
        <v>1000</v>
      </c>
      <c r="EE161">
        <v>45919611</v>
      </c>
      <c r="EF161">
        <v>2</v>
      </c>
      <c r="EG161" t="s">
        <v>54</v>
      </c>
      <c r="EH161">
        <v>0</v>
      </c>
      <c r="EI161" t="s">
        <v>3</v>
      </c>
      <c r="EJ161">
        <v>1</v>
      </c>
      <c r="EK161">
        <v>27001</v>
      </c>
      <c r="EL161" t="s">
        <v>281</v>
      </c>
      <c r="EM161" t="s">
        <v>282</v>
      </c>
      <c r="EO161" t="s">
        <v>3</v>
      </c>
      <c r="EQ161">
        <v>0</v>
      </c>
      <c r="ER161">
        <v>1946.91</v>
      </c>
      <c r="ES161">
        <v>1946.91</v>
      </c>
      <c r="ET161">
        <v>0</v>
      </c>
      <c r="EU161">
        <v>0</v>
      </c>
      <c r="EV161">
        <v>0</v>
      </c>
      <c r="EW161">
        <v>0</v>
      </c>
      <c r="EX161">
        <v>0</v>
      </c>
      <c r="FQ161">
        <v>0</v>
      </c>
      <c r="FR161">
        <f t="shared" si="166"/>
        <v>0</v>
      </c>
      <c r="FS161">
        <v>0</v>
      </c>
      <c r="FT161" t="s">
        <v>58</v>
      </c>
      <c r="FU161" t="s">
        <v>59</v>
      </c>
      <c r="FX161">
        <v>127.8</v>
      </c>
      <c r="FY161">
        <v>80.75</v>
      </c>
      <c r="GA161" t="s">
        <v>3</v>
      </c>
      <c r="GD161">
        <v>1</v>
      </c>
      <c r="GF161">
        <v>1401058849</v>
      </c>
      <c r="GG161">
        <v>2</v>
      </c>
      <c r="GH161">
        <v>1</v>
      </c>
      <c r="GI161">
        <v>-2</v>
      </c>
      <c r="GJ161">
        <v>0</v>
      </c>
      <c r="GK161">
        <v>0</v>
      </c>
      <c r="GL161">
        <f t="shared" si="167"/>
        <v>0</v>
      </c>
      <c r="GM161">
        <f t="shared" si="194"/>
        <v>7.32</v>
      </c>
      <c r="GN161">
        <f t="shared" si="195"/>
        <v>7.32</v>
      </c>
      <c r="GO161">
        <f t="shared" si="196"/>
        <v>0</v>
      </c>
      <c r="GP161">
        <f t="shared" si="197"/>
        <v>0</v>
      </c>
      <c r="GR161">
        <v>0</v>
      </c>
      <c r="GS161">
        <v>3</v>
      </c>
      <c r="GT161">
        <v>0</v>
      </c>
      <c r="GU161" t="s">
        <v>3</v>
      </c>
      <c r="GV161">
        <f t="shared" si="198"/>
        <v>0</v>
      </c>
      <c r="GW161">
        <v>1</v>
      </c>
      <c r="GX161">
        <f t="shared" si="199"/>
        <v>0</v>
      </c>
      <c r="HA161">
        <v>0</v>
      </c>
      <c r="HB161">
        <v>0</v>
      </c>
      <c r="HC161">
        <f t="shared" si="200"/>
        <v>0</v>
      </c>
      <c r="IK161">
        <v>0</v>
      </c>
    </row>
    <row r="162" spans="1:245" x14ac:dyDescent="0.2">
      <c r="A162">
        <v>18</v>
      </c>
      <c r="B162">
        <v>1</v>
      </c>
      <c r="C162">
        <v>185</v>
      </c>
      <c r="E162" t="s">
        <v>338</v>
      </c>
      <c r="F162" t="s">
        <v>339</v>
      </c>
      <c r="G162" t="s">
        <v>340</v>
      </c>
      <c r="H162" t="s">
        <v>32</v>
      </c>
      <c r="I162">
        <f>I160*J162</f>
        <v>33.3384</v>
      </c>
      <c r="J162">
        <v>95.800000000000011</v>
      </c>
      <c r="O162">
        <f t="shared" si="168"/>
        <v>13031.31</v>
      </c>
      <c r="P162">
        <f t="shared" si="169"/>
        <v>13031.31</v>
      </c>
      <c r="Q162">
        <f t="shared" si="170"/>
        <v>0</v>
      </c>
      <c r="R162">
        <f t="shared" si="171"/>
        <v>0</v>
      </c>
      <c r="S162">
        <f t="shared" si="172"/>
        <v>0</v>
      </c>
      <c r="T162">
        <f t="shared" si="173"/>
        <v>0</v>
      </c>
      <c r="U162">
        <f t="shared" si="174"/>
        <v>0</v>
      </c>
      <c r="V162">
        <f t="shared" si="175"/>
        <v>0</v>
      </c>
      <c r="W162">
        <f t="shared" si="176"/>
        <v>0</v>
      </c>
      <c r="X162">
        <f t="shared" si="177"/>
        <v>0</v>
      </c>
      <c r="Y162">
        <f t="shared" si="178"/>
        <v>0</v>
      </c>
      <c r="AA162">
        <v>47631607</v>
      </c>
      <c r="AB162">
        <f t="shared" si="179"/>
        <v>390.88</v>
      </c>
      <c r="AC162">
        <f t="shared" si="180"/>
        <v>390.88</v>
      </c>
      <c r="AD162">
        <f>ROUND((((ET162)-(EU162))+AE162),6)</f>
        <v>0</v>
      </c>
      <c r="AE162">
        <f>ROUND((EU162),6)</f>
        <v>0</v>
      </c>
      <c r="AF162">
        <f>ROUND((EV162),6)</f>
        <v>0</v>
      </c>
      <c r="AG162">
        <f t="shared" si="181"/>
        <v>0</v>
      </c>
      <c r="AH162">
        <f>(EW162)</f>
        <v>0</v>
      </c>
      <c r="AI162">
        <f>(EX162)</f>
        <v>0</v>
      </c>
      <c r="AJ162">
        <f t="shared" si="182"/>
        <v>0</v>
      </c>
      <c r="AK162">
        <v>390.88</v>
      </c>
      <c r="AL162">
        <v>390.88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128</v>
      </c>
      <c r="AU162">
        <v>81</v>
      </c>
      <c r="AV162">
        <v>1</v>
      </c>
      <c r="AW162">
        <v>1</v>
      </c>
      <c r="AZ162">
        <v>1</v>
      </c>
      <c r="BA162">
        <v>1</v>
      </c>
      <c r="BB162">
        <v>1</v>
      </c>
      <c r="BC162">
        <v>1</v>
      </c>
      <c r="BD162" t="s">
        <v>3</v>
      </c>
      <c r="BE162" t="s">
        <v>3</v>
      </c>
      <c r="BF162" t="s">
        <v>3</v>
      </c>
      <c r="BG162" t="s">
        <v>3</v>
      </c>
      <c r="BH162">
        <v>3</v>
      </c>
      <c r="BI162">
        <v>1</v>
      </c>
      <c r="BJ162" t="s">
        <v>341</v>
      </c>
      <c r="BM162">
        <v>27001</v>
      </c>
      <c r="BN162">
        <v>0</v>
      </c>
      <c r="BO162" t="s">
        <v>3</v>
      </c>
      <c r="BP162">
        <v>0</v>
      </c>
      <c r="BQ162">
        <v>2</v>
      </c>
      <c r="BR162">
        <v>0</v>
      </c>
      <c r="BS162">
        <v>1</v>
      </c>
      <c r="BT162">
        <v>1</v>
      </c>
      <c r="BU162">
        <v>1</v>
      </c>
      <c r="BV162">
        <v>1</v>
      </c>
      <c r="BW162">
        <v>1</v>
      </c>
      <c r="BX162">
        <v>1</v>
      </c>
      <c r="BY162" t="s">
        <v>3</v>
      </c>
      <c r="BZ162">
        <v>142</v>
      </c>
      <c r="CA162">
        <v>95</v>
      </c>
      <c r="CE162">
        <v>0</v>
      </c>
      <c r="CF162">
        <v>0</v>
      </c>
      <c r="CG162">
        <v>0</v>
      </c>
      <c r="CM162">
        <v>0</v>
      </c>
      <c r="CN162" t="s">
        <v>3</v>
      </c>
      <c r="CO162">
        <v>0</v>
      </c>
      <c r="CP162">
        <f t="shared" si="183"/>
        <v>13031.31</v>
      </c>
      <c r="CQ162">
        <f t="shared" si="184"/>
        <v>390.88</v>
      </c>
      <c r="CR162">
        <f t="shared" si="185"/>
        <v>0</v>
      </c>
      <c r="CS162">
        <f t="shared" si="186"/>
        <v>0</v>
      </c>
      <c r="CT162">
        <f t="shared" si="187"/>
        <v>0</v>
      </c>
      <c r="CU162">
        <f t="shared" si="188"/>
        <v>0</v>
      </c>
      <c r="CV162">
        <f t="shared" si="189"/>
        <v>0</v>
      </c>
      <c r="CW162">
        <f t="shared" si="190"/>
        <v>0</v>
      </c>
      <c r="CX162">
        <f t="shared" si="191"/>
        <v>0</v>
      </c>
      <c r="CY162">
        <f t="shared" si="192"/>
        <v>0</v>
      </c>
      <c r="CZ162">
        <f t="shared" si="193"/>
        <v>0</v>
      </c>
      <c r="DC162" t="s">
        <v>3</v>
      </c>
      <c r="DD162" t="s">
        <v>3</v>
      </c>
      <c r="DE162" t="s">
        <v>3</v>
      </c>
      <c r="DF162" t="s">
        <v>3</v>
      </c>
      <c r="DG162" t="s">
        <v>3</v>
      </c>
      <c r="DH162" t="s">
        <v>3</v>
      </c>
      <c r="DI162" t="s">
        <v>3</v>
      </c>
      <c r="DJ162" t="s">
        <v>3</v>
      </c>
      <c r="DK162" t="s">
        <v>3</v>
      </c>
      <c r="DL162" t="s">
        <v>3</v>
      </c>
      <c r="DM162" t="s">
        <v>3</v>
      </c>
      <c r="DN162">
        <v>0</v>
      </c>
      <c r="DO162">
        <v>0</v>
      </c>
      <c r="DP162">
        <v>1</v>
      </c>
      <c r="DQ162">
        <v>1</v>
      </c>
      <c r="DU162">
        <v>1009</v>
      </c>
      <c r="DV162" t="s">
        <v>32</v>
      </c>
      <c r="DW162" t="s">
        <v>32</v>
      </c>
      <c r="DX162">
        <v>1000</v>
      </c>
      <c r="EE162">
        <v>45919611</v>
      </c>
      <c r="EF162">
        <v>2</v>
      </c>
      <c r="EG162" t="s">
        <v>54</v>
      </c>
      <c r="EH162">
        <v>0</v>
      </c>
      <c r="EI162" t="s">
        <v>3</v>
      </c>
      <c r="EJ162">
        <v>1</v>
      </c>
      <c r="EK162">
        <v>27001</v>
      </c>
      <c r="EL162" t="s">
        <v>281</v>
      </c>
      <c r="EM162" t="s">
        <v>282</v>
      </c>
      <c r="EO162" t="s">
        <v>3</v>
      </c>
      <c r="EQ162">
        <v>0</v>
      </c>
      <c r="ER162">
        <v>390.88</v>
      </c>
      <c r="ES162">
        <v>390.88</v>
      </c>
      <c r="ET162">
        <v>0</v>
      </c>
      <c r="EU162">
        <v>0</v>
      </c>
      <c r="EV162">
        <v>0</v>
      </c>
      <c r="EW162">
        <v>0</v>
      </c>
      <c r="EX162">
        <v>0</v>
      </c>
      <c r="FQ162">
        <v>0</v>
      </c>
      <c r="FR162">
        <f t="shared" si="166"/>
        <v>0</v>
      </c>
      <c r="FS162">
        <v>0</v>
      </c>
      <c r="FT162" t="s">
        <v>58</v>
      </c>
      <c r="FU162" t="s">
        <v>59</v>
      </c>
      <c r="FX162">
        <v>127.8</v>
      </c>
      <c r="FY162">
        <v>80.75</v>
      </c>
      <c r="GA162" t="s">
        <v>3</v>
      </c>
      <c r="GD162">
        <v>1</v>
      </c>
      <c r="GF162">
        <v>1955294855</v>
      </c>
      <c r="GG162">
        <v>2</v>
      </c>
      <c r="GH162">
        <v>1</v>
      </c>
      <c r="GI162">
        <v>-2</v>
      </c>
      <c r="GJ162">
        <v>0</v>
      </c>
      <c r="GK162">
        <v>0</v>
      </c>
      <c r="GL162">
        <f t="shared" si="167"/>
        <v>0</v>
      </c>
      <c r="GM162">
        <f t="shared" si="194"/>
        <v>13031.31</v>
      </c>
      <c r="GN162">
        <f t="shared" si="195"/>
        <v>13031.31</v>
      </c>
      <c r="GO162">
        <f t="shared" si="196"/>
        <v>0</v>
      </c>
      <c r="GP162">
        <f t="shared" si="197"/>
        <v>0</v>
      </c>
      <c r="GR162">
        <v>0</v>
      </c>
      <c r="GS162">
        <v>3</v>
      </c>
      <c r="GT162">
        <v>0</v>
      </c>
      <c r="GU162" t="s">
        <v>3</v>
      </c>
      <c r="GV162">
        <f t="shared" si="198"/>
        <v>0</v>
      </c>
      <c r="GW162">
        <v>1</v>
      </c>
      <c r="GX162">
        <f t="shared" si="199"/>
        <v>0</v>
      </c>
      <c r="HA162">
        <v>0</v>
      </c>
      <c r="HB162">
        <v>0</v>
      </c>
      <c r="HC162">
        <f t="shared" si="200"/>
        <v>0</v>
      </c>
      <c r="IK162">
        <v>0</v>
      </c>
    </row>
    <row r="163" spans="1:245" x14ac:dyDescent="0.2">
      <c r="A163">
        <v>17</v>
      </c>
      <c r="B163">
        <v>1</v>
      </c>
      <c r="C163">
        <f>ROW(SmtRes!A191)</f>
        <v>191</v>
      </c>
      <c r="D163">
        <f>ROW(EtalonRes!A203)</f>
        <v>203</v>
      </c>
      <c r="E163" t="s">
        <v>342</v>
      </c>
      <c r="F163" t="s">
        <v>343</v>
      </c>
      <c r="G163" t="s">
        <v>344</v>
      </c>
      <c r="H163" t="s">
        <v>265</v>
      </c>
      <c r="I163">
        <f>ROUND(348/1000,9)</f>
        <v>0.34799999999999998</v>
      </c>
      <c r="J163">
        <v>0</v>
      </c>
      <c r="O163">
        <f t="shared" si="168"/>
        <v>5.27</v>
      </c>
      <c r="P163">
        <f t="shared" si="169"/>
        <v>0</v>
      </c>
      <c r="Q163">
        <f t="shared" si="170"/>
        <v>4.0599999999999996</v>
      </c>
      <c r="R163">
        <f t="shared" si="171"/>
        <v>0</v>
      </c>
      <c r="S163">
        <f t="shared" si="172"/>
        <v>1.21</v>
      </c>
      <c r="T163">
        <f t="shared" si="173"/>
        <v>0</v>
      </c>
      <c r="U163">
        <f t="shared" si="174"/>
        <v>0.12527999999999997</v>
      </c>
      <c r="V163">
        <f t="shared" si="175"/>
        <v>0</v>
      </c>
      <c r="W163">
        <f t="shared" si="176"/>
        <v>0</v>
      </c>
      <c r="X163">
        <f t="shared" si="177"/>
        <v>1.55</v>
      </c>
      <c r="Y163">
        <f t="shared" si="178"/>
        <v>0.98</v>
      </c>
      <c r="AA163">
        <v>47631607</v>
      </c>
      <c r="AB163">
        <f t="shared" si="179"/>
        <v>15.16</v>
      </c>
      <c r="AC163">
        <f>ROUND(((ES163*4)),6)</f>
        <v>0</v>
      </c>
      <c r="AD163">
        <f>ROUND(((((ET163*4))-((EU163*4)))+AE163),6)</f>
        <v>11.68</v>
      </c>
      <c r="AE163">
        <f>ROUND(((EU163*4)),6)</f>
        <v>0</v>
      </c>
      <c r="AF163">
        <f>ROUND(((EV163*4)),6)</f>
        <v>3.48</v>
      </c>
      <c r="AG163">
        <f t="shared" si="181"/>
        <v>0</v>
      </c>
      <c r="AH163">
        <f>((EW163*4))</f>
        <v>0.36</v>
      </c>
      <c r="AI163">
        <f>((EX163*4))</f>
        <v>0</v>
      </c>
      <c r="AJ163">
        <f t="shared" si="182"/>
        <v>0</v>
      </c>
      <c r="AK163">
        <v>3.79</v>
      </c>
      <c r="AL163">
        <v>0</v>
      </c>
      <c r="AM163">
        <v>2.92</v>
      </c>
      <c r="AN163">
        <v>0</v>
      </c>
      <c r="AO163">
        <v>0.87</v>
      </c>
      <c r="AP163">
        <v>0</v>
      </c>
      <c r="AQ163">
        <v>0.09</v>
      </c>
      <c r="AR163">
        <v>0</v>
      </c>
      <c r="AS163">
        <v>0</v>
      </c>
      <c r="AT163">
        <v>128</v>
      </c>
      <c r="AU163">
        <v>81</v>
      </c>
      <c r="AV163">
        <v>1</v>
      </c>
      <c r="AW163">
        <v>1</v>
      </c>
      <c r="AZ163">
        <v>1</v>
      </c>
      <c r="BA163">
        <v>1</v>
      </c>
      <c r="BB163">
        <v>1</v>
      </c>
      <c r="BC163">
        <v>1</v>
      </c>
      <c r="BD163" t="s">
        <v>3</v>
      </c>
      <c r="BE163" t="s">
        <v>3</v>
      </c>
      <c r="BF163" t="s">
        <v>3</v>
      </c>
      <c r="BG163" t="s">
        <v>3</v>
      </c>
      <c r="BH163">
        <v>0</v>
      </c>
      <c r="BI163">
        <v>1</v>
      </c>
      <c r="BJ163" t="s">
        <v>345</v>
      </c>
      <c r="BM163">
        <v>27001</v>
      </c>
      <c r="BN163">
        <v>0</v>
      </c>
      <c r="BO163" t="s">
        <v>3</v>
      </c>
      <c r="BP163">
        <v>0</v>
      </c>
      <c r="BQ163">
        <v>2</v>
      </c>
      <c r="BR163">
        <v>0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</v>
      </c>
      <c r="BZ163">
        <v>142</v>
      </c>
      <c r="CA163">
        <v>95</v>
      </c>
      <c r="CE163">
        <v>0</v>
      </c>
      <c r="CF163">
        <v>0</v>
      </c>
      <c r="CG163">
        <v>0</v>
      </c>
      <c r="CM163">
        <v>0</v>
      </c>
      <c r="CN163" t="s">
        <v>3</v>
      </c>
      <c r="CO163">
        <v>0</v>
      </c>
      <c r="CP163">
        <f t="shared" si="183"/>
        <v>5.27</v>
      </c>
      <c r="CQ163">
        <f t="shared" si="184"/>
        <v>0</v>
      </c>
      <c r="CR163">
        <f t="shared" si="185"/>
        <v>11.68</v>
      </c>
      <c r="CS163">
        <f t="shared" si="186"/>
        <v>0</v>
      </c>
      <c r="CT163">
        <f t="shared" si="187"/>
        <v>3.48</v>
      </c>
      <c r="CU163">
        <f t="shared" si="188"/>
        <v>0</v>
      </c>
      <c r="CV163">
        <f t="shared" si="189"/>
        <v>0.36</v>
      </c>
      <c r="CW163">
        <f t="shared" si="190"/>
        <v>0</v>
      </c>
      <c r="CX163">
        <f t="shared" si="191"/>
        <v>0</v>
      </c>
      <c r="CY163">
        <f t="shared" si="192"/>
        <v>1.5488</v>
      </c>
      <c r="CZ163">
        <f t="shared" si="193"/>
        <v>0.98009999999999986</v>
      </c>
      <c r="DC163" t="s">
        <v>3</v>
      </c>
      <c r="DD163" t="s">
        <v>346</v>
      </c>
      <c r="DE163" t="s">
        <v>346</v>
      </c>
      <c r="DF163" t="s">
        <v>346</v>
      </c>
      <c r="DG163" t="s">
        <v>346</v>
      </c>
      <c r="DH163" t="s">
        <v>3</v>
      </c>
      <c r="DI163" t="s">
        <v>346</v>
      </c>
      <c r="DJ163" t="s">
        <v>346</v>
      </c>
      <c r="DK163" t="s">
        <v>3</v>
      </c>
      <c r="DL163" t="s">
        <v>3</v>
      </c>
      <c r="DM163" t="s">
        <v>3</v>
      </c>
      <c r="DN163">
        <v>0</v>
      </c>
      <c r="DO163">
        <v>0</v>
      </c>
      <c r="DP163">
        <v>1</v>
      </c>
      <c r="DQ163">
        <v>1</v>
      </c>
      <c r="DU163">
        <v>1005</v>
      </c>
      <c r="DV163" t="s">
        <v>265</v>
      </c>
      <c r="DW163" t="s">
        <v>265</v>
      </c>
      <c r="DX163">
        <v>1000</v>
      </c>
      <c r="EE163">
        <v>45919611</v>
      </c>
      <c r="EF163">
        <v>2</v>
      </c>
      <c r="EG163" t="s">
        <v>54</v>
      </c>
      <c r="EH163">
        <v>0</v>
      </c>
      <c r="EI163" t="s">
        <v>3</v>
      </c>
      <c r="EJ163">
        <v>1</v>
      </c>
      <c r="EK163">
        <v>27001</v>
      </c>
      <c r="EL163" t="s">
        <v>281</v>
      </c>
      <c r="EM163" t="s">
        <v>282</v>
      </c>
      <c r="EO163" t="s">
        <v>3</v>
      </c>
      <c r="EQ163">
        <v>0</v>
      </c>
      <c r="ER163">
        <v>3.79</v>
      </c>
      <c r="ES163">
        <v>0</v>
      </c>
      <c r="ET163">
        <v>2.92</v>
      </c>
      <c r="EU163">
        <v>0</v>
      </c>
      <c r="EV163">
        <v>0.87</v>
      </c>
      <c r="EW163">
        <v>0.09</v>
      </c>
      <c r="EX163">
        <v>0</v>
      </c>
      <c r="EY163">
        <v>0</v>
      </c>
      <c r="FQ163">
        <v>0</v>
      </c>
      <c r="FR163">
        <f t="shared" si="166"/>
        <v>0</v>
      </c>
      <c r="FS163">
        <v>0</v>
      </c>
      <c r="FT163" t="s">
        <v>58</v>
      </c>
      <c r="FU163" t="s">
        <v>59</v>
      </c>
      <c r="FX163">
        <v>127.8</v>
      </c>
      <c r="FY163">
        <v>80.75</v>
      </c>
      <c r="GA163" t="s">
        <v>3</v>
      </c>
      <c r="GD163">
        <v>1</v>
      </c>
      <c r="GF163">
        <v>-652070841</v>
      </c>
      <c r="GG163">
        <v>2</v>
      </c>
      <c r="GH163">
        <v>1</v>
      </c>
      <c r="GI163">
        <v>-2</v>
      </c>
      <c r="GJ163">
        <v>0</v>
      </c>
      <c r="GK163">
        <v>0</v>
      </c>
      <c r="GL163">
        <f t="shared" si="167"/>
        <v>0</v>
      </c>
      <c r="GM163">
        <f t="shared" si="194"/>
        <v>7.8</v>
      </c>
      <c r="GN163">
        <f t="shared" si="195"/>
        <v>7.8</v>
      </c>
      <c r="GO163">
        <f t="shared" si="196"/>
        <v>0</v>
      </c>
      <c r="GP163">
        <f t="shared" si="197"/>
        <v>0</v>
      </c>
      <c r="GR163">
        <v>0</v>
      </c>
      <c r="GS163">
        <v>3</v>
      </c>
      <c r="GT163">
        <v>0</v>
      </c>
      <c r="GU163" t="s">
        <v>3</v>
      </c>
      <c r="GV163">
        <f t="shared" si="198"/>
        <v>0</v>
      </c>
      <c r="GW163">
        <v>1</v>
      </c>
      <c r="GX163">
        <f t="shared" si="199"/>
        <v>0</v>
      </c>
      <c r="HA163">
        <v>0</v>
      </c>
      <c r="HB163">
        <v>0</v>
      </c>
      <c r="HC163">
        <f t="shared" si="200"/>
        <v>0</v>
      </c>
      <c r="IK163">
        <v>0</v>
      </c>
    </row>
    <row r="164" spans="1:245" x14ac:dyDescent="0.2">
      <c r="A164">
        <v>18</v>
      </c>
      <c r="B164">
        <v>1</v>
      </c>
      <c r="C164">
        <v>190</v>
      </c>
      <c r="E164" t="s">
        <v>347</v>
      </c>
      <c r="F164" t="s">
        <v>335</v>
      </c>
      <c r="G164" t="s">
        <v>336</v>
      </c>
      <c r="H164" t="s">
        <v>32</v>
      </c>
      <c r="I164">
        <f>I163*J164</f>
        <v>7.7949999999999998E-3</v>
      </c>
      <c r="J164">
        <v>2.2399425287356323E-2</v>
      </c>
      <c r="O164">
        <f t="shared" si="168"/>
        <v>15.18</v>
      </c>
      <c r="P164">
        <f t="shared" si="169"/>
        <v>15.18</v>
      </c>
      <c r="Q164">
        <f t="shared" si="170"/>
        <v>0</v>
      </c>
      <c r="R164">
        <f t="shared" si="171"/>
        <v>0</v>
      </c>
      <c r="S164">
        <f t="shared" si="172"/>
        <v>0</v>
      </c>
      <c r="T164">
        <f t="shared" si="173"/>
        <v>0</v>
      </c>
      <c r="U164">
        <f t="shared" si="174"/>
        <v>0</v>
      </c>
      <c r="V164">
        <f t="shared" si="175"/>
        <v>0</v>
      </c>
      <c r="W164">
        <f t="shared" si="176"/>
        <v>0</v>
      </c>
      <c r="X164">
        <f t="shared" si="177"/>
        <v>0</v>
      </c>
      <c r="Y164">
        <f t="shared" si="178"/>
        <v>0</v>
      </c>
      <c r="AA164">
        <v>47631607</v>
      </c>
      <c r="AB164">
        <f t="shared" si="179"/>
        <v>1946.91</v>
      </c>
      <c r="AC164">
        <f>ROUND((ES164),6)</f>
        <v>1946.91</v>
      </c>
      <c r="AD164">
        <f>ROUND((((ET164)-(EU164))+AE164),6)</f>
        <v>0</v>
      </c>
      <c r="AE164">
        <f>ROUND((EU164),6)</f>
        <v>0</v>
      </c>
      <c r="AF164">
        <f>ROUND((EV164),6)</f>
        <v>0</v>
      </c>
      <c r="AG164">
        <f t="shared" si="181"/>
        <v>0</v>
      </c>
      <c r="AH164">
        <f>(EW164)</f>
        <v>0</v>
      </c>
      <c r="AI164">
        <f>(EX164)</f>
        <v>0</v>
      </c>
      <c r="AJ164">
        <f t="shared" si="182"/>
        <v>0</v>
      </c>
      <c r="AK164">
        <v>1946.91</v>
      </c>
      <c r="AL164">
        <v>1946.91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128</v>
      </c>
      <c r="AU164">
        <v>81</v>
      </c>
      <c r="AV164">
        <v>1</v>
      </c>
      <c r="AW164">
        <v>1</v>
      </c>
      <c r="AZ164">
        <v>1</v>
      </c>
      <c r="BA164">
        <v>1</v>
      </c>
      <c r="BB164">
        <v>1</v>
      </c>
      <c r="BC164">
        <v>1</v>
      </c>
      <c r="BD164" t="s">
        <v>3</v>
      </c>
      <c r="BE164" t="s">
        <v>3</v>
      </c>
      <c r="BF164" t="s">
        <v>3</v>
      </c>
      <c r="BG164" t="s">
        <v>3</v>
      </c>
      <c r="BH164">
        <v>3</v>
      </c>
      <c r="BI164">
        <v>1</v>
      </c>
      <c r="BJ164" t="s">
        <v>337</v>
      </c>
      <c r="BM164">
        <v>27001</v>
      </c>
      <c r="BN164">
        <v>0</v>
      </c>
      <c r="BO164" t="s">
        <v>3</v>
      </c>
      <c r="BP164">
        <v>0</v>
      </c>
      <c r="BQ164">
        <v>2</v>
      </c>
      <c r="BR164">
        <v>0</v>
      </c>
      <c r="BS164">
        <v>1</v>
      </c>
      <c r="BT164">
        <v>1</v>
      </c>
      <c r="BU164">
        <v>1</v>
      </c>
      <c r="BV164">
        <v>1</v>
      </c>
      <c r="BW164">
        <v>1</v>
      </c>
      <c r="BX164">
        <v>1</v>
      </c>
      <c r="BY164" t="s">
        <v>3</v>
      </c>
      <c r="BZ164">
        <v>142</v>
      </c>
      <c r="CA164">
        <v>95</v>
      </c>
      <c r="CE164">
        <v>0</v>
      </c>
      <c r="CF164">
        <v>0</v>
      </c>
      <c r="CG164">
        <v>0</v>
      </c>
      <c r="CM164">
        <v>0</v>
      </c>
      <c r="CN164" t="s">
        <v>3</v>
      </c>
      <c r="CO164">
        <v>0</v>
      </c>
      <c r="CP164">
        <f t="shared" si="183"/>
        <v>15.18</v>
      </c>
      <c r="CQ164">
        <f t="shared" si="184"/>
        <v>1946.91</v>
      </c>
      <c r="CR164">
        <f t="shared" si="185"/>
        <v>0</v>
      </c>
      <c r="CS164">
        <f t="shared" si="186"/>
        <v>0</v>
      </c>
      <c r="CT164">
        <f t="shared" si="187"/>
        <v>0</v>
      </c>
      <c r="CU164">
        <f t="shared" si="188"/>
        <v>0</v>
      </c>
      <c r="CV164">
        <f t="shared" si="189"/>
        <v>0</v>
      </c>
      <c r="CW164">
        <f t="shared" si="190"/>
        <v>0</v>
      </c>
      <c r="CX164">
        <f t="shared" si="191"/>
        <v>0</v>
      </c>
      <c r="CY164">
        <f t="shared" si="192"/>
        <v>0</v>
      </c>
      <c r="CZ164">
        <f t="shared" si="193"/>
        <v>0</v>
      </c>
      <c r="DC164" t="s">
        <v>3</v>
      </c>
      <c r="DD164" t="s">
        <v>3</v>
      </c>
      <c r="DE164" t="s">
        <v>3</v>
      </c>
      <c r="DF164" t="s">
        <v>3</v>
      </c>
      <c r="DG164" t="s">
        <v>3</v>
      </c>
      <c r="DH164" t="s">
        <v>3</v>
      </c>
      <c r="DI164" t="s">
        <v>3</v>
      </c>
      <c r="DJ164" t="s">
        <v>3</v>
      </c>
      <c r="DK164" t="s">
        <v>3</v>
      </c>
      <c r="DL164" t="s">
        <v>3</v>
      </c>
      <c r="DM164" t="s">
        <v>3</v>
      </c>
      <c r="DN164">
        <v>0</v>
      </c>
      <c r="DO164">
        <v>0</v>
      </c>
      <c r="DP164">
        <v>1</v>
      </c>
      <c r="DQ164">
        <v>1</v>
      </c>
      <c r="DU164">
        <v>1009</v>
      </c>
      <c r="DV164" t="s">
        <v>32</v>
      </c>
      <c r="DW164" t="s">
        <v>32</v>
      </c>
      <c r="DX164">
        <v>1000</v>
      </c>
      <c r="EE164">
        <v>45919611</v>
      </c>
      <c r="EF164">
        <v>2</v>
      </c>
      <c r="EG164" t="s">
        <v>54</v>
      </c>
      <c r="EH164">
        <v>0</v>
      </c>
      <c r="EI164" t="s">
        <v>3</v>
      </c>
      <c r="EJ164">
        <v>1</v>
      </c>
      <c r="EK164">
        <v>27001</v>
      </c>
      <c r="EL164" t="s">
        <v>281</v>
      </c>
      <c r="EM164" t="s">
        <v>282</v>
      </c>
      <c r="EO164" t="s">
        <v>3</v>
      </c>
      <c r="EQ164">
        <v>0</v>
      </c>
      <c r="ER164">
        <v>1946.91</v>
      </c>
      <c r="ES164">
        <v>1946.91</v>
      </c>
      <c r="ET164">
        <v>0</v>
      </c>
      <c r="EU164">
        <v>0</v>
      </c>
      <c r="EV164">
        <v>0</v>
      </c>
      <c r="EW164">
        <v>0</v>
      </c>
      <c r="EX164">
        <v>0</v>
      </c>
      <c r="FQ164">
        <v>0</v>
      </c>
      <c r="FR164">
        <f t="shared" si="166"/>
        <v>0</v>
      </c>
      <c r="FS164">
        <v>0</v>
      </c>
      <c r="FT164" t="s">
        <v>58</v>
      </c>
      <c r="FU164" t="s">
        <v>59</v>
      </c>
      <c r="FX164">
        <v>127.8</v>
      </c>
      <c r="FY164">
        <v>80.75</v>
      </c>
      <c r="GA164" t="s">
        <v>3</v>
      </c>
      <c r="GD164">
        <v>1</v>
      </c>
      <c r="GF164">
        <v>1401058849</v>
      </c>
      <c r="GG164">
        <v>2</v>
      </c>
      <c r="GH164">
        <v>1</v>
      </c>
      <c r="GI164">
        <v>-2</v>
      </c>
      <c r="GJ164">
        <v>0</v>
      </c>
      <c r="GK164">
        <v>0</v>
      </c>
      <c r="GL164">
        <f t="shared" si="167"/>
        <v>0</v>
      </c>
      <c r="GM164">
        <f t="shared" si="194"/>
        <v>15.18</v>
      </c>
      <c r="GN164">
        <f t="shared" si="195"/>
        <v>15.18</v>
      </c>
      <c r="GO164">
        <f t="shared" si="196"/>
        <v>0</v>
      </c>
      <c r="GP164">
        <f t="shared" si="197"/>
        <v>0</v>
      </c>
      <c r="GR164">
        <v>0</v>
      </c>
      <c r="GS164">
        <v>3</v>
      </c>
      <c r="GT164">
        <v>0</v>
      </c>
      <c r="GU164" t="s">
        <v>3</v>
      </c>
      <c r="GV164">
        <f t="shared" si="198"/>
        <v>0</v>
      </c>
      <c r="GW164">
        <v>1</v>
      </c>
      <c r="GX164">
        <f t="shared" si="199"/>
        <v>0</v>
      </c>
      <c r="HA164">
        <v>0</v>
      </c>
      <c r="HB164">
        <v>0</v>
      </c>
      <c r="HC164">
        <f t="shared" si="200"/>
        <v>0</v>
      </c>
      <c r="IK164">
        <v>0</v>
      </c>
    </row>
    <row r="165" spans="1:245" x14ac:dyDescent="0.2">
      <c r="A165">
        <v>18</v>
      </c>
      <c r="B165">
        <v>1</v>
      </c>
      <c r="C165">
        <v>191</v>
      </c>
      <c r="E165" t="s">
        <v>348</v>
      </c>
      <c r="F165" t="s">
        <v>339</v>
      </c>
      <c r="G165" t="s">
        <v>340</v>
      </c>
      <c r="H165" t="s">
        <v>32</v>
      </c>
      <c r="I165">
        <f>I163*J165</f>
        <v>16.704000000000001</v>
      </c>
      <c r="J165">
        <v>48.000000000000007</v>
      </c>
      <c r="O165">
        <f t="shared" si="168"/>
        <v>6529.26</v>
      </c>
      <c r="P165">
        <f t="shared" si="169"/>
        <v>6529.26</v>
      </c>
      <c r="Q165">
        <f t="shared" si="170"/>
        <v>0</v>
      </c>
      <c r="R165">
        <f t="shared" si="171"/>
        <v>0</v>
      </c>
      <c r="S165">
        <f t="shared" si="172"/>
        <v>0</v>
      </c>
      <c r="T165">
        <f t="shared" si="173"/>
        <v>0</v>
      </c>
      <c r="U165">
        <f t="shared" si="174"/>
        <v>0</v>
      </c>
      <c r="V165">
        <f t="shared" si="175"/>
        <v>0</v>
      </c>
      <c r="W165">
        <f t="shared" si="176"/>
        <v>0</v>
      </c>
      <c r="X165">
        <f t="shared" si="177"/>
        <v>0</v>
      </c>
      <c r="Y165">
        <f t="shared" si="178"/>
        <v>0</v>
      </c>
      <c r="AA165">
        <v>47631607</v>
      </c>
      <c r="AB165">
        <f t="shared" si="179"/>
        <v>390.88</v>
      </c>
      <c r="AC165">
        <f>ROUND((ES165),6)</f>
        <v>390.88</v>
      </c>
      <c r="AD165">
        <f>ROUND((((ET165)-(EU165))+AE165),6)</f>
        <v>0</v>
      </c>
      <c r="AE165">
        <f>ROUND((EU165),6)</f>
        <v>0</v>
      </c>
      <c r="AF165">
        <f>ROUND((EV165),6)</f>
        <v>0</v>
      </c>
      <c r="AG165">
        <f t="shared" si="181"/>
        <v>0</v>
      </c>
      <c r="AH165">
        <f>(EW165)</f>
        <v>0</v>
      </c>
      <c r="AI165">
        <f>(EX165)</f>
        <v>0</v>
      </c>
      <c r="AJ165">
        <f t="shared" si="182"/>
        <v>0</v>
      </c>
      <c r="AK165">
        <v>390.88</v>
      </c>
      <c r="AL165">
        <v>390.88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128</v>
      </c>
      <c r="AU165">
        <v>81</v>
      </c>
      <c r="AV165">
        <v>1</v>
      </c>
      <c r="AW165">
        <v>1</v>
      </c>
      <c r="AZ165">
        <v>1</v>
      </c>
      <c r="BA165">
        <v>1</v>
      </c>
      <c r="BB165">
        <v>1</v>
      </c>
      <c r="BC165">
        <v>1</v>
      </c>
      <c r="BD165" t="s">
        <v>3</v>
      </c>
      <c r="BE165" t="s">
        <v>3</v>
      </c>
      <c r="BF165" t="s">
        <v>3</v>
      </c>
      <c r="BG165" t="s">
        <v>3</v>
      </c>
      <c r="BH165">
        <v>3</v>
      </c>
      <c r="BI165">
        <v>1</v>
      </c>
      <c r="BJ165" t="s">
        <v>341</v>
      </c>
      <c r="BM165">
        <v>27001</v>
      </c>
      <c r="BN165">
        <v>0</v>
      </c>
      <c r="BO165" t="s">
        <v>3</v>
      </c>
      <c r="BP165">
        <v>0</v>
      </c>
      <c r="BQ165">
        <v>2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3</v>
      </c>
      <c r="BZ165">
        <v>142</v>
      </c>
      <c r="CA165">
        <v>95</v>
      </c>
      <c r="CE165">
        <v>0</v>
      </c>
      <c r="CF165">
        <v>0</v>
      </c>
      <c r="CG165">
        <v>0</v>
      </c>
      <c r="CM165">
        <v>0</v>
      </c>
      <c r="CN165" t="s">
        <v>3</v>
      </c>
      <c r="CO165">
        <v>0</v>
      </c>
      <c r="CP165">
        <f t="shared" si="183"/>
        <v>6529.26</v>
      </c>
      <c r="CQ165">
        <f t="shared" si="184"/>
        <v>390.88</v>
      </c>
      <c r="CR165">
        <f t="shared" si="185"/>
        <v>0</v>
      </c>
      <c r="CS165">
        <f t="shared" si="186"/>
        <v>0</v>
      </c>
      <c r="CT165">
        <f t="shared" si="187"/>
        <v>0</v>
      </c>
      <c r="CU165">
        <f t="shared" si="188"/>
        <v>0</v>
      </c>
      <c r="CV165">
        <f t="shared" si="189"/>
        <v>0</v>
      </c>
      <c r="CW165">
        <f t="shared" si="190"/>
        <v>0</v>
      </c>
      <c r="CX165">
        <f t="shared" si="191"/>
        <v>0</v>
      </c>
      <c r="CY165">
        <f t="shared" si="192"/>
        <v>0</v>
      </c>
      <c r="CZ165">
        <f t="shared" si="193"/>
        <v>0</v>
      </c>
      <c r="DC165" t="s">
        <v>3</v>
      </c>
      <c r="DD165" t="s">
        <v>3</v>
      </c>
      <c r="DE165" t="s">
        <v>3</v>
      </c>
      <c r="DF165" t="s">
        <v>3</v>
      </c>
      <c r="DG165" t="s">
        <v>3</v>
      </c>
      <c r="DH165" t="s">
        <v>3</v>
      </c>
      <c r="DI165" t="s">
        <v>3</v>
      </c>
      <c r="DJ165" t="s">
        <v>3</v>
      </c>
      <c r="DK165" t="s">
        <v>3</v>
      </c>
      <c r="DL165" t="s">
        <v>3</v>
      </c>
      <c r="DM165" t="s">
        <v>3</v>
      </c>
      <c r="DN165">
        <v>0</v>
      </c>
      <c r="DO165">
        <v>0</v>
      </c>
      <c r="DP165">
        <v>1</v>
      </c>
      <c r="DQ165">
        <v>1</v>
      </c>
      <c r="DU165">
        <v>1009</v>
      </c>
      <c r="DV165" t="s">
        <v>32</v>
      </c>
      <c r="DW165" t="s">
        <v>32</v>
      </c>
      <c r="DX165">
        <v>1000</v>
      </c>
      <c r="EE165">
        <v>45919611</v>
      </c>
      <c r="EF165">
        <v>2</v>
      </c>
      <c r="EG165" t="s">
        <v>54</v>
      </c>
      <c r="EH165">
        <v>0</v>
      </c>
      <c r="EI165" t="s">
        <v>3</v>
      </c>
      <c r="EJ165">
        <v>1</v>
      </c>
      <c r="EK165">
        <v>27001</v>
      </c>
      <c r="EL165" t="s">
        <v>281</v>
      </c>
      <c r="EM165" t="s">
        <v>282</v>
      </c>
      <c r="EO165" t="s">
        <v>3</v>
      </c>
      <c r="EQ165">
        <v>0</v>
      </c>
      <c r="ER165">
        <v>390.88</v>
      </c>
      <c r="ES165">
        <v>390.88</v>
      </c>
      <c r="ET165">
        <v>0</v>
      </c>
      <c r="EU165">
        <v>0</v>
      </c>
      <c r="EV165">
        <v>0</v>
      </c>
      <c r="EW165">
        <v>0</v>
      </c>
      <c r="EX165">
        <v>0</v>
      </c>
      <c r="FQ165">
        <v>0</v>
      </c>
      <c r="FR165">
        <f t="shared" si="166"/>
        <v>0</v>
      </c>
      <c r="FS165">
        <v>0</v>
      </c>
      <c r="FT165" t="s">
        <v>58</v>
      </c>
      <c r="FU165" t="s">
        <v>59</v>
      </c>
      <c r="FX165">
        <v>127.8</v>
      </c>
      <c r="FY165">
        <v>80.75</v>
      </c>
      <c r="GA165" t="s">
        <v>3</v>
      </c>
      <c r="GD165">
        <v>1</v>
      </c>
      <c r="GF165">
        <v>1955294855</v>
      </c>
      <c r="GG165">
        <v>2</v>
      </c>
      <c r="GH165">
        <v>1</v>
      </c>
      <c r="GI165">
        <v>-2</v>
      </c>
      <c r="GJ165">
        <v>0</v>
      </c>
      <c r="GK165">
        <v>0</v>
      </c>
      <c r="GL165">
        <f t="shared" si="167"/>
        <v>0</v>
      </c>
      <c r="GM165">
        <f t="shared" si="194"/>
        <v>6529.26</v>
      </c>
      <c r="GN165">
        <f t="shared" si="195"/>
        <v>6529.26</v>
      </c>
      <c r="GO165">
        <f t="shared" si="196"/>
        <v>0</v>
      </c>
      <c r="GP165">
        <f t="shared" si="197"/>
        <v>0</v>
      </c>
      <c r="GR165">
        <v>0</v>
      </c>
      <c r="GS165">
        <v>3</v>
      </c>
      <c r="GT165">
        <v>0</v>
      </c>
      <c r="GU165" t="s">
        <v>3</v>
      </c>
      <c r="GV165">
        <f t="shared" si="198"/>
        <v>0</v>
      </c>
      <c r="GW165">
        <v>1</v>
      </c>
      <c r="GX165">
        <f t="shared" si="199"/>
        <v>0</v>
      </c>
      <c r="HA165">
        <v>0</v>
      </c>
      <c r="HB165">
        <v>0</v>
      </c>
      <c r="HC165">
        <f t="shared" si="200"/>
        <v>0</v>
      </c>
      <c r="IK165">
        <v>0</v>
      </c>
    </row>
    <row r="166" spans="1:245" x14ac:dyDescent="0.2">
      <c r="A166">
        <v>17</v>
      </c>
      <c r="B166">
        <v>1</v>
      </c>
      <c r="C166">
        <f>ROW(SmtRes!A205)</f>
        <v>205</v>
      </c>
      <c r="D166">
        <f>ROW(EtalonRes!A217)</f>
        <v>217</v>
      </c>
      <c r="E166" t="s">
        <v>349</v>
      </c>
      <c r="F166" t="s">
        <v>350</v>
      </c>
      <c r="G166" t="s">
        <v>351</v>
      </c>
      <c r="H166" t="s">
        <v>265</v>
      </c>
      <c r="I166">
        <f>ROUND(348/1000,9)</f>
        <v>0.34799999999999998</v>
      </c>
      <c r="J166">
        <v>0</v>
      </c>
      <c r="O166">
        <f t="shared" si="168"/>
        <v>1443.12</v>
      </c>
      <c r="P166">
        <f t="shared" si="169"/>
        <v>80.27</v>
      </c>
      <c r="Q166">
        <f t="shared" si="170"/>
        <v>1193.28</v>
      </c>
      <c r="R166">
        <f t="shared" si="171"/>
        <v>131.57</v>
      </c>
      <c r="S166">
        <f t="shared" si="172"/>
        <v>169.57</v>
      </c>
      <c r="T166">
        <f t="shared" si="173"/>
        <v>0</v>
      </c>
      <c r="U166">
        <f t="shared" si="174"/>
        <v>17.626808999999998</v>
      </c>
      <c r="V166">
        <f t="shared" si="175"/>
        <v>9.5647799999999989</v>
      </c>
      <c r="W166">
        <f t="shared" si="176"/>
        <v>0</v>
      </c>
      <c r="X166">
        <f t="shared" si="177"/>
        <v>385.46</v>
      </c>
      <c r="Y166">
        <f t="shared" si="178"/>
        <v>243.92</v>
      </c>
      <c r="AA166">
        <v>47631607</v>
      </c>
      <c r="AB166">
        <f t="shared" si="179"/>
        <v>4146.9144999999999</v>
      </c>
      <c r="AC166">
        <f>ROUND((ES166),6)</f>
        <v>230.67</v>
      </c>
      <c r="AD166">
        <f>ROUND((((((ET166*1.15)*1.25))-(((EU166*1.15)*1.25)))+AE166),6)</f>
        <v>3428.9693750000001</v>
      </c>
      <c r="AE166">
        <f>ROUND((((EU166*1.15)*1.25)),6)</f>
        <v>378.07687499999997</v>
      </c>
      <c r="AF166">
        <f>ROUND((((EV166*1.15)*1.15)),6)</f>
        <v>487.275125</v>
      </c>
      <c r="AG166">
        <f t="shared" si="181"/>
        <v>0</v>
      </c>
      <c r="AH166">
        <f>(((EW166*1.15)*1.15))</f>
        <v>50.651749999999993</v>
      </c>
      <c r="AI166">
        <f>(((EX166*1.15)*1.25))</f>
        <v>27.484999999999999</v>
      </c>
      <c r="AJ166">
        <f t="shared" si="182"/>
        <v>0</v>
      </c>
      <c r="AK166">
        <v>2984.49</v>
      </c>
      <c r="AL166">
        <v>230.67</v>
      </c>
      <c r="AM166">
        <v>2385.37</v>
      </c>
      <c r="AN166">
        <v>263.01</v>
      </c>
      <c r="AO166">
        <v>368.45</v>
      </c>
      <c r="AP166">
        <v>0</v>
      </c>
      <c r="AQ166">
        <v>38.299999999999997</v>
      </c>
      <c r="AR166">
        <v>19.12</v>
      </c>
      <c r="AS166">
        <v>0</v>
      </c>
      <c r="AT166">
        <v>128</v>
      </c>
      <c r="AU166">
        <v>81</v>
      </c>
      <c r="AV166">
        <v>1</v>
      </c>
      <c r="AW166">
        <v>1</v>
      </c>
      <c r="AZ166">
        <v>1</v>
      </c>
      <c r="BA166">
        <v>1</v>
      </c>
      <c r="BB166">
        <v>1</v>
      </c>
      <c r="BC166">
        <v>1</v>
      </c>
      <c r="BD166" t="s">
        <v>3</v>
      </c>
      <c r="BE166" t="s">
        <v>3</v>
      </c>
      <c r="BF166" t="s">
        <v>3</v>
      </c>
      <c r="BG166" t="s">
        <v>3</v>
      </c>
      <c r="BH166">
        <v>0</v>
      </c>
      <c r="BI166">
        <v>1</v>
      </c>
      <c r="BJ166" t="s">
        <v>352</v>
      </c>
      <c r="BM166">
        <v>27001</v>
      </c>
      <c r="BN166">
        <v>0</v>
      </c>
      <c r="BO166" t="s">
        <v>3</v>
      </c>
      <c r="BP166">
        <v>0</v>
      </c>
      <c r="BQ166">
        <v>2</v>
      </c>
      <c r="BR166">
        <v>0</v>
      </c>
      <c r="BS166">
        <v>1</v>
      </c>
      <c r="BT166">
        <v>1</v>
      </c>
      <c r="BU166">
        <v>1</v>
      </c>
      <c r="BV166">
        <v>1</v>
      </c>
      <c r="BW166">
        <v>1</v>
      </c>
      <c r="BX166">
        <v>1</v>
      </c>
      <c r="BY166" t="s">
        <v>3</v>
      </c>
      <c r="BZ166">
        <v>142</v>
      </c>
      <c r="CA166">
        <v>95</v>
      </c>
      <c r="CE166">
        <v>0</v>
      </c>
      <c r="CF166">
        <v>0</v>
      </c>
      <c r="CG166">
        <v>0</v>
      </c>
      <c r="CM166">
        <v>0</v>
      </c>
      <c r="CN166" t="s">
        <v>746</v>
      </c>
      <c r="CO166">
        <v>0</v>
      </c>
      <c r="CP166">
        <f t="shared" si="183"/>
        <v>1443.12</v>
      </c>
      <c r="CQ166">
        <f t="shared" si="184"/>
        <v>230.67</v>
      </c>
      <c r="CR166">
        <f t="shared" si="185"/>
        <v>3428.9693750000001</v>
      </c>
      <c r="CS166">
        <f t="shared" si="186"/>
        <v>378.07687499999997</v>
      </c>
      <c r="CT166">
        <f t="shared" si="187"/>
        <v>487.275125</v>
      </c>
      <c r="CU166">
        <f t="shared" si="188"/>
        <v>0</v>
      </c>
      <c r="CV166">
        <f t="shared" si="189"/>
        <v>50.651749999999993</v>
      </c>
      <c r="CW166">
        <f t="shared" si="190"/>
        <v>27.484999999999999</v>
      </c>
      <c r="CX166">
        <f t="shared" si="191"/>
        <v>0</v>
      </c>
      <c r="CY166">
        <f t="shared" si="192"/>
        <v>385.45920000000001</v>
      </c>
      <c r="CZ166">
        <f t="shared" si="193"/>
        <v>243.92340000000002</v>
      </c>
      <c r="DC166" t="s">
        <v>3</v>
      </c>
      <c r="DD166" t="s">
        <v>3</v>
      </c>
      <c r="DE166" t="s">
        <v>280</v>
      </c>
      <c r="DF166" t="s">
        <v>280</v>
      </c>
      <c r="DG166" t="s">
        <v>53</v>
      </c>
      <c r="DH166" t="s">
        <v>3</v>
      </c>
      <c r="DI166" t="s">
        <v>53</v>
      </c>
      <c r="DJ166" t="s">
        <v>280</v>
      </c>
      <c r="DK166" t="s">
        <v>3</v>
      </c>
      <c r="DL166" t="s">
        <v>3</v>
      </c>
      <c r="DM166" t="s">
        <v>3</v>
      </c>
      <c r="DN166">
        <v>0</v>
      </c>
      <c r="DO166">
        <v>0</v>
      </c>
      <c r="DP166">
        <v>1</v>
      </c>
      <c r="DQ166">
        <v>1</v>
      </c>
      <c r="DU166">
        <v>1005</v>
      </c>
      <c r="DV166" t="s">
        <v>265</v>
      </c>
      <c r="DW166" t="s">
        <v>265</v>
      </c>
      <c r="DX166">
        <v>1000</v>
      </c>
      <c r="EE166">
        <v>45919611</v>
      </c>
      <c r="EF166">
        <v>2</v>
      </c>
      <c r="EG166" t="s">
        <v>54</v>
      </c>
      <c r="EH166">
        <v>0</v>
      </c>
      <c r="EI166" t="s">
        <v>3</v>
      </c>
      <c r="EJ166">
        <v>1</v>
      </c>
      <c r="EK166">
        <v>27001</v>
      </c>
      <c r="EL166" t="s">
        <v>281</v>
      </c>
      <c r="EM166" t="s">
        <v>282</v>
      </c>
      <c r="EO166" t="s">
        <v>283</v>
      </c>
      <c r="EQ166">
        <v>0</v>
      </c>
      <c r="ER166">
        <v>2984.49</v>
      </c>
      <c r="ES166">
        <v>230.67</v>
      </c>
      <c r="ET166">
        <v>2385.37</v>
      </c>
      <c r="EU166">
        <v>263.01</v>
      </c>
      <c r="EV166">
        <v>368.45</v>
      </c>
      <c r="EW166">
        <v>38.299999999999997</v>
      </c>
      <c r="EX166">
        <v>19.12</v>
      </c>
      <c r="EY166">
        <v>0</v>
      </c>
      <c r="FQ166">
        <v>0</v>
      </c>
      <c r="FR166">
        <f t="shared" si="166"/>
        <v>0</v>
      </c>
      <c r="FS166">
        <v>0</v>
      </c>
      <c r="FT166" t="s">
        <v>58</v>
      </c>
      <c r="FU166" t="s">
        <v>59</v>
      </c>
      <c r="FX166">
        <v>127.8</v>
      </c>
      <c r="FY166">
        <v>80.75</v>
      </c>
      <c r="GA166" t="s">
        <v>3</v>
      </c>
      <c r="GD166">
        <v>1</v>
      </c>
      <c r="GF166">
        <v>-1828687150</v>
      </c>
      <c r="GG166">
        <v>2</v>
      </c>
      <c r="GH166">
        <v>1</v>
      </c>
      <c r="GI166">
        <v>-2</v>
      </c>
      <c r="GJ166">
        <v>0</v>
      </c>
      <c r="GK166">
        <v>0</v>
      </c>
      <c r="GL166">
        <f t="shared" si="167"/>
        <v>0</v>
      </c>
      <c r="GM166">
        <f t="shared" si="194"/>
        <v>2072.5</v>
      </c>
      <c r="GN166">
        <f t="shared" si="195"/>
        <v>2072.5</v>
      </c>
      <c r="GO166">
        <f t="shared" si="196"/>
        <v>0</v>
      </c>
      <c r="GP166">
        <f t="shared" si="197"/>
        <v>0</v>
      </c>
      <c r="GR166">
        <v>0</v>
      </c>
      <c r="GS166">
        <v>3</v>
      </c>
      <c r="GT166">
        <v>0</v>
      </c>
      <c r="GU166" t="s">
        <v>3</v>
      </c>
      <c r="GV166">
        <f t="shared" si="198"/>
        <v>0</v>
      </c>
      <c r="GW166">
        <v>1</v>
      </c>
      <c r="GX166">
        <f t="shared" si="199"/>
        <v>0</v>
      </c>
      <c r="HA166">
        <v>0</v>
      </c>
      <c r="HB166">
        <v>0</v>
      </c>
      <c r="HC166">
        <f t="shared" si="200"/>
        <v>0</v>
      </c>
      <c r="IK166">
        <v>0</v>
      </c>
    </row>
    <row r="167" spans="1:245" x14ac:dyDescent="0.2">
      <c r="A167">
        <v>18</v>
      </c>
      <c r="B167">
        <v>1</v>
      </c>
      <c r="C167">
        <v>201</v>
      </c>
      <c r="E167" t="s">
        <v>353</v>
      </c>
      <c r="F167" t="s">
        <v>335</v>
      </c>
      <c r="G167" t="s">
        <v>336</v>
      </c>
      <c r="H167" t="s">
        <v>32</v>
      </c>
      <c r="I167">
        <f>I166*J167</f>
        <v>3.7580000000000001E-3</v>
      </c>
      <c r="J167">
        <v>1.0798850574712644E-2</v>
      </c>
      <c r="O167">
        <f t="shared" si="168"/>
        <v>7.32</v>
      </c>
      <c r="P167">
        <f t="shared" si="169"/>
        <v>7.32</v>
      </c>
      <c r="Q167">
        <f t="shared" si="170"/>
        <v>0</v>
      </c>
      <c r="R167">
        <f t="shared" si="171"/>
        <v>0</v>
      </c>
      <c r="S167">
        <f t="shared" si="172"/>
        <v>0</v>
      </c>
      <c r="T167">
        <f t="shared" si="173"/>
        <v>0</v>
      </c>
      <c r="U167">
        <f t="shared" si="174"/>
        <v>0</v>
      </c>
      <c r="V167">
        <f t="shared" si="175"/>
        <v>0</v>
      </c>
      <c r="W167">
        <f t="shared" si="176"/>
        <v>0</v>
      </c>
      <c r="X167">
        <f t="shared" si="177"/>
        <v>0</v>
      </c>
      <c r="Y167">
        <f t="shared" si="178"/>
        <v>0</v>
      </c>
      <c r="AA167">
        <v>47631607</v>
      </c>
      <c r="AB167">
        <f t="shared" si="179"/>
        <v>1946.91</v>
      </c>
      <c r="AC167">
        <f>ROUND((ES167),6)</f>
        <v>1946.91</v>
      </c>
      <c r="AD167">
        <f>ROUND((((ET167)-(EU167))+AE167),6)</f>
        <v>0</v>
      </c>
      <c r="AE167">
        <f>ROUND((EU167),6)</f>
        <v>0</v>
      </c>
      <c r="AF167">
        <f>ROUND((EV167),6)</f>
        <v>0</v>
      </c>
      <c r="AG167">
        <f t="shared" si="181"/>
        <v>0</v>
      </c>
      <c r="AH167">
        <f>(EW167)</f>
        <v>0</v>
      </c>
      <c r="AI167">
        <f>(EX167)</f>
        <v>0</v>
      </c>
      <c r="AJ167">
        <f t="shared" si="182"/>
        <v>0</v>
      </c>
      <c r="AK167">
        <v>1946.91</v>
      </c>
      <c r="AL167">
        <v>1946.91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128</v>
      </c>
      <c r="AU167">
        <v>81</v>
      </c>
      <c r="AV167">
        <v>1</v>
      </c>
      <c r="AW167">
        <v>1</v>
      </c>
      <c r="AZ167">
        <v>1</v>
      </c>
      <c r="BA167">
        <v>1</v>
      </c>
      <c r="BB167">
        <v>1</v>
      </c>
      <c r="BC167">
        <v>1</v>
      </c>
      <c r="BD167" t="s">
        <v>3</v>
      </c>
      <c r="BE167" t="s">
        <v>3</v>
      </c>
      <c r="BF167" t="s">
        <v>3</v>
      </c>
      <c r="BG167" t="s">
        <v>3</v>
      </c>
      <c r="BH167">
        <v>3</v>
      </c>
      <c r="BI167">
        <v>1</v>
      </c>
      <c r="BJ167" t="s">
        <v>337</v>
      </c>
      <c r="BM167">
        <v>27001</v>
      </c>
      <c r="BN167">
        <v>0</v>
      </c>
      <c r="BO167" t="s">
        <v>3</v>
      </c>
      <c r="BP167">
        <v>0</v>
      </c>
      <c r="BQ167">
        <v>2</v>
      </c>
      <c r="BR167">
        <v>0</v>
      </c>
      <c r="BS167">
        <v>1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3</v>
      </c>
      <c r="BZ167">
        <v>142</v>
      </c>
      <c r="CA167">
        <v>95</v>
      </c>
      <c r="CE167">
        <v>0</v>
      </c>
      <c r="CF167">
        <v>0</v>
      </c>
      <c r="CG167">
        <v>0</v>
      </c>
      <c r="CM167">
        <v>0</v>
      </c>
      <c r="CN167" t="s">
        <v>3</v>
      </c>
      <c r="CO167">
        <v>0</v>
      </c>
      <c r="CP167">
        <f t="shared" si="183"/>
        <v>7.32</v>
      </c>
      <c r="CQ167">
        <f t="shared" si="184"/>
        <v>1946.91</v>
      </c>
      <c r="CR167">
        <f t="shared" si="185"/>
        <v>0</v>
      </c>
      <c r="CS167">
        <f t="shared" si="186"/>
        <v>0</v>
      </c>
      <c r="CT167">
        <f t="shared" si="187"/>
        <v>0</v>
      </c>
      <c r="CU167">
        <f t="shared" si="188"/>
        <v>0</v>
      </c>
      <c r="CV167">
        <f t="shared" si="189"/>
        <v>0</v>
      </c>
      <c r="CW167">
        <f t="shared" si="190"/>
        <v>0</v>
      </c>
      <c r="CX167">
        <f t="shared" si="191"/>
        <v>0</v>
      </c>
      <c r="CY167">
        <f t="shared" si="192"/>
        <v>0</v>
      </c>
      <c r="CZ167">
        <f t="shared" si="193"/>
        <v>0</v>
      </c>
      <c r="DC167" t="s">
        <v>3</v>
      </c>
      <c r="DD167" t="s">
        <v>3</v>
      </c>
      <c r="DE167" t="s">
        <v>3</v>
      </c>
      <c r="DF167" t="s">
        <v>3</v>
      </c>
      <c r="DG167" t="s">
        <v>3</v>
      </c>
      <c r="DH167" t="s">
        <v>3</v>
      </c>
      <c r="DI167" t="s">
        <v>3</v>
      </c>
      <c r="DJ167" t="s">
        <v>3</v>
      </c>
      <c r="DK167" t="s">
        <v>3</v>
      </c>
      <c r="DL167" t="s">
        <v>3</v>
      </c>
      <c r="DM167" t="s">
        <v>3</v>
      </c>
      <c r="DN167">
        <v>0</v>
      </c>
      <c r="DO167">
        <v>0</v>
      </c>
      <c r="DP167">
        <v>1</v>
      </c>
      <c r="DQ167">
        <v>1</v>
      </c>
      <c r="DU167">
        <v>1009</v>
      </c>
      <c r="DV167" t="s">
        <v>32</v>
      </c>
      <c r="DW167" t="s">
        <v>32</v>
      </c>
      <c r="DX167">
        <v>1000</v>
      </c>
      <c r="EE167">
        <v>45919611</v>
      </c>
      <c r="EF167">
        <v>2</v>
      </c>
      <c r="EG167" t="s">
        <v>54</v>
      </c>
      <c r="EH167">
        <v>0</v>
      </c>
      <c r="EI167" t="s">
        <v>3</v>
      </c>
      <c r="EJ167">
        <v>1</v>
      </c>
      <c r="EK167">
        <v>27001</v>
      </c>
      <c r="EL167" t="s">
        <v>281</v>
      </c>
      <c r="EM167" t="s">
        <v>282</v>
      </c>
      <c r="EO167" t="s">
        <v>3</v>
      </c>
      <c r="EQ167">
        <v>0</v>
      </c>
      <c r="ER167">
        <v>1946.91</v>
      </c>
      <c r="ES167">
        <v>1946.91</v>
      </c>
      <c r="ET167">
        <v>0</v>
      </c>
      <c r="EU167">
        <v>0</v>
      </c>
      <c r="EV167">
        <v>0</v>
      </c>
      <c r="EW167">
        <v>0</v>
      </c>
      <c r="EX167">
        <v>0</v>
      </c>
      <c r="FQ167">
        <v>0</v>
      </c>
      <c r="FR167">
        <f t="shared" si="166"/>
        <v>0</v>
      </c>
      <c r="FS167">
        <v>0</v>
      </c>
      <c r="FT167" t="s">
        <v>58</v>
      </c>
      <c r="FU167" t="s">
        <v>59</v>
      </c>
      <c r="FX167">
        <v>127.8</v>
      </c>
      <c r="FY167">
        <v>80.75</v>
      </c>
      <c r="GA167" t="s">
        <v>3</v>
      </c>
      <c r="GD167">
        <v>1</v>
      </c>
      <c r="GF167">
        <v>1401058849</v>
      </c>
      <c r="GG167">
        <v>2</v>
      </c>
      <c r="GH167">
        <v>1</v>
      </c>
      <c r="GI167">
        <v>-2</v>
      </c>
      <c r="GJ167">
        <v>0</v>
      </c>
      <c r="GK167">
        <v>0</v>
      </c>
      <c r="GL167">
        <f t="shared" si="167"/>
        <v>0</v>
      </c>
      <c r="GM167">
        <f t="shared" si="194"/>
        <v>7.32</v>
      </c>
      <c r="GN167">
        <f t="shared" si="195"/>
        <v>7.32</v>
      </c>
      <c r="GO167">
        <f t="shared" si="196"/>
        <v>0</v>
      </c>
      <c r="GP167">
        <f t="shared" si="197"/>
        <v>0</v>
      </c>
      <c r="GR167">
        <v>0</v>
      </c>
      <c r="GS167">
        <v>3</v>
      </c>
      <c r="GT167">
        <v>0</v>
      </c>
      <c r="GU167" t="s">
        <v>3</v>
      </c>
      <c r="GV167">
        <f t="shared" si="198"/>
        <v>0</v>
      </c>
      <c r="GW167">
        <v>1</v>
      </c>
      <c r="GX167">
        <f t="shared" si="199"/>
        <v>0</v>
      </c>
      <c r="HA167">
        <v>0</v>
      </c>
      <c r="HB167">
        <v>0</v>
      </c>
      <c r="HC167">
        <f t="shared" si="200"/>
        <v>0</v>
      </c>
      <c r="IK167">
        <v>0</v>
      </c>
    </row>
    <row r="168" spans="1:245" x14ac:dyDescent="0.2">
      <c r="A168">
        <v>18</v>
      </c>
      <c r="B168">
        <v>1</v>
      </c>
      <c r="C168">
        <v>203</v>
      </c>
      <c r="E168" t="s">
        <v>354</v>
      </c>
      <c r="F168" t="s">
        <v>355</v>
      </c>
      <c r="G168" t="s">
        <v>356</v>
      </c>
      <c r="H168" t="s">
        <v>32</v>
      </c>
      <c r="I168">
        <f>I166*J168</f>
        <v>33.616799999999998</v>
      </c>
      <c r="J168">
        <v>96.6</v>
      </c>
      <c r="O168">
        <f t="shared" si="168"/>
        <v>15463.73</v>
      </c>
      <c r="P168">
        <f t="shared" si="169"/>
        <v>15463.73</v>
      </c>
      <c r="Q168">
        <f t="shared" si="170"/>
        <v>0</v>
      </c>
      <c r="R168">
        <f t="shared" si="171"/>
        <v>0</v>
      </c>
      <c r="S168">
        <f t="shared" si="172"/>
        <v>0</v>
      </c>
      <c r="T168">
        <f t="shared" si="173"/>
        <v>0</v>
      </c>
      <c r="U168">
        <f t="shared" si="174"/>
        <v>0</v>
      </c>
      <c r="V168">
        <f t="shared" si="175"/>
        <v>0</v>
      </c>
      <c r="W168">
        <f t="shared" si="176"/>
        <v>0</v>
      </c>
      <c r="X168">
        <f t="shared" si="177"/>
        <v>0</v>
      </c>
      <c r="Y168">
        <f t="shared" si="178"/>
        <v>0</v>
      </c>
      <c r="AA168">
        <v>47631607</v>
      </c>
      <c r="AB168">
        <f t="shared" si="179"/>
        <v>460</v>
      </c>
      <c r="AC168">
        <f>ROUND((ES168),6)</f>
        <v>460</v>
      </c>
      <c r="AD168">
        <f>ROUND((((ET168)-(EU168))+AE168),6)</f>
        <v>0</v>
      </c>
      <c r="AE168">
        <f>ROUND((EU168),6)</f>
        <v>0</v>
      </c>
      <c r="AF168">
        <f>ROUND((EV168),6)</f>
        <v>0</v>
      </c>
      <c r="AG168">
        <f t="shared" si="181"/>
        <v>0</v>
      </c>
      <c r="AH168">
        <f>(EW168)</f>
        <v>0</v>
      </c>
      <c r="AI168">
        <f>(EX168)</f>
        <v>0</v>
      </c>
      <c r="AJ168">
        <f t="shared" si="182"/>
        <v>0</v>
      </c>
      <c r="AK168">
        <v>460</v>
      </c>
      <c r="AL168">
        <v>460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128</v>
      </c>
      <c r="AU168">
        <v>81</v>
      </c>
      <c r="AV168">
        <v>1</v>
      </c>
      <c r="AW168">
        <v>1</v>
      </c>
      <c r="AZ168">
        <v>1</v>
      </c>
      <c r="BA168">
        <v>1</v>
      </c>
      <c r="BB168">
        <v>1</v>
      </c>
      <c r="BC168">
        <v>1</v>
      </c>
      <c r="BD168" t="s">
        <v>3</v>
      </c>
      <c r="BE168" t="s">
        <v>3</v>
      </c>
      <c r="BF168" t="s">
        <v>3</v>
      </c>
      <c r="BG168" t="s">
        <v>3</v>
      </c>
      <c r="BH168">
        <v>3</v>
      </c>
      <c r="BI168">
        <v>1</v>
      </c>
      <c r="BJ168" t="s">
        <v>357</v>
      </c>
      <c r="BM168">
        <v>27001</v>
      </c>
      <c r="BN168">
        <v>0</v>
      </c>
      <c r="BO168" t="s">
        <v>3</v>
      </c>
      <c r="BP168">
        <v>0</v>
      </c>
      <c r="BQ168">
        <v>2</v>
      </c>
      <c r="BR168">
        <v>0</v>
      </c>
      <c r="BS168">
        <v>1</v>
      </c>
      <c r="BT168">
        <v>1</v>
      </c>
      <c r="BU168">
        <v>1</v>
      </c>
      <c r="BV168">
        <v>1</v>
      </c>
      <c r="BW168">
        <v>1</v>
      </c>
      <c r="BX168">
        <v>1</v>
      </c>
      <c r="BY168" t="s">
        <v>3</v>
      </c>
      <c r="BZ168">
        <v>142</v>
      </c>
      <c r="CA168">
        <v>95</v>
      </c>
      <c r="CE168">
        <v>0</v>
      </c>
      <c r="CF168">
        <v>0</v>
      </c>
      <c r="CG168">
        <v>0</v>
      </c>
      <c r="CM168">
        <v>0</v>
      </c>
      <c r="CN168" t="s">
        <v>3</v>
      </c>
      <c r="CO168">
        <v>0</v>
      </c>
      <c r="CP168">
        <f t="shared" si="183"/>
        <v>15463.73</v>
      </c>
      <c r="CQ168">
        <f t="shared" si="184"/>
        <v>460</v>
      </c>
      <c r="CR168">
        <f t="shared" si="185"/>
        <v>0</v>
      </c>
      <c r="CS168">
        <f t="shared" si="186"/>
        <v>0</v>
      </c>
      <c r="CT168">
        <f t="shared" si="187"/>
        <v>0</v>
      </c>
      <c r="CU168">
        <f t="shared" si="188"/>
        <v>0</v>
      </c>
      <c r="CV168">
        <f t="shared" si="189"/>
        <v>0</v>
      </c>
      <c r="CW168">
        <f t="shared" si="190"/>
        <v>0</v>
      </c>
      <c r="CX168">
        <f t="shared" si="191"/>
        <v>0</v>
      </c>
      <c r="CY168">
        <f t="shared" si="192"/>
        <v>0</v>
      </c>
      <c r="CZ168">
        <f t="shared" si="193"/>
        <v>0</v>
      </c>
      <c r="DC168" t="s">
        <v>3</v>
      </c>
      <c r="DD168" t="s">
        <v>3</v>
      </c>
      <c r="DE168" t="s">
        <v>3</v>
      </c>
      <c r="DF168" t="s">
        <v>3</v>
      </c>
      <c r="DG168" t="s">
        <v>3</v>
      </c>
      <c r="DH168" t="s">
        <v>3</v>
      </c>
      <c r="DI168" t="s">
        <v>3</v>
      </c>
      <c r="DJ168" t="s">
        <v>3</v>
      </c>
      <c r="DK168" t="s">
        <v>3</v>
      </c>
      <c r="DL168" t="s">
        <v>3</v>
      </c>
      <c r="DM168" t="s">
        <v>3</v>
      </c>
      <c r="DN168">
        <v>0</v>
      </c>
      <c r="DO168">
        <v>0</v>
      </c>
      <c r="DP168">
        <v>1</v>
      </c>
      <c r="DQ168">
        <v>1</v>
      </c>
      <c r="DU168">
        <v>1009</v>
      </c>
      <c r="DV168" t="s">
        <v>32</v>
      </c>
      <c r="DW168" t="s">
        <v>32</v>
      </c>
      <c r="DX168">
        <v>1000</v>
      </c>
      <c r="EE168">
        <v>45919611</v>
      </c>
      <c r="EF168">
        <v>2</v>
      </c>
      <c r="EG168" t="s">
        <v>54</v>
      </c>
      <c r="EH168">
        <v>0</v>
      </c>
      <c r="EI168" t="s">
        <v>3</v>
      </c>
      <c r="EJ168">
        <v>1</v>
      </c>
      <c r="EK168">
        <v>27001</v>
      </c>
      <c r="EL168" t="s">
        <v>281</v>
      </c>
      <c r="EM168" t="s">
        <v>282</v>
      </c>
      <c r="EO168" t="s">
        <v>3</v>
      </c>
      <c r="EQ168">
        <v>0</v>
      </c>
      <c r="ER168">
        <v>460</v>
      </c>
      <c r="ES168">
        <v>460</v>
      </c>
      <c r="ET168">
        <v>0</v>
      </c>
      <c r="EU168">
        <v>0</v>
      </c>
      <c r="EV168">
        <v>0</v>
      </c>
      <c r="EW168">
        <v>0</v>
      </c>
      <c r="EX168">
        <v>0</v>
      </c>
      <c r="FQ168">
        <v>0</v>
      </c>
      <c r="FR168">
        <f t="shared" si="166"/>
        <v>0</v>
      </c>
      <c r="FS168">
        <v>0</v>
      </c>
      <c r="FT168" t="s">
        <v>58</v>
      </c>
      <c r="FU168" t="s">
        <v>59</v>
      </c>
      <c r="FX168">
        <v>127.8</v>
      </c>
      <c r="FY168">
        <v>80.75</v>
      </c>
      <c r="GA168" t="s">
        <v>3</v>
      </c>
      <c r="GD168">
        <v>1</v>
      </c>
      <c r="GF168">
        <v>2047521922</v>
      </c>
      <c r="GG168">
        <v>2</v>
      </c>
      <c r="GH168">
        <v>1</v>
      </c>
      <c r="GI168">
        <v>-2</v>
      </c>
      <c r="GJ168">
        <v>0</v>
      </c>
      <c r="GK168">
        <v>0</v>
      </c>
      <c r="GL168">
        <f t="shared" si="167"/>
        <v>0</v>
      </c>
      <c r="GM168">
        <f t="shared" si="194"/>
        <v>15463.73</v>
      </c>
      <c r="GN168">
        <f t="shared" si="195"/>
        <v>15463.73</v>
      </c>
      <c r="GO168">
        <f t="shared" si="196"/>
        <v>0</v>
      </c>
      <c r="GP168">
        <f t="shared" si="197"/>
        <v>0</v>
      </c>
      <c r="GR168">
        <v>0</v>
      </c>
      <c r="GS168">
        <v>3</v>
      </c>
      <c r="GT168">
        <v>0</v>
      </c>
      <c r="GU168" t="s">
        <v>3</v>
      </c>
      <c r="GV168">
        <f t="shared" si="198"/>
        <v>0</v>
      </c>
      <c r="GW168">
        <v>1</v>
      </c>
      <c r="GX168">
        <f t="shared" si="199"/>
        <v>0</v>
      </c>
      <c r="HA168">
        <v>0</v>
      </c>
      <c r="HB168">
        <v>0</v>
      </c>
      <c r="HC168">
        <f t="shared" si="200"/>
        <v>0</v>
      </c>
      <c r="IK168">
        <v>0</v>
      </c>
    </row>
    <row r="170" spans="1:245" x14ac:dyDescent="0.2">
      <c r="A170" s="2">
        <v>51</v>
      </c>
      <c r="B170" s="2">
        <f>B147</f>
        <v>1</v>
      </c>
      <c r="C170" s="2">
        <f>A147</f>
        <v>5</v>
      </c>
      <c r="D170" s="2">
        <f>ROW(A147)</f>
        <v>147</v>
      </c>
      <c r="E170" s="2"/>
      <c r="F170" s="2" t="str">
        <f>IF(F147&lt;&gt;"",F147,"")</f>
        <v>Востановление пожарных подъездов</v>
      </c>
      <c r="G170" s="2" t="str">
        <f>IF(G147&lt;&gt;"",G147,"")</f>
        <v>Востановление пожарных подъездов</v>
      </c>
      <c r="H170" s="2">
        <v>0</v>
      </c>
      <c r="I170" s="2"/>
      <c r="J170" s="2"/>
      <c r="K170" s="2"/>
      <c r="L170" s="2"/>
      <c r="M170" s="2"/>
      <c r="N170" s="2"/>
      <c r="O170" s="2">
        <f t="shared" ref="O170:T170" si="201">ROUND(AB170,2)</f>
        <v>67091</v>
      </c>
      <c r="P170" s="2">
        <f t="shared" si="201"/>
        <v>54052.15</v>
      </c>
      <c r="Q170" s="2">
        <f t="shared" si="201"/>
        <v>11638.8</v>
      </c>
      <c r="R170" s="2">
        <f t="shared" si="201"/>
        <v>1103.52</v>
      </c>
      <c r="S170" s="2">
        <f t="shared" si="201"/>
        <v>1400.05</v>
      </c>
      <c r="T170" s="2">
        <f t="shared" si="201"/>
        <v>0</v>
      </c>
      <c r="U170" s="2">
        <f>AH170</f>
        <v>166.23689430000002</v>
      </c>
      <c r="V170" s="2">
        <f>AI170</f>
        <v>85.802880000000002</v>
      </c>
      <c r="W170" s="2">
        <f>ROUND(AJ170,2)</f>
        <v>0</v>
      </c>
      <c r="X170" s="2">
        <f>ROUND(AK170,2)</f>
        <v>2984.26</v>
      </c>
      <c r="Y170" s="2">
        <f>ROUND(AL170,2)</f>
        <v>1835.11</v>
      </c>
      <c r="Z170" s="2"/>
      <c r="AA170" s="2"/>
      <c r="AB170" s="2">
        <f>ROUND(SUMIF(AA151:AA168,"=47631607",O151:O168),2)</f>
        <v>67091</v>
      </c>
      <c r="AC170" s="2">
        <f>ROUND(SUMIF(AA151:AA168,"=47631607",P151:P168),2)</f>
        <v>54052.15</v>
      </c>
      <c r="AD170" s="2">
        <f>ROUND(SUMIF(AA151:AA168,"=47631607",Q151:Q168),2)</f>
        <v>11638.8</v>
      </c>
      <c r="AE170" s="2">
        <f>ROUND(SUMIF(AA151:AA168,"=47631607",R151:R168),2)</f>
        <v>1103.52</v>
      </c>
      <c r="AF170" s="2">
        <f>ROUND(SUMIF(AA151:AA168,"=47631607",S151:S168),2)</f>
        <v>1400.05</v>
      </c>
      <c r="AG170" s="2">
        <f>ROUND(SUMIF(AA151:AA168,"=47631607",T151:T168),2)</f>
        <v>0</v>
      </c>
      <c r="AH170" s="2">
        <f>SUMIF(AA151:AA168,"=47631607",U151:U168)</f>
        <v>166.23689430000002</v>
      </c>
      <c r="AI170" s="2">
        <f>SUMIF(AA151:AA168,"=47631607",V151:V168)</f>
        <v>85.802880000000002</v>
      </c>
      <c r="AJ170" s="2">
        <f>ROUND(SUMIF(AA151:AA168,"=47631607",W151:W168),2)</f>
        <v>0</v>
      </c>
      <c r="AK170" s="2">
        <f>ROUND(SUMIF(AA151:AA168,"=47631607",X151:X168),2)</f>
        <v>2984.26</v>
      </c>
      <c r="AL170" s="2">
        <f>ROUND(SUMIF(AA151:AA168,"=47631607",Y151:Y168),2)</f>
        <v>1835.11</v>
      </c>
      <c r="AM170" s="2"/>
      <c r="AN170" s="2"/>
      <c r="AO170" s="2">
        <f t="shared" ref="AO170:BC170" si="202">ROUND(BX170,2)</f>
        <v>0</v>
      </c>
      <c r="AP170" s="2">
        <f t="shared" si="202"/>
        <v>0</v>
      </c>
      <c r="AQ170" s="2">
        <f t="shared" si="202"/>
        <v>0</v>
      </c>
      <c r="AR170" s="2">
        <f t="shared" si="202"/>
        <v>79256.240000000005</v>
      </c>
      <c r="AS170" s="2">
        <f t="shared" si="202"/>
        <v>79256.240000000005</v>
      </c>
      <c r="AT170" s="2">
        <f t="shared" si="202"/>
        <v>0</v>
      </c>
      <c r="AU170" s="2">
        <f t="shared" si="202"/>
        <v>0</v>
      </c>
      <c r="AV170" s="2">
        <f t="shared" si="202"/>
        <v>54052.15</v>
      </c>
      <c r="AW170" s="2">
        <f t="shared" si="202"/>
        <v>54052.15</v>
      </c>
      <c r="AX170" s="2">
        <f t="shared" si="202"/>
        <v>0</v>
      </c>
      <c r="AY170" s="2">
        <f t="shared" si="202"/>
        <v>54052.15</v>
      </c>
      <c r="AZ170" s="2">
        <f t="shared" si="202"/>
        <v>0</v>
      </c>
      <c r="BA170" s="2">
        <f t="shared" si="202"/>
        <v>0</v>
      </c>
      <c r="BB170" s="2">
        <f t="shared" si="202"/>
        <v>0</v>
      </c>
      <c r="BC170" s="2">
        <f t="shared" si="202"/>
        <v>0</v>
      </c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>
        <f>ROUND(SUMIF(AA151:AA168,"=47631607",FQ151:FQ168),2)</f>
        <v>0</v>
      </c>
      <c r="BY170" s="2">
        <f>ROUND(SUMIF(AA151:AA168,"=47631607",FR151:FR168),2)</f>
        <v>0</v>
      </c>
      <c r="BZ170" s="2">
        <f>ROUND(SUMIF(AA151:AA168,"=47631607",GL151:GL168),2)</f>
        <v>0</v>
      </c>
      <c r="CA170" s="2">
        <f>ROUND(SUMIF(AA151:AA168,"=47631607",GM151:GM168),2)</f>
        <v>79256.240000000005</v>
      </c>
      <c r="CB170" s="2">
        <f>ROUND(SUMIF(AA151:AA168,"=47631607",GN151:GN168),2)</f>
        <v>79256.240000000005</v>
      </c>
      <c r="CC170" s="2">
        <f>ROUND(SUMIF(AA151:AA168,"=47631607",GO151:GO168),2)</f>
        <v>0</v>
      </c>
      <c r="CD170" s="2">
        <f>ROUND(SUMIF(AA151:AA168,"=47631607",GP151:GP168),2)</f>
        <v>0</v>
      </c>
      <c r="CE170" s="2">
        <f>AC170-BX170</f>
        <v>54052.15</v>
      </c>
      <c r="CF170" s="2">
        <f>AC170-BY170</f>
        <v>54052.15</v>
      </c>
      <c r="CG170" s="2">
        <f>BX170-BZ170</f>
        <v>0</v>
      </c>
      <c r="CH170" s="2">
        <f>AC170-BX170-BY170+BZ170</f>
        <v>54052.15</v>
      </c>
      <c r="CI170" s="2">
        <f>BY170-BZ170</f>
        <v>0</v>
      </c>
      <c r="CJ170" s="2">
        <f>ROUND(SUMIF(AA151:AA168,"=47631607",GX151:GX168),2)</f>
        <v>0</v>
      </c>
      <c r="CK170" s="2">
        <f>ROUND(SUMIF(AA151:AA168,"=47631607",GY151:GY168),2)</f>
        <v>0</v>
      </c>
      <c r="CL170" s="2">
        <f>ROUND(SUMIF(AA151:AA168,"=47631607",GZ151:GZ168),2)</f>
        <v>0</v>
      </c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>
        <v>0</v>
      </c>
    </row>
    <row r="172" spans="1:245" x14ac:dyDescent="0.2">
      <c r="A172" s="4">
        <v>50</v>
      </c>
      <c r="B172" s="4">
        <v>0</v>
      </c>
      <c r="C172" s="4">
        <v>0</v>
      </c>
      <c r="D172" s="4">
        <v>1</v>
      </c>
      <c r="E172" s="4">
        <v>201</v>
      </c>
      <c r="F172" s="4">
        <f>ROUND(Source!O170,O172)</f>
        <v>67091</v>
      </c>
      <c r="G172" s="4" t="s">
        <v>206</v>
      </c>
      <c r="H172" s="4" t="s">
        <v>207</v>
      </c>
      <c r="I172" s="4"/>
      <c r="J172" s="4"/>
      <c r="K172" s="4">
        <v>201</v>
      </c>
      <c r="L172" s="4">
        <v>1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45" x14ac:dyDescent="0.2">
      <c r="A173" s="4">
        <v>50</v>
      </c>
      <c r="B173" s="4">
        <v>0</v>
      </c>
      <c r="C173" s="4">
        <v>0</v>
      </c>
      <c r="D173" s="4">
        <v>1</v>
      </c>
      <c r="E173" s="4">
        <v>202</v>
      </c>
      <c r="F173" s="4">
        <f>ROUND(Source!P170,O173)</f>
        <v>54052.15</v>
      </c>
      <c r="G173" s="4" t="s">
        <v>208</v>
      </c>
      <c r="H173" s="4" t="s">
        <v>209</v>
      </c>
      <c r="I173" s="4"/>
      <c r="J173" s="4"/>
      <c r="K173" s="4">
        <v>202</v>
      </c>
      <c r="L173" s="4">
        <v>2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45" x14ac:dyDescent="0.2">
      <c r="A174" s="4">
        <v>50</v>
      </c>
      <c r="B174" s="4">
        <v>0</v>
      </c>
      <c r="C174" s="4">
        <v>0</v>
      </c>
      <c r="D174" s="4">
        <v>1</v>
      </c>
      <c r="E174" s="4">
        <v>222</v>
      </c>
      <c r="F174" s="4">
        <f>ROUND(Source!AO170,O174)</f>
        <v>0</v>
      </c>
      <c r="G174" s="4" t="s">
        <v>210</v>
      </c>
      <c r="H174" s="4" t="s">
        <v>211</v>
      </c>
      <c r="I174" s="4"/>
      <c r="J174" s="4"/>
      <c r="K174" s="4">
        <v>222</v>
      </c>
      <c r="L174" s="4">
        <v>3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45" x14ac:dyDescent="0.2">
      <c r="A175" s="4">
        <v>50</v>
      </c>
      <c r="B175" s="4">
        <v>0</v>
      </c>
      <c r="C175" s="4">
        <v>0</v>
      </c>
      <c r="D175" s="4">
        <v>1</v>
      </c>
      <c r="E175" s="4">
        <v>225</v>
      </c>
      <c r="F175" s="4">
        <f>ROUND(Source!AV170,O175)</f>
        <v>54052.15</v>
      </c>
      <c r="G175" s="4" t="s">
        <v>212</v>
      </c>
      <c r="H175" s="4" t="s">
        <v>213</v>
      </c>
      <c r="I175" s="4"/>
      <c r="J175" s="4"/>
      <c r="K175" s="4">
        <v>225</v>
      </c>
      <c r="L175" s="4">
        <v>4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45" x14ac:dyDescent="0.2">
      <c r="A176" s="4">
        <v>50</v>
      </c>
      <c r="B176" s="4">
        <v>0</v>
      </c>
      <c r="C176" s="4">
        <v>0</v>
      </c>
      <c r="D176" s="4">
        <v>1</v>
      </c>
      <c r="E176" s="4">
        <v>226</v>
      </c>
      <c r="F176" s="4">
        <f>ROUND(Source!AW170,O176)</f>
        <v>54052.15</v>
      </c>
      <c r="G176" s="4" t="s">
        <v>214</v>
      </c>
      <c r="H176" s="4" t="s">
        <v>215</v>
      </c>
      <c r="I176" s="4"/>
      <c r="J176" s="4"/>
      <c r="K176" s="4">
        <v>226</v>
      </c>
      <c r="L176" s="4">
        <v>5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 x14ac:dyDescent="0.2">
      <c r="A177" s="4">
        <v>50</v>
      </c>
      <c r="B177" s="4">
        <v>0</v>
      </c>
      <c r="C177" s="4">
        <v>0</v>
      </c>
      <c r="D177" s="4">
        <v>1</v>
      </c>
      <c r="E177" s="4">
        <v>227</v>
      </c>
      <c r="F177" s="4">
        <f>ROUND(Source!AX170,O177)</f>
        <v>0</v>
      </c>
      <c r="G177" s="4" t="s">
        <v>216</v>
      </c>
      <c r="H177" s="4" t="s">
        <v>217</v>
      </c>
      <c r="I177" s="4"/>
      <c r="J177" s="4"/>
      <c r="K177" s="4">
        <v>227</v>
      </c>
      <c r="L177" s="4">
        <v>6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 x14ac:dyDescent="0.2">
      <c r="A178" s="4">
        <v>50</v>
      </c>
      <c r="B178" s="4">
        <v>0</v>
      </c>
      <c r="C178" s="4">
        <v>0</v>
      </c>
      <c r="D178" s="4">
        <v>1</v>
      </c>
      <c r="E178" s="4">
        <v>228</v>
      </c>
      <c r="F178" s="4">
        <f>ROUND(Source!AY170,O178)</f>
        <v>54052.15</v>
      </c>
      <c r="G178" s="4" t="s">
        <v>218</v>
      </c>
      <c r="H178" s="4" t="s">
        <v>219</v>
      </c>
      <c r="I178" s="4"/>
      <c r="J178" s="4"/>
      <c r="K178" s="4">
        <v>228</v>
      </c>
      <c r="L178" s="4">
        <v>7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 x14ac:dyDescent="0.2">
      <c r="A179" s="4">
        <v>50</v>
      </c>
      <c r="B179" s="4">
        <v>0</v>
      </c>
      <c r="C179" s="4">
        <v>0</v>
      </c>
      <c r="D179" s="4">
        <v>1</v>
      </c>
      <c r="E179" s="4">
        <v>216</v>
      </c>
      <c r="F179" s="4">
        <f>ROUND(Source!AP170,O179)</f>
        <v>0</v>
      </c>
      <c r="G179" s="4" t="s">
        <v>220</v>
      </c>
      <c r="H179" s="4" t="s">
        <v>221</v>
      </c>
      <c r="I179" s="4"/>
      <c r="J179" s="4"/>
      <c r="K179" s="4">
        <v>216</v>
      </c>
      <c r="L179" s="4">
        <v>8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 x14ac:dyDescent="0.2">
      <c r="A180" s="4">
        <v>50</v>
      </c>
      <c r="B180" s="4">
        <v>0</v>
      </c>
      <c r="C180" s="4">
        <v>0</v>
      </c>
      <c r="D180" s="4">
        <v>1</v>
      </c>
      <c r="E180" s="4">
        <v>223</v>
      </c>
      <c r="F180" s="4">
        <f>ROUND(Source!AQ170,O180)</f>
        <v>0</v>
      </c>
      <c r="G180" s="4" t="s">
        <v>222</v>
      </c>
      <c r="H180" s="4" t="s">
        <v>223</v>
      </c>
      <c r="I180" s="4"/>
      <c r="J180" s="4"/>
      <c r="K180" s="4">
        <v>223</v>
      </c>
      <c r="L180" s="4">
        <v>9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 x14ac:dyDescent="0.2">
      <c r="A181" s="4">
        <v>50</v>
      </c>
      <c r="B181" s="4">
        <v>0</v>
      </c>
      <c r="C181" s="4">
        <v>0</v>
      </c>
      <c r="D181" s="4">
        <v>1</v>
      </c>
      <c r="E181" s="4">
        <v>229</v>
      </c>
      <c r="F181" s="4">
        <f>ROUND(Source!AZ170,O181)</f>
        <v>0</v>
      </c>
      <c r="G181" s="4" t="s">
        <v>224</v>
      </c>
      <c r="H181" s="4" t="s">
        <v>225</v>
      </c>
      <c r="I181" s="4"/>
      <c r="J181" s="4"/>
      <c r="K181" s="4">
        <v>229</v>
      </c>
      <c r="L181" s="4">
        <v>10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 x14ac:dyDescent="0.2">
      <c r="A182" s="4">
        <v>50</v>
      </c>
      <c r="B182" s="4">
        <v>0</v>
      </c>
      <c r="C182" s="4">
        <v>0</v>
      </c>
      <c r="D182" s="4">
        <v>1</v>
      </c>
      <c r="E182" s="4">
        <v>203</v>
      </c>
      <c r="F182" s="4">
        <f>ROUND(Source!Q170,O182)</f>
        <v>11638.8</v>
      </c>
      <c r="G182" s="4" t="s">
        <v>226</v>
      </c>
      <c r="H182" s="4" t="s">
        <v>227</v>
      </c>
      <c r="I182" s="4"/>
      <c r="J182" s="4"/>
      <c r="K182" s="4">
        <v>203</v>
      </c>
      <c r="L182" s="4">
        <v>11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 x14ac:dyDescent="0.2">
      <c r="A183" s="4">
        <v>50</v>
      </c>
      <c r="B183" s="4">
        <v>0</v>
      </c>
      <c r="C183" s="4">
        <v>0</v>
      </c>
      <c r="D183" s="4">
        <v>1</v>
      </c>
      <c r="E183" s="4">
        <v>231</v>
      </c>
      <c r="F183" s="4">
        <f>ROUND(Source!BB170,O183)</f>
        <v>0</v>
      </c>
      <c r="G183" s="4" t="s">
        <v>228</v>
      </c>
      <c r="H183" s="4" t="s">
        <v>229</v>
      </c>
      <c r="I183" s="4"/>
      <c r="J183" s="4"/>
      <c r="K183" s="4">
        <v>231</v>
      </c>
      <c r="L183" s="4">
        <v>12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 x14ac:dyDescent="0.2">
      <c r="A184" s="4">
        <v>50</v>
      </c>
      <c r="B184" s="4">
        <v>0</v>
      </c>
      <c r="C184" s="4">
        <v>0</v>
      </c>
      <c r="D184" s="4">
        <v>1</v>
      </c>
      <c r="E184" s="4">
        <v>204</v>
      </c>
      <c r="F184" s="4">
        <f>ROUND(Source!R170,O184)</f>
        <v>1103.52</v>
      </c>
      <c r="G184" s="4" t="s">
        <v>230</v>
      </c>
      <c r="H184" s="4" t="s">
        <v>231</v>
      </c>
      <c r="I184" s="4"/>
      <c r="J184" s="4"/>
      <c r="K184" s="4">
        <v>204</v>
      </c>
      <c r="L184" s="4">
        <v>13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 x14ac:dyDescent="0.2">
      <c r="A185" s="4">
        <v>50</v>
      </c>
      <c r="B185" s="4">
        <v>0</v>
      </c>
      <c r="C185" s="4">
        <v>0</v>
      </c>
      <c r="D185" s="4">
        <v>1</v>
      </c>
      <c r="E185" s="4">
        <v>205</v>
      </c>
      <c r="F185" s="4">
        <f>ROUND(Source!S170,O185)</f>
        <v>1400.05</v>
      </c>
      <c r="G185" s="4" t="s">
        <v>232</v>
      </c>
      <c r="H185" s="4" t="s">
        <v>233</v>
      </c>
      <c r="I185" s="4"/>
      <c r="J185" s="4"/>
      <c r="K185" s="4">
        <v>205</v>
      </c>
      <c r="L185" s="4">
        <v>14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 x14ac:dyDescent="0.2">
      <c r="A186" s="4">
        <v>50</v>
      </c>
      <c r="B186" s="4">
        <v>0</v>
      </c>
      <c r="C186" s="4">
        <v>0</v>
      </c>
      <c r="D186" s="4">
        <v>1</v>
      </c>
      <c r="E186" s="4">
        <v>232</v>
      </c>
      <c r="F186" s="4">
        <f>ROUND(Source!BC170,O186)</f>
        <v>0</v>
      </c>
      <c r="G186" s="4" t="s">
        <v>234</v>
      </c>
      <c r="H186" s="4" t="s">
        <v>235</v>
      </c>
      <c r="I186" s="4"/>
      <c r="J186" s="4"/>
      <c r="K186" s="4">
        <v>232</v>
      </c>
      <c r="L186" s="4">
        <v>15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3" x14ac:dyDescent="0.2">
      <c r="A187" s="4">
        <v>50</v>
      </c>
      <c r="B187" s="4">
        <v>0</v>
      </c>
      <c r="C187" s="4">
        <v>0</v>
      </c>
      <c r="D187" s="4">
        <v>1</v>
      </c>
      <c r="E187" s="4">
        <v>214</v>
      </c>
      <c r="F187" s="4">
        <f>ROUND(Source!AS170,O187)</f>
        <v>79256.240000000005</v>
      </c>
      <c r="G187" s="4" t="s">
        <v>236</v>
      </c>
      <c r="H187" s="4" t="s">
        <v>237</v>
      </c>
      <c r="I187" s="4"/>
      <c r="J187" s="4"/>
      <c r="K187" s="4">
        <v>214</v>
      </c>
      <c r="L187" s="4">
        <v>16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3" x14ac:dyDescent="0.2">
      <c r="A188" s="4">
        <v>50</v>
      </c>
      <c r="B188" s="4">
        <v>0</v>
      </c>
      <c r="C188" s="4">
        <v>0</v>
      </c>
      <c r="D188" s="4">
        <v>1</v>
      </c>
      <c r="E188" s="4">
        <v>215</v>
      </c>
      <c r="F188" s="4">
        <f>ROUND(Source!AT170,O188)</f>
        <v>0</v>
      </c>
      <c r="G188" s="4" t="s">
        <v>238</v>
      </c>
      <c r="H188" s="4" t="s">
        <v>239</v>
      </c>
      <c r="I188" s="4"/>
      <c r="J188" s="4"/>
      <c r="K188" s="4">
        <v>215</v>
      </c>
      <c r="L188" s="4">
        <v>17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 x14ac:dyDescent="0.2">
      <c r="A189" s="4">
        <v>50</v>
      </c>
      <c r="B189" s="4">
        <v>0</v>
      </c>
      <c r="C189" s="4">
        <v>0</v>
      </c>
      <c r="D189" s="4">
        <v>1</v>
      </c>
      <c r="E189" s="4">
        <v>217</v>
      </c>
      <c r="F189" s="4">
        <f>ROUND(Source!AU170,O189)</f>
        <v>0</v>
      </c>
      <c r="G189" s="4" t="s">
        <v>240</v>
      </c>
      <c r="H189" s="4" t="s">
        <v>241</v>
      </c>
      <c r="I189" s="4"/>
      <c r="J189" s="4"/>
      <c r="K189" s="4">
        <v>217</v>
      </c>
      <c r="L189" s="4">
        <v>18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 x14ac:dyDescent="0.2">
      <c r="A190" s="4">
        <v>50</v>
      </c>
      <c r="B190" s="4">
        <v>0</v>
      </c>
      <c r="C190" s="4">
        <v>0</v>
      </c>
      <c r="D190" s="4">
        <v>1</v>
      </c>
      <c r="E190" s="4">
        <v>230</v>
      </c>
      <c r="F190" s="4">
        <f>ROUND(Source!BA170,O190)</f>
        <v>0</v>
      </c>
      <c r="G190" s="4" t="s">
        <v>242</v>
      </c>
      <c r="H190" s="4" t="s">
        <v>243</v>
      </c>
      <c r="I190" s="4"/>
      <c r="J190" s="4"/>
      <c r="K190" s="4">
        <v>230</v>
      </c>
      <c r="L190" s="4">
        <v>19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 x14ac:dyDescent="0.2">
      <c r="A191" s="4">
        <v>50</v>
      </c>
      <c r="B191" s="4">
        <v>0</v>
      </c>
      <c r="C191" s="4">
        <v>0</v>
      </c>
      <c r="D191" s="4">
        <v>1</v>
      </c>
      <c r="E191" s="4">
        <v>206</v>
      </c>
      <c r="F191" s="4">
        <f>ROUND(Source!T170,O191)</f>
        <v>0</v>
      </c>
      <c r="G191" s="4" t="s">
        <v>244</v>
      </c>
      <c r="H191" s="4" t="s">
        <v>245</v>
      </c>
      <c r="I191" s="4"/>
      <c r="J191" s="4"/>
      <c r="K191" s="4">
        <v>206</v>
      </c>
      <c r="L191" s="4">
        <v>20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 x14ac:dyDescent="0.2">
      <c r="A192" s="4">
        <v>50</v>
      </c>
      <c r="B192" s="4">
        <v>0</v>
      </c>
      <c r="C192" s="4">
        <v>0</v>
      </c>
      <c r="D192" s="4">
        <v>1</v>
      </c>
      <c r="E192" s="4">
        <v>207</v>
      </c>
      <c r="F192" s="4">
        <f>Source!U170</f>
        <v>166.23689430000002</v>
      </c>
      <c r="G192" s="4" t="s">
        <v>246</v>
      </c>
      <c r="H192" s="4" t="s">
        <v>247</v>
      </c>
      <c r="I192" s="4"/>
      <c r="J192" s="4"/>
      <c r="K192" s="4">
        <v>207</v>
      </c>
      <c r="L192" s="4">
        <v>21</v>
      </c>
      <c r="M192" s="4">
        <v>3</v>
      </c>
      <c r="N192" s="4" t="s">
        <v>3</v>
      </c>
      <c r="O192" s="4">
        <v>-1</v>
      </c>
      <c r="P192" s="4"/>
      <c r="Q192" s="4"/>
      <c r="R192" s="4"/>
      <c r="S192" s="4"/>
      <c r="T192" s="4"/>
      <c r="U192" s="4"/>
      <c r="V192" s="4"/>
      <c r="W192" s="4"/>
    </row>
    <row r="193" spans="1:245" x14ac:dyDescent="0.2">
      <c r="A193" s="4">
        <v>50</v>
      </c>
      <c r="B193" s="4">
        <v>0</v>
      </c>
      <c r="C193" s="4">
        <v>0</v>
      </c>
      <c r="D193" s="4">
        <v>1</v>
      </c>
      <c r="E193" s="4">
        <v>208</v>
      </c>
      <c r="F193" s="4">
        <f>Source!V170</f>
        <v>85.802880000000002</v>
      </c>
      <c r="G193" s="4" t="s">
        <v>248</v>
      </c>
      <c r="H193" s="4" t="s">
        <v>249</v>
      </c>
      <c r="I193" s="4"/>
      <c r="J193" s="4"/>
      <c r="K193" s="4">
        <v>208</v>
      </c>
      <c r="L193" s="4">
        <v>22</v>
      </c>
      <c r="M193" s="4">
        <v>3</v>
      </c>
      <c r="N193" s="4" t="s">
        <v>3</v>
      </c>
      <c r="O193" s="4">
        <v>-1</v>
      </c>
      <c r="P193" s="4"/>
      <c r="Q193" s="4"/>
      <c r="R193" s="4"/>
      <c r="S193" s="4"/>
      <c r="T193" s="4"/>
      <c r="U193" s="4"/>
      <c r="V193" s="4"/>
      <c r="W193" s="4"/>
    </row>
    <row r="194" spans="1:245" x14ac:dyDescent="0.2">
      <c r="A194" s="4">
        <v>50</v>
      </c>
      <c r="B194" s="4">
        <v>0</v>
      </c>
      <c r="C194" s="4">
        <v>0</v>
      </c>
      <c r="D194" s="4">
        <v>1</v>
      </c>
      <c r="E194" s="4">
        <v>209</v>
      </c>
      <c r="F194" s="4">
        <f>ROUND(Source!W170,O194)</f>
        <v>0</v>
      </c>
      <c r="G194" s="4" t="s">
        <v>250</v>
      </c>
      <c r="H194" s="4" t="s">
        <v>251</v>
      </c>
      <c r="I194" s="4"/>
      <c r="J194" s="4"/>
      <c r="K194" s="4">
        <v>209</v>
      </c>
      <c r="L194" s="4">
        <v>23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45" x14ac:dyDescent="0.2">
      <c r="A195" s="4">
        <v>50</v>
      </c>
      <c r="B195" s="4">
        <v>0</v>
      </c>
      <c r="C195" s="4">
        <v>0</v>
      </c>
      <c r="D195" s="4">
        <v>1</v>
      </c>
      <c r="E195" s="4">
        <v>210</v>
      </c>
      <c r="F195" s="4">
        <f>ROUND(Source!X170,O195)</f>
        <v>2984.26</v>
      </c>
      <c r="G195" s="4" t="s">
        <v>252</v>
      </c>
      <c r="H195" s="4" t="s">
        <v>253</v>
      </c>
      <c r="I195" s="4"/>
      <c r="J195" s="4"/>
      <c r="K195" s="4">
        <v>210</v>
      </c>
      <c r="L195" s="4">
        <v>24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45" x14ac:dyDescent="0.2">
      <c r="A196" s="4">
        <v>50</v>
      </c>
      <c r="B196" s="4">
        <v>0</v>
      </c>
      <c r="C196" s="4">
        <v>0</v>
      </c>
      <c r="D196" s="4">
        <v>1</v>
      </c>
      <c r="E196" s="4">
        <v>211</v>
      </c>
      <c r="F196" s="4">
        <f>ROUND(Source!Y170,O196)</f>
        <v>1835.11</v>
      </c>
      <c r="G196" s="4" t="s">
        <v>254</v>
      </c>
      <c r="H196" s="4" t="s">
        <v>255</v>
      </c>
      <c r="I196" s="4"/>
      <c r="J196" s="4"/>
      <c r="K196" s="4">
        <v>211</v>
      </c>
      <c r="L196" s="4">
        <v>25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/>
    </row>
    <row r="197" spans="1:245" x14ac:dyDescent="0.2">
      <c r="A197" s="4">
        <v>50</v>
      </c>
      <c r="B197" s="4">
        <v>0</v>
      </c>
      <c r="C197" s="4">
        <v>0</v>
      </c>
      <c r="D197" s="4">
        <v>1</v>
      </c>
      <c r="E197" s="4">
        <v>224</v>
      </c>
      <c r="F197" s="4">
        <f>ROUND(Source!AR170,O197)</f>
        <v>79256.240000000005</v>
      </c>
      <c r="G197" s="4" t="s">
        <v>256</v>
      </c>
      <c r="H197" s="4" t="s">
        <v>257</v>
      </c>
      <c r="I197" s="4"/>
      <c r="J197" s="4"/>
      <c r="K197" s="4">
        <v>224</v>
      </c>
      <c r="L197" s="4">
        <v>26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/>
    </row>
    <row r="199" spans="1:245" x14ac:dyDescent="0.2">
      <c r="A199" s="1">
        <v>5</v>
      </c>
      <c r="B199" s="1">
        <v>1</v>
      </c>
      <c r="C199" s="1"/>
      <c r="D199" s="1">
        <f>ROW(A235)</f>
        <v>235</v>
      </c>
      <c r="E199" s="1"/>
      <c r="F199" s="1" t="s">
        <v>358</v>
      </c>
      <c r="G199" s="1" t="s">
        <v>358</v>
      </c>
      <c r="H199" s="1" t="s">
        <v>3</v>
      </c>
      <c r="I199" s="1">
        <v>0</v>
      </c>
      <c r="J199" s="1"/>
      <c r="K199" s="1">
        <v>-1</v>
      </c>
      <c r="L199" s="1"/>
      <c r="M199" s="1"/>
      <c r="N199" s="1"/>
      <c r="O199" s="1"/>
      <c r="P199" s="1"/>
      <c r="Q199" s="1"/>
      <c r="R199" s="1"/>
      <c r="S199" s="1"/>
      <c r="T199" s="1"/>
      <c r="U199" s="1" t="s">
        <v>3</v>
      </c>
      <c r="V199" s="1">
        <v>5</v>
      </c>
      <c r="W199" s="1"/>
      <c r="X199" s="1"/>
      <c r="Y199" s="1"/>
      <c r="Z199" s="1"/>
      <c r="AA199" s="1"/>
      <c r="AB199" s="1" t="s">
        <v>3</v>
      </c>
      <c r="AC199" s="1" t="s">
        <v>3</v>
      </c>
      <c r="AD199" s="1" t="s">
        <v>3</v>
      </c>
      <c r="AE199" s="1" t="s">
        <v>3</v>
      </c>
      <c r="AF199" s="1" t="s">
        <v>3</v>
      </c>
      <c r="AG199" s="1" t="s">
        <v>3</v>
      </c>
      <c r="AH199" s="1"/>
      <c r="AI199" s="1"/>
      <c r="AJ199" s="1"/>
      <c r="AK199" s="1"/>
      <c r="AL199" s="1"/>
      <c r="AM199" s="1"/>
      <c r="AN199" s="1"/>
      <c r="AO199" s="1"/>
      <c r="AP199" s="1" t="s">
        <v>3</v>
      </c>
      <c r="AQ199" s="1" t="s">
        <v>3</v>
      </c>
      <c r="AR199" s="1" t="s">
        <v>3</v>
      </c>
      <c r="AS199" s="1"/>
      <c r="AT199" s="1"/>
      <c r="AU199" s="1"/>
      <c r="AV199" s="1"/>
      <c r="AW199" s="1"/>
      <c r="AX199" s="1"/>
      <c r="AY199" s="1"/>
      <c r="AZ199" s="1" t="s">
        <v>3</v>
      </c>
      <c r="BA199" s="1"/>
      <c r="BB199" s="1" t="s">
        <v>3</v>
      </c>
      <c r="BC199" s="1" t="s">
        <v>3</v>
      </c>
      <c r="BD199" s="1" t="s">
        <v>3</v>
      </c>
      <c r="BE199" s="1" t="s">
        <v>3</v>
      </c>
      <c r="BF199" s="1" t="s">
        <v>3</v>
      </c>
      <c r="BG199" s="1" t="s">
        <v>3</v>
      </c>
      <c r="BH199" s="1" t="s">
        <v>3</v>
      </c>
      <c r="BI199" s="1" t="s">
        <v>3</v>
      </c>
      <c r="BJ199" s="1" t="s">
        <v>3</v>
      </c>
      <c r="BK199" s="1" t="s">
        <v>3</v>
      </c>
      <c r="BL199" s="1" t="s">
        <v>3</v>
      </c>
      <c r="BM199" s="1" t="s">
        <v>3</v>
      </c>
      <c r="BN199" s="1" t="s">
        <v>3</v>
      </c>
      <c r="BO199" s="1" t="s">
        <v>3</v>
      </c>
      <c r="BP199" s="1" t="s">
        <v>3</v>
      </c>
      <c r="BQ199" s="1"/>
      <c r="BR199" s="1"/>
      <c r="BS199" s="1"/>
      <c r="BT199" s="1"/>
      <c r="BU199" s="1"/>
      <c r="BV199" s="1"/>
      <c r="BW199" s="1"/>
      <c r="BX199" s="1">
        <v>0</v>
      </c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>
        <v>0</v>
      </c>
    </row>
    <row r="201" spans="1:245" x14ac:dyDescent="0.2">
      <c r="A201" s="2">
        <v>52</v>
      </c>
      <c r="B201" s="2">
        <f t="shared" ref="B201:G201" si="203">B235</f>
        <v>1</v>
      </c>
      <c r="C201" s="2">
        <f t="shared" si="203"/>
        <v>5</v>
      </c>
      <c r="D201" s="2">
        <f t="shared" si="203"/>
        <v>199</v>
      </c>
      <c r="E201" s="2">
        <f t="shared" si="203"/>
        <v>0</v>
      </c>
      <c r="F201" s="2" t="str">
        <f t="shared" si="203"/>
        <v>Востановление общественной зоны</v>
      </c>
      <c r="G201" s="2" t="str">
        <f t="shared" si="203"/>
        <v>Востановление общественной зоны</v>
      </c>
      <c r="H201" s="2"/>
      <c r="I201" s="2"/>
      <c r="J201" s="2"/>
      <c r="K201" s="2"/>
      <c r="L201" s="2"/>
      <c r="M201" s="2"/>
      <c r="N201" s="2"/>
      <c r="O201" s="2">
        <f t="shared" ref="O201:AT201" si="204">O235</f>
        <v>67170.52</v>
      </c>
      <c r="P201" s="2">
        <f t="shared" si="204"/>
        <v>53902.44</v>
      </c>
      <c r="Q201" s="2">
        <f t="shared" si="204"/>
        <v>11131.95</v>
      </c>
      <c r="R201" s="2">
        <f t="shared" si="204"/>
        <v>1050.1400000000001</v>
      </c>
      <c r="S201" s="2">
        <f t="shared" si="204"/>
        <v>2136.13</v>
      </c>
      <c r="T201" s="2">
        <f t="shared" si="204"/>
        <v>0</v>
      </c>
      <c r="U201" s="2">
        <f t="shared" si="204"/>
        <v>251.27035399999994</v>
      </c>
      <c r="V201" s="2">
        <f t="shared" si="204"/>
        <v>82.989519999999999</v>
      </c>
      <c r="W201" s="2">
        <f t="shared" si="204"/>
        <v>0</v>
      </c>
      <c r="X201" s="2">
        <f t="shared" si="204"/>
        <v>3877.84</v>
      </c>
      <c r="Y201" s="2">
        <f t="shared" si="204"/>
        <v>2405.38</v>
      </c>
      <c r="Z201" s="2">
        <f t="shared" si="204"/>
        <v>0</v>
      </c>
      <c r="AA201" s="2">
        <f t="shared" si="204"/>
        <v>0</v>
      </c>
      <c r="AB201" s="2">
        <f t="shared" si="204"/>
        <v>67170.52</v>
      </c>
      <c r="AC201" s="2">
        <f t="shared" si="204"/>
        <v>53902.44</v>
      </c>
      <c r="AD201" s="2">
        <f t="shared" si="204"/>
        <v>11131.95</v>
      </c>
      <c r="AE201" s="2">
        <f t="shared" si="204"/>
        <v>1050.1400000000001</v>
      </c>
      <c r="AF201" s="2">
        <f t="shared" si="204"/>
        <v>2136.13</v>
      </c>
      <c r="AG201" s="2">
        <f t="shared" si="204"/>
        <v>0</v>
      </c>
      <c r="AH201" s="2">
        <f t="shared" si="204"/>
        <v>251.27035399999994</v>
      </c>
      <c r="AI201" s="2">
        <f t="shared" si="204"/>
        <v>82.989519999999999</v>
      </c>
      <c r="AJ201" s="2">
        <f t="shared" si="204"/>
        <v>0</v>
      </c>
      <c r="AK201" s="2">
        <f t="shared" si="204"/>
        <v>3877.84</v>
      </c>
      <c r="AL201" s="2">
        <f t="shared" si="204"/>
        <v>2405.38</v>
      </c>
      <c r="AM201" s="2">
        <f t="shared" si="204"/>
        <v>0</v>
      </c>
      <c r="AN201" s="2">
        <f t="shared" si="204"/>
        <v>0</v>
      </c>
      <c r="AO201" s="2">
        <f t="shared" si="204"/>
        <v>0</v>
      </c>
      <c r="AP201" s="2">
        <f t="shared" si="204"/>
        <v>0</v>
      </c>
      <c r="AQ201" s="2">
        <f t="shared" si="204"/>
        <v>0</v>
      </c>
      <c r="AR201" s="2">
        <f t="shared" si="204"/>
        <v>80105.42</v>
      </c>
      <c r="AS201" s="2">
        <f t="shared" si="204"/>
        <v>80105.42</v>
      </c>
      <c r="AT201" s="2">
        <f t="shared" si="204"/>
        <v>0</v>
      </c>
      <c r="AU201" s="2">
        <f t="shared" ref="AU201:BZ201" si="205">AU235</f>
        <v>0</v>
      </c>
      <c r="AV201" s="2">
        <f t="shared" si="205"/>
        <v>53902.44</v>
      </c>
      <c r="AW201" s="2">
        <f t="shared" si="205"/>
        <v>53902.44</v>
      </c>
      <c r="AX201" s="2">
        <f t="shared" si="205"/>
        <v>0</v>
      </c>
      <c r="AY201" s="2">
        <f t="shared" si="205"/>
        <v>53902.44</v>
      </c>
      <c r="AZ201" s="2">
        <f t="shared" si="205"/>
        <v>0</v>
      </c>
      <c r="BA201" s="2">
        <f t="shared" si="205"/>
        <v>0</v>
      </c>
      <c r="BB201" s="2">
        <f t="shared" si="205"/>
        <v>0</v>
      </c>
      <c r="BC201" s="2">
        <f t="shared" si="205"/>
        <v>0</v>
      </c>
      <c r="BD201" s="2">
        <f t="shared" si="205"/>
        <v>0</v>
      </c>
      <c r="BE201" s="2">
        <f t="shared" si="205"/>
        <v>0</v>
      </c>
      <c r="BF201" s="2">
        <f t="shared" si="205"/>
        <v>0</v>
      </c>
      <c r="BG201" s="2">
        <f t="shared" si="205"/>
        <v>0</v>
      </c>
      <c r="BH201" s="2">
        <f t="shared" si="205"/>
        <v>0</v>
      </c>
      <c r="BI201" s="2">
        <f t="shared" si="205"/>
        <v>0</v>
      </c>
      <c r="BJ201" s="2">
        <f t="shared" si="205"/>
        <v>0</v>
      </c>
      <c r="BK201" s="2">
        <f t="shared" si="205"/>
        <v>0</v>
      </c>
      <c r="BL201" s="2">
        <f t="shared" si="205"/>
        <v>0</v>
      </c>
      <c r="BM201" s="2">
        <f t="shared" si="205"/>
        <v>0</v>
      </c>
      <c r="BN201" s="2">
        <f t="shared" si="205"/>
        <v>0</v>
      </c>
      <c r="BO201" s="2">
        <f t="shared" si="205"/>
        <v>0</v>
      </c>
      <c r="BP201" s="2">
        <f t="shared" si="205"/>
        <v>0</v>
      </c>
      <c r="BQ201" s="2">
        <f t="shared" si="205"/>
        <v>0</v>
      </c>
      <c r="BR201" s="2">
        <f t="shared" si="205"/>
        <v>0</v>
      </c>
      <c r="BS201" s="2">
        <f t="shared" si="205"/>
        <v>0</v>
      </c>
      <c r="BT201" s="2">
        <f t="shared" si="205"/>
        <v>0</v>
      </c>
      <c r="BU201" s="2">
        <f t="shared" si="205"/>
        <v>0</v>
      </c>
      <c r="BV201" s="2">
        <f t="shared" si="205"/>
        <v>0</v>
      </c>
      <c r="BW201" s="2">
        <f t="shared" si="205"/>
        <v>0</v>
      </c>
      <c r="BX201" s="2">
        <f t="shared" si="205"/>
        <v>0</v>
      </c>
      <c r="BY201" s="2">
        <f t="shared" si="205"/>
        <v>0</v>
      </c>
      <c r="BZ201" s="2">
        <f t="shared" si="205"/>
        <v>0</v>
      </c>
      <c r="CA201" s="2">
        <f t="shared" ref="CA201:DF201" si="206">CA235</f>
        <v>80105.42</v>
      </c>
      <c r="CB201" s="2">
        <f t="shared" si="206"/>
        <v>80105.42</v>
      </c>
      <c r="CC201" s="2">
        <f t="shared" si="206"/>
        <v>0</v>
      </c>
      <c r="CD201" s="2">
        <f t="shared" si="206"/>
        <v>0</v>
      </c>
      <c r="CE201" s="2">
        <f t="shared" si="206"/>
        <v>53902.44</v>
      </c>
      <c r="CF201" s="2">
        <f t="shared" si="206"/>
        <v>53902.44</v>
      </c>
      <c r="CG201" s="2">
        <f t="shared" si="206"/>
        <v>0</v>
      </c>
      <c r="CH201" s="2">
        <f t="shared" si="206"/>
        <v>53902.44</v>
      </c>
      <c r="CI201" s="2">
        <f t="shared" si="206"/>
        <v>0</v>
      </c>
      <c r="CJ201" s="2">
        <f t="shared" si="206"/>
        <v>0</v>
      </c>
      <c r="CK201" s="2">
        <f t="shared" si="206"/>
        <v>0</v>
      </c>
      <c r="CL201" s="2">
        <f t="shared" si="206"/>
        <v>0</v>
      </c>
      <c r="CM201" s="2">
        <f t="shared" si="206"/>
        <v>0</v>
      </c>
      <c r="CN201" s="2">
        <f t="shared" si="206"/>
        <v>0</v>
      </c>
      <c r="CO201" s="2">
        <f t="shared" si="206"/>
        <v>0</v>
      </c>
      <c r="CP201" s="2">
        <f t="shared" si="206"/>
        <v>0</v>
      </c>
      <c r="CQ201" s="2">
        <f t="shared" si="206"/>
        <v>0</v>
      </c>
      <c r="CR201" s="2">
        <f t="shared" si="206"/>
        <v>0</v>
      </c>
      <c r="CS201" s="2">
        <f t="shared" si="206"/>
        <v>0</v>
      </c>
      <c r="CT201" s="2">
        <f t="shared" si="206"/>
        <v>0</v>
      </c>
      <c r="CU201" s="2">
        <f t="shared" si="206"/>
        <v>0</v>
      </c>
      <c r="CV201" s="2">
        <f t="shared" si="206"/>
        <v>0</v>
      </c>
      <c r="CW201" s="2">
        <f t="shared" si="206"/>
        <v>0</v>
      </c>
      <c r="CX201" s="2">
        <f t="shared" si="206"/>
        <v>0</v>
      </c>
      <c r="CY201" s="2">
        <f t="shared" si="206"/>
        <v>0</v>
      </c>
      <c r="CZ201" s="2">
        <f t="shared" si="206"/>
        <v>0</v>
      </c>
      <c r="DA201" s="2">
        <f t="shared" si="206"/>
        <v>0</v>
      </c>
      <c r="DB201" s="2">
        <f t="shared" si="206"/>
        <v>0</v>
      </c>
      <c r="DC201" s="2">
        <f t="shared" si="206"/>
        <v>0</v>
      </c>
      <c r="DD201" s="2">
        <f t="shared" si="206"/>
        <v>0</v>
      </c>
      <c r="DE201" s="2">
        <f t="shared" si="206"/>
        <v>0</v>
      </c>
      <c r="DF201" s="2">
        <f t="shared" si="206"/>
        <v>0</v>
      </c>
      <c r="DG201" s="3">
        <f t="shared" ref="DG201:EL201" si="207">DG235</f>
        <v>0</v>
      </c>
      <c r="DH201" s="3">
        <f t="shared" si="207"/>
        <v>0</v>
      </c>
      <c r="DI201" s="3">
        <f t="shared" si="207"/>
        <v>0</v>
      </c>
      <c r="DJ201" s="3">
        <f t="shared" si="207"/>
        <v>0</v>
      </c>
      <c r="DK201" s="3">
        <f t="shared" si="207"/>
        <v>0</v>
      </c>
      <c r="DL201" s="3">
        <f t="shared" si="207"/>
        <v>0</v>
      </c>
      <c r="DM201" s="3">
        <f t="shared" si="207"/>
        <v>0</v>
      </c>
      <c r="DN201" s="3">
        <f t="shared" si="207"/>
        <v>0</v>
      </c>
      <c r="DO201" s="3">
        <f t="shared" si="207"/>
        <v>0</v>
      </c>
      <c r="DP201" s="3">
        <f t="shared" si="207"/>
        <v>0</v>
      </c>
      <c r="DQ201" s="3">
        <f t="shared" si="207"/>
        <v>0</v>
      </c>
      <c r="DR201" s="3">
        <f t="shared" si="207"/>
        <v>0</v>
      </c>
      <c r="DS201" s="3">
        <f t="shared" si="207"/>
        <v>0</v>
      </c>
      <c r="DT201" s="3">
        <f t="shared" si="207"/>
        <v>0</v>
      </c>
      <c r="DU201" s="3">
        <f t="shared" si="207"/>
        <v>0</v>
      </c>
      <c r="DV201" s="3">
        <f t="shared" si="207"/>
        <v>0</v>
      </c>
      <c r="DW201" s="3">
        <f t="shared" si="207"/>
        <v>0</v>
      </c>
      <c r="DX201" s="3">
        <f t="shared" si="207"/>
        <v>0</v>
      </c>
      <c r="DY201" s="3">
        <f t="shared" si="207"/>
        <v>0</v>
      </c>
      <c r="DZ201" s="3">
        <f t="shared" si="207"/>
        <v>0</v>
      </c>
      <c r="EA201" s="3">
        <f t="shared" si="207"/>
        <v>0</v>
      </c>
      <c r="EB201" s="3">
        <f t="shared" si="207"/>
        <v>0</v>
      </c>
      <c r="EC201" s="3">
        <f t="shared" si="207"/>
        <v>0</v>
      </c>
      <c r="ED201" s="3">
        <f t="shared" si="207"/>
        <v>0</v>
      </c>
      <c r="EE201" s="3">
        <f t="shared" si="207"/>
        <v>0</v>
      </c>
      <c r="EF201" s="3">
        <f t="shared" si="207"/>
        <v>0</v>
      </c>
      <c r="EG201" s="3">
        <f t="shared" si="207"/>
        <v>0</v>
      </c>
      <c r="EH201" s="3">
        <f t="shared" si="207"/>
        <v>0</v>
      </c>
      <c r="EI201" s="3">
        <f t="shared" si="207"/>
        <v>0</v>
      </c>
      <c r="EJ201" s="3">
        <f t="shared" si="207"/>
        <v>0</v>
      </c>
      <c r="EK201" s="3">
        <f t="shared" si="207"/>
        <v>0</v>
      </c>
      <c r="EL201" s="3">
        <f t="shared" si="207"/>
        <v>0</v>
      </c>
      <c r="EM201" s="3">
        <f t="shared" ref="EM201:FR201" si="208">EM235</f>
        <v>0</v>
      </c>
      <c r="EN201" s="3">
        <f t="shared" si="208"/>
        <v>0</v>
      </c>
      <c r="EO201" s="3">
        <f t="shared" si="208"/>
        <v>0</v>
      </c>
      <c r="EP201" s="3">
        <f t="shared" si="208"/>
        <v>0</v>
      </c>
      <c r="EQ201" s="3">
        <f t="shared" si="208"/>
        <v>0</v>
      </c>
      <c r="ER201" s="3">
        <f t="shared" si="208"/>
        <v>0</v>
      </c>
      <c r="ES201" s="3">
        <f t="shared" si="208"/>
        <v>0</v>
      </c>
      <c r="ET201" s="3">
        <f t="shared" si="208"/>
        <v>0</v>
      </c>
      <c r="EU201" s="3">
        <f t="shared" si="208"/>
        <v>0</v>
      </c>
      <c r="EV201" s="3">
        <f t="shared" si="208"/>
        <v>0</v>
      </c>
      <c r="EW201" s="3">
        <f t="shared" si="208"/>
        <v>0</v>
      </c>
      <c r="EX201" s="3">
        <f t="shared" si="208"/>
        <v>0</v>
      </c>
      <c r="EY201" s="3">
        <f t="shared" si="208"/>
        <v>0</v>
      </c>
      <c r="EZ201" s="3">
        <f t="shared" si="208"/>
        <v>0</v>
      </c>
      <c r="FA201" s="3">
        <f t="shared" si="208"/>
        <v>0</v>
      </c>
      <c r="FB201" s="3">
        <f t="shared" si="208"/>
        <v>0</v>
      </c>
      <c r="FC201" s="3">
        <f t="shared" si="208"/>
        <v>0</v>
      </c>
      <c r="FD201" s="3">
        <f t="shared" si="208"/>
        <v>0</v>
      </c>
      <c r="FE201" s="3">
        <f t="shared" si="208"/>
        <v>0</v>
      </c>
      <c r="FF201" s="3">
        <f t="shared" si="208"/>
        <v>0</v>
      </c>
      <c r="FG201" s="3">
        <f t="shared" si="208"/>
        <v>0</v>
      </c>
      <c r="FH201" s="3">
        <f t="shared" si="208"/>
        <v>0</v>
      </c>
      <c r="FI201" s="3">
        <f t="shared" si="208"/>
        <v>0</v>
      </c>
      <c r="FJ201" s="3">
        <f t="shared" si="208"/>
        <v>0</v>
      </c>
      <c r="FK201" s="3">
        <f t="shared" si="208"/>
        <v>0</v>
      </c>
      <c r="FL201" s="3">
        <f t="shared" si="208"/>
        <v>0</v>
      </c>
      <c r="FM201" s="3">
        <f t="shared" si="208"/>
        <v>0</v>
      </c>
      <c r="FN201" s="3">
        <f t="shared" si="208"/>
        <v>0</v>
      </c>
      <c r="FO201" s="3">
        <f t="shared" si="208"/>
        <v>0</v>
      </c>
      <c r="FP201" s="3">
        <f t="shared" si="208"/>
        <v>0</v>
      </c>
      <c r="FQ201" s="3">
        <f t="shared" si="208"/>
        <v>0</v>
      </c>
      <c r="FR201" s="3">
        <f t="shared" si="208"/>
        <v>0</v>
      </c>
      <c r="FS201" s="3">
        <f t="shared" ref="FS201:GX201" si="209">FS235</f>
        <v>0</v>
      </c>
      <c r="FT201" s="3">
        <f t="shared" si="209"/>
        <v>0</v>
      </c>
      <c r="FU201" s="3">
        <f t="shared" si="209"/>
        <v>0</v>
      </c>
      <c r="FV201" s="3">
        <f t="shared" si="209"/>
        <v>0</v>
      </c>
      <c r="FW201" s="3">
        <f t="shared" si="209"/>
        <v>0</v>
      </c>
      <c r="FX201" s="3">
        <f t="shared" si="209"/>
        <v>0</v>
      </c>
      <c r="FY201" s="3">
        <f t="shared" si="209"/>
        <v>0</v>
      </c>
      <c r="FZ201" s="3">
        <f t="shared" si="209"/>
        <v>0</v>
      </c>
      <c r="GA201" s="3">
        <f t="shared" si="209"/>
        <v>0</v>
      </c>
      <c r="GB201" s="3">
        <f t="shared" si="209"/>
        <v>0</v>
      </c>
      <c r="GC201" s="3">
        <f t="shared" si="209"/>
        <v>0</v>
      </c>
      <c r="GD201" s="3">
        <f t="shared" si="209"/>
        <v>0</v>
      </c>
      <c r="GE201" s="3">
        <f t="shared" si="209"/>
        <v>0</v>
      </c>
      <c r="GF201" s="3">
        <f t="shared" si="209"/>
        <v>0</v>
      </c>
      <c r="GG201" s="3">
        <f t="shared" si="209"/>
        <v>0</v>
      </c>
      <c r="GH201" s="3">
        <f t="shared" si="209"/>
        <v>0</v>
      </c>
      <c r="GI201" s="3">
        <f t="shared" si="209"/>
        <v>0</v>
      </c>
      <c r="GJ201" s="3">
        <f t="shared" si="209"/>
        <v>0</v>
      </c>
      <c r="GK201" s="3">
        <f t="shared" si="209"/>
        <v>0</v>
      </c>
      <c r="GL201" s="3">
        <f t="shared" si="209"/>
        <v>0</v>
      </c>
      <c r="GM201" s="3">
        <f t="shared" si="209"/>
        <v>0</v>
      </c>
      <c r="GN201" s="3">
        <f t="shared" si="209"/>
        <v>0</v>
      </c>
      <c r="GO201" s="3">
        <f t="shared" si="209"/>
        <v>0</v>
      </c>
      <c r="GP201" s="3">
        <f t="shared" si="209"/>
        <v>0</v>
      </c>
      <c r="GQ201" s="3">
        <f t="shared" si="209"/>
        <v>0</v>
      </c>
      <c r="GR201" s="3">
        <f t="shared" si="209"/>
        <v>0</v>
      </c>
      <c r="GS201" s="3">
        <f t="shared" si="209"/>
        <v>0</v>
      </c>
      <c r="GT201" s="3">
        <f t="shared" si="209"/>
        <v>0</v>
      </c>
      <c r="GU201" s="3">
        <f t="shared" si="209"/>
        <v>0</v>
      </c>
      <c r="GV201" s="3">
        <f t="shared" si="209"/>
        <v>0</v>
      </c>
      <c r="GW201" s="3">
        <f t="shared" si="209"/>
        <v>0</v>
      </c>
      <c r="GX201" s="3">
        <f t="shared" si="209"/>
        <v>0</v>
      </c>
    </row>
    <row r="203" spans="1:245" x14ac:dyDescent="0.2">
      <c r="A203">
        <v>17</v>
      </c>
      <c r="B203">
        <v>1</v>
      </c>
      <c r="C203">
        <f>ROW(SmtRes!A209)</f>
        <v>209</v>
      </c>
      <c r="D203">
        <f>ROW(EtalonRes!A221)</f>
        <v>221</v>
      </c>
      <c r="E203" t="s">
        <v>359</v>
      </c>
      <c r="F203" t="s">
        <v>263</v>
      </c>
      <c r="G203" t="s">
        <v>315</v>
      </c>
      <c r="H203" t="s">
        <v>265</v>
      </c>
      <c r="I203">
        <f>ROUND((46*4*2)/1000,9)</f>
        <v>0.36799999999999999</v>
      </c>
      <c r="J203">
        <v>0</v>
      </c>
      <c r="O203">
        <f>ROUND(CP203,2)</f>
        <v>831.61</v>
      </c>
      <c r="P203">
        <f>ROUND(CQ203*I203,2)</f>
        <v>0</v>
      </c>
      <c r="Q203">
        <f>ROUND(CR203*I203,2)</f>
        <v>628.48</v>
      </c>
      <c r="R203">
        <f>ROUND(CS203*I203,2)</f>
        <v>66.84</v>
      </c>
      <c r="S203">
        <f>ROUND(CT203*I203,2)</f>
        <v>203.13</v>
      </c>
      <c r="T203">
        <f>ROUND(CU203*I203,2)</f>
        <v>0</v>
      </c>
      <c r="U203">
        <f>CV203*I203</f>
        <v>24.444031999999996</v>
      </c>
      <c r="V203">
        <f>CW203*I203</f>
        <v>6.6442399999999981</v>
      </c>
      <c r="W203">
        <f>ROUND(CX203*I203,2)</f>
        <v>0</v>
      </c>
      <c r="X203">
        <f t="shared" ref="X203:Y205" si="210">ROUND(CY203,2)</f>
        <v>280.77</v>
      </c>
      <c r="Y203">
        <f t="shared" si="210"/>
        <v>161.97999999999999</v>
      </c>
      <c r="AA203">
        <v>47631607</v>
      </c>
      <c r="AB203">
        <f>ROUND((AC203+AD203+AF203),6)</f>
        <v>2259.8074999999999</v>
      </c>
      <c r="AC203">
        <f>ROUND((ES203),6)</f>
        <v>0</v>
      </c>
      <c r="AD203">
        <f>ROUND(((((ET203*1.15))-((EU203*1.15)))+AE203),6)</f>
        <v>1707.819</v>
      </c>
      <c r="AE203">
        <f t="shared" ref="AE203:AF205" si="211">ROUND(((EU203*1.15)),6)</f>
        <v>181.631</v>
      </c>
      <c r="AF203">
        <f t="shared" si="211"/>
        <v>551.98850000000004</v>
      </c>
      <c r="AG203">
        <f>ROUND((AP203),6)</f>
        <v>0</v>
      </c>
      <c r="AH203">
        <f t="shared" ref="AH203:AI205" si="212">((EW203*1.15))</f>
        <v>66.423999999999992</v>
      </c>
      <c r="AI203">
        <f t="shared" si="212"/>
        <v>18.054999999999996</v>
      </c>
      <c r="AJ203">
        <f>(AS203)</f>
        <v>0</v>
      </c>
      <c r="AK203">
        <v>1965.05</v>
      </c>
      <c r="AL203">
        <v>0</v>
      </c>
      <c r="AM203">
        <v>1485.06</v>
      </c>
      <c r="AN203">
        <v>157.94</v>
      </c>
      <c r="AO203">
        <v>479.99</v>
      </c>
      <c r="AP203">
        <v>0</v>
      </c>
      <c r="AQ203">
        <v>57.76</v>
      </c>
      <c r="AR203">
        <v>15.7</v>
      </c>
      <c r="AS203">
        <v>0</v>
      </c>
      <c r="AT203">
        <v>104</v>
      </c>
      <c r="AU203">
        <v>60</v>
      </c>
      <c r="AV203">
        <v>1</v>
      </c>
      <c r="AW203">
        <v>1</v>
      </c>
      <c r="AZ203">
        <v>1</v>
      </c>
      <c r="BA203">
        <v>1</v>
      </c>
      <c r="BB203">
        <v>1</v>
      </c>
      <c r="BC203">
        <v>1</v>
      </c>
      <c r="BD203" t="s">
        <v>3</v>
      </c>
      <c r="BE203" t="s">
        <v>3</v>
      </c>
      <c r="BF203" t="s">
        <v>3</v>
      </c>
      <c r="BG203" t="s">
        <v>3</v>
      </c>
      <c r="BH203">
        <v>0</v>
      </c>
      <c r="BI203">
        <v>1</v>
      </c>
      <c r="BJ203" t="s">
        <v>266</v>
      </c>
      <c r="BM203">
        <v>68001</v>
      </c>
      <c r="BN203">
        <v>0</v>
      </c>
      <c r="BO203" t="s">
        <v>3</v>
      </c>
      <c r="BP203">
        <v>0</v>
      </c>
      <c r="BQ203">
        <v>6</v>
      </c>
      <c r="BR203">
        <v>0</v>
      </c>
      <c r="BS203">
        <v>1</v>
      </c>
      <c r="BT203">
        <v>1</v>
      </c>
      <c r="BU203">
        <v>1</v>
      </c>
      <c r="BV203">
        <v>1</v>
      </c>
      <c r="BW203">
        <v>1</v>
      </c>
      <c r="BX203">
        <v>1</v>
      </c>
      <c r="BY203" t="s">
        <v>3</v>
      </c>
      <c r="BZ203">
        <v>104</v>
      </c>
      <c r="CA203">
        <v>60</v>
      </c>
      <c r="CE203">
        <v>0</v>
      </c>
      <c r="CF203">
        <v>0</v>
      </c>
      <c r="CG203">
        <v>0</v>
      </c>
      <c r="CM203">
        <v>0</v>
      </c>
      <c r="CN203" t="s">
        <v>742</v>
      </c>
      <c r="CO203">
        <v>0</v>
      </c>
      <c r="CP203">
        <f>(P203+Q203+S203)</f>
        <v>831.61</v>
      </c>
      <c r="CQ203">
        <f>AC203*BC203</f>
        <v>0</v>
      </c>
      <c r="CR203">
        <f>AD203*BB203</f>
        <v>1707.819</v>
      </c>
      <c r="CS203">
        <f>AE203*BS203</f>
        <v>181.631</v>
      </c>
      <c r="CT203">
        <f>AF203*BA203</f>
        <v>551.98850000000004</v>
      </c>
      <c r="CU203">
        <f t="shared" ref="CU203:CX205" si="213">AG203</f>
        <v>0</v>
      </c>
      <c r="CV203">
        <f t="shared" si="213"/>
        <v>66.423999999999992</v>
      </c>
      <c r="CW203">
        <f t="shared" si="213"/>
        <v>18.054999999999996</v>
      </c>
      <c r="CX203">
        <f t="shared" si="213"/>
        <v>0</v>
      </c>
      <c r="CY203">
        <f>(((S203+R203)*AT203)/100)</f>
        <v>280.76880000000006</v>
      </c>
      <c r="CZ203">
        <f>(((S203+R203)*AU203)/100)</f>
        <v>161.982</v>
      </c>
      <c r="DC203" t="s">
        <v>3</v>
      </c>
      <c r="DD203" t="s">
        <v>3</v>
      </c>
      <c r="DE203" t="s">
        <v>24</v>
      </c>
      <c r="DF203" t="s">
        <v>24</v>
      </c>
      <c r="DG203" t="s">
        <v>24</v>
      </c>
      <c r="DH203" t="s">
        <v>3</v>
      </c>
      <c r="DI203" t="s">
        <v>24</v>
      </c>
      <c r="DJ203" t="s">
        <v>24</v>
      </c>
      <c r="DK203" t="s">
        <v>3</v>
      </c>
      <c r="DL203" t="s">
        <v>3</v>
      </c>
      <c r="DM203" t="s">
        <v>3</v>
      </c>
      <c r="DN203">
        <v>0</v>
      </c>
      <c r="DO203">
        <v>0</v>
      </c>
      <c r="DP203">
        <v>1</v>
      </c>
      <c r="DQ203">
        <v>1</v>
      </c>
      <c r="DU203">
        <v>1005</v>
      </c>
      <c r="DV203" t="s">
        <v>265</v>
      </c>
      <c r="DW203" t="s">
        <v>265</v>
      </c>
      <c r="DX203">
        <v>1000</v>
      </c>
      <c r="EE203">
        <v>45919696</v>
      </c>
      <c r="EF203">
        <v>6</v>
      </c>
      <c r="EG203" t="s">
        <v>25</v>
      </c>
      <c r="EH203">
        <v>0</v>
      </c>
      <c r="EI203" t="s">
        <v>3</v>
      </c>
      <c r="EJ203">
        <v>1</v>
      </c>
      <c r="EK203">
        <v>68001</v>
      </c>
      <c r="EL203" t="s">
        <v>26</v>
      </c>
      <c r="EM203" t="s">
        <v>27</v>
      </c>
      <c r="EO203" t="s">
        <v>28</v>
      </c>
      <c r="EQ203">
        <v>0</v>
      </c>
      <c r="ER203">
        <v>1965.05</v>
      </c>
      <c r="ES203">
        <v>0</v>
      </c>
      <c r="ET203">
        <v>1485.06</v>
      </c>
      <c r="EU203">
        <v>157.94</v>
      </c>
      <c r="EV203">
        <v>479.99</v>
      </c>
      <c r="EW203">
        <v>57.76</v>
      </c>
      <c r="EX203">
        <v>15.7</v>
      </c>
      <c r="EY203">
        <v>0</v>
      </c>
      <c r="FQ203">
        <v>0</v>
      </c>
      <c r="FR203">
        <f>ROUND(IF(AND(BH203=3,BI203=3),P203,0),2)</f>
        <v>0</v>
      </c>
      <c r="FS203">
        <v>0</v>
      </c>
      <c r="FX203">
        <v>104</v>
      </c>
      <c r="FY203">
        <v>60</v>
      </c>
      <c r="GA203" t="s">
        <v>3</v>
      </c>
      <c r="GD203">
        <v>1</v>
      </c>
      <c r="GF203">
        <v>-238213273</v>
      </c>
      <c r="GG203">
        <v>2</v>
      </c>
      <c r="GH203">
        <v>1</v>
      </c>
      <c r="GI203">
        <v>-2</v>
      </c>
      <c r="GJ203">
        <v>0</v>
      </c>
      <c r="GK203">
        <v>0</v>
      </c>
      <c r="GL203">
        <f>ROUND(IF(AND(BH203=3,BI203=3,FS203&lt;&gt;0),P203,0),2)</f>
        <v>0</v>
      </c>
      <c r="GM203">
        <f>ROUND(O203+X203+Y203,2)+GX203</f>
        <v>1274.3599999999999</v>
      </c>
      <c r="GN203">
        <f>IF(OR(BI203=0,BI203=1),ROUND(O203+X203+Y203,2),0)</f>
        <v>1274.3599999999999</v>
      </c>
      <c r="GO203">
        <f>IF(BI203=2,ROUND(O203+X203+Y203,2),0)</f>
        <v>0</v>
      </c>
      <c r="GP203">
        <f>IF(BI203=4,ROUND(O203+X203+Y203,2)+GX203,0)</f>
        <v>0</v>
      </c>
      <c r="GR203">
        <v>0</v>
      </c>
      <c r="GS203">
        <v>3</v>
      </c>
      <c r="GT203">
        <v>0</v>
      </c>
      <c r="GU203" t="s">
        <v>3</v>
      </c>
      <c r="GV203">
        <f>ROUND((GT203),6)</f>
        <v>0</v>
      </c>
      <c r="GW203">
        <v>1</v>
      </c>
      <c r="GX203">
        <f>ROUND(HC203*I203,2)</f>
        <v>0</v>
      </c>
      <c r="HA203">
        <v>0</v>
      </c>
      <c r="HB203">
        <v>0</v>
      </c>
      <c r="HC203">
        <f>GV203*GW203</f>
        <v>0</v>
      </c>
      <c r="IK203">
        <v>0</v>
      </c>
    </row>
    <row r="204" spans="1:245" x14ac:dyDescent="0.2">
      <c r="A204">
        <v>17</v>
      </c>
      <c r="B204">
        <v>1</v>
      </c>
      <c r="C204">
        <f>ROW(SmtRes!A213)</f>
        <v>213</v>
      </c>
      <c r="D204">
        <f>ROW(EtalonRes!A225)</f>
        <v>225</v>
      </c>
      <c r="E204" t="s">
        <v>360</v>
      </c>
      <c r="F204" t="s">
        <v>263</v>
      </c>
      <c r="G204" t="s">
        <v>317</v>
      </c>
      <c r="H204" t="s">
        <v>265</v>
      </c>
      <c r="I204">
        <f>ROUND((46*4)/1000,9)</f>
        <v>0.184</v>
      </c>
      <c r="J204">
        <v>0</v>
      </c>
      <c r="O204">
        <f>ROUND(CP204,2)</f>
        <v>415.81</v>
      </c>
      <c r="P204">
        <f>ROUND(CQ204*I204,2)</f>
        <v>0</v>
      </c>
      <c r="Q204">
        <f>ROUND(CR204*I204,2)</f>
        <v>314.24</v>
      </c>
      <c r="R204">
        <f>ROUND(CS204*I204,2)</f>
        <v>33.42</v>
      </c>
      <c r="S204">
        <f>ROUND(CT204*I204,2)</f>
        <v>101.57</v>
      </c>
      <c r="T204">
        <f>ROUND(CU204*I204,2)</f>
        <v>0</v>
      </c>
      <c r="U204">
        <f>CV204*I204</f>
        <v>12.222015999999998</v>
      </c>
      <c r="V204">
        <f>CW204*I204</f>
        <v>3.3221199999999991</v>
      </c>
      <c r="W204">
        <f>ROUND(CX204*I204,2)</f>
        <v>0</v>
      </c>
      <c r="X204">
        <f t="shared" si="210"/>
        <v>140.38999999999999</v>
      </c>
      <c r="Y204">
        <f t="shared" si="210"/>
        <v>80.989999999999995</v>
      </c>
      <c r="AA204">
        <v>47631607</v>
      </c>
      <c r="AB204">
        <f>ROUND((AC204+AD204+AF204),6)</f>
        <v>2259.8074999999999</v>
      </c>
      <c r="AC204">
        <f>ROUND((ES204),6)</f>
        <v>0</v>
      </c>
      <c r="AD204">
        <f>ROUND(((((ET204*1.15))-((EU204*1.15)))+AE204),6)</f>
        <v>1707.819</v>
      </c>
      <c r="AE204">
        <f t="shared" si="211"/>
        <v>181.631</v>
      </c>
      <c r="AF204">
        <f t="shared" si="211"/>
        <v>551.98850000000004</v>
      </c>
      <c r="AG204">
        <f>ROUND((AP204),6)</f>
        <v>0</v>
      </c>
      <c r="AH204">
        <f t="shared" si="212"/>
        <v>66.423999999999992</v>
      </c>
      <c r="AI204">
        <f t="shared" si="212"/>
        <v>18.054999999999996</v>
      </c>
      <c r="AJ204">
        <f>(AS204)</f>
        <v>0</v>
      </c>
      <c r="AK204">
        <v>1965.05</v>
      </c>
      <c r="AL204">
        <v>0</v>
      </c>
      <c r="AM204">
        <v>1485.06</v>
      </c>
      <c r="AN204">
        <v>157.94</v>
      </c>
      <c r="AO204">
        <v>479.99</v>
      </c>
      <c r="AP204">
        <v>0</v>
      </c>
      <c r="AQ204">
        <v>57.76</v>
      </c>
      <c r="AR204">
        <v>15.7</v>
      </c>
      <c r="AS204">
        <v>0</v>
      </c>
      <c r="AT204">
        <v>104</v>
      </c>
      <c r="AU204">
        <v>60</v>
      </c>
      <c r="AV204">
        <v>1</v>
      </c>
      <c r="AW204">
        <v>1</v>
      </c>
      <c r="AZ204">
        <v>1</v>
      </c>
      <c r="BA204">
        <v>1</v>
      </c>
      <c r="BB204">
        <v>1</v>
      </c>
      <c r="BC204">
        <v>1</v>
      </c>
      <c r="BD204" t="s">
        <v>3</v>
      </c>
      <c r="BE204" t="s">
        <v>3</v>
      </c>
      <c r="BF204" t="s">
        <v>3</v>
      </c>
      <c r="BG204" t="s">
        <v>3</v>
      </c>
      <c r="BH204">
        <v>0</v>
      </c>
      <c r="BI204">
        <v>1</v>
      </c>
      <c r="BJ204" t="s">
        <v>266</v>
      </c>
      <c r="BM204">
        <v>68001</v>
      </c>
      <c r="BN204">
        <v>0</v>
      </c>
      <c r="BO204" t="s">
        <v>3</v>
      </c>
      <c r="BP204">
        <v>0</v>
      </c>
      <c r="BQ204">
        <v>6</v>
      </c>
      <c r="BR204">
        <v>0</v>
      </c>
      <c r="BS204">
        <v>1</v>
      </c>
      <c r="BT204">
        <v>1</v>
      </c>
      <c r="BU204">
        <v>1</v>
      </c>
      <c r="BV204">
        <v>1</v>
      </c>
      <c r="BW204">
        <v>1</v>
      </c>
      <c r="BX204">
        <v>1</v>
      </c>
      <c r="BY204" t="s">
        <v>3</v>
      </c>
      <c r="BZ204">
        <v>104</v>
      </c>
      <c r="CA204">
        <v>60</v>
      </c>
      <c r="CE204">
        <v>0</v>
      </c>
      <c r="CF204">
        <v>0</v>
      </c>
      <c r="CG204">
        <v>0</v>
      </c>
      <c r="CM204">
        <v>0</v>
      </c>
      <c r="CN204" t="s">
        <v>742</v>
      </c>
      <c r="CO204">
        <v>0</v>
      </c>
      <c r="CP204">
        <f>(P204+Q204+S204)</f>
        <v>415.81</v>
      </c>
      <c r="CQ204">
        <f>AC204*BC204</f>
        <v>0</v>
      </c>
      <c r="CR204">
        <f>AD204*BB204</f>
        <v>1707.819</v>
      </c>
      <c r="CS204">
        <f>AE204*BS204</f>
        <v>181.631</v>
      </c>
      <c r="CT204">
        <f>AF204*BA204</f>
        <v>551.98850000000004</v>
      </c>
      <c r="CU204">
        <f t="shared" si="213"/>
        <v>0</v>
      </c>
      <c r="CV204">
        <f t="shared" si="213"/>
        <v>66.423999999999992</v>
      </c>
      <c r="CW204">
        <f t="shared" si="213"/>
        <v>18.054999999999996</v>
      </c>
      <c r="CX204">
        <f t="shared" si="213"/>
        <v>0</v>
      </c>
      <c r="CY204">
        <f>(((S204+R204)*AT204)/100)</f>
        <v>140.3896</v>
      </c>
      <c r="CZ204">
        <f>(((S204+R204)*AU204)/100)</f>
        <v>80.994</v>
      </c>
      <c r="DC204" t="s">
        <v>3</v>
      </c>
      <c r="DD204" t="s">
        <v>3</v>
      </c>
      <c r="DE204" t="s">
        <v>24</v>
      </c>
      <c r="DF204" t="s">
        <v>24</v>
      </c>
      <c r="DG204" t="s">
        <v>24</v>
      </c>
      <c r="DH204" t="s">
        <v>3</v>
      </c>
      <c r="DI204" t="s">
        <v>24</v>
      </c>
      <c r="DJ204" t="s">
        <v>24</v>
      </c>
      <c r="DK204" t="s">
        <v>3</v>
      </c>
      <c r="DL204" t="s">
        <v>3</v>
      </c>
      <c r="DM204" t="s">
        <v>3</v>
      </c>
      <c r="DN204">
        <v>0</v>
      </c>
      <c r="DO204">
        <v>0</v>
      </c>
      <c r="DP204">
        <v>1</v>
      </c>
      <c r="DQ204">
        <v>1</v>
      </c>
      <c r="DU204">
        <v>1005</v>
      </c>
      <c r="DV204" t="s">
        <v>265</v>
      </c>
      <c r="DW204" t="s">
        <v>265</v>
      </c>
      <c r="DX204">
        <v>1000</v>
      </c>
      <c r="EE204">
        <v>45919696</v>
      </c>
      <c r="EF204">
        <v>6</v>
      </c>
      <c r="EG204" t="s">
        <v>25</v>
      </c>
      <c r="EH204">
        <v>0</v>
      </c>
      <c r="EI204" t="s">
        <v>3</v>
      </c>
      <c r="EJ204">
        <v>1</v>
      </c>
      <c r="EK204">
        <v>68001</v>
      </c>
      <c r="EL204" t="s">
        <v>26</v>
      </c>
      <c r="EM204" t="s">
        <v>27</v>
      </c>
      <c r="EO204" t="s">
        <v>28</v>
      </c>
      <c r="EQ204">
        <v>0</v>
      </c>
      <c r="ER204">
        <v>1965.05</v>
      </c>
      <c r="ES204">
        <v>0</v>
      </c>
      <c r="ET204">
        <v>1485.06</v>
      </c>
      <c r="EU204">
        <v>157.94</v>
      </c>
      <c r="EV204">
        <v>479.99</v>
      </c>
      <c r="EW204">
        <v>57.76</v>
      </c>
      <c r="EX204">
        <v>15.7</v>
      </c>
      <c r="EY204">
        <v>0</v>
      </c>
      <c r="FQ204">
        <v>0</v>
      </c>
      <c r="FR204">
        <f>ROUND(IF(AND(BH204=3,BI204=3),P204,0),2)</f>
        <v>0</v>
      </c>
      <c r="FS204">
        <v>0</v>
      </c>
      <c r="FX204">
        <v>104</v>
      </c>
      <c r="FY204">
        <v>60</v>
      </c>
      <c r="GA204" t="s">
        <v>3</v>
      </c>
      <c r="GD204">
        <v>1</v>
      </c>
      <c r="GF204">
        <v>631798066</v>
      </c>
      <c r="GG204">
        <v>2</v>
      </c>
      <c r="GH204">
        <v>1</v>
      </c>
      <c r="GI204">
        <v>-2</v>
      </c>
      <c r="GJ204">
        <v>0</v>
      </c>
      <c r="GK204">
        <v>0</v>
      </c>
      <c r="GL204">
        <f>ROUND(IF(AND(BH204=3,BI204=3,FS204&lt;&gt;0),P204,0),2)</f>
        <v>0</v>
      </c>
      <c r="GM204">
        <f>ROUND(O204+X204+Y204,2)+GX204</f>
        <v>637.19000000000005</v>
      </c>
      <c r="GN204">
        <f>IF(OR(BI204=0,BI204=1),ROUND(O204+X204+Y204,2),0)</f>
        <v>637.19000000000005</v>
      </c>
      <c r="GO204">
        <f>IF(BI204=2,ROUND(O204+X204+Y204,2),0)</f>
        <v>0</v>
      </c>
      <c r="GP204">
        <f>IF(BI204=4,ROUND(O204+X204+Y204,2)+GX204,0)</f>
        <v>0</v>
      </c>
      <c r="GR204">
        <v>0</v>
      </c>
      <c r="GS204">
        <v>3</v>
      </c>
      <c r="GT204">
        <v>0</v>
      </c>
      <c r="GU204" t="s">
        <v>3</v>
      </c>
      <c r="GV204">
        <f>ROUND((GT204),6)</f>
        <v>0</v>
      </c>
      <c r="GW204">
        <v>1</v>
      </c>
      <c r="GX204">
        <f>ROUND(HC204*I204,2)</f>
        <v>0</v>
      </c>
      <c r="HA204">
        <v>0</v>
      </c>
      <c r="HB204">
        <v>0</v>
      </c>
      <c r="HC204">
        <f>GV204*GW204</f>
        <v>0</v>
      </c>
      <c r="IK204">
        <v>0</v>
      </c>
    </row>
    <row r="205" spans="1:245" x14ac:dyDescent="0.2">
      <c r="A205">
        <v>17</v>
      </c>
      <c r="B205">
        <v>1</v>
      </c>
      <c r="C205">
        <f>ROW(SmtRes!A217)</f>
        <v>217</v>
      </c>
      <c r="D205">
        <f>ROW(EtalonRes!A229)</f>
        <v>229</v>
      </c>
      <c r="E205" t="s">
        <v>361</v>
      </c>
      <c r="F205" t="s">
        <v>268</v>
      </c>
      <c r="G205" t="s">
        <v>319</v>
      </c>
      <c r="H205" t="s">
        <v>154</v>
      </c>
      <c r="I205">
        <f>ROUND(368*0.5/100,9)</f>
        <v>1.84</v>
      </c>
      <c r="J205">
        <v>0</v>
      </c>
      <c r="O205">
        <f>ROUND(CP205,2)</f>
        <v>1261.83</v>
      </c>
      <c r="P205">
        <f>ROUND(CQ205*I205,2)</f>
        <v>0</v>
      </c>
      <c r="Q205">
        <f>ROUND(CR205*I205,2)</f>
        <v>955.92</v>
      </c>
      <c r="R205">
        <f>ROUND(CS205*I205,2)</f>
        <v>124.89</v>
      </c>
      <c r="S205">
        <f>ROUND(CT205*I205,2)</f>
        <v>305.91000000000003</v>
      </c>
      <c r="T205">
        <f>ROUND(CU205*I205,2)</f>
        <v>0</v>
      </c>
      <c r="U205">
        <f>CV205*I205</f>
        <v>38.870919999999998</v>
      </c>
      <c r="V205">
        <f>CW205*I205</f>
        <v>9.8394000000000013</v>
      </c>
      <c r="W205">
        <f>ROUND(CX205*I205,2)</f>
        <v>0</v>
      </c>
      <c r="X205">
        <f t="shared" si="210"/>
        <v>448.03</v>
      </c>
      <c r="Y205">
        <f t="shared" si="210"/>
        <v>258.48</v>
      </c>
      <c r="AA205">
        <v>47631607</v>
      </c>
      <c r="AB205">
        <f>ROUND((AC205+AD205+AF205),6)</f>
        <v>685.77949999999998</v>
      </c>
      <c r="AC205">
        <f>ROUND((ES205),6)</f>
        <v>0</v>
      </c>
      <c r="AD205">
        <f>ROUND(((((ET205*1.15))-((EU205*1.15)))+AE205),6)</f>
        <v>519.524</v>
      </c>
      <c r="AE205">
        <f t="shared" si="211"/>
        <v>67.873000000000005</v>
      </c>
      <c r="AF205">
        <f t="shared" si="211"/>
        <v>166.25550000000001</v>
      </c>
      <c r="AG205">
        <f>ROUND((AP205),6)</f>
        <v>0</v>
      </c>
      <c r="AH205">
        <f t="shared" si="212"/>
        <v>21.125499999999999</v>
      </c>
      <c r="AI205">
        <f t="shared" si="212"/>
        <v>5.3475000000000001</v>
      </c>
      <c r="AJ205">
        <f>(AS205)</f>
        <v>0</v>
      </c>
      <c r="AK205">
        <v>596.33000000000004</v>
      </c>
      <c r="AL205">
        <v>0</v>
      </c>
      <c r="AM205">
        <v>451.76</v>
      </c>
      <c r="AN205">
        <v>59.02</v>
      </c>
      <c r="AO205">
        <v>144.57</v>
      </c>
      <c r="AP205">
        <v>0</v>
      </c>
      <c r="AQ205">
        <v>18.37</v>
      </c>
      <c r="AR205">
        <v>4.6500000000000004</v>
      </c>
      <c r="AS205">
        <v>0</v>
      </c>
      <c r="AT205">
        <v>104</v>
      </c>
      <c r="AU205">
        <v>60</v>
      </c>
      <c r="AV205">
        <v>1</v>
      </c>
      <c r="AW205">
        <v>1</v>
      </c>
      <c r="AZ205">
        <v>1</v>
      </c>
      <c r="BA205">
        <v>1</v>
      </c>
      <c r="BB205">
        <v>1</v>
      </c>
      <c r="BC205">
        <v>1</v>
      </c>
      <c r="BD205" t="s">
        <v>3</v>
      </c>
      <c r="BE205" t="s">
        <v>3</v>
      </c>
      <c r="BF205" t="s">
        <v>3</v>
      </c>
      <c r="BG205" t="s">
        <v>3</v>
      </c>
      <c r="BH205">
        <v>0</v>
      </c>
      <c r="BI205">
        <v>1</v>
      </c>
      <c r="BJ205" t="s">
        <v>270</v>
      </c>
      <c r="BM205">
        <v>68001</v>
      </c>
      <c r="BN205">
        <v>0</v>
      </c>
      <c r="BO205" t="s">
        <v>3</v>
      </c>
      <c r="BP205">
        <v>0</v>
      </c>
      <c r="BQ205">
        <v>6</v>
      </c>
      <c r="BR205">
        <v>0</v>
      </c>
      <c r="BS205">
        <v>1</v>
      </c>
      <c r="BT205">
        <v>1</v>
      </c>
      <c r="BU205">
        <v>1</v>
      </c>
      <c r="BV205">
        <v>1</v>
      </c>
      <c r="BW205">
        <v>1</v>
      </c>
      <c r="BX205">
        <v>1</v>
      </c>
      <c r="BY205" t="s">
        <v>3</v>
      </c>
      <c r="BZ205">
        <v>104</v>
      </c>
      <c r="CA205">
        <v>60</v>
      </c>
      <c r="CE205">
        <v>0</v>
      </c>
      <c r="CF205">
        <v>0</v>
      </c>
      <c r="CG205">
        <v>0</v>
      </c>
      <c r="CM205">
        <v>0</v>
      </c>
      <c r="CN205" t="s">
        <v>742</v>
      </c>
      <c r="CO205">
        <v>0</v>
      </c>
      <c r="CP205">
        <f>(P205+Q205+S205)</f>
        <v>1261.83</v>
      </c>
      <c r="CQ205">
        <f>AC205*BC205</f>
        <v>0</v>
      </c>
      <c r="CR205">
        <f>AD205*BB205</f>
        <v>519.524</v>
      </c>
      <c r="CS205">
        <f>AE205*BS205</f>
        <v>67.873000000000005</v>
      </c>
      <c r="CT205">
        <f>AF205*BA205</f>
        <v>166.25550000000001</v>
      </c>
      <c r="CU205">
        <f t="shared" si="213"/>
        <v>0</v>
      </c>
      <c r="CV205">
        <f t="shared" si="213"/>
        <v>21.125499999999999</v>
      </c>
      <c r="CW205">
        <f t="shared" si="213"/>
        <v>5.3475000000000001</v>
      </c>
      <c r="CX205">
        <f t="shared" si="213"/>
        <v>0</v>
      </c>
      <c r="CY205">
        <f>(((S205+R205)*AT205)/100)</f>
        <v>448.03200000000004</v>
      </c>
      <c r="CZ205">
        <f>(((S205+R205)*AU205)/100)</f>
        <v>258.48</v>
      </c>
      <c r="DC205" t="s">
        <v>3</v>
      </c>
      <c r="DD205" t="s">
        <v>3</v>
      </c>
      <c r="DE205" t="s">
        <v>24</v>
      </c>
      <c r="DF205" t="s">
        <v>24</v>
      </c>
      <c r="DG205" t="s">
        <v>24</v>
      </c>
      <c r="DH205" t="s">
        <v>3</v>
      </c>
      <c r="DI205" t="s">
        <v>24</v>
      </c>
      <c r="DJ205" t="s">
        <v>24</v>
      </c>
      <c r="DK205" t="s">
        <v>3</v>
      </c>
      <c r="DL205" t="s">
        <v>3</v>
      </c>
      <c r="DM205" t="s">
        <v>3</v>
      </c>
      <c r="DN205">
        <v>0</v>
      </c>
      <c r="DO205">
        <v>0</v>
      </c>
      <c r="DP205">
        <v>1</v>
      </c>
      <c r="DQ205">
        <v>1</v>
      </c>
      <c r="DU205">
        <v>1007</v>
      </c>
      <c r="DV205" t="s">
        <v>154</v>
      </c>
      <c r="DW205" t="s">
        <v>154</v>
      </c>
      <c r="DX205">
        <v>100</v>
      </c>
      <c r="EE205">
        <v>45919696</v>
      </c>
      <c r="EF205">
        <v>6</v>
      </c>
      <c r="EG205" t="s">
        <v>25</v>
      </c>
      <c r="EH205">
        <v>0</v>
      </c>
      <c r="EI205" t="s">
        <v>3</v>
      </c>
      <c r="EJ205">
        <v>1</v>
      </c>
      <c r="EK205">
        <v>68001</v>
      </c>
      <c r="EL205" t="s">
        <v>26</v>
      </c>
      <c r="EM205" t="s">
        <v>27</v>
      </c>
      <c r="EO205" t="s">
        <v>28</v>
      </c>
      <c r="EQ205">
        <v>0</v>
      </c>
      <c r="ER205">
        <v>596.33000000000004</v>
      </c>
      <c r="ES205">
        <v>0</v>
      </c>
      <c r="ET205">
        <v>451.76</v>
      </c>
      <c r="EU205">
        <v>59.02</v>
      </c>
      <c r="EV205">
        <v>144.57</v>
      </c>
      <c r="EW205">
        <v>18.37</v>
      </c>
      <c r="EX205">
        <v>4.6500000000000004</v>
      </c>
      <c r="EY205">
        <v>0</v>
      </c>
      <c r="FQ205">
        <v>0</v>
      </c>
      <c r="FR205">
        <f>ROUND(IF(AND(BH205=3,BI205=3),P205,0),2)</f>
        <v>0</v>
      </c>
      <c r="FS205">
        <v>0</v>
      </c>
      <c r="FX205">
        <v>104</v>
      </c>
      <c r="FY205">
        <v>60</v>
      </c>
      <c r="GA205" t="s">
        <v>3</v>
      </c>
      <c r="GD205">
        <v>1</v>
      </c>
      <c r="GF205">
        <v>-60188104</v>
      </c>
      <c r="GG205">
        <v>2</v>
      </c>
      <c r="GH205">
        <v>1</v>
      </c>
      <c r="GI205">
        <v>-2</v>
      </c>
      <c r="GJ205">
        <v>0</v>
      </c>
      <c r="GK205">
        <v>0</v>
      </c>
      <c r="GL205">
        <f>ROUND(IF(AND(BH205=3,BI205=3,FS205&lt;&gt;0),P205,0),2)</f>
        <v>0</v>
      </c>
      <c r="GM205">
        <f>ROUND(O205+X205+Y205,2)+GX205</f>
        <v>1968.34</v>
      </c>
      <c r="GN205">
        <f>IF(OR(BI205=0,BI205=1),ROUND(O205+X205+Y205,2),0)</f>
        <v>1968.34</v>
      </c>
      <c r="GO205">
        <f>IF(BI205=2,ROUND(O205+X205+Y205,2),0)</f>
        <v>0</v>
      </c>
      <c r="GP205">
        <f>IF(BI205=4,ROUND(O205+X205+Y205,2)+GX205,0)</f>
        <v>0</v>
      </c>
      <c r="GR205">
        <v>0</v>
      </c>
      <c r="GS205">
        <v>3</v>
      </c>
      <c r="GT205">
        <v>0</v>
      </c>
      <c r="GU205" t="s">
        <v>3</v>
      </c>
      <c r="GV205">
        <f>ROUND((GT205),6)</f>
        <v>0</v>
      </c>
      <c r="GW205">
        <v>1</v>
      </c>
      <c r="GX205">
        <f>ROUND(HC205*I205,2)</f>
        <v>0</v>
      </c>
      <c r="HA205">
        <v>0</v>
      </c>
      <c r="HB205">
        <v>0</v>
      </c>
      <c r="HC205">
        <f>GV205*GW205</f>
        <v>0</v>
      </c>
      <c r="IK205">
        <v>0</v>
      </c>
    </row>
    <row r="206" spans="1:245" x14ac:dyDescent="0.2">
      <c r="A206">
        <v>17</v>
      </c>
      <c r="B206">
        <v>1</v>
      </c>
      <c r="E206" t="s">
        <v>362</v>
      </c>
      <c r="F206" t="s">
        <v>272</v>
      </c>
      <c r="G206" t="s">
        <v>273</v>
      </c>
      <c r="H206" t="s">
        <v>36</v>
      </c>
      <c r="I206">
        <f>ROUND(I204*1000*0.04*2+I205*100*1.35,9)</f>
        <v>263.12</v>
      </c>
      <c r="J206">
        <v>0</v>
      </c>
      <c r="O206">
        <f>0</f>
        <v>0</v>
      </c>
      <c r="P206">
        <f>0</f>
        <v>0</v>
      </c>
      <c r="Q206">
        <f>0</f>
        <v>0</v>
      </c>
      <c r="R206">
        <f>0</f>
        <v>0</v>
      </c>
      <c r="S206">
        <f>0</f>
        <v>0</v>
      </c>
      <c r="T206">
        <f>0</f>
        <v>0</v>
      </c>
      <c r="U206">
        <f>0</f>
        <v>0</v>
      </c>
      <c r="V206">
        <f>0</f>
        <v>0</v>
      </c>
      <c r="W206">
        <f>0</f>
        <v>0</v>
      </c>
      <c r="X206">
        <f>0</f>
        <v>0</v>
      </c>
      <c r="Y206">
        <f>0</f>
        <v>0</v>
      </c>
      <c r="AA206">
        <v>47631607</v>
      </c>
      <c r="AB206">
        <f>ROUND((AK206),6)</f>
        <v>7.96</v>
      </c>
      <c r="AC206">
        <f>0</f>
        <v>0</v>
      </c>
      <c r="AD206">
        <f>0</f>
        <v>0</v>
      </c>
      <c r="AE206">
        <f>0</f>
        <v>0</v>
      </c>
      <c r="AF206">
        <f>0</f>
        <v>0</v>
      </c>
      <c r="AG206">
        <f>0</f>
        <v>0</v>
      </c>
      <c r="AH206">
        <f>0</f>
        <v>0</v>
      </c>
      <c r="AI206">
        <f>0</f>
        <v>0</v>
      </c>
      <c r="AJ206">
        <f>0</f>
        <v>0</v>
      </c>
      <c r="AK206">
        <v>7.96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1</v>
      </c>
      <c r="AW206">
        <v>1</v>
      </c>
      <c r="AZ206">
        <v>1</v>
      </c>
      <c r="BA206">
        <v>1</v>
      </c>
      <c r="BB206">
        <v>1</v>
      </c>
      <c r="BC206">
        <v>1</v>
      </c>
      <c r="BD206" t="s">
        <v>3</v>
      </c>
      <c r="BE206" t="s">
        <v>3</v>
      </c>
      <c r="BF206" t="s">
        <v>3</v>
      </c>
      <c r="BG206" t="s">
        <v>3</v>
      </c>
      <c r="BH206">
        <v>0</v>
      </c>
      <c r="BI206">
        <v>1</v>
      </c>
      <c r="BJ206" t="s">
        <v>274</v>
      </c>
      <c r="BM206">
        <v>700004</v>
      </c>
      <c r="BN206">
        <v>0</v>
      </c>
      <c r="BO206" t="s">
        <v>3</v>
      </c>
      <c r="BP206">
        <v>0</v>
      </c>
      <c r="BQ206">
        <v>19</v>
      </c>
      <c r="BR206">
        <v>0</v>
      </c>
      <c r="BS206">
        <v>1</v>
      </c>
      <c r="BT206">
        <v>1</v>
      </c>
      <c r="BU206">
        <v>1</v>
      </c>
      <c r="BV206">
        <v>1</v>
      </c>
      <c r="BW206">
        <v>1</v>
      </c>
      <c r="BX206">
        <v>1</v>
      </c>
      <c r="BY206" t="s">
        <v>3</v>
      </c>
      <c r="BZ206">
        <v>0</v>
      </c>
      <c r="CA206">
        <v>0</v>
      </c>
      <c r="CE206">
        <v>0</v>
      </c>
      <c r="CF206">
        <v>0</v>
      </c>
      <c r="CG206">
        <v>0</v>
      </c>
      <c r="CM206">
        <v>0</v>
      </c>
      <c r="CN206" t="s">
        <v>3</v>
      </c>
      <c r="CO206">
        <v>0</v>
      </c>
      <c r="CP206">
        <f>AB206*AZ206</f>
        <v>7.96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C206" t="s">
        <v>3</v>
      </c>
      <c r="DD206" t="s">
        <v>3</v>
      </c>
      <c r="DE206" t="s">
        <v>3</v>
      </c>
      <c r="DF206" t="s">
        <v>3</v>
      </c>
      <c r="DG206" t="s">
        <v>3</v>
      </c>
      <c r="DH206" t="s">
        <v>3</v>
      </c>
      <c r="DI206" t="s">
        <v>3</v>
      </c>
      <c r="DJ206" t="s">
        <v>3</v>
      </c>
      <c r="DK206" t="s">
        <v>3</v>
      </c>
      <c r="DL206" t="s">
        <v>3</v>
      </c>
      <c r="DM206" t="s">
        <v>3</v>
      </c>
      <c r="DN206">
        <v>0</v>
      </c>
      <c r="DO206">
        <v>0</v>
      </c>
      <c r="DP206">
        <v>1</v>
      </c>
      <c r="DQ206">
        <v>1</v>
      </c>
      <c r="DU206">
        <v>1013</v>
      </c>
      <c r="DV206" t="s">
        <v>36</v>
      </c>
      <c r="DW206" t="s">
        <v>36</v>
      </c>
      <c r="DX206">
        <v>1</v>
      </c>
      <c r="EE206">
        <v>45919758</v>
      </c>
      <c r="EF206">
        <v>19</v>
      </c>
      <c r="EG206" t="s">
        <v>38</v>
      </c>
      <c r="EH206">
        <v>0</v>
      </c>
      <c r="EI206" t="s">
        <v>3</v>
      </c>
      <c r="EJ206">
        <v>1</v>
      </c>
      <c r="EK206">
        <v>700004</v>
      </c>
      <c r="EL206" t="s">
        <v>39</v>
      </c>
      <c r="EM206" t="s">
        <v>40</v>
      </c>
      <c r="EO206" t="s">
        <v>3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FQ206">
        <v>0</v>
      </c>
      <c r="FR206">
        <f>ROUND(IF(AND(BH206=3,BI206=3),P206,0),2)</f>
        <v>0</v>
      </c>
      <c r="FS206">
        <v>0</v>
      </c>
      <c r="FX206">
        <v>0</v>
      </c>
      <c r="FY206">
        <v>0</v>
      </c>
      <c r="GA206" t="s">
        <v>3</v>
      </c>
      <c r="GD206">
        <v>1</v>
      </c>
      <c r="GF206">
        <v>1271559001</v>
      </c>
      <c r="GG206">
        <v>2</v>
      </c>
      <c r="GH206">
        <v>1</v>
      </c>
      <c r="GI206">
        <v>-2</v>
      </c>
      <c r="GJ206">
        <v>2</v>
      </c>
      <c r="GK206">
        <v>0</v>
      </c>
      <c r="GL206">
        <f>ROUND(IF(AND(BH206=3,BI206=3,FS206&lt;&gt;0),P206,0),2)</f>
        <v>0</v>
      </c>
      <c r="GM206">
        <f>ROUND(CP206*I206,2)</f>
        <v>2094.44</v>
      </c>
      <c r="GN206">
        <f>IF(OR(BI206=0,BI206=1),ROUND(CP206*I206,2),0)</f>
        <v>2094.44</v>
      </c>
      <c r="GO206">
        <f>IF(BI206=2,ROUND(CP206*I206,2),0)</f>
        <v>0</v>
      </c>
      <c r="GP206">
        <f>IF(BI206=4,ROUND(CP206*I206,2)+GX206,0)</f>
        <v>0</v>
      </c>
      <c r="GR206">
        <v>0</v>
      </c>
      <c r="GS206">
        <v>3</v>
      </c>
      <c r="GT206">
        <v>0</v>
      </c>
      <c r="GU206" t="s">
        <v>3</v>
      </c>
      <c r="GV206">
        <f>0</f>
        <v>0</v>
      </c>
      <c r="GW206">
        <v>1</v>
      </c>
      <c r="GX206">
        <f>0</f>
        <v>0</v>
      </c>
      <c r="HA206">
        <v>0</v>
      </c>
      <c r="HB206">
        <v>0</v>
      </c>
      <c r="HC206">
        <v>0</v>
      </c>
      <c r="IK206">
        <v>0</v>
      </c>
    </row>
    <row r="207" spans="1:245" x14ac:dyDescent="0.2">
      <c r="A207">
        <v>17</v>
      </c>
      <c r="B207">
        <v>1</v>
      </c>
      <c r="E207" t="s">
        <v>363</v>
      </c>
      <c r="F207" t="s">
        <v>42</v>
      </c>
      <c r="G207" t="s">
        <v>43</v>
      </c>
      <c r="H207" t="s">
        <v>36</v>
      </c>
      <c r="I207">
        <f>ROUND(I206,9)</f>
        <v>263.12</v>
      </c>
      <c r="J207">
        <v>0</v>
      </c>
      <c r="O207">
        <f>0</f>
        <v>0</v>
      </c>
      <c r="P207">
        <f>0</f>
        <v>0</v>
      </c>
      <c r="Q207">
        <f>0</f>
        <v>0</v>
      </c>
      <c r="R207">
        <f>0</f>
        <v>0</v>
      </c>
      <c r="S207">
        <f>0</f>
        <v>0</v>
      </c>
      <c r="T207">
        <f>0</f>
        <v>0</v>
      </c>
      <c r="U207">
        <f>0</f>
        <v>0</v>
      </c>
      <c r="V207">
        <f>0</f>
        <v>0</v>
      </c>
      <c r="W207">
        <f>0</f>
        <v>0</v>
      </c>
      <c r="X207">
        <f>0</f>
        <v>0</v>
      </c>
      <c r="Y207">
        <f>0</f>
        <v>0</v>
      </c>
      <c r="AA207">
        <v>47631607</v>
      </c>
      <c r="AB207">
        <f>ROUND((AK207),6)</f>
        <v>17.32</v>
      </c>
      <c r="AC207">
        <f>0</f>
        <v>0</v>
      </c>
      <c r="AD207">
        <f>0</f>
        <v>0</v>
      </c>
      <c r="AE207">
        <f>0</f>
        <v>0</v>
      </c>
      <c r="AF207">
        <f>0</f>
        <v>0</v>
      </c>
      <c r="AG207">
        <f>0</f>
        <v>0</v>
      </c>
      <c r="AH207">
        <f>0</f>
        <v>0</v>
      </c>
      <c r="AI207">
        <f>0</f>
        <v>0</v>
      </c>
      <c r="AJ207">
        <f>0</f>
        <v>0</v>
      </c>
      <c r="AK207">
        <v>17.32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1</v>
      </c>
      <c r="AW207">
        <v>1</v>
      </c>
      <c r="AZ207">
        <v>1</v>
      </c>
      <c r="BA207">
        <v>1</v>
      </c>
      <c r="BB207">
        <v>1</v>
      </c>
      <c r="BC207">
        <v>1</v>
      </c>
      <c r="BD207" t="s">
        <v>3</v>
      </c>
      <c r="BE207" t="s">
        <v>3</v>
      </c>
      <c r="BF207" t="s">
        <v>3</v>
      </c>
      <c r="BG207" t="s">
        <v>3</v>
      </c>
      <c r="BH207">
        <v>0</v>
      </c>
      <c r="BI207">
        <v>1</v>
      </c>
      <c r="BJ207" t="s">
        <v>44</v>
      </c>
      <c r="BM207">
        <v>700005</v>
      </c>
      <c r="BN207">
        <v>0</v>
      </c>
      <c r="BO207" t="s">
        <v>3</v>
      </c>
      <c r="BP207">
        <v>0</v>
      </c>
      <c r="BQ207">
        <v>10</v>
      </c>
      <c r="BR207">
        <v>0</v>
      </c>
      <c r="BS207">
        <v>1</v>
      </c>
      <c r="BT207">
        <v>1</v>
      </c>
      <c r="BU207">
        <v>1</v>
      </c>
      <c r="BV207">
        <v>1</v>
      </c>
      <c r="BW207">
        <v>1</v>
      </c>
      <c r="BX207">
        <v>1</v>
      </c>
      <c r="BY207" t="s">
        <v>3</v>
      </c>
      <c r="BZ207">
        <v>0</v>
      </c>
      <c r="CA207">
        <v>0</v>
      </c>
      <c r="CE207">
        <v>0</v>
      </c>
      <c r="CF207">
        <v>0</v>
      </c>
      <c r="CG207">
        <v>0</v>
      </c>
      <c r="CM207">
        <v>0</v>
      </c>
      <c r="CN207" t="s">
        <v>3</v>
      </c>
      <c r="CO207">
        <v>0</v>
      </c>
      <c r="CP207">
        <f>AB207*AZ207</f>
        <v>17.32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C207" t="s">
        <v>3</v>
      </c>
      <c r="DD207" t="s">
        <v>3</v>
      </c>
      <c r="DE207" t="s">
        <v>3</v>
      </c>
      <c r="DF207" t="s">
        <v>3</v>
      </c>
      <c r="DG207" t="s">
        <v>3</v>
      </c>
      <c r="DH207" t="s">
        <v>3</v>
      </c>
      <c r="DI207" t="s">
        <v>3</v>
      </c>
      <c r="DJ207" t="s">
        <v>3</v>
      </c>
      <c r="DK207" t="s">
        <v>3</v>
      </c>
      <c r="DL207" t="s">
        <v>3</v>
      </c>
      <c r="DM207" t="s">
        <v>3</v>
      </c>
      <c r="DN207">
        <v>0</v>
      </c>
      <c r="DO207">
        <v>0</v>
      </c>
      <c r="DP207">
        <v>1</v>
      </c>
      <c r="DQ207">
        <v>1</v>
      </c>
      <c r="DU207">
        <v>1013</v>
      </c>
      <c r="DV207" t="s">
        <v>36</v>
      </c>
      <c r="DW207" t="s">
        <v>36</v>
      </c>
      <c r="DX207">
        <v>1</v>
      </c>
      <c r="EE207">
        <v>45919762</v>
      </c>
      <c r="EF207">
        <v>10</v>
      </c>
      <c r="EG207" t="s">
        <v>45</v>
      </c>
      <c r="EH207">
        <v>0</v>
      </c>
      <c r="EI207" t="s">
        <v>3</v>
      </c>
      <c r="EJ207">
        <v>1</v>
      </c>
      <c r="EK207">
        <v>700005</v>
      </c>
      <c r="EL207" t="s">
        <v>46</v>
      </c>
      <c r="EM207" t="s">
        <v>47</v>
      </c>
      <c r="EO207" t="s">
        <v>3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FQ207">
        <v>0</v>
      </c>
      <c r="FR207">
        <f>ROUND(IF(AND(BH207=3,BI207=3),P207,0),2)</f>
        <v>0</v>
      </c>
      <c r="FS207">
        <v>0</v>
      </c>
      <c r="FX207">
        <v>0</v>
      </c>
      <c r="FY207">
        <v>0</v>
      </c>
      <c r="GA207" t="s">
        <v>3</v>
      </c>
      <c r="GD207">
        <v>1</v>
      </c>
      <c r="GF207">
        <v>1719553039</v>
      </c>
      <c r="GG207">
        <v>2</v>
      </c>
      <c r="GH207">
        <v>1</v>
      </c>
      <c r="GI207">
        <v>-2</v>
      </c>
      <c r="GJ207">
        <v>2</v>
      </c>
      <c r="GK207">
        <v>0</v>
      </c>
      <c r="GL207">
        <f>ROUND(IF(AND(BH207=3,BI207=3,FS207&lt;&gt;0),P207,0),2)</f>
        <v>0</v>
      </c>
      <c r="GM207">
        <f>ROUND(CP207*I207,2)</f>
        <v>4557.24</v>
      </c>
      <c r="GN207">
        <f>IF(OR(BI207=0,BI207=1),ROUND(CP207*I207,2),0)</f>
        <v>4557.24</v>
      </c>
      <c r="GO207">
        <f>IF(BI207=2,ROUND(CP207*I207,2),0)</f>
        <v>0</v>
      </c>
      <c r="GP207">
        <f>IF(BI207=4,ROUND(CP207*I207,2)+GX207,0)</f>
        <v>0</v>
      </c>
      <c r="GR207">
        <v>0</v>
      </c>
      <c r="GS207">
        <v>3</v>
      </c>
      <c r="GT207">
        <v>0</v>
      </c>
      <c r="GU207" t="s">
        <v>3</v>
      </c>
      <c r="GV207">
        <f>0</f>
        <v>0</v>
      </c>
      <c r="GW207">
        <v>1</v>
      </c>
      <c r="GX207">
        <f>0</f>
        <v>0</v>
      </c>
      <c r="HA207">
        <v>0</v>
      </c>
      <c r="HB207">
        <v>0</v>
      </c>
      <c r="HC207">
        <v>0</v>
      </c>
      <c r="IK207">
        <v>0</v>
      </c>
    </row>
    <row r="208" spans="1:245" x14ac:dyDescent="0.2">
      <c r="A208">
        <v>19</v>
      </c>
      <c r="B208">
        <v>1</v>
      </c>
      <c r="F208" t="s">
        <v>3</v>
      </c>
      <c r="G208" t="s">
        <v>364</v>
      </c>
      <c r="H208" t="s">
        <v>3</v>
      </c>
      <c r="AA208">
        <v>1</v>
      </c>
      <c r="IK208">
        <v>0</v>
      </c>
    </row>
    <row r="209" spans="1:245" x14ac:dyDescent="0.2">
      <c r="A209">
        <v>17</v>
      </c>
      <c r="B209">
        <v>1</v>
      </c>
      <c r="C209">
        <f>ROW(SmtRes!A225)</f>
        <v>225</v>
      </c>
      <c r="D209">
        <f>ROW(EtalonRes!A237)</f>
        <v>237</v>
      </c>
      <c r="E209" t="s">
        <v>365</v>
      </c>
      <c r="F209" t="s">
        <v>277</v>
      </c>
      <c r="G209" t="s">
        <v>323</v>
      </c>
      <c r="H209" t="s">
        <v>154</v>
      </c>
      <c r="I209">
        <f>ROUND((46*4*0.2)/100,9)</f>
        <v>0.36799999999999999</v>
      </c>
      <c r="J209">
        <v>0</v>
      </c>
      <c r="O209">
        <f t="shared" ref="O209:O221" si="214">ROUND(CP209,2)</f>
        <v>1199.8800000000001</v>
      </c>
      <c r="P209">
        <f t="shared" ref="P209:P221" si="215">ROUND(CQ209*I209,2)</f>
        <v>4.49</v>
      </c>
      <c r="Q209">
        <f t="shared" ref="Q209:Q221" si="216">ROUND(CR209*I209,2)</f>
        <v>1134.03</v>
      </c>
      <c r="R209">
        <f t="shared" ref="R209:R221" si="217">ROUND(CS209*I209,2)</f>
        <v>93.95</v>
      </c>
      <c r="S209">
        <f t="shared" ref="S209:S221" si="218">ROUND(CT209*I209,2)</f>
        <v>61.36</v>
      </c>
      <c r="T209">
        <f t="shared" ref="T209:T221" si="219">ROUND(CU209*I209,2)</f>
        <v>0</v>
      </c>
      <c r="U209">
        <f t="shared" ref="U209:U221" si="220">CV209*I209</f>
        <v>7.6506095999999983</v>
      </c>
      <c r="V209">
        <f t="shared" ref="V209:V221" si="221">CW209*I209</f>
        <v>7.3425200000000004</v>
      </c>
      <c r="W209">
        <f t="shared" ref="W209:W221" si="222">ROUND(CX209*I209,2)</f>
        <v>0</v>
      </c>
      <c r="X209">
        <f t="shared" ref="X209:X221" si="223">ROUND(CY209,2)</f>
        <v>198.8</v>
      </c>
      <c r="Y209">
        <f t="shared" ref="Y209:Y221" si="224">ROUND(CZ209,2)</f>
        <v>125.8</v>
      </c>
      <c r="AA209">
        <v>47631607</v>
      </c>
      <c r="AB209">
        <f t="shared" ref="AB209:AB221" si="225">ROUND((AC209+AD209+AF209),6)</f>
        <v>3260.525075</v>
      </c>
      <c r="AC209">
        <f t="shared" ref="AC209:AC215" si="226">ROUND((ES209),6)</f>
        <v>12.2</v>
      </c>
      <c r="AD209">
        <f>ROUND((((((ET209*1.15)*1.25))-(((EU209*1.15)*1.25)))+AE209),6)</f>
        <v>3081.5974999999999</v>
      </c>
      <c r="AE209">
        <f>ROUND((((EU209*1.15)*1.25)),6)</f>
        <v>255.28562500000001</v>
      </c>
      <c r="AF209">
        <f>ROUND((((EV209*1.15)*1.15)),6)</f>
        <v>166.727575</v>
      </c>
      <c r="AG209">
        <f t="shared" ref="AG209:AG221" si="227">ROUND((AP209),6)</f>
        <v>0</v>
      </c>
      <c r="AH209">
        <f>(((EW209*1.15)*1.15))</f>
        <v>20.789699999999996</v>
      </c>
      <c r="AI209">
        <f>(((EX209*1.15)*1.25))</f>
        <v>19.952500000000001</v>
      </c>
      <c r="AJ209">
        <f t="shared" ref="AJ209:AJ221" si="228">(AS209)</f>
        <v>0</v>
      </c>
      <c r="AK209">
        <v>2281.9899999999998</v>
      </c>
      <c r="AL209">
        <v>12.2</v>
      </c>
      <c r="AM209">
        <v>2143.7199999999998</v>
      </c>
      <c r="AN209">
        <v>177.59</v>
      </c>
      <c r="AO209">
        <v>126.07</v>
      </c>
      <c r="AP209">
        <v>0</v>
      </c>
      <c r="AQ209">
        <v>15.72</v>
      </c>
      <c r="AR209">
        <v>13.88</v>
      </c>
      <c r="AS209">
        <v>0</v>
      </c>
      <c r="AT209">
        <v>128</v>
      </c>
      <c r="AU209">
        <v>81</v>
      </c>
      <c r="AV209">
        <v>1</v>
      </c>
      <c r="AW209">
        <v>1</v>
      </c>
      <c r="AZ209">
        <v>1</v>
      </c>
      <c r="BA209">
        <v>1</v>
      </c>
      <c r="BB209">
        <v>1</v>
      </c>
      <c r="BC209">
        <v>1</v>
      </c>
      <c r="BD209" t="s">
        <v>3</v>
      </c>
      <c r="BE209" t="s">
        <v>3</v>
      </c>
      <c r="BF209" t="s">
        <v>3</v>
      </c>
      <c r="BG209" t="s">
        <v>3</v>
      </c>
      <c r="BH209">
        <v>0</v>
      </c>
      <c r="BI209">
        <v>1</v>
      </c>
      <c r="BJ209" t="s">
        <v>279</v>
      </c>
      <c r="BM209">
        <v>27001</v>
      </c>
      <c r="BN209">
        <v>0</v>
      </c>
      <c r="BO209" t="s">
        <v>3</v>
      </c>
      <c r="BP209">
        <v>0</v>
      </c>
      <c r="BQ209">
        <v>2</v>
      </c>
      <c r="BR209">
        <v>0</v>
      </c>
      <c r="BS209">
        <v>1</v>
      </c>
      <c r="BT209">
        <v>1</v>
      </c>
      <c r="BU209">
        <v>1</v>
      </c>
      <c r="BV209">
        <v>1</v>
      </c>
      <c r="BW209">
        <v>1</v>
      </c>
      <c r="BX209">
        <v>1</v>
      </c>
      <c r="BY209" t="s">
        <v>3</v>
      </c>
      <c r="BZ209">
        <v>142</v>
      </c>
      <c r="CA209">
        <v>95</v>
      </c>
      <c r="CE209">
        <v>0</v>
      </c>
      <c r="CF209">
        <v>0</v>
      </c>
      <c r="CG209">
        <v>0</v>
      </c>
      <c r="CM209">
        <v>0</v>
      </c>
      <c r="CN209" t="s">
        <v>746</v>
      </c>
      <c r="CO209">
        <v>0</v>
      </c>
      <c r="CP209">
        <f t="shared" ref="CP209:CP221" si="229">(P209+Q209+S209)</f>
        <v>1199.8799999999999</v>
      </c>
      <c r="CQ209">
        <f t="shared" ref="CQ209:CQ221" si="230">AC209*BC209</f>
        <v>12.2</v>
      </c>
      <c r="CR209">
        <f t="shared" ref="CR209:CR221" si="231">AD209*BB209</f>
        <v>3081.5974999999999</v>
      </c>
      <c r="CS209">
        <f t="shared" ref="CS209:CS221" si="232">AE209*BS209</f>
        <v>255.28562500000001</v>
      </c>
      <c r="CT209">
        <f t="shared" ref="CT209:CT221" si="233">AF209*BA209</f>
        <v>166.727575</v>
      </c>
      <c r="CU209">
        <f t="shared" ref="CU209:CU221" si="234">AG209</f>
        <v>0</v>
      </c>
      <c r="CV209">
        <f t="shared" ref="CV209:CV221" si="235">AH209</f>
        <v>20.789699999999996</v>
      </c>
      <c r="CW209">
        <f t="shared" ref="CW209:CW221" si="236">AI209</f>
        <v>19.952500000000001</v>
      </c>
      <c r="CX209">
        <f t="shared" ref="CX209:CX221" si="237">AJ209</f>
        <v>0</v>
      </c>
      <c r="CY209">
        <f t="shared" ref="CY209:CY221" si="238">(((S209+R209)*AT209)/100)</f>
        <v>198.79679999999999</v>
      </c>
      <c r="CZ209">
        <f t="shared" ref="CZ209:CZ221" si="239">(((S209+R209)*AU209)/100)</f>
        <v>125.80110000000001</v>
      </c>
      <c r="DC209" t="s">
        <v>3</v>
      </c>
      <c r="DD209" t="s">
        <v>3</v>
      </c>
      <c r="DE209" t="s">
        <v>280</v>
      </c>
      <c r="DF209" t="s">
        <v>280</v>
      </c>
      <c r="DG209" t="s">
        <v>53</v>
      </c>
      <c r="DH209" t="s">
        <v>3</v>
      </c>
      <c r="DI209" t="s">
        <v>53</v>
      </c>
      <c r="DJ209" t="s">
        <v>280</v>
      </c>
      <c r="DK209" t="s">
        <v>3</v>
      </c>
      <c r="DL209" t="s">
        <v>3</v>
      </c>
      <c r="DM209" t="s">
        <v>3</v>
      </c>
      <c r="DN209">
        <v>0</v>
      </c>
      <c r="DO209">
        <v>0</v>
      </c>
      <c r="DP209">
        <v>1</v>
      </c>
      <c r="DQ209">
        <v>1</v>
      </c>
      <c r="DU209">
        <v>1007</v>
      </c>
      <c r="DV209" t="s">
        <v>154</v>
      </c>
      <c r="DW209" t="s">
        <v>154</v>
      </c>
      <c r="DX209">
        <v>100</v>
      </c>
      <c r="EE209">
        <v>45919611</v>
      </c>
      <c r="EF209">
        <v>2</v>
      </c>
      <c r="EG209" t="s">
        <v>54</v>
      </c>
      <c r="EH209">
        <v>0</v>
      </c>
      <c r="EI209" t="s">
        <v>3</v>
      </c>
      <c r="EJ209">
        <v>1</v>
      </c>
      <c r="EK209">
        <v>27001</v>
      </c>
      <c r="EL209" t="s">
        <v>281</v>
      </c>
      <c r="EM209" t="s">
        <v>282</v>
      </c>
      <c r="EO209" t="s">
        <v>283</v>
      </c>
      <c r="EQ209">
        <v>0</v>
      </c>
      <c r="ER209">
        <v>2281.9899999999998</v>
      </c>
      <c r="ES209">
        <v>12.2</v>
      </c>
      <c r="ET209">
        <v>2143.7199999999998</v>
      </c>
      <c r="EU209">
        <v>177.59</v>
      </c>
      <c r="EV209">
        <v>126.07</v>
      </c>
      <c r="EW209">
        <v>15.72</v>
      </c>
      <c r="EX209">
        <v>13.88</v>
      </c>
      <c r="EY209">
        <v>0</v>
      </c>
      <c r="FQ209">
        <v>0</v>
      </c>
      <c r="FR209">
        <f t="shared" ref="FR209:FR221" si="240">ROUND(IF(AND(BH209=3,BI209=3),P209,0),2)</f>
        <v>0</v>
      </c>
      <c r="FS209">
        <v>0</v>
      </c>
      <c r="FT209" t="s">
        <v>58</v>
      </c>
      <c r="FU209" t="s">
        <v>59</v>
      </c>
      <c r="FX209">
        <v>127.8</v>
      </c>
      <c r="FY209">
        <v>80.75</v>
      </c>
      <c r="GA209" t="s">
        <v>3</v>
      </c>
      <c r="GD209">
        <v>1</v>
      </c>
      <c r="GF209">
        <v>-285519431</v>
      </c>
      <c r="GG209">
        <v>2</v>
      </c>
      <c r="GH209">
        <v>1</v>
      </c>
      <c r="GI209">
        <v>-2</v>
      </c>
      <c r="GJ209">
        <v>0</v>
      </c>
      <c r="GK209">
        <v>0</v>
      </c>
      <c r="GL209">
        <f t="shared" ref="GL209:GL221" si="241">ROUND(IF(AND(BH209=3,BI209=3,FS209&lt;&gt;0),P209,0),2)</f>
        <v>0</v>
      </c>
      <c r="GM209">
        <f t="shared" ref="GM209:GM221" si="242">ROUND(O209+X209+Y209,2)+GX209</f>
        <v>1524.48</v>
      </c>
      <c r="GN209">
        <f t="shared" ref="GN209:GN221" si="243">IF(OR(BI209=0,BI209=1),ROUND(O209+X209+Y209,2),0)</f>
        <v>1524.48</v>
      </c>
      <c r="GO209">
        <f t="shared" ref="GO209:GO221" si="244">IF(BI209=2,ROUND(O209+X209+Y209,2),0)</f>
        <v>0</v>
      </c>
      <c r="GP209">
        <f t="shared" ref="GP209:GP221" si="245">IF(BI209=4,ROUND(O209+X209+Y209,2)+GX209,0)</f>
        <v>0</v>
      </c>
      <c r="GR209">
        <v>0</v>
      </c>
      <c r="GS209">
        <v>3</v>
      </c>
      <c r="GT209">
        <v>0</v>
      </c>
      <c r="GU209" t="s">
        <v>3</v>
      </c>
      <c r="GV209">
        <f t="shared" ref="GV209:GV221" si="246">ROUND((GT209),6)</f>
        <v>0</v>
      </c>
      <c r="GW209">
        <v>1</v>
      </c>
      <c r="GX209">
        <f t="shared" ref="GX209:GX221" si="247">ROUND(HC209*I209,2)</f>
        <v>0</v>
      </c>
      <c r="HA209">
        <v>0</v>
      </c>
      <c r="HB209">
        <v>0</v>
      </c>
      <c r="HC209">
        <f t="shared" ref="HC209:HC221" si="248">GV209*GW209</f>
        <v>0</v>
      </c>
      <c r="IK209">
        <v>0</v>
      </c>
    </row>
    <row r="210" spans="1:245" x14ac:dyDescent="0.2">
      <c r="A210">
        <v>18</v>
      </c>
      <c r="B210">
        <v>1</v>
      </c>
      <c r="C210">
        <v>225</v>
      </c>
      <c r="E210" t="s">
        <v>366</v>
      </c>
      <c r="F210" t="s">
        <v>101</v>
      </c>
      <c r="G210" t="s">
        <v>102</v>
      </c>
      <c r="H210" t="s">
        <v>96</v>
      </c>
      <c r="I210">
        <f>I209*J210</f>
        <v>37.72</v>
      </c>
      <c r="J210">
        <v>102.5</v>
      </c>
      <c r="O210">
        <f t="shared" si="214"/>
        <v>2084.41</v>
      </c>
      <c r="P210">
        <f t="shared" si="215"/>
        <v>2084.41</v>
      </c>
      <c r="Q210">
        <f t="shared" si="216"/>
        <v>0</v>
      </c>
      <c r="R210">
        <f t="shared" si="217"/>
        <v>0</v>
      </c>
      <c r="S210">
        <f t="shared" si="218"/>
        <v>0</v>
      </c>
      <c r="T210">
        <f t="shared" si="219"/>
        <v>0</v>
      </c>
      <c r="U210">
        <f t="shared" si="220"/>
        <v>0</v>
      </c>
      <c r="V210">
        <f t="shared" si="221"/>
        <v>0</v>
      </c>
      <c r="W210">
        <f t="shared" si="222"/>
        <v>0</v>
      </c>
      <c r="X210">
        <f t="shared" si="223"/>
        <v>0</v>
      </c>
      <c r="Y210">
        <f t="shared" si="224"/>
        <v>0</v>
      </c>
      <c r="AA210">
        <v>47631607</v>
      </c>
      <c r="AB210">
        <f t="shared" si="225"/>
        <v>55.26</v>
      </c>
      <c r="AC210">
        <f t="shared" si="226"/>
        <v>55.26</v>
      </c>
      <c r="AD210">
        <f>ROUND((((ET210)-(EU210))+AE210),6)</f>
        <v>0</v>
      </c>
      <c r="AE210">
        <f>ROUND((EU210),6)</f>
        <v>0</v>
      </c>
      <c r="AF210">
        <f>ROUND((EV210),6)</f>
        <v>0</v>
      </c>
      <c r="AG210">
        <f t="shared" si="227"/>
        <v>0</v>
      </c>
      <c r="AH210">
        <f>(EW210)</f>
        <v>0</v>
      </c>
      <c r="AI210">
        <f>(EX210)</f>
        <v>0</v>
      </c>
      <c r="AJ210">
        <f t="shared" si="228"/>
        <v>0</v>
      </c>
      <c r="AK210">
        <v>55.26</v>
      </c>
      <c r="AL210">
        <v>55.26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128</v>
      </c>
      <c r="AU210">
        <v>81</v>
      </c>
      <c r="AV210">
        <v>1</v>
      </c>
      <c r="AW210">
        <v>1</v>
      </c>
      <c r="AZ210">
        <v>1</v>
      </c>
      <c r="BA210">
        <v>1</v>
      </c>
      <c r="BB210">
        <v>1</v>
      </c>
      <c r="BC210">
        <v>1</v>
      </c>
      <c r="BD210" t="s">
        <v>3</v>
      </c>
      <c r="BE210" t="s">
        <v>3</v>
      </c>
      <c r="BF210" t="s">
        <v>3</v>
      </c>
      <c r="BG210" t="s">
        <v>3</v>
      </c>
      <c r="BH210">
        <v>3</v>
      </c>
      <c r="BI210">
        <v>1</v>
      </c>
      <c r="BJ210" t="s">
        <v>103</v>
      </c>
      <c r="BM210">
        <v>27001</v>
      </c>
      <c r="BN210">
        <v>0</v>
      </c>
      <c r="BO210" t="s">
        <v>3</v>
      </c>
      <c r="BP210">
        <v>0</v>
      </c>
      <c r="BQ210">
        <v>2</v>
      </c>
      <c r="BR210">
        <v>0</v>
      </c>
      <c r="BS210">
        <v>1</v>
      </c>
      <c r="BT210">
        <v>1</v>
      </c>
      <c r="BU210">
        <v>1</v>
      </c>
      <c r="BV210">
        <v>1</v>
      </c>
      <c r="BW210">
        <v>1</v>
      </c>
      <c r="BX210">
        <v>1</v>
      </c>
      <c r="BY210" t="s">
        <v>3</v>
      </c>
      <c r="BZ210">
        <v>142</v>
      </c>
      <c r="CA210">
        <v>95</v>
      </c>
      <c r="CE210">
        <v>0</v>
      </c>
      <c r="CF210">
        <v>0</v>
      </c>
      <c r="CG210">
        <v>0</v>
      </c>
      <c r="CM210">
        <v>0</v>
      </c>
      <c r="CN210" t="s">
        <v>3</v>
      </c>
      <c r="CO210">
        <v>0</v>
      </c>
      <c r="CP210">
        <f t="shared" si="229"/>
        <v>2084.41</v>
      </c>
      <c r="CQ210">
        <f t="shared" si="230"/>
        <v>55.26</v>
      </c>
      <c r="CR210">
        <f t="shared" si="231"/>
        <v>0</v>
      </c>
      <c r="CS210">
        <f t="shared" si="232"/>
        <v>0</v>
      </c>
      <c r="CT210">
        <f t="shared" si="233"/>
        <v>0</v>
      </c>
      <c r="CU210">
        <f t="shared" si="234"/>
        <v>0</v>
      </c>
      <c r="CV210">
        <f t="shared" si="235"/>
        <v>0</v>
      </c>
      <c r="CW210">
        <f t="shared" si="236"/>
        <v>0</v>
      </c>
      <c r="CX210">
        <f t="shared" si="237"/>
        <v>0</v>
      </c>
      <c r="CY210">
        <f t="shared" si="238"/>
        <v>0</v>
      </c>
      <c r="CZ210">
        <f t="shared" si="239"/>
        <v>0</v>
      </c>
      <c r="DC210" t="s">
        <v>3</v>
      </c>
      <c r="DD210" t="s">
        <v>3</v>
      </c>
      <c r="DE210" t="s">
        <v>3</v>
      </c>
      <c r="DF210" t="s">
        <v>3</v>
      </c>
      <c r="DG210" t="s">
        <v>3</v>
      </c>
      <c r="DH210" t="s">
        <v>3</v>
      </c>
      <c r="DI210" t="s">
        <v>3</v>
      </c>
      <c r="DJ210" t="s">
        <v>3</v>
      </c>
      <c r="DK210" t="s">
        <v>3</v>
      </c>
      <c r="DL210" t="s">
        <v>3</v>
      </c>
      <c r="DM210" t="s">
        <v>3</v>
      </c>
      <c r="DN210">
        <v>0</v>
      </c>
      <c r="DO210">
        <v>0</v>
      </c>
      <c r="DP210">
        <v>1</v>
      </c>
      <c r="DQ210">
        <v>1</v>
      </c>
      <c r="DU210">
        <v>1007</v>
      </c>
      <c r="DV210" t="s">
        <v>96</v>
      </c>
      <c r="DW210" t="s">
        <v>96</v>
      </c>
      <c r="DX210">
        <v>1</v>
      </c>
      <c r="EE210">
        <v>45919611</v>
      </c>
      <c r="EF210">
        <v>2</v>
      </c>
      <c r="EG210" t="s">
        <v>54</v>
      </c>
      <c r="EH210">
        <v>0</v>
      </c>
      <c r="EI210" t="s">
        <v>3</v>
      </c>
      <c r="EJ210">
        <v>1</v>
      </c>
      <c r="EK210">
        <v>27001</v>
      </c>
      <c r="EL210" t="s">
        <v>281</v>
      </c>
      <c r="EM210" t="s">
        <v>282</v>
      </c>
      <c r="EO210" t="s">
        <v>3</v>
      </c>
      <c r="EQ210">
        <v>0</v>
      </c>
      <c r="ER210">
        <v>55.26</v>
      </c>
      <c r="ES210">
        <v>55.26</v>
      </c>
      <c r="ET210">
        <v>0</v>
      </c>
      <c r="EU210">
        <v>0</v>
      </c>
      <c r="EV210">
        <v>0</v>
      </c>
      <c r="EW210">
        <v>0</v>
      </c>
      <c r="EX210">
        <v>0</v>
      </c>
      <c r="FQ210">
        <v>0</v>
      </c>
      <c r="FR210">
        <f t="shared" si="240"/>
        <v>0</v>
      </c>
      <c r="FS210">
        <v>0</v>
      </c>
      <c r="FT210" t="s">
        <v>58</v>
      </c>
      <c r="FU210" t="s">
        <v>59</v>
      </c>
      <c r="FX210">
        <v>127.8</v>
      </c>
      <c r="FY210">
        <v>80.75</v>
      </c>
      <c r="GA210" t="s">
        <v>3</v>
      </c>
      <c r="GD210">
        <v>1</v>
      </c>
      <c r="GF210">
        <v>-35545874</v>
      </c>
      <c r="GG210">
        <v>2</v>
      </c>
      <c r="GH210">
        <v>1</v>
      </c>
      <c r="GI210">
        <v>-2</v>
      </c>
      <c r="GJ210">
        <v>0</v>
      </c>
      <c r="GK210">
        <v>0</v>
      </c>
      <c r="GL210">
        <f t="shared" si="241"/>
        <v>0</v>
      </c>
      <c r="GM210">
        <f t="shared" si="242"/>
        <v>2084.41</v>
      </c>
      <c r="GN210">
        <f t="shared" si="243"/>
        <v>2084.41</v>
      </c>
      <c r="GO210">
        <f t="shared" si="244"/>
        <v>0</v>
      </c>
      <c r="GP210">
        <f t="shared" si="245"/>
        <v>0</v>
      </c>
      <c r="GR210">
        <v>0</v>
      </c>
      <c r="GS210">
        <v>3</v>
      </c>
      <c r="GT210">
        <v>0</v>
      </c>
      <c r="GU210" t="s">
        <v>3</v>
      </c>
      <c r="GV210">
        <f t="shared" si="246"/>
        <v>0</v>
      </c>
      <c r="GW210">
        <v>1</v>
      </c>
      <c r="GX210">
        <f t="shared" si="247"/>
        <v>0</v>
      </c>
      <c r="HA210">
        <v>0</v>
      </c>
      <c r="HB210">
        <v>0</v>
      </c>
      <c r="HC210">
        <f t="shared" si="248"/>
        <v>0</v>
      </c>
      <c r="IK210">
        <v>0</v>
      </c>
    </row>
    <row r="211" spans="1:245" x14ac:dyDescent="0.2">
      <c r="A211">
        <v>17</v>
      </c>
      <c r="B211">
        <v>1</v>
      </c>
      <c r="C211">
        <f>ROW(SmtRes!A234)</f>
        <v>234</v>
      </c>
      <c r="D211">
        <f>ROW(EtalonRes!A246)</f>
        <v>246</v>
      </c>
      <c r="E211" t="s">
        <v>367</v>
      </c>
      <c r="F211" t="s">
        <v>326</v>
      </c>
      <c r="G211" t="s">
        <v>327</v>
      </c>
      <c r="H211" t="s">
        <v>154</v>
      </c>
      <c r="I211">
        <f>ROUND(368*0.3/100,9)</f>
        <v>1.1040000000000001</v>
      </c>
      <c r="J211">
        <v>0</v>
      </c>
      <c r="O211">
        <f t="shared" si="214"/>
        <v>5603.34</v>
      </c>
      <c r="P211">
        <f t="shared" si="215"/>
        <v>18.86</v>
      </c>
      <c r="Q211">
        <f t="shared" si="216"/>
        <v>5298.75</v>
      </c>
      <c r="R211">
        <f t="shared" si="217"/>
        <v>442.22</v>
      </c>
      <c r="S211">
        <f t="shared" si="218"/>
        <v>285.73</v>
      </c>
      <c r="T211">
        <f t="shared" si="219"/>
        <v>0</v>
      </c>
      <c r="U211">
        <f t="shared" si="220"/>
        <v>35.318367600000002</v>
      </c>
      <c r="V211">
        <f t="shared" si="221"/>
        <v>32.692200000000007</v>
      </c>
      <c r="W211">
        <f t="shared" si="222"/>
        <v>0</v>
      </c>
      <c r="X211">
        <f t="shared" si="223"/>
        <v>931.78</v>
      </c>
      <c r="Y211">
        <f t="shared" si="224"/>
        <v>589.64</v>
      </c>
      <c r="AA211">
        <v>47631607</v>
      </c>
      <c r="AB211">
        <f t="shared" si="225"/>
        <v>5075.4901250000003</v>
      </c>
      <c r="AC211">
        <f t="shared" si="226"/>
        <v>17.079999999999998</v>
      </c>
      <c r="AD211">
        <f>ROUND((((((ET211*1.15)*1.25))-(((EU211*1.15)*1.25)))+AE211),6)</f>
        <v>4799.5968750000002</v>
      </c>
      <c r="AE211">
        <f>ROUND((((EU211*1.15)*1.25)),6)</f>
        <v>400.55937499999999</v>
      </c>
      <c r="AF211">
        <f>ROUND((((EV211*1.15)*1.15)),6)</f>
        <v>258.81324999999998</v>
      </c>
      <c r="AG211">
        <f t="shared" si="227"/>
        <v>0</v>
      </c>
      <c r="AH211">
        <f>(((EW211*1.15)*1.15))</f>
        <v>31.991274999999998</v>
      </c>
      <c r="AI211">
        <f>(((EX211*1.15)*1.25))</f>
        <v>29.612500000000001</v>
      </c>
      <c r="AJ211">
        <f t="shared" si="228"/>
        <v>0</v>
      </c>
      <c r="AK211">
        <v>3551.63</v>
      </c>
      <c r="AL211">
        <v>17.079999999999998</v>
      </c>
      <c r="AM211">
        <v>3338.85</v>
      </c>
      <c r="AN211">
        <v>278.64999999999998</v>
      </c>
      <c r="AO211">
        <v>195.7</v>
      </c>
      <c r="AP211">
        <v>0</v>
      </c>
      <c r="AQ211">
        <v>24.19</v>
      </c>
      <c r="AR211">
        <v>20.6</v>
      </c>
      <c r="AS211">
        <v>0</v>
      </c>
      <c r="AT211">
        <v>128</v>
      </c>
      <c r="AU211">
        <v>81</v>
      </c>
      <c r="AV211">
        <v>1</v>
      </c>
      <c r="AW211">
        <v>1</v>
      </c>
      <c r="AZ211">
        <v>1</v>
      </c>
      <c r="BA211">
        <v>1</v>
      </c>
      <c r="BB211">
        <v>1</v>
      </c>
      <c r="BC211">
        <v>1</v>
      </c>
      <c r="BD211" t="s">
        <v>3</v>
      </c>
      <c r="BE211" t="s">
        <v>3</v>
      </c>
      <c r="BF211" t="s">
        <v>3</v>
      </c>
      <c r="BG211" t="s">
        <v>3</v>
      </c>
      <c r="BH211">
        <v>0</v>
      </c>
      <c r="BI211">
        <v>1</v>
      </c>
      <c r="BJ211" t="s">
        <v>328</v>
      </c>
      <c r="BM211">
        <v>27001</v>
      </c>
      <c r="BN211">
        <v>0</v>
      </c>
      <c r="BO211" t="s">
        <v>3</v>
      </c>
      <c r="BP211">
        <v>0</v>
      </c>
      <c r="BQ211">
        <v>2</v>
      </c>
      <c r="BR211">
        <v>0</v>
      </c>
      <c r="BS211">
        <v>1</v>
      </c>
      <c r="BT211">
        <v>1</v>
      </c>
      <c r="BU211">
        <v>1</v>
      </c>
      <c r="BV211">
        <v>1</v>
      </c>
      <c r="BW211">
        <v>1</v>
      </c>
      <c r="BX211">
        <v>1</v>
      </c>
      <c r="BY211" t="s">
        <v>3</v>
      </c>
      <c r="BZ211">
        <v>142</v>
      </c>
      <c r="CA211">
        <v>95</v>
      </c>
      <c r="CE211">
        <v>0</v>
      </c>
      <c r="CF211">
        <v>0</v>
      </c>
      <c r="CG211">
        <v>0</v>
      </c>
      <c r="CM211">
        <v>0</v>
      </c>
      <c r="CN211" t="s">
        <v>746</v>
      </c>
      <c r="CO211">
        <v>0</v>
      </c>
      <c r="CP211">
        <f t="shared" si="229"/>
        <v>5603.34</v>
      </c>
      <c r="CQ211">
        <f t="shared" si="230"/>
        <v>17.079999999999998</v>
      </c>
      <c r="CR211">
        <f t="shared" si="231"/>
        <v>4799.5968750000002</v>
      </c>
      <c r="CS211">
        <f t="shared" si="232"/>
        <v>400.55937499999999</v>
      </c>
      <c r="CT211">
        <f t="shared" si="233"/>
        <v>258.81324999999998</v>
      </c>
      <c r="CU211">
        <f t="shared" si="234"/>
        <v>0</v>
      </c>
      <c r="CV211">
        <f t="shared" si="235"/>
        <v>31.991274999999998</v>
      </c>
      <c r="CW211">
        <f t="shared" si="236"/>
        <v>29.612500000000001</v>
      </c>
      <c r="CX211">
        <f t="shared" si="237"/>
        <v>0</v>
      </c>
      <c r="CY211">
        <f t="shared" si="238"/>
        <v>931.77600000000007</v>
      </c>
      <c r="CZ211">
        <f t="shared" si="239"/>
        <v>589.6395</v>
      </c>
      <c r="DC211" t="s">
        <v>3</v>
      </c>
      <c r="DD211" t="s">
        <v>3</v>
      </c>
      <c r="DE211" t="s">
        <v>280</v>
      </c>
      <c r="DF211" t="s">
        <v>280</v>
      </c>
      <c r="DG211" t="s">
        <v>53</v>
      </c>
      <c r="DH211" t="s">
        <v>3</v>
      </c>
      <c r="DI211" t="s">
        <v>53</v>
      </c>
      <c r="DJ211" t="s">
        <v>280</v>
      </c>
      <c r="DK211" t="s">
        <v>3</v>
      </c>
      <c r="DL211" t="s">
        <v>3</v>
      </c>
      <c r="DM211" t="s">
        <v>3</v>
      </c>
      <c r="DN211">
        <v>0</v>
      </c>
      <c r="DO211">
        <v>0</v>
      </c>
      <c r="DP211">
        <v>1</v>
      </c>
      <c r="DQ211">
        <v>1</v>
      </c>
      <c r="DU211">
        <v>1007</v>
      </c>
      <c r="DV211" t="s">
        <v>154</v>
      </c>
      <c r="DW211" t="s">
        <v>154</v>
      </c>
      <c r="DX211">
        <v>100</v>
      </c>
      <c r="EE211">
        <v>45919611</v>
      </c>
      <c r="EF211">
        <v>2</v>
      </c>
      <c r="EG211" t="s">
        <v>54</v>
      </c>
      <c r="EH211">
        <v>0</v>
      </c>
      <c r="EI211" t="s">
        <v>3</v>
      </c>
      <c r="EJ211">
        <v>1</v>
      </c>
      <c r="EK211">
        <v>27001</v>
      </c>
      <c r="EL211" t="s">
        <v>281</v>
      </c>
      <c r="EM211" t="s">
        <v>282</v>
      </c>
      <c r="EO211" t="s">
        <v>283</v>
      </c>
      <c r="EQ211">
        <v>0</v>
      </c>
      <c r="ER211">
        <v>3551.63</v>
      </c>
      <c r="ES211">
        <v>17.079999999999998</v>
      </c>
      <c r="ET211">
        <v>3338.85</v>
      </c>
      <c r="EU211">
        <v>278.64999999999998</v>
      </c>
      <c r="EV211">
        <v>195.7</v>
      </c>
      <c r="EW211">
        <v>24.19</v>
      </c>
      <c r="EX211">
        <v>20.6</v>
      </c>
      <c r="EY211">
        <v>0</v>
      </c>
      <c r="FQ211">
        <v>0</v>
      </c>
      <c r="FR211">
        <f t="shared" si="240"/>
        <v>0</v>
      </c>
      <c r="FS211">
        <v>0</v>
      </c>
      <c r="FT211" t="s">
        <v>58</v>
      </c>
      <c r="FU211" t="s">
        <v>59</v>
      </c>
      <c r="FX211">
        <v>127.8</v>
      </c>
      <c r="FY211">
        <v>80.75</v>
      </c>
      <c r="GA211" t="s">
        <v>3</v>
      </c>
      <c r="GD211">
        <v>1</v>
      </c>
      <c r="GF211">
        <v>720735505</v>
      </c>
      <c r="GG211">
        <v>2</v>
      </c>
      <c r="GH211">
        <v>1</v>
      </c>
      <c r="GI211">
        <v>-2</v>
      </c>
      <c r="GJ211">
        <v>0</v>
      </c>
      <c r="GK211">
        <v>0</v>
      </c>
      <c r="GL211">
        <f t="shared" si="241"/>
        <v>0</v>
      </c>
      <c r="GM211">
        <f t="shared" si="242"/>
        <v>7124.76</v>
      </c>
      <c r="GN211">
        <f t="shared" si="243"/>
        <v>7124.76</v>
      </c>
      <c r="GO211">
        <f t="shared" si="244"/>
        <v>0</v>
      </c>
      <c r="GP211">
        <f t="shared" si="245"/>
        <v>0</v>
      </c>
      <c r="GR211">
        <v>0</v>
      </c>
      <c r="GS211">
        <v>3</v>
      </c>
      <c r="GT211">
        <v>0</v>
      </c>
      <c r="GU211" t="s">
        <v>3</v>
      </c>
      <c r="GV211">
        <f t="shared" si="246"/>
        <v>0</v>
      </c>
      <c r="GW211">
        <v>1</v>
      </c>
      <c r="GX211">
        <f t="shared" si="247"/>
        <v>0</v>
      </c>
      <c r="HA211">
        <v>0</v>
      </c>
      <c r="HB211">
        <v>0</v>
      </c>
      <c r="HC211">
        <f t="shared" si="248"/>
        <v>0</v>
      </c>
      <c r="IK211">
        <v>0</v>
      </c>
    </row>
    <row r="212" spans="1:245" x14ac:dyDescent="0.2">
      <c r="A212">
        <v>18</v>
      </c>
      <c r="B212">
        <v>1</v>
      </c>
      <c r="C212">
        <v>234</v>
      </c>
      <c r="E212" t="s">
        <v>368</v>
      </c>
      <c r="F212" t="s">
        <v>290</v>
      </c>
      <c r="G212" t="s">
        <v>291</v>
      </c>
      <c r="H212" t="s">
        <v>96</v>
      </c>
      <c r="I212">
        <f>I211*J212</f>
        <v>112.608</v>
      </c>
      <c r="J212">
        <v>102</v>
      </c>
      <c r="O212">
        <f t="shared" si="214"/>
        <v>15723.46</v>
      </c>
      <c r="P212">
        <f t="shared" si="215"/>
        <v>15723.46</v>
      </c>
      <c r="Q212">
        <f t="shared" si="216"/>
        <v>0</v>
      </c>
      <c r="R212">
        <f t="shared" si="217"/>
        <v>0</v>
      </c>
      <c r="S212">
        <f t="shared" si="218"/>
        <v>0</v>
      </c>
      <c r="T212">
        <f t="shared" si="219"/>
        <v>0</v>
      </c>
      <c r="U212">
        <f t="shared" si="220"/>
        <v>0</v>
      </c>
      <c r="V212">
        <f t="shared" si="221"/>
        <v>0</v>
      </c>
      <c r="W212">
        <f t="shared" si="222"/>
        <v>0</v>
      </c>
      <c r="X212">
        <f t="shared" si="223"/>
        <v>0</v>
      </c>
      <c r="Y212">
        <f t="shared" si="224"/>
        <v>0</v>
      </c>
      <c r="AA212">
        <v>47631607</v>
      </c>
      <c r="AB212">
        <f t="shared" si="225"/>
        <v>139.63</v>
      </c>
      <c r="AC212">
        <f t="shared" si="226"/>
        <v>139.63</v>
      </c>
      <c r="AD212">
        <f>ROUND((((ET212)-(EU212))+AE212),6)</f>
        <v>0</v>
      </c>
      <c r="AE212">
        <f>ROUND((EU212),6)</f>
        <v>0</v>
      </c>
      <c r="AF212">
        <f>ROUND((EV212),6)</f>
        <v>0</v>
      </c>
      <c r="AG212">
        <f t="shared" si="227"/>
        <v>0</v>
      </c>
      <c r="AH212">
        <f>(EW212)</f>
        <v>0</v>
      </c>
      <c r="AI212">
        <f>(EX212)</f>
        <v>0</v>
      </c>
      <c r="AJ212">
        <f t="shared" si="228"/>
        <v>0</v>
      </c>
      <c r="AK212">
        <v>139.63</v>
      </c>
      <c r="AL212">
        <v>139.63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128</v>
      </c>
      <c r="AU212">
        <v>81</v>
      </c>
      <c r="AV212">
        <v>1</v>
      </c>
      <c r="AW212">
        <v>1</v>
      </c>
      <c r="AZ212">
        <v>1</v>
      </c>
      <c r="BA212">
        <v>1</v>
      </c>
      <c r="BB212">
        <v>1</v>
      </c>
      <c r="BC212">
        <v>1</v>
      </c>
      <c r="BD212" t="s">
        <v>3</v>
      </c>
      <c r="BE212" t="s">
        <v>3</v>
      </c>
      <c r="BF212" t="s">
        <v>3</v>
      </c>
      <c r="BG212" t="s">
        <v>3</v>
      </c>
      <c r="BH212">
        <v>3</v>
      </c>
      <c r="BI212">
        <v>1</v>
      </c>
      <c r="BJ212" t="s">
        <v>292</v>
      </c>
      <c r="BM212">
        <v>27001</v>
      </c>
      <c r="BN212">
        <v>0</v>
      </c>
      <c r="BO212" t="s">
        <v>3</v>
      </c>
      <c r="BP212">
        <v>0</v>
      </c>
      <c r="BQ212">
        <v>2</v>
      </c>
      <c r="BR212">
        <v>0</v>
      </c>
      <c r="BS212">
        <v>1</v>
      </c>
      <c r="BT212">
        <v>1</v>
      </c>
      <c r="BU212">
        <v>1</v>
      </c>
      <c r="BV212">
        <v>1</v>
      </c>
      <c r="BW212">
        <v>1</v>
      </c>
      <c r="BX212">
        <v>1</v>
      </c>
      <c r="BY212" t="s">
        <v>3</v>
      </c>
      <c r="BZ212">
        <v>142</v>
      </c>
      <c r="CA212">
        <v>95</v>
      </c>
      <c r="CE212">
        <v>0</v>
      </c>
      <c r="CF212">
        <v>0</v>
      </c>
      <c r="CG212">
        <v>0</v>
      </c>
      <c r="CM212">
        <v>0</v>
      </c>
      <c r="CN212" t="s">
        <v>3</v>
      </c>
      <c r="CO212">
        <v>0</v>
      </c>
      <c r="CP212">
        <f t="shared" si="229"/>
        <v>15723.46</v>
      </c>
      <c r="CQ212">
        <f t="shared" si="230"/>
        <v>139.63</v>
      </c>
      <c r="CR212">
        <f t="shared" si="231"/>
        <v>0</v>
      </c>
      <c r="CS212">
        <f t="shared" si="232"/>
        <v>0</v>
      </c>
      <c r="CT212">
        <f t="shared" si="233"/>
        <v>0</v>
      </c>
      <c r="CU212">
        <f t="shared" si="234"/>
        <v>0</v>
      </c>
      <c r="CV212">
        <f t="shared" si="235"/>
        <v>0</v>
      </c>
      <c r="CW212">
        <f t="shared" si="236"/>
        <v>0</v>
      </c>
      <c r="CX212">
        <f t="shared" si="237"/>
        <v>0</v>
      </c>
      <c r="CY212">
        <f t="shared" si="238"/>
        <v>0</v>
      </c>
      <c r="CZ212">
        <f t="shared" si="239"/>
        <v>0</v>
      </c>
      <c r="DC212" t="s">
        <v>3</v>
      </c>
      <c r="DD212" t="s">
        <v>3</v>
      </c>
      <c r="DE212" t="s">
        <v>3</v>
      </c>
      <c r="DF212" t="s">
        <v>3</v>
      </c>
      <c r="DG212" t="s">
        <v>3</v>
      </c>
      <c r="DH212" t="s">
        <v>3</v>
      </c>
      <c r="DI212" t="s">
        <v>3</v>
      </c>
      <c r="DJ212" t="s">
        <v>3</v>
      </c>
      <c r="DK212" t="s">
        <v>3</v>
      </c>
      <c r="DL212" t="s">
        <v>3</v>
      </c>
      <c r="DM212" t="s">
        <v>3</v>
      </c>
      <c r="DN212">
        <v>0</v>
      </c>
      <c r="DO212">
        <v>0</v>
      </c>
      <c r="DP212">
        <v>1</v>
      </c>
      <c r="DQ212">
        <v>1</v>
      </c>
      <c r="DU212">
        <v>1007</v>
      </c>
      <c r="DV212" t="s">
        <v>96</v>
      </c>
      <c r="DW212" t="s">
        <v>96</v>
      </c>
      <c r="DX212">
        <v>1</v>
      </c>
      <c r="EE212">
        <v>45919611</v>
      </c>
      <c r="EF212">
        <v>2</v>
      </c>
      <c r="EG212" t="s">
        <v>54</v>
      </c>
      <c r="EH212">
        <v>0</v>
      </c>
      <c r="EI212" t="s">
        <v>3</v>
      </c>
      <c r="EJ212">
        <v>1</v>
      </c>
      <c r="EK212">
        <v>27001</v>
      </c>
      <c r="EL212" t="s">
        <v>281</v>
      </c>
      <c r="EM212" t="s">
        <v>282</v>
      </c>
      <c r="EO212" t="s">
        <v>3</v>
      </c>
      <c r="EQ212">
        <v>0</v>
      </c>
      <c r="ER212">
        <v>139.63</v>
      </c>
      <c r="ES212">
        <v>139.63</v>
      </c>
      <c r="ET212">
        <v>0</v>
      </c>
      <c r="EU212">
        <v>0</v>
      </c>
      <c r="EV212">
        <v>0</v>
      </c>
      <c r="EW212">
        <v>0</v>
      </c>
      <c r="EX212">
        <v>0</v>
      </c>
      <c r="FQ212">
        <v>0</v>
      </c>
      <c r="FR212">
        <f t="shared" si="240"/>
        <v>0</v>
      </c>
      <c r="FS212">
        <v>0</v>
      </c>
      <c r="FT212" t="s">
        <v>58</v>
      </c>
      <c r="FU212" t="s">
        <v>59</v>
      </c>
      <c r="FX212">
        <v>127.8</v>
      </c>
      <c r="FY212">
        <v>80.75</v>
      </c>
      <c r="GA212" t="s">
        <v>3</v>
      </c>
      <c r="GD212">
        <v>1</v>
      </c>
      <c r="GF212">
        <v>992648480</v>
      </c>
      <c r="GG212">
        <v>2</v>
      </c>
      <c r="GH212">
        <v>1</v>
      </c>
      <c r="GI212">
        <v>-2</v>
      </c>
      <c r="GJ212">
        <v>0</v>
      </c>
      <c r="GK212">
        <v>0</v>
      </c>
      <c r="GL212">
        <f t="shared" si="241"/>
        <v>0</v>
      </c>
      <c r="GM212">
        <f t="shared" si="242"/>
        <v>15723.46</v>
      </c>
      <c r="GN212">
        <f t="shared" si="243"/>
        <v>15723.46</v>
      </c>
      <c r="GO212">
        <f t="shared" si="244"/>
        <v>0</v>
      </c>
      <c r="GP212">
        <f t="shared" si="245"/>
        <v>0</v>
      </c>
      <c r="GR212">
        <v>0</v>
      </c>
      <c r="GS212">
        <v>3</v>
      </c>
      <c r="GT212">
        <v>0</v>
      </c>
      <c r="GU212" t="s">
        <v>3</v>
      </c>
      <c r="GV212">
        <f t="shared" si="246"/>
        <v>0</v>
      </c>
      <c r="GW212">
        <v>1</v>
      </c>
      <c r="GX212">
        <f t="shared" si="247"/>
        <v>0</v>
      </c>
      <c r="HA212">
        <v>0</v>
      </c>
      <c r="HB212">
        <v>0</v>
      </c>
      <c r="HC212">
        <f t="shared" si="248"/>
        <v>0</v>
      </c>
      <c r="IK212">
        <v>0</v>
      </c>
    </row>
    <row r="213" spans="1:245" x14ac:dyDescent="0.2">
      <c r="A213">
        <v>17</v>
      </c>
      <c r="B213">
        <v>1</v>
      </c>
      <c r="C213">
        <f>ROW(SmtRes!A248)</f>
        <v>248</v>
      </c>
      <c r="D213">
        <f>ROW(EtalonRes!A260)</f>
        <v>260</v>
      </c>
      <c r="E213" t="s">
        <v>369</v>
      </c>
      <c r="F213" t="s">
        <v>331</v>
      </c>
      <c r="G213" t="s">
        <v>332</v>
      </c>
      <c r="H213" t="s">
        <v>265</v>
      </c>
      <c r="I213">
        <f>ROUND(46*4/1000,9)</f>
        <v>0.184</v>
      </c>
      <c r="J213">
        <v>0</v>
      </c>
      <c r="O213">
        <f t="shared" si="214"/>
        <v>763.03</v>
      </c>
      <c r="P213">
        <f t="shared" si="215"/>
        <v>42.44</v>
      </c>
      <c r="Q213">
        <f t="shared" si="216"/>
        <v>630.92999999999995</v>
      </c>
      <c r="R213">
        <f t="shared" si="217"/>
        <v>69.569999999999993</v>
      </c>
      <c r="S213">
        <f t="shared" si="218"/>
        <v>89.66</v>
      </c>
      <c r="T213">
        <f t="shared" si="219"/>
        <v>0</v>
      </c>
      <c r="U213">
        <f t="shared" si="220"/>
        <v>9.3199219999999983</v>
      </c>
      <c r="V213">
        <f t="shared" si="221"/>
        <v>5.0572400000000002</v>
      </c>
      <c r="W213">
        <f t="shared" si="222"/>
        <v>0</v>
      </c>
      <c r="X213">
        <f t="shared" si="223"/>
        <v>203.81</v>
      </c>
      <c r="Y213">
        <f t="shared" si="224"/>
        <v>128.97999999999999</v>
      </c>
      <c r="AA213">
        <v>47631607</v>
      </c>
      <c r="AB213">
        <f t="shared" si="225"/>
        <v>4146.9144999999999</v>
      </c>
      <c r="AC213">
        <f t="shared" si="226"/>
        <v>230.67</v>
      </c>
      <c r="AD213">
        <f>ROUND((((((ET213*1.15)*1.25))-(((EU213*1.15)*1.25)))+AE213),6)</f>
        <v>3428.9693750000001</v>
      </c>
      <c r="AE213">
        <f>ROUND((((EU213*1.15)*1.25)),6)</f>
        <v>378.07687499999997</v>
      </c>
      <c r="AF213">
        <f>ROUND((((EV213*1.15)*1.15)),6)</f>
        <v>487.275125</v>
      </c>
      <c r="AG213">
        <f t="shared" si="227"/>
        <v>0</v>
      </c>
      <c r="AH213">
        <f>(((EW213*1.15)*1.15))</f>
        <v>50.651749999999993</v>
      </c>
      <c r="AI213">
        <f>(((EX213*1.15)*1.25))</f>
        <v>27.484999999999999</v>
      </c>
      <c r="AJ213">
        <f t="shared" si="228"/>
        <v>0</v>
      </c>
      <c r="AK213">
        <v>2984.49</v>
      </c>
      <c r="AL213">
        <v>230.67</v>
      </c>
      <c r="AM213">
        <v>2385.37</v>
      </c>
      <c r="AN213">
        <v>263.01</v>
      </c>
      <c r="AO213">
        <v>368.45</v>
      </c>
      <c r="AP213">
        <v>0</v>
      </c>
      <c r="AQ213">
        <v>38.299999999999997</v>
      </c>
      <c r="AR213">
        <v>19.12</v>
      </c>
      <c r="AS213">
        <v>0</v>
      </c>
      <c r="AT213">
        <v>128</v>
      </c>
      <c r="AU213">
        <v>81</v>
      </c>
      <c r="AV213">
        <v>1</v>
      </c>
      <c r="AW213">
        <v>1</v>
      </c>
      <c r="AZ213">
        <v>1</v>
      </c>
      <c r="BA213">
        <v>1</v>
      </c>
      <c r="BB213">
        <v>1</v>
      </c>
      <c r="BC213">
        <v>1</v>
      </c>
      <c r="BD213" t="s">
        <v>3</v>
      </c>
      <c r="BE213" t="s">
        <v>3</v>
      </c>
      <c r="BF213" t="s">
        <v>3</v>
      </c>
      <c r="BG213" t="s">
        <v>3</v>
      </c>
      <c r="BH213">
        <v>0</v>
      </c>
      <c r="BI213">
        <v>1</v>
      </c>
      <c r="BJ213" t="s">
        <v>333</v>
      </c>
      <c r="BM213">
        <v>27001</v>
      </c>
      <c r="BN213">
        <v>0</v>
      </c>
      <c r="BO213" t="s">
        <v>3</v>
      </c>
      <c r="BP213">
        <v>0</v>
      </c>
      <c r="BQ213">
        <v>2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3</v>
      </c>
      <c r="BZ213">
        <v>142</v>
      </c>
      <c r="CA213">
        <v>95</v>
      </c>
      <c r="CE213">
        <v>0</v>
      </c>
      <c r="CF213">
        <v>0</v>
      </c>
      <c r="CG213">
        <v>0</v>
      </c>
      <c r="CM213">
        <v>0</v>
      </c>
      <c r="CN213" t="s">
        <v>746</v>
      </c>
      <c r="CO213">
        <v>0</v>
      </c>
      <c r="CP213">
        <f t="shared" si="229"/>
        <v>763.02999999999986</v>
      </c>
      <c r="CQ213">
        <f t="shared" si="230"/>
        <v>230.67</v>
      </c>
      <c r="CR213">
        <f t="shared" si="231"/>
        <v>3428.9693750000001</v>
      </c>
      <c r="CS213">
        <f t="shared" si="232"/>
        <v>378.07687499999997</v>
      </c>
      <c r="CT213">
        <f t="shared" si="233"/>
        <v>487.275125</v>
      </c>
      <c r="CU213">
        <f t="shared" si="234"/>
        <v>0</v>
      </c>
      <c r="CV213">
        <f t="shared" si="235"/>
        <v>50.651749999999993</v>
      </c>
      <c r="CW213">
        <f t="shared" si="236"/>
        <v>27.484999999999999</v>
      </c>
      <c r="CX213">
        <f t="shared" si="237"/>
        <v>0</v>
      </c>
      <c r="CY213">
        <f t="shared" si="238"/>
        <v>203.81439999999998</v>
      </c>
      <c r="CZ213">
        <f t="shared" si="239"/>
        <v>128.97629999999998</v>
      </c>
      <c r="DC213" t="s">
        <v>3</v>
      </c>
      <c r="DD213" t="s">
        <v>3</v>
      </c>
      <c r="DE213" t="s">
        <v>280</v>
      </c>
      <c r="DF213" t="s">
        <v>280</v>
      </c>
      <c r="DG213" t="s">
        <v>53</v>
      </c>
      <c r="DH213" t="s">
        <v>3</v>
      </c>
      <c r="DI213" t="s">
        <v>53</v>
      </c>
      <c r="DJ213" t="s">
        <v>280</v>
      </c>
      <c r="DK213" t="s">
        <v>3</v>
      </c>
      <c r="DL213" t="s">
        <v>3</v>
      </c>
      <c r="DM213" t="s">
        <v>3</v>
      </c>
      <c r="DN213">
        <v>0</v>
      </c>
      <c r="DO213">
        <v>0</v>
      </c>
      <c r="DP213">
        <v>1</v>
      </c>
      <c r="DQ213">
        <v>1</v>
      </c>
      <c r="DU213">
        <v>1005</v>
      </c>
      <c r="DV213" t="s">
        <v>265</v>
      </c>
      <c r="DW213" t="s">
        <v>265</v>
      </c>
      <c r="DX213">
        <v>1000</v>
      </c>
      <c r="EE213">
        <v>45919611</v>
      </c>
      <c r="EF213">
        <v>2</v>
      </c>
      <c r="EG213" t="s">
        <v>54</v>
      </c>
      <c r="EH213">
        <v>0</v>
      </c>
      <c r="EI213" t="s">
        <v>3</v>
      </c>
      <c r="EJ213">
        <v>1</v>
      </c>
      <c r="EK213">
        <v>27001</v>
      </c>
      <c r="EL213" t="s">
        <v>281</v>
      </c>
      <c r="EM213" t="s">
        <v>282</v>
      </c>
      <c r="EO213" t="s">
        <v>283</v>
      </c>
      <c r="EQ213">
        <v>0</v>
      </c>
      <c r="ER213">
        <v>2984.49</v>
      </c>
      <c r="ES213">
        <v>230.67</v>
      </c>
      <c r="ET213">
        <v>2385.37</v>
      </c>
      <c r="EU213">
        <v>263.01</v>
      </c>
      <c r="EV213">
        <v>368.45</v>
      </c>
      <c r="EW213">
        <v>38.299999999999997</v>
      </c>
      <c r="EX213">
        <v>19.12</v>
      </c>
      <c r="EY213">
        <v>0</v>
      </c>
      <c r="FQ213">
        <v>0</v>
      </c>
      <c r="FR213">
        <f t="shared" si="240"/>
        <v>0</v>
      </c>
      <c r="FS213">
        <v>0</v>
      </c>
      <c r="FT213" t="s">
        <v>58</v>
      </c>
      <c r="FU213" t="s">
        <v>59</v>
      </c>
      <c r="FX213">
        <v>127.8</v>
      </c>
      <c r="FY213">
        <v>80.75</v>
      </c>
      <c r="GA213" t="s">
        <v>3</v>
      </c>
      <c r="GD213">
        <v>1</v>
      </c>
      <c r="GF213">
        <v>235885123</v>
      </c>
      <c r="GG213">
        <v>2</v>
      </c>
      <c r="GH213">
        <v>1</v>
      </c>
      <c r="GI213">
        <v>-2</v>
      </c>
      <c r="GJ213">
        <v>0</v>
      </c>
      <c r="GK213">
        <v>0</v>
      </c>
      <c r="GL213">
        <f t="shared" si="241"/>
        <v>0</v>
      </c>
      <c r="GM213">
        <f t="shared" si="242"/>
        <v>1095.82</v>
      </c>
      <c r="GN213">
        <f t="shared" si="243"/>
        <v>1095.82</v>
      </c>
      <c r="GO213">
        <f t="shared" si="244"/>
        <v>0</v>
      </c>
      <c r="GP213">
        <f t="shared" si="245"/>
        <v>0</v>
      </c>
      <c r="GR213">
        <v>0</v>
      </c>
      <c r="GS213">
        <v>3</v>
      </c>
      <c r="GT213">
        <v>0</v>
      </c>
      <c r="GU213" t="s">
        <v>3</v>
      </c>
      <c r="GV213">
        <f t="shared" si="246"/>
        <v>0</v>
      </c>
      <c r="GW213">
        <v>1</v>
      </c>
      <c r="GX213">
        <f t="shared" si="247"/>
        <v>0</v>
      </c>
      <c r="HA213">
        <v>0</v>
      </c>
      <c r="HB213">
        <v>0</v>
      </c>
      <c r="HC213">
        <f t="shared" si="248"/>
        <v>0</v>
      </c>
      <c r="IK213">
        <v>0</v>
      </c>
    </row>
    <row r="214" spans="1:245" x14ac:dyDescent="0.2">
      <c r="A214">
        <v>18</v>
      </c>
      <c r="B214">
        <v>1</v>
      </c>
      <c r="C214">
        <v>244</v>
      </c>
      <c r="E214" t="s">
        <v>370</v>
      </c>
      <c r="F214" t="s">
        <v>335</v>
      </c>
      <c r="G214" t="s">
        <v>336</v>
      </c>
      <c r="H214" t="s">
        <v>32</v>
      </c>
      <c r="I214">
        <f>I213*J214</f>
        <v>1.9870000000000001E-3</v>
      </c>
      <c r="J214">
        <v>1.0798913043478261E-2</v>
      </c>
      <c r="O214">
        <f t="shared" si="214"/>
        <v>3.87</v>
      </c>
      <c r="P214">
        <f t="shared" si="215"/>
        <v>3.87</v>
      </c>
      <c r="Q214">
        <f t="shared" si="216"/>
        <v>0</v>
      </c>
      <c r="R214">
        <f t="shared" si="217"/>
        <v>0</v>
      </c>
      <c r="S214">
        <f t="shared" si="218"/>
        <v>0</v>
      </c>
      <c r="T214">
        <f t="shared" si="219"/>
        <v>0</v>
      </c>
      <c r="U214">
        <f t="shared" si="220"/>
        <v>0</v>
      </c>
      <c r="V214">
        <f t="shared" si="221"/>
        <v>0</v>
      </c>
      <c r="W214">
        <f t="shared" si="222"/>
        <v>0</v>
      </c>
      <c r="X214">
        <f t="shared" si="223"/>
        <v>0</v>
      </c>
      <c r="Y214">
        <f t="shared" si="224"/>
        <v>0</v>
      </c>
      <c r="AA214">
        <v>47631607</v>
      </c>
      <c r="AB214">
        <f t="shared" si="225"/>
        <v>1946.91</v>
      </c>
      <c r="AC214">
        <f t="shared" si="226"/>
        <v>1946.91</v>
      </c>
      <c r="AD214">
        <f>ROUND((((ET214)-(EU214))+AE214),6)</f>
        <v>0</v>
      </c>
      <c r="AE214">
        <f>ROUND((EU214),6)</f>
        <v>0</v>
      </c>
      <c r="AF214">
        <f>ROUND((EV214),6)</f>
        <v>0</v>
      </c>
      <c r="AG214">
        <f t="shared" si="227"/>
        <v>0</v>
      </c>
      <c r="AH214">
        <f>(EW214)</f>
        <v>0</v>
      </c>
      <c r="AI214">
        <f>(EX214)</f>
        <v>0</v>
      </c>
      <c r="AJ214">
        <f t="shared" si="228"/>
        <v>0</v>
      </c>
      <c r="AK214">
        <v>1946.91</v>
      </c>
      <c r="AL214">
        <v>1946.91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128</v>
      </c>
      <c r="AU214">
        <v>81</v>
      </c>
      <c r="AV214">
        <v>1</v>
      </c>
      <c r="AW214">
        <v>1</v>
      </c>
      <c r="AZ214">
        <v>1</v>
      </c>
      <c r="BA214">
        <v>1</v>
      </c>
      <c r="BB214">
        <v>1</v>
      </c>
      <c r="BC214">
        <v>1</v>
      </c>
      <c r="BD214" t="s">
        <v>3</v>
      </c>
      <c r="BE214" t="s">
        <v>3</v>
      </c>
      <c r="BF214" t="s">
        <v>3</v>
      </c>
      <c r="BG214" t="s">
        <v>3</v>
      </c>
      <c r="BH214">
        <v>3</v>
      </c>
      <c r="BI214">
        <v>1</v>
      </c>
      <c r="BJ214" t="s">
        <v>337</v>
      </c>
      <c r="BM214">
        <v>27001</v>
      </c>
      <c r="BN214">
        <v>0</v>
      </c>
      <c r="BO214" t="s">
        <v>3</v>
      </c>
      <c r="BP214">
        <v>0</v>
      </c>
      <c r="BQ214">
        <v>2</v>
      </c>
      <c r="BR214">
        <v>0</v>
      </c>
      <c r="BS214">
        <v>1</v>
      </c>
      <c r="BT214">
        <v>1</v>
      </c>
      <c r="BU214">
        <v>1</v>
      </c>
      <c r="BV214">
        <v>1</v>
      </c>
      <c r="BW214">
        <v>1</v>
      </c>
      <c r="BX214">
        <v>1</v>
      </c>
      <c r="BY214" t="s">
        <v>3</v>
      </c>
      <c r="BZ214">
        <v>142</v>
      </c>
      <c r="CA214">
        <v>95</v>
      </c>
      <c r="CE214">
        <v>0</v>
      </c>
      <c r="CF214">
        <v>0</v>
      </c>
      <c r="CG214">
        <v>0</v>
      </c>
      <c r="CM214">
        <v>0</v>
      </c>
      <c r="CN214" t="s">
        <v>3</v>
      </c>
      <c r="CO214">
        <v>0</v>
      </c>
      <c r="CP214">
        <f t="shared" si="229"/>
        <v>3.87</v>
      </c>
      <c r="CQ214">
        <f t="shared" si="230"/>
        <v>1946.91</v>
      </c>
      <c r="CR214">
        <f t="shared" si="231"/>
        <v>0</v>
      </c>
      <c r="CS214">
        <f t="shared" si="232"/>
        <v>0</v>
      </c>
      <c r="CT214">
        <f t="shared" si="233"/>
        <v>0</v>
      </c>
      <c r="CU214">
        <f t="shared" si="234"/>
        <v>0</v>
      </c>
      <c r="CV214">
        <f t="shared" si="235"/>
        <v>0</v>
      </c>
      <c r="CW214">
        <f t="shared" si="236"/>
        <v>0</v>
      </c>
      <c r="CX214">
        <f t="shared" si="237"/>
        <v>0</v>
      </c>
      <c r="CY214">
        <f t="shared" si="238"/>
        <v>0</v>
      </c>
      <c r="CZ214">
        <f t="shared" si="239"/>
        <v>0</v>
      </c>
      <c r="DC214" t="s">
        <v>3</v>
      </c>
      <c r="DD214" t="s">
        <v>3</v>
      </c>
      <c r="DE214" t="s">
        <v>3</v>
      </c>
      <c r="DF214" t="s">
        <v>3</v>
      </c>
      <c r="DG214" t="s">
        <v>3</v>
      </c>
      <c r="DH214" t="s">
        <v>3</v>
      </c>
      <c r="DI214" t="s">
        <v>3</v>
      </c>
      <c r="DJ214" t="s">
        <v>3</v>
      </c>
      <c r="DK214" t="s">
        <v>3</v>
      </c>
      <c r="DL214" t="s">
        <v>3</v>
      </c>
      <c r="DM214" t="s">
        <v>3</v>
      </c>
      <c r="DN214">
        <v>0</v>
      </c>
      <c r="DO214">
        <v>0</v>
      </c>
      <c r="DP214">
        <v>1</v>
      </c>
      <c r="DQ214">
        <v>1</v>
      </c>
      <c r="DU214">
        <v>1009</v>
      </c>
      <c r="DV214" t="s">
        <v>32</v>
      </c>
      <c r="DW214" t="s">
        <v>32</v>
      </c>
      <c r="DX214">
        <v>1000</v>
      </c>
      <c r="EE214">
        <v>45919611</v>
      </c>
      <c r="EF214">
        <v>2</v>
      </c>
      <c r="EG214" t="s">
        <v>54</v>
      </c>
      <c r="EH214">
        <v>0</v>
      </c>
      <c r="EI214" t="s">
        <v>3</v>
      </c>
      <c r="EJ214">
        <v>1</v>
      </c>
      <c r="EK214">
        <v>27001</v>
      </c>
      <c r="EL214" t="s">
        <v>281</v>
      </c>
      <c r="EM214" t="s">
        <v>282</v>
      </c>
      <c r="EO214" t="s">
        <v>3</v>
      </c>
      <c r="EQ214">
        <v>0</v>
      </c>
      <c r="ER214">
        <v>1946.91</v>
      </c>
      <c r="ES214">
        <v>1946.91</v>
      </c>
      <c r="ET214">
        <v>0</v>
      </c>
      <c r="EU214">
        <v>0</v>
      </c>
      <c r="EV214">
        <v>0</v>
      </c>
      <c r="EW214">
        <v>0</v>
      </c>
      <c r="EX214">
        <v>0</v>
      </c>
      <c r="FQ214">
        <v>0</v>
      </c>
      <c r="FR214">
        <f t="shared" si="240"/>
        <v>0</v>
      </c>
      <c r="FS214">
        <v>0</v>
      </c>
      <c r="FT214" t="s">
        <v>58</v>
      </c>
      <c r="FU214" t="s">
        <v>59</v>
      </c>
      <c r="FX214">
        <v>127.8</v>
      </c>
      <c r="FY214">
        <v>80.75</v>
      </c>
      <c r="GA214" t="s">
        <v>3</v>
      </c>
      <c r="GD214">
        <v>1</v>
      </c>
      <c r="GF214">
        <v>1401058849</v>
      </c>
      <c r="GG214">
        <v>2</v>
      </c>
      <c r="GH214">
        <v>1</v>
      </c>
      <c r="GI214">
        <v>-2</v>
      </c>
      <c r="GJ214">
        <v>0</v>
      </c>
      <c r="GK214">
        <v>0</v>
      </c>
      <c r="GL214">
        <f t="shared" si="241"/>
        <v>0</v>
      </c>
      <c r="GM214">
        <f t="shared" si="242"/>
        <v>3.87</v>
      </c>
      <c r="GN214">
        <f t="shared" si="243"/>
        <v>3.87</v>
      </c>
      <c r="GO214">
        <f t="shared" si="244"/>
        <v>0</v>
      </c>
      <c r="GP214">
        <f t="shared" si="245"/>
        <v>0</v>
      </c>
      <c r="GR214">
        <v>0</v>
      </c>
      <c r="GS214">
        <v>3</v>
      </c>
      <c r="GT214">
        <v>0</v>
      </c>
      <c r="GU214" t="s">
        <v>3</v>
      </c>
      <c r="GV214">
        <f t="shared" si="246"/>
        <v>0</v>
      </c>
      <c r="GW214">
        <v>1</v>
      </c>
      <c r="GX214">
        <f t="shared" si="247"/>
        <v>0</v>
      </c>
      <c r="HA214">
        <v>0</v>
      </c>
      <c r="HB214">
        <v>0</v>
      </c>
      <c r="HC214">
        <f t="shared" si="248"/>
        <v>0</v>
      </c>
      <c r="IK214">
        <v>0</v>
      </c>
    </row>
    <row r="215" spans="1:245" x14ac:dyDescent="0.2">
      <c r="A215">
        <v>18</v>
      </c>
      <c r="B215">
        <v>1</v>
      </c>
      <c r="C215">
        <v>246</v>
      </c>
      <c r="E215" t="s">
        <v>371</v>
      </c>
      <c r="F215" t="s">
        <v>339</v>
      </c>
      <c r="G215" t="s">
        <v>340</v>
      </c>
      <c r="H215" t="s">
        <v>32</v>
      </c>
      <c r="I215">
        <f>I213*J215</f>
        <v>17.627199999999998</v>
      </c>
      <c r="J215">
        <v>95.8</v>
      </c>
      <c r="O215">
        <f t="shared" si="214"/>
        <v>6890.12</v>
      </c>
      <c r="P215">
        <f t="shared" si="215"/>
        <v>6890.12</v>
      </c>
      <c r="Q215">
        <f t="shared" si="216"/>
        <v>0</v>
      </c>
      <c r="R215">
        <f t="shared" si="217"/>
        <v>0</v>
      </c>
      <c r="S215">
        <f t="shared" si="218"/>
        <v>0</v>
      </c>
      <c r="T215">
        <f t="shared" si="219"/>
        <v>0</v>
      </c>
      <c r="U215">
        <f t="shared" si="220"/>
        <v>0</v>
      </c>
      <c r="V215">
        <f t="shared" si="221"/>
        <v>0</v>
      </c>
      <c r="W215">
        <f t="shared" si="222"/>
        <v>0</v>
      </c>
      <c r="X215">
        <f t="shared" si="223"/>
        <v>0</v>
      </c>
      <c r="Y215">
        <f t="shared" si="224"/>
        <v>0</v>
      </c>
      <c r="AA215">
        <v>47631607</v>
      </c>
      <c r="AB215">
        <f t="shared" si="225"/>
        <v>390.88</v>
      </c>
      <c r="AC215">
        <f t="shared" si="226"/>
        <v>390.88</v>
      </c>
      <c r="AD215">
        <f>ROUND((((ET215)-(EU215))+AE215),6)</f>
        <v>0</v>
      </c>
      <c r="AE215">
        <f>ROUND((EU215),6)</f>
        <v>0</v>
      </c>
      <c r="AF215">
        <f>ROUND((EV215),6)</f>
        <v>0</v>
      </c>
      <c r="AG215">
        <f t="shared" si="227"/>
        <v>0</v>
      </c>
      <c r="AH215">
        <f>(EW215)</f>
        <v>0</v>
      </c>
      <c r="AI215">
        <f>(EX215)</f>
        <v>0</v>
      </c>
      <c r="AJ215">
        <f t="shared" si="228"/>
        <v>0</v>
      </c>
      <c r="AK215">
        <v>390.88</v>
      </c>
      <c r="AL215">
        <v>390.88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128</v>
      </c>
      <c r="AU215">
        <v>81</v>
      </c>
      <c r="AV215">
        <v>1</v>
      </c>
      <c r="AW215">
        <v>1</v>
      </c>
      <c r="AZ215">
        <v>1</v>
      </c>
      <c r="BA215">
        <v>1</v>
      </c>
      <c r="BB215">
        <v>1</v>
      </c>
      <c r="BC215">
        <v>1</v>
      </c>
      <c r="BD215" t="s">
        <v>3</v>
      </c>
      <c r="BE215" t="s">
        <v>3</v>
      </c>
      <c r="BF215" t="s">
        <v>3</v>
      </c>
      <c r="BG215" t="s">
        <v>3</v>
      </c>
      <c r="BH215">
        <v>3</v>
      </c>
      <c r="BI215">
        <v>1</v>
      </c>
      <c r="BJ215" t="s">
        <v>341</v>
      </c>
      <c r="BM215">
        <v>27001</v>
      </c>
      <c r="BN215">
        <v>0</v>
      </c>
      <c r="BO215" t="s">
        <v>3</v>
      </c>
      <c r="BP215">
        <v>0</v>
      </c>
      <c r="BQ215">
        <v>2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3</v>
      </c>
      <c r="BZ215">
        <v>142</v>
      </c>
      <c r="CA215">
        <v>95</v>
      </c>
      <c r="CE215">
        <v>0</v>
      </c>
      <c r="CF215">
        <v>0</v>
      </c>
      <c r="CG215">
        <v>0</v>
      </c>
      <c r="CM215">
        <v>0</v>
      </c>
      <c r="CN215" t="s">
        <v>3</v>
      </c>
      <c r="CO215">
        <v>0</v>
      </c>
      <c r="CP215">
        <f t="shared" si="229"/>
        <v>6890.12</v>
      </c>
      <c r="CQ215">
        <f t="shared" si="230"/>
        <v>390.88</v>
      </c>
      <c r="CR215">
        <f t="shared" si="231"/>
        <v>0</v>
      </c>
      <c r="CS215">
        <f t="shared" si="232"/>
        <v>0</v>
      </c>
      <c r="CT215">
        <f t="shared" si="233"/>
        <v>0</v>
      </c>
      <c r="CU215">
        <f t="shared" si="234"/>
        <v>0</v>
      </c>
      <c r="CV215">
        <f t="shared" si="235"/>
        <v>0</v>
      </c>
      <c r="CW215">
        <f t="shared" si="236"/>
        <v>0</v>
      </c>
      <c r="CX215">
        <f t="shared" si="237"/>
        <v>0</v>
      </c>
      <c r="CY215">
        <f t="shared" si="238"/>
        <v>0</v>
      </c>
      <c r="CZ215">
        <f t="shared" si="239"/>
        <v>0</v>
      </c>
      <c r="DC215" t="s">
        <v>3</v>
      </c>
      <c r="DD215" t="s">
        <v>3</v>
      </c>
      <c r="DE215" t="s">
        <v>3</v>
      </c>
      <c r="DF215" t="s">
        <v>3</v>
      </c>
      <c r="DG215" t="s">
        <v>3</v>
      </c>
      <c r="DH215" t="s">
        <v>3</v>
      </c>
      <c r="DI215" t="s">
        <v>3</v>
      </c>
      <c r="DJ215" t="s">
        <v>3</v>
      </c>
      <c r="DK215" t="s">
        <v>3</v>
      </c>
      <c r="DL215" t="s">
        <v>3</v>
      </c>
      <c r="DM215" t="s">
        <v>3</v>
      </c>
      <c r="DN215">
        <v>0</v>
      </c>
      <c r="DO215">
        <v>0</v>
      </c>
      <c r="DP215">
        <v>1</v>
      </c>
      <c r="DQ215">
        <v>1</v>
      </c>
      <c r="DU215">
        <v>1009</v>
      </c>
      <c r="DV215" t="s">
        <v>32</v>
      </c>
      <c r="DW215" t="s">
        <v>32</v>
      </c>
      <c r="DX215">
        <v>1000</v>
      </c>
      <c r="EE215">
        <v>45919611</v>
      </c>
      <c r="EF215">
        <v>2</v>
      </c>
      <c r="EG215" t="s">
        <v>54</v>
      </c>
      <c r="EH215">
        <v>0</v>
      </c>
      <c r="EI215" t="s">
        <v>3</v>
      </c>
      <c r="EJ215">
        <v>1</v>
      </c>
      <c r="EK215">
        <v>27001</v>
      </c>
      <c r="EL215" t="s">
        <v>281</v>
      </c>
      <c r="EM215" t="s">
        <v>282</v>
      </c>
      <c r="EO215" t="s">
        <v>3</v>
      </c>
      <c r="EQ215">
        <v>0</v>
      </c>
      <c r="ER215">
        <v>390.88</v>
      </c>
      <c r="ES215">
        <v>390.88</v>
      </c>
      <c r="ET215">
        <v>0</v>
      </c>
      <c r="EU215">
        <v>0</v>
      </c>
      <c r="EV215">
        <v>0</v>
      </c>
      <c r="EW215">
        <v>0</v>
      </c>
      <c r="EX215">
        <v>0</v>
      </c>
      <c r="FQ215">
        <v>0</v>
      </c>
      <c r="FR215">
        <f t="shared" si="240"/>
        <v>0</v>
      </c>
      <c r="FS215">
        <v>0</v>
      </c>
      <c r="FT215" t="s">
        <v>58</v>
      </c>
      <c r="FU215" t="s">
        <v>59</v>
      </c>
      <c r="FX215">
        <v>127.8</v>
      </c>
      <c r="FY215">
        <v>80.75</v>
      </c>
      <c r="GA215" t="s">
        <v>3</v>
      </c>
      <c r="GD215">
        <v>1</v>
      </c>
      <c r="GF215">
        <v>1955294855</v>
      </c>
      <c r="GG215">
        <v>2</v>
      </c>
      <c r="GH215">
        <v>1</v>
      </c>
      <c r="GI215">
        <v>-2</v>
      </c>
      <c r="GJ215">
        <v>0</v>
      </c>
      <c r="GK215">
        <v>0</v>
      </c>
      <c r="GL215">
        <f t="shared" si="241"/>
        <v>0</v>
      </c>
      <c r="GM215">
        <f t="shared" si="242"/>
        <v>6890.12</v>
      </c>
      <c r="GN215">
        <f t="shared" si="243"/>
        <v>6890.12</v>
      </c>
      <c r="GO215">
        <f t="shared" si="244"/>
        <v>0</v>
      </c>
      <c r="GP215">
        <f t="shared" si="245"/>
        <v>0</v>
      </c>
      <c r="GR215">
        <v>0</v>
      </c>
      <c r="GS215">
        <v>3</v>
      </c>
      <c r="GT215">
        <v>0</v>
      </c>
      <c r="GU215" t="s">
        <v>3</v>
      </c>
      <c r="GV215">
        <f t="shared" si="246"/>
        <v>0</v>
      </c>
      <c r="GW215">
        <v>1</v>
      </c>
      <c r="GX215">
        <f t="shared" si="247"/>
        <v>0</v>
      </c>
      <c r="HA215">
        <v>0</v>
      </c>
      <c r="HB215">
        <v>0</v>
      </c>
      <c r="HC215">
        <f t="shared" si="248"/>
        <v>0</v>
      </c>
      <c r="IK215">
        <v>0</v>
      </c>
    </row>
    <row r="216" spans="1:245" x14ac:dyDescent="0.2">
      <c r="A216">
        <v>17</v>
      </c>
      <c r="B216">
        <v>1</v>
      </c>
      <c r="C216">
        <f>ROW(SmtRes!A252)</f>
        <v>252</v>
      </c>
      <c r="D216">
        <f>ROW(EtalonRes!A264)</f>
        <v>264</v>
      </c>
      <c r="E216" t="s">
        <v>372</v>
      </c>
      <c r="F216" t="s">
        <v>343</v>
      </c>
      <c r="G216" t="s">
        <v>344</v>
      </c>
      <c r="H216" t="s">
        <v>265</v>
      </c>
      <c r="I216">
        <f>ROUND(46*4/1000,9)</f>
        <v>0.184</v>
      </c>
      <c r="J216">
        <v>0</v>
      </c>
      <c r="O216">
        <f t="shared" si="214"/>
        <v>2.79</v>
      </c>
      <c r="P216">
        <f t="shared" si="215"/>
        <v>0</v>
      </c>
      <c r="Q216">
        <f t="shared" si="216"/>
        <v>2.15</v>
      </c>
      <c r="R216">
        <f t="shared" si="217"/>
        <v>0</v>
      </c>
      <c r="S216">
        <f t="shared" si="218"/>
        <v>0.64</v>
      </c>
      <c r="T216">
        <f t="shared" si="219"/>
        <v>0</v>
      </c>
      <c r="U216">
        <f t="shared" si="220"/>
        <v>6.6239999999999993E-2</v>
      </c>
      <c r="V216">
        <f t="shared" si="221"/>
        <v>0</v>
      </c>
      <c r="W216">
        <f t="shared" si="222"/>
        <v>0</v>
      </c>
      <c r="X216">
        <f t="shared" si="223"/>
        <v>0.82</v>
      </c>
      <c r="Y216">
        <f t="shared" si="224"/>
        <v>0.52</v>
      </c>
      <c r="AA216">
        <v>47631607</v>
      </c>
      <c r="AB216">
        <f t="shared" si="225"/>
        <v>15.16</v>
      </c>
      <c r="AC216">
        <f>ROUND(((ES216*4)),6)</f>
        <v>0</v>
      </c>
      <c r="AD216">
        <f>ROUND(((((ET216*4))-((EU216*4)))+AE216),6)</f>
        <v>11.68</v>
      </c>
      <c r="AE216">
        <f>ROUND(((EU216*4)),6)</f>
        <v>0</v>
      </c>
      <c r="AF216">
        <f>ROUND(((EV216*4)),6)</f>
        <v>3.48</v>
      </c>
      <c r="AG216">
        <f t="shared" si="227"/>
        <v>0</v>
      </c>
      <c r="AH216">
        <f>((EW216*4))</f>
        <v>0.36</v>
      </c>
      <c r="AI216">
        <f>((EX216*4))</f>
        <v>0</v>
      </c>
      <c r="AJ216">
        <f t="shared" si="228"/>
        <v>0</v>
      </c>
      <c r="AK216">
        <v>3.79</v>
      </c>
      <c r="AL216">
        <v>0</v>
      </c>
      <c r="AM216">
        <v>2.92</v>
      </c>
      <c r="AN216">
        <v>0</v>
      </c>
      <c r="AO216">
        <v>0.87</v>
      </c>
      <c r="AP216">
        <v>0</v>
      </c>
      <c r="AQ216">
        <v>0.09</v>
      </c>
      <c r="AR216">
        <v>0</v>
      </c>
      <c r="AS216">
        <v>0</v>
      </c>
      <c r="AT216">
        <v>128</v>
      </c>
      <c r="AU216">
        <v>81</v>
      </c>
      <c r="AV216">
        <v>1</v>
      </c>
      <c r="AW216">
        <v>1</v>
      </c>
      <c r="AZ216">
        <v>1</v>
      </c>
      <c r="BA216">
        <v>1</v>
      </c>
      <c r="BB216">
        <v>1</v>
      </c>
      <c r="BC216">
        <v>1</v>
      </c>
      <c r="BD216" t="s">
        <v>3</v>
      </c>
      <c r="BE216" t="s">
        <v>3</v>
      </c>
      <c r="BF216" t="s">
        <v>3</v>
      </c>
      <c r="BG216" t="s">
        <v>3</v>
      </c>
      <c r="BH216">
        <v>0</v>
      </c>
      <c r="BI216">
        <v>1</v>
      </c>
      <c r="BJ216" t="s">
        <v>345</v>
      </c>
      <c r="BM216">
        <v>27001</v>
      </c>
      <c r="BN216">
        <v>0</v>
      </c>
      <c r="BO216" t="s">
        <v>3</v>
      </c>
      <c r="BP216">
        <v>0</v>
      </c>
      <c r="BQ216">
        <v>2</v>
      </c>
      <c r="BR216">
        <v>0</v>
      </c>
      <c r="BS216">
        <v>1</v>
      </c>
      <c r="BT216">
        <v>1</v>
      </c>
      <c r="BU216">
        <v>1</v>
      </c>
      <c r="BV216">
        <v>1</v>
      </c>
      <c r="BW216">
        <v>1</v>
      </c>
      <c r="BX216">
        <v>1</v>
      </c>
      <c r="BY216" t="s">
        <v>3</v>
      </c>
      <c r="BZ216">
        <v>142</v>
      </c>
      <c r="CA216">
        <v>95</v>
      </c>
      <c r="CE216">
        <v>0</v>
      </c>
      <c r="CF216">
        <v>0</v>
      </c>
      <c r="CG216">
        <v>0</v>
      </c>
      <c r="CM216">
        <v>0</v>
      </c>
      <c r="CN216" t="s">
        <v>3</v>
      </c>
      <c r="CO216">
        <v>0</v>
      </c>
      <c r="CP216">
        <f t="shared" si="229"/>
        <v>2.79</v>
      </c>
      <c r="CQ216">
        <f t="shared" si="230"/>
        <v>0</v>
      </c>
      <c r="CR216">
        <f t="shared" si="231"/>
        <v>11.68</v>
      </c>
      <c r="CS216">
        <f t="shared" si="232"/>
        <v>0</v>
      </c>
      <c r="CT216">
        <f t="shared" si="233"/>
        <v>3.48</v>
      </c>
      <c r="CU216">
        <f t="shared" si="234"/>
        <v>0</v>
      </c>
      <c r="CV216">
        <f t="shared" si="235"/>
        <v>0.36</v>
      </c>
      <c r="CW216">
        <f t="shared" si="236"/>
        <v>0</v>
      </c>
      <c r="CX216">
        <f t="shared" si="237"/>
        <v>0</v>
      </c>
      <c r="CY216">
        <f t="shared" si="238"/>
        <v>0.81920000000000004</v>
      </c>
      <c r="CZ216">
        <f t="shared" si="239"/>
        <v>0.51840000000000008</v>
      </c>
      <c r="DC216" t="s">
        <v>3</v>
      </c>
      <c r="DD216" t="s">
        <v>346</v>
      </c>
      <c r="DE216" t="s">
        <v>346</v>
      </c>
      <c r="DF216" t="s">
        <v>346</v>
      </c>
      <c r="DG216" t="s">
        <v>346</v>
      </c>
      <c r="DH216" t="s">
        <v>3</v>
      </c>
      <c r="DI216" t="s">
        <v>346</v>
      </c>
      <c r="DJ216" t="s">
        <v>346</v>
      </c>
      <c r="DK216" t="s">
        <v>3</v>
      </c>
      <c r="DL216" t="s">
        <v>3</v>
      </c>
      <c r="DM216" t="s">
        <v>3</v>
      </c>
      <c r="DN216">
        <v>0</v>
      </c>
      <c r="DO216">
        <v>0</v>
      </c>
      <c r="DP216">
        <v>1</v>
      </c>
      <c r="DQ216">
        <v>1</v>
      </c>
      <c r="DU216">
        <v>1005</v>
      </c>
      <c r="DV216" t="s">
        <v>265</v>
      </c>
      <c r="DW216" t="s">
        <v>265</v>
      </c>
      <c r="DX216">
        <v>1000</v>
      </c>
      <c r="EE216">
        <v>45919611</v>
      </c>
      <c r="EF216">
        <v>2</v>
      </c>
      <c r="EG216" t="s">
        <v>54</v>
      </c>
      <c r="EH216">
        <v>0</v>
      </c>
      <c r="EI216" t="s">
        <v>3</v>
      </c>
      <c r="EJ216">
        <v>1</v>
      </c>
      <c r="EK216">
        <v>27001</v>
      </c>
      <c r="EL216" t="s">
        <v>281</v>
      </c>
      <c r="EM216" t="s">
        <v>282</v>
      </c>
      <c r="EO216" t="s">
        <v>3</v>
      </c>
      <c r="EQ216">
        <v>0</v>
      </c>
      <c r="ER216">
        <v>3.79</v>
      </c>
      <c r="ES216">
        <v>0</v>
      </c>
      <c r="ET216">
        <v>2.92</v>
      </c>
      <c r="EU216">
        <v>0</v>
      </c>
      <c r="EV216">
        <v>0.87</v>
      </c>
      <c r="EW216">
        <v>0.09</v>
      </c>
      <c r="EX216">
        <v>0</v>
      </c>
      <c r="EY216">
        <v>0</v>
      </c>
      <c r="FQ216">
        <v>0</v>
      </c>
      <c r="FR216">
        <f t="shared" si="240"/>
        <v>0</v>
      </c>
      <c r="FS216">
        <v>0</v>
      </c>
      <c r="FT216" t="s">
        <v>58</v>
      </c>
      <c r="FU216" t="s">
        <v>59</v>
      </c>
      <c r="FX216">
        <v>127.8</v>
      </c>
      <c r="FY216">
        <v>80.75</v>
      </c>
      <c r="GA216" t="s">
        <v>3</v>
      </c>
      <c r="GD216">
        <v>1</v>
      </c>
      <c r="GF216">
        <v>-652070841</v>
      </c>
      <c r="GG216">
        <v>2</v>
      </c>
      <c r="GH216">
        <v>1</v>
      </c>
      <c r="GI216">
        <v>-2</v>
      </c>
      <c r="GJ216">
        <v>0</v>
      </c>
      <c r="GK216">
        <v>0</v>
      </c>
      <c r="GL216">
        <f t="shared" si="241"/>
        <v>0</v>
      </c>
      <c r="GM216">
        <f t="shared" si="242"/>
        <v>4.13</v>
      </c>
      <c r="GN216">
        <f t="shared" si="243"/>
        <v>4.13</v>
      </c>
      <c r="GO216">
        <f t="shared" si="244"/>
        <v>0</v>
      </c>
      <c r="GP216">
        <f t="shared" si="245"/>
        <v>0</v>
      </c>
      <c r="GR216">
        <v>0</v>
      </c>
      <c r="GS216">
        <v>3</v>
      </c>
      <c r="GT216">
        <v>0</v>
      </c>
      <c r="GU216" t="s">
        <v>3</v>
      </c>
      <c r="GV216">
        <f t="shared" si="246"/>
        <v>0</v>
      </c>
      <c r="GW216">
        <v>1</v>
      </c>
      <c r="GX216">
        <f t="shared" si="247"/>
        <v>0</v>
      </c>
      <c r="HA216">
        <v>0</v>
      </c>
      <c r="HB216">
        <v>0</v>
      </c>
      <c r="HC216">
        <f t="shared" si="248"/>
        <v>0</v>
      </c>
      <c r="IK216">
        <v>0</v>
      </c>
    </row>
    <row r="217" spans="1:245" x14ac:dyDescent="0.2">
      <c r="A217">
        <v>18</v>
      </c>
      <c r="B217">
        <v>1</v>
      </c>
      <c r="C217">
        <v>251</v>
      </c>
      <c r="E217" t="s">
        <v>373</v>
      </c>
      <c r="F217" t="s">
        <v>335</v>
      </c>
      <c r="G217" t="s">
        <v>336</v>
      </c>
      <c r="H217" t="s">
        <v>32</v>
      </c>
      <c r="I217">
        <f>I216*J217</f>
        <v>4.1219999999999998E-3</v>
      </c>
      <c r="J217">
        <v>2.2402173913043479E-2</v>
      </c>
      <c r="O217">
        <f t="shared" si="214"/>
        <v>8.0299999999999994</v>
      </c>
      <c r="P217">
        <f t="shared" si="215"/>
        <v>8.0299999999999994</v>
      </c>
      <c r="Q217">
        <f t="shared" si="216"/>
        <v>0</v>
      </c>
      <c r="R217">
        <f t="shared" si="217"/>
        <v>0</v>
      </c>
      <c r="S217">
        <f t="shared" si="218"/>
        <v>0</v>
      </c>
      <c r="T217">
        <f t="shared" si="219"/>
        <v>0</v>
      </c>
      <c r="U217">
        <f t="shared" si="220"/>
        <v>0</v>
      </c>
      <c r="V217">
        <f t="shared" si="221"/>
        <v>0</v>
      </c>
      <c r="W217">
        <f t="shared" si="222"/>
        <v>0</v>
      </c>
      <c r="X217">
        <f t="shared" si="223"/>
        <v>0</v>
      </c>
      <c r="Y217">
        <f t="shared" si="224"/>
        <v>0</v>
      </c>
      <c r="AA217">
        <v>47631607</v>
      </c>
      <c r="AB217">
        <f t="shared" si="225"/>
        <v>1946.91</v>
      </c>
      <c r="AC217">
        <f>ROUND((ES217),6)</f>
        <v>1946.91</v>
      </c>
      <c r="AD217">
        <f>ROUND((((ET217)-(EU217))+AE217),6)</f>
        <v>0</v>
      </c>
      <c r="AE217">
        <f>ROUND((EU217),6)</f>
        <v>0</v>
      </c>
      <c r="AF217">
        <f>ROUND((EV217),6)</f>
        <v>0</v>
      </c>
      <c r="AG217">
        <f t="shared" si="227"/>
        <v>0</v>
      </c>
      <c r="AH217">
        <f>(EW217)</f>
        <v>0</v>
      </c>
      <c r="AI217">
        <f>(EX217)</f>
        <v>0</v>
      </c>
      <c r="AJ217">
        <f t="shared" si="228"/>
        <v>0</v>
      </c>
      <c r="AK217">
        <v>1946.91</v>
      </c>
      <c r="AL217">
        <v>1946.91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128</v>
      </c>
      <c r="AU217">
        <v>81</v>
      </c>
      <c r="AV217">
        <v>1</v>
      </c>
      <c r="AW217">
        <v>1</v>
      </c>
      <c r="AZ217">
        <v>1</v>
      </c>
      <c r="BA217">
        <v>1</v>
      </c>
      <c r="BB217">
        <v>1</v>
      </c>
      <c r="BC217">
        <v>1</v>
      </c>
      <c r="BD217" t="s">
        <v>3</v>
      </c>
      <c r="BE217" t="s">
        <v>3</v>
      </c>
      <c r="BF217" t="s">
        <v>3</v>
      </c>
      <c r="BG217" t="s">
        <v>3</v>
      </c>
      <c r="BH217">
        <v>3</v>
      </c>
      <c r="BI217">
        <v>1</v>
      </c>
      <c r="BJ217" t="s">
        <v>337</v>
      </c>
      <c r="BM217">
        <v>27001</v>
      </c>
      <c r="BN217">
        <v>0</v>
      </c>
      <c r="BO217" t="s">
        <v>3</v>
      </c>
      <c r="BP217">
        <v>0</v>
      </c>
      <c r="BQ217">
        <v>2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3</v>
      </c>
      <c r="BZ217">
        <v>142</v>
      </c>
      <c r="CA217">
        <v>95</v>
      </c>
      <c r="CE217">
        <v>0</v>
      </c>
      <c r="CF217">
        <v>0</v>
      </c>
      <c r="CG217">
        <v>0</v>
      </c>
      <c r="CM217">
        <v>0</v>
      </c>
      <c r="CN217" t="s">
        <v>3</v>
      </c>
      <c r="CO217">
        <v>0</v>
      </c>
      <c r="CP217">
        <f t="shared" si="229"/>
        <v>8.0299999999999994</v>
      </c>
      <c r="CQ217">
        <f t="shared" si="230"/>
        <v>1946.91</v>
      </c>
      <c r="CR217">
        <f t="shared" si="231"/>
        <v>0</v>
      </c>
      <c r="CS217">
        <f t="shared" si="232"/>
        <v>0</v>
      </c>
      <c r="CT217">
        <f t="shared" si="233"/>
        <v>0</v>
      </c>
      <c r="CU217">
        <f t="shared" si="234"/>
        <v>0</v>
      </c>
      <c r="CV217">
        <f t="shared" si="235"/>
        <v>0</v>
      </c>
      <c r="CW217">
        <f t="shared" si="236"/>
        <v>0</v>
      </c>
      <c r="CX217">
        <f t="shared" si="237"/>
        <v>0</v>
      </c>
      <c r="CY217">
        <f t="shared" si="238"/>
        <v>0</v>
      </c>
      <c r="CZ217">
        <f t="shared" si="239"/>
        <v>0</v>
      </c>
      <c r="DC217" t="s">
        <v>3</v>
      </c>
      <c r="DD217" t="s">
        <v>3</v>
      </c>
      <c r="DE217" t="s">
        <v>3</v>
      </c>
      <c r="DF217" t="s">
        <v>3</v>
      </c>
      <c r="DG217" t="s">
        <v>3</v>
      </c>
      <c r="DH217" t="s">
        <v>3</v>
      </c>
      <c r="DI217" t="s">
        <v>3</v>
      </c>
      <c r="DJ217" t="s">
        <v>3</v>
      </c>
      <c r="DK217" t="s">
        <v>3</v>
      </c>
      <c r="DL217" t="s">
        <v>3</v>
      </c>
      <c r="DM217" t="s">
        <v>3</v>
      </c>
      <c r="DN217">
        <v>0</v>
      </c>
      <c r="DO217">
        <v>0</v>
      </c>
      <c r="DP217">
        <v>1</v>
      </c>
      <c r="DQ217">
        <v>1</v>
      </c>
      <c r="DU217">
        <v>1009</v>
      </c>
      <c r="DV217" t="s">
        <v>32</v>
      </c>
      <c r="DW217" t="s">
        <v>32</v>
      </c>
      <c r="DX217">
        <v>1000</v>
      </c>
      <c r="EE217">
        <v>45919611</v>
      </c>
      <c r="EF217">
        <v>2</v>
      </c>
      <c r="EG217" t="s">
        <v>54</v>
      </c>
      <c r="EH217">
        <v>0</v>
      </c>
      <c r="EI217" t="s">
        <v>3</v>
      </c>
      <c r="EJ217">
        <v>1</v>
      </c>
      <c r="EK217">
        <v>27001</v>
      </c>
      <c r="EL217" t="s">
        <v>281</v>
      </c>
      <c r="EM217" t="s">
        <v>282</v>
      </c>
      <c r="EO217" t="s">
        <v>3</v>
      </c>
      <c r="EQ217">
        <v>0</v>
      </c>
      <c r="ER217">
        <v>1946.91</v>
      </c>
      <c r="ES217">
        <v>1946.91</v>
      </c>
      <c r="ET217">
        <v>0</v>
      </c>
      <c r="EU217">
        <v>0</v>
      </c>
      <c r="EV217">
        <v>0</v>
      </c>
      <c r="EW217">
        <v>0</v>
      </c>
      <c r="EX217">
        <v>0</v>
      </c>
      <c r="FQ217">
        <v>0</v>
      </c>
      <c r="FR217">
        <f t="shared" si="240"/>
        <v>0</v>
      </c>
      <c r="FS217">
        <v>0</v>
      </c>
      <c r="FT217" t="s">
        <v>58</v>
      </c>
      <c r="FU217" t="s">
        <v>59</v>
      </c>
      <c r="FX217">
        <v>127.8</v>
      </c>
      <c r="FY217">
        <v>80.75</v>
      </c>
      <c r="GA217" t="s">
        <v>3</v>
      </c>
      <c r="GD217">
        <v>1</v>
      </c>
      <c r="GF217">
        <v>1401058849</v>
      </c>
      <c r="GG217">
        <v>2</v>
      </c>
      <c r="GH217">
        <v>1</v>
      </c>
      <c r="GI217">
        <v>-2</v>
      </c>
      <c r="GJ217">
        <v>0</v>
      </c>
      <c r="GK217">
        <v>0</v>
      </c>
      <c r="GL217">
        <f t="shared" si="241"/>
        <v>0</v>
      </c>
      <c r="GM217">
        <f t="shared" si="242"/>
        <v>8.0299999999999994</v>
      </c>
      <c r="GN217">
        <f t="shared" si="243"/>
        <v>8.0299999999999994</v>
      </c>
      <c r="GO217">
        <f t="shared" si="244"/>
        <v>0</v>
      </c>
      <c r="GP217">
        <f t="shared" si="245"/>
        <v>0</v>
      </c>
      <c r="GR217">
        <v>0</v>
      </c>
      <c r="GS217">
        <v>3</v>
      </c>
      <c r="GT217">
        <v>0</v>
      </c>
      <c r="GU217" t="s">
        <v>3</v>
      </c>
      <c r="GV217">
        <f t="shared" si="246"/>
        <v>0</v>
      </c>
      <c r="GW217">
        <v>1</v>
      </c>
      <c r="GX217">
        <f t="shared" si="247"/>
        <v>0</v>
      </c>
      <c r="HA217">
        <v>0</v>
      </c>
      <c r="HB217">
        <v>0</v>
      </c>
      <c r="HC217">
        <f t="shared" si="248"/>
        <v>0</v>
      </c>
      <c r="IK217">
        <v>0</v>
      </c>
    </row>
    <row r="218" spans="1:245" x14ac:dyDescent="0.2">
      <c r="A218">
        <v>18</v>
      </c>
      <c r="B218">
        <v>1</v>
      </c>
      <c r="C218">
        <v>252</v>
      </c>
      <c r="E218" t="s">
        <v>374</v>
      </c>
      <c r="F218" t="s">
        <v>339</v>
      </c>
      <c r="G218" t="s">
        <v>340</v>
      </c>
      <c r="H218" t="s">
        <v>32</v>
      </c>
      <c r="I218">
        <f>I216*J218</f>
        <v>8.8320000000000007</v>
      </c>
      <c r="J218">
        <v>48.000000000000007</v>
      </c>
      <c r="O218">
        <f t="shared" si="214"/>
        <v>3452.25</v>
      </c>
      <c r="P218">
        <f t="shared" si="215"/>
        <v>3452.25</v>
      </c>
      <c r="Q218">
        <f t="shared" si="216"/>
        <v>0</v>
      </c>
      <c r="R218">
        <f t="shared" si="217"/>
        <v>0</v>
      </c>
      <c r="S218">
        <f t="shared" si="218"/>
        <v>0</v>
      </c>
      <c r="T218">
        <f t="shared" si="219"/>
        <v>0</v>
      </c>
      <c r="U218">
        <f t="shared" si="220"/>
        <v>0</v>
      </c>
      <c r="V218">
        <f t="shared" si="221"/>
        <v>0</v>
      </c>
      <c r="W218">
        <f t="shared" si="222"/>
        <v>0</v>
      </c>
      <c r="X218">
        <f t="shared" si="223"/>
        <v>0</v>
      </c>
      <c r="Y218">
        <f t="shared" si="224"/>
        <v>0</v>
      </c>
      <c r="AA218">
        <v>47631607</v>
      </c>
      <c r="AB218">
        <f t="shared" si="225"/>
        <v>390.88</v>
      </c>
      <c r="AC218">
        <f>ROUND((ES218),6)</f>
        <v>390.88</v>
      </c>
      <c r="AD218">
        <f>ROUND((((ET218)-(EU218))+AE218),6)</f>
        <v>0</v>
      </c>
      <c r="AE218">
        <f>ROUND((EU218),6)</f>
        <v>0</v>
      </c>
      <c r="AF218">
        <f>ROUND((EV218),6)</f>
        <v>0</v>
      </c>
      <c r="AG218">
        <f t="shared" si="227"/>
        <v>0</v>
      </c>
      <c r="AH218">
        <f>(EW218)</f>
        <v>0</v>
      </c>
      <c r="AI218">
        <f>(EX218)</f>
        <v>0</v>
      </c>
      <c r="AJ218">
        <f t="shared" si="228"/>
        <v>0</v>
      </c>
      <c r="AK218">
        <v>390.88</v>
      </c>
      <c r="AL218">
        <v>390.88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128</v>
      </c>
      <c r="AU218">
        <v>81</v>
      </c>
      <c r="AV218">
        <v>1</v>
      </c>
      <c r="AW218">
        <v>1</v>
      </c>
      <c r="AZ218">
        <v>1</v>
      </c>
      <c r="BA218">
        <v>1</v>
      </c>
      <c r="BB218">
        <v>1</v>
      </c>
      <c r="BC218">
        <v>1</v>
      </c>
      <c r="BD218" t="s">
        <v>3</v>
      </c>
      <c r="BE218" t="s">
        <v>3</v>
      </c>
      <c r="BF218" t="s">
        <v>3</v>
      </c>
      <c r="BG218" t="s">
        <v>3</v>
      </c>
      <c r="BH218">
        <v>3</v>
      </c>
      <c r="BI218">
        <v>1</v>
      </c>
      <c r="BJ218" t="s">
        <v>341</v>
      </c>
      <c r="BM218">
        <v>27001</v>
      </c>
      <c r="BN218">
        <v>0</v>
      </c>
      <c r="BO218" t="s">
        <v>3</v>
      </c>
      <c r="BP218">
        <v>0</v>
      </c>
      <c r="BQ218">
        <v>2</v>
      </c>
      <c r="BR218">
        <v>0</v>
      </c>
      <c r="BS218">
        <v>1</v>
      </c>
      <c r="BT218">
        <v>1</v>
      </c>
      <c r="BU218">
        <v>1</v>
      </c>
      <c r="BV218">
        <v>1</v>
      </c>
      <c r="BW218">
        <v>1</v>
      </c>
      <c r="BX218">
        <v>1</v>
      </c>
      <c r="BY218" t="s">
        <v>3</v>
      </c>
      <c r="BZ218">
        <v>142</v>
      </c>
      <c r="CA218">
        <v>95</v>
      </c>
      <c r="CE218">
        <v>0</v>
      </c>
      <c r="CF218">
        <v>0</v>
      </c>
      <c r="CG218">
        <v>0</v>
      </c>
      <c r="CM218">
        <v>0</v>
      </c>
      <c r="CN218" t="s">
        <v>3</v>
      </c>
      <c r="CO218">
        <v>0</v>
      </c>
      <c r="CP218">
        <f t="shared" si="229"/>
        <v>3452.25</v>
      </c>
      <c r="CQ218">
        <f t="shared" si="230"/>
        <v>390.88</v>
      </c>
      <c r="CR218">
        <f t="shared" si="231"/>
        <v>0</v>
      </c>
      <c r="CS218">
        <f t="shared" si="232"/>
        <v>0</v>
      </c>
      <c r="CT218">
        <f t="shared" si="233"/>
        <v>0</v>
      </c>
      <c r="CU218">
        <f t="shared" si="234"/>
        <v>0</v>
      </c>
      <c r="CV218">
        <f t="shared" si="235"/>
        <v>0</v>
      </c>
      <c r="CW218">
        <f t="shared" si="236"/>
        <v>0</v>
      </c>
      <c r="CX218">
        <f t="shared" si="237"/>
        <v>0</v>
      </c>
      <c r="CY218">
        <f t="shared" si="238"/>
        <v>0</v>
      </c>
      <c r="CZ218">
        <f t="shared" si="239"/>
        <v>0</v>
      </c>
      <c r="DC218" t="s">
        <v>3</v>
      </c>
      <c r="DD218" t="s">
        <v>3</v>
      </c>
      <c r="DE218" t="s">
        <v>3</v>
      </c>
      <c r="DF218" t="s">
        <v>3</v>
      </c>
      <c r="DG218" t="s">
        <v>3</v>
      </c>
      <c r="DH218" t="s">
        <v>3</v>
      </c>
      <c r="DI218" t="s">
        <v>3</v>
      </c>
      <c r="DJ218" t="s">
        <v>3</v>
      </c>
      <c r="DK218" t="s">
        <v>3</v>
      </c>
      <c r="DL218" t="s">
        <v>3</v>
      </c>
      <c r="DM218" t="s">
        <v>3</v>
      </c>
      <c r="DN218">
        <v>0</v>
      </c>
      <c r="DO218">
        <v>0</v>
      </c>
      <c r="DP218">
        <v>1</v>
      </c>
      <c r="DQ218">
        <v>1</v>
      </c>
      <c r="DU218">
        <v>1009</v>
      </c>
      <c r="DV218" t="s">
        <v>32</v>
      </c>
      <c r="DW218" t="s">
        <v>32</v>
      </c>
      <c r="DX218">
        <v>1000</v>
      </c>
      <c r="EE218">
        <v>45919611</v>
      </c>
      <c r="EF218">
        <v>2</v>
      </c>
      <c r="EG218" t="s">
        <v>54</v>
      </c>
      <c r="EH218">
        <v>0</v>
      </c>
      <c r="EI218" t="s">
        <v>3</v>
      </c>
      <c r="EJ218">
        <v>1</v>
      </c>
      <c r="EK218">
        <v>27001</v>
      </c>
      <c r="EL218" t="s">
        <v>281</v>
      </c>
      <c r="EM218" t="s">
        <v>282</v>
      </c>
      <c r="EO218" t="s">
        <v>3</v>
      </c>
      <c r="EQ218">
        <v>0</v>
      </c>
      <c r="ER218">
        <v>390.88</v>
      </c>
      <c r="ES218">
        <v>390.88</v>
      </c>
      <c r="ET218">
        <v>0</v>
      </c>
      <c r="EU218">
        <v>0</v>
      </c>
      <c r="EV218">
        <v>0</v>
      </c>
      <c r="EW218">
        <v>0</v>
      </c>
      <c r="EX218">
        <v>0</v>
      </c>
      <c r="FQ218">
        <v>0</v>
      </c>
      <c r="FR218">
        <f t="shared" si="240"/>
        <v>0</v>
      </c>
      <c r="FS218">
        <v>0</v>
      </c>
      <c r="FT218" t="s">
        <v>58</v>
      </c>
      <c r="FU218" t="s">
        <v>59</v>
      </c>
      <c r="FX218">
        <v>127.8</v>
      </c>
      <c r="FY218">
        <v>80.75</v>
      </c>
      <c r="GA218" t="s">
        <v>3</v>
      </c>
      <c r="GD218">
        <v>1</v>
      </c>
      <c r="GF218">
        <v>1955294855</v>
      </c>
      <c r="GG218">
        <v>2</v>
      </c>
      <c r="GH218">
        <v>1</v>
      </c>
      <c r="GI218">
        <v>-2</v>
      </c>
      <c r="GJ218">
        <v>0</v>
      </c>
      <c r="GK218">
        <v>0</v>
      </c>
      <c r="GL218">
        <f t="shared" si="241"/>
        <v>0</v>
      </c>
      <c r="GM218">
        <f t="shared" si="242"/>
        <v>3452.25</v>
      </c>
      <c r="GN218">
        <f t="shared" si="243"/>
        <v>3452.25</v>
      </c>
      <c r="GO218">
        <f t="shared" si="244"/>
        <v>0</v>
      </c>
      <c r="GP218">
        <f t="shared" si="245"/>
        <v>0</v>
      </c>
      <c r="GR218">
        <v>0</v>
      </c>
      <c r="GS218">
        <v>3</v>
      </c>
      <c r="GT218">
        <v>0</v>
      </c>
      <c r="GU218" t="s">
        <v>3</v>
      </c>
      <c r="GV218">
        <f t="shared" si="246"/>
        <v>0</v>
      </c>
      <c r="GW218">
        <v>1</v>
      </c>
      <c r="GX218">
        <f t="shared" si="247"/>
        <v>0</v>
      </c>
      <c r="HA218">
        <v>0</v>
      </c>
      <c r="HB218">
        <v>0</v>
      </c>
      <c r="HC218">
        <f t="shared" si="248"/>
        <v>0</v>
      </c>
      <c r="IK218">
        <v>0</v>
      </c>
    </row>
    <row r="219" spans="1:245" x14ac:dyDescent="0.2">
      <c r="A219">
        <v>17</v>
      </c>
      <c r="B219">
        <v>1</v>
      </c>
      <c r="C219">
        <f>ROW(SmtRes!A266)</f>
        <v>266</v>
      </c>
      <c r="D219">
        <f>ROW(EtalonRes!A278)</f>
        <v>278</v>
      </c>
      <c r="E219" t="s">
        <v>375</v>
      </c>
      <c r="F219" t="s">
        <v>350</v>
      </c>
      <c r="G219" t="s">
        <v>351</v>
      </c>
      <c r="H219" t="s">
        <v>265</v>
      </c>
      <c r="I219">
        <f>ROUND(46*4/1000,9)</f>
        <v>0.184</v>
      </c>
      <c r="J219">
        <v>0</v>
      </c>
      <c r="O219">
        <f t="shared" si="214"/>
        <v>763.03</v>
      </c>
      <c r="P219">
        <f t="shared" si="215"/>
        <v>42.44</v>
      </c>
      <c r="Q219">
        <f t="shared" si="216"/>
        <v>630.92999999999995</v>
      </c>
      <c r="R219">
        <f t="shared" si="217"/>
        <v>69.569999999999993</v>
      </c>
      <c r="S219">
        <f t="shared" si="218"/>
        <v>89.66</v>
      </c>
      <c r="T219">
        <f t="shared" si="219"/>
        <v>0</v>
      </c>
      <c r="U219">
        <f t="shared" si="220"/>
        <v>9.3199219999999983</v>
      </c>
      <c r="V219">
        <f t="shared" si="221"/>
        <v>5.0572400000000002</v>
      </c>
      <c r="W219">
        <f t="shared" si="222"/>
        <v>0</v>
      </c>
      <c r="X219">
        <f t="shared" si="223"/>
        <v>203.81</v>
      </c>
      <c r="Y219">
        <f t="shared" si="224"/>
        <v>128.97999999999999</v>
      </c>
      <c r="AA219">
        <v>47631607</v>
      </c>
      <c r="AB219">
        <f t="shared" si="225"/>
        <v>4146.9144999999999</v>
      </c>
      <c r="AC219">
        <f>ROUND((ES219),6)</f>
        <v>230.67</v>
      </c>
      <c r="AD219">
        <f>ROUND((((((ET219*1.15)*1.25))-(((EU219*1.15)*1.25)))+AE219),6)</f>
        <v>3428.9693750000001</v>
      </c>
      <c r="AE219">
        <f>ROUND((((EU219*1.15)*1.25)),6)</f>
        <v>378.07687499999997</v>
      </c>
      <c r="AF219">
        <f>ROUND((((EV219*1.15)*1.15)),6)</f>
        <v>487.275125</v>
      </c>
      <c r="AG219">
        <f t="shared" si="227"/>
        <v>0</v>
      </c>
      <c r="AH219">
        <f>(((EW219*1.15)*1.15))</f>
        <v>50.651749999999993</v>
      </c>
      <c r="AI219">
        <f>(((EX219*1.15)*1.25))</f>
        <v>27.484999999999999</v>
      </c>
      <c r="AJ219">
        <f t="shared" si="228"/>
        <v>0</v>
      </c>
      <c r="AK219">
        <v>2984.49</v>
      </c>
      <c r="AL219">
        <v>230.67</v>
      </c>
      <c r="AM219">
        <v>2385.37</v>
      </c>
      <c r="AN219">
        <v>263.01</v>
      </c>
      <c r="AO219">
        <v>368.45</v>
      </c>
      <c r="AP219">
        <v>0</v>
      </c>
      <c r="AQ219">
        <v>38.299999999999997</v>
      </c>
      <c r="AR219">
        <v>19.12</v>
      </c>
      <c r="AS219">
        <v>0</v>
      </c>
      <c r="AT219">
        <v>128</v>
      </c>
      <c r="AU219">
        <v>81</v>
      </c>
      <c r="AV219">
        <v>1</v>
      </c>
      <c r="AW219">
        <v>1</v>
      </c>
      <c r="AZ219">
        <v>1</v>
      </c>
      <c r="BA219">
        <v>1</v>
      </c>
      <c r="BB219">
        <v>1</v>
      </c>
      <c r="BC219">
        <v>1</v>
      </c>
      <c r="BD219" t="s">
        <v>3</v>
      </c>
      <c r="BE219" t="s">
        <v>3</v>
      </c>
      <c r="BF219" t="s">
        <v>3</v>
      </c>
      <c r="BG219" t="s">
        <v>3</v>
      </c>
      <c r="BH219">
        <v>0</v>
      </c>
      <c r="BI219">
        <v>1</v>
      </c>
      <c r="BJ219" t="s">
        <v>352</v>
      </c>
      <c r="BM219">
        <v>27001</v>
      </c>
      <c r="BN219">
        <v>0</v>
      </c>
      <c r="BO219" t="s">
        <v>3</v>
      </c>
      <c r="BP219">
        <v>0</v>
      </c>
      <c r="BQ219">
        <v>2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3</v>
      </c>
      <c r="BZ219">
        <v>142</v>
      </c>
      <c r="CA219">
        <v>95</v>
      </c>
      <c r="CE219">
        <v>0</v>
      </c>
      <c r="CF219">
        <v>0</v>
      </c>
      <c r="CG219">
        <v>0</v>
      </c>
      <c r="CM219">
        <v>0</v>
      </c>
      <c r="CN219" t="s">
        <v>746</v>
      </c>
      <c r="CO219">
        <v>0</v>
      </c>
      <c r="CP219">
        <f t="shared" si="229"/>
        <v>763.02999999999986</v>
      </c>
      <c r="CQ219">
        <f t="shared" si="230"/>
        <v>230.67</v>
      </c>
      <c r="CR219">
        <f t="shared" si="231"/>
        <v>3428.9693750000001</v>
      </c>
      <c r="CS219">
        <f t="shared" si="232"/>
        <v>378.07687499999997</v>
      </c>
      <c r="CT219">
        <f t="shared" si="233"/>
        <v>487.275125</v>
      </c>
      <c r="CU219">
        <f t="shared" si="234"/>
        <v>0</v>
      </c>
      <c r="CV219">
        <f t="shared" si="235"/>
        <v>50.651749999999993</v>
      </c>
      <c r="CW219">
        <f t="shared" si="236"/>
        <v>27.484999999999999</v>
      </c>
      <c r="CX219">
        <f t="shared" si="237"/>
        <v>0</v>
      </c>
      <c r="CY219">
        <f t="shared" si="238"/>
        <v>203.81439999999998</v>
      </c>
      <c r="CZ219">
        <f t="shared" si="239"/>
        <v>128.97629999999998</v>
      </c>
      <c r="DC219" t="s">
        <v>3</v>
      </c>
      <c r="DD219" t="s">
        <v>3</v>
      </c>
      <c r="DE219" t="s">
        <v>280</v>
      </c>
      <c r="DF219" t="s">
        <v>280</v>
      </c>
      <c r="DG219" t="s">
        <v>53</v>
      </c>
      <c r="DH219" t="s">
        <v>3</v>
      </c>
      <c r="DI219" t="s">
        <v>53</v>
      </c>
      <c r="DJ219" t="s">
        <v>280</v>
      </c>
      <c r="DK219" t="s">
        <v>3</v>
      </c>
      <c r="DL219" t="s">
        <v>3</v>
      </c>
      <c r="DM219" t="s">
        <v>3</v>
      </c>
      <c r="DN219">
        <v>0</v>
      </c>
      <c r="DO219">
        <v>0</v>
      </c>
      <c r="DP219">
        <v>1</v>
      </c>
      <c r="DQ219">
        <v>1</v>
      </c>
      <c r="DU219">
        <v>1005</v>
      </c>
      <c r="DV219" t="s">
        <v>265</v>
      </c>
      <c r="DW219" t="s">
        <v>265</v>
      </c>
      <c r="DX219">
        <v>1000</v>
      </c>
      <c r="EE219">
        <v>45919611</v>
      </c>
      <c r="EF219">
        <v>2</v>
      </c>
      <c r="EG219" t="s">
        <v>54</v>
      </c>
      <c r="EH219">
        <v>0</v>
      </c>
      <c r="EI219" t="s">
        <v>3</v>
      </c>
      <c r="EJ219">
        <v>1</v>
      </c>
      <c r="EK219">
        <v>27001</v>
      </c>
      <c r="EL219" t="s">
        <v>281</v>
      </c>
      <c r="EM219" t="s">
        <v>282</v>
      </c>
      <c r="EO219" t="s">
        <v>283</v>
      </c>
      <c r="EQ219">
        <v>0</v>
      </c>
      <c r="ER219">
        <v>2984.49</v>
      </c>
      <c r="ES219">
        <v>230.67</v>
      </c>
      <c r="ET219">
        <v>2385.37</v>
      </c>
      <c r="EU219">
        <v>263.01</v>
      </c>
      <c r="EV219">
        <v>368.45</v>
      </c>
      <c r="EW219">
        <v>38.299999999999997</v>
      </c>
      <c r="EX219">
        <v>19.12</v>
      </c>
      <c r="EY219">
        <v>0</v>
      </c>
      <c r="FQ219">
        <v>0</v>
      </c>
      <c r="FR219">
        <f t="shared" si="240"/>
        <v>0</v>
      </c>
      <c r="FS219">
        <v>0</v>
      </c>
      <c r="FT219" t="s">
        <v>58</v>
      </c>
      <c r="FU219" t="s">
        <v>59</v>
      </c>
      <c r="FX219">
        <v>127.8</v>
      </c>
      <c r="FY219">
        <v>80.75</v>
      </c>
      <c r="GA219" t="s">
        <v>3</v>
      </c>
      <c r="GD219">
        <v>1</v>
      </c>
      <c r="GF219">
        <v>-1828687150</v>
      </c>
      <c r="GG219">
        <v>2</v>
      </c>
      <c r="GH219">
        <v>1</v>
      </c>
      <c r="GI219">
        <v>-2</v>
      </c>
      <c r="GJ219">
        <v>0</v>
      </c>
      <c r="GK219">
        <v>0</v>
      </c>
      <c r="GL219">
        <f t="shared" si="241"/>
        <v>0</v>
      </c>
      <c r="GM219">
        <f t="shared" si="242"/>
        <v>1095.82</v>
      </c>
      <c r="GN219">
        <f t="shared" si="243"/>
        <v>1095.82</v>
      </c>
      <c r="GO219">
        <f t="shared" si="244"/>
        <v>0</v>
      </c>
      <c r="GP219">
        <f t="shared" si="245"/>
        <v>0</v>
      </c>
      <c r="GR219">
        <v>0</v>
      </c>
      <c r="GS219">
        <v>3</v>
      </c>
      <c r="GT219">
        <v>0</v>
      </c>
      <c r="GU219" t="s">
        <v>3</v>
      </c>
      <c r="GV219">
        <f t="shared" si="246"/>
        <v>0</v>
      </c>
      <c r="GW219">
        <v>1</v>
      </c>
      <c r="GX219">
        <f t="shared" si="247"/>
        <v>0</v>
      </c>
      <c r="HA219">
        <v>0</v>
      </c>
      <c r="HB219">
        <v>0</v>
      </c>
      <c r="HC219">
        <f t="shared" si="248"/>
        <v>0</v>
      </c>
      <c r="IK219">
        <v>0</v>
      </c>
    </row>
    <row r="220" spans="1:245" x14ac:dyDescent="0.2">
      <c r="A220">
        <v>18</v>
      </c>
      <c r="B220">
        <v>1</v>
      </c>
      <c r="C220">
        <v>262</v>
      </c>
      <c r="E220" t="s">
        <v>376</v>
      </c>
      <c r="F220" t="s">
        <v>335</v>
      </c>
      <c r="G220" t="s">
        <v>336</v>
      </c>
      <c r="H220" t="s">
        <v>32</v>
      </c>
      <c r="I220">
        <f>I219*J220</f>
        <v>1.9870000000000001E-3</v>
      </c>
      <c r="J220">
        <v>1.0798913043478261E-2</v>
      </c>
      <c r="O220">
        <f t="shared" si="214"/>
        <v>3.87</v>
      </c>
      <c r="P220">
        <f t="shared" si="215"/>
        <v>3.87</v>
      </c>
      <c r="Q220">
        <f t="shared" si="216"/>
        <v>0</v>
      </c>
      <c r="R220">
        <f t="shared" si="217"/>
        <v>0</v>
      </c>
      <c r="S220">
        <f t="shared" si="218"/>
        <v>0</v>
      </c>
      <c r="T220">
        <f t="shared" si="219"/>
        <v>0</v>
      </c>
      <c r="U220">
        <f t="shared" si="220"/>
        <v>0</v>
      </c>
      <c r="V220">
        <f t="shared" si="221"/>
        <v>0</v>
      </c>
      <c r="W220">
        <f t="shared" si="222"/>
        <v>0</v>
      </c>
      <c r="X220">
        <f t="shared" si="223"/>
        <v>0</v>
      </c>
      <c r="Y220">
        <f t="shared" si="224"/>
        <v>0</v>
      </c>
      <c r="AA220">
        <v>47631607</v>
      </c>
      <c r="AB220">
        <f t="shared" si="225"/>
        <v>1946.91</v>
      </c>
      <c r="AC220">
        <f>ROUND((ES220),6)</f>
        <v>1946.91</v>
      </c>
      <c r="AD220">
        <f>ROUND((((ET220)-(EU220))+AE220),6)</f>
        <v>0</v>
      </c>
      <c r="AE220">
        <f>ROUND((EU220),6)</f>
        <v>0</v>
      </c>
      <c r="AF220">
        <f>ROUND((EV220),6)</f>
        <v>0</v>
      </c>
      <c r="AG220">
        <f t="shared" si="227"/>
        <v>0</v>
      </c>
      <c r="AH220">
        <f>(EW220)</f>
        <v>0</v>
      </c>
      <c r="AI220">
        <f>(EX220)</f>
        <v>0</v>
      </c>
      <c r="AJ220">
        <f t="shared" si="228"/>
        <v>0</v>
      </c>
      <c r="AK220">
        <v>1946.91</v>
      </c>
      <c r="AL220">
        <v>1946.91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128</v>
      </c>
      <c r="AU220">
        <v>81</v>
      </c>
      <c r="AV220">
        <v>1</v>
      </c>
      <c r="AW220">
        <v>1</v>
      </c>
      <c r="AZ220">
        <v>1</v>
      </c>
      <c r="BA220">
        <v>1</v>
      </c>
      <c r="BB220">
        <v>1</v>
      </c>
      <c r="BC220">
        <v>1</v>
      </c>
      <c r="BD220" t="s">
        <v>3</v>
      </c>
      <c r="BE220" t="s">
        <v>3</v>
      </c>
      <c r="BF220" t="s">
        <v>3</v>
      </c>
      <c r="BG220" t="s">
        <v>3</v>
      </c>
      <c r="BH220">
        <v>3</v>
      </c>
      <c r="BI220">
        <v>1</v>
      </c>
      <c r="BJ220" t="s">
        <v>337</v>
      </c>
      <c r="BM220">
        <v>27001</v>
      </c>
      <c r="BN220">
        <v>0</v>
      </c>
      <c r="BO220" t="s">
        <v>3</v>
      </c>
      <c r="BP220">
        <v>0</v>
      </c>
      <c r="BQ220">
        <v>2</v>
      </c>
      <c r="BR220">
        <v>0</v>
      </c>
      <c r="BS220">
        <v>1</v>
      </c>
      <c r="BT220">
        <v>1</v>
      </c>
      <c r="BU220">
        <v>1</v>
      </c>
      <c r="BV220">
        <v>1</v>
      </c>
      <c r="BW220">
        <v>1</v>
      </c>
      <c r="BX220">
        <v>1</v>
      </c>
      <c r="BY220" t="s">
        <v>3</v>
      </c>
      <c r="BZ220">
        <v>142</v>
      </c>
      <c r="CA220">
        <v>95</v>
      </c>
      <c r="CE220">
        <v>0</v>
      </c>
      <c r="CF220">
        <v>0</v>
      </c>
      <c r="CG220">
        <v>0</v>
      </c>
      <c r="CM220">
        <v>0</v>
      </c>
      <c r="CN220" t="s">
        <v>3</v>
      </c>
      <c r="CO220">
        <v>0</v>
      </c>
      <c r="CP220">
        <f t="shared" si="229"/>
        <v>3.87</v>
      </c>
      <c r="CQ220">
        <f t="shared" si="230"/>
        <v>1946.91</v>
      </c>
      <c r="CR220">
        <f t="shared" si="231"/>
        <v>0</v>
      </c>
      <c r="CS220">
        <f t="shared" si="232"/>
        <v>0</v>
      </c>
      <c r="CT220">
        <f t="shared" si="233"/>
        <v>0</v>
      </c>
      <c r="CU220">
        <f t="shared" si="234"/>
        <v>0</v>
      </c>
      <c r="CV220">
        <f t="shared" si="235"/>
        <v>0</v>
      </c>
      <c r="CW220">
        <f t="shared" si="236"/>
        <v>0</v>
      </c>
      <c r="CX220">
        <f t="shared" si="237"/>
        <v>0</v>
      </c>
      <c r="CY220">
        <f t="shared" si="238"/>
        <v>0</v>
      </c>
      <c r="CZ220">
        <f t="shared" si="239"/>
        <v>0</v>
      </c>
      <c r="DC220" t="s">
        <v>3</v>
      </c>
      <c r="DD220" t="s">
        <v>3</v>
      </c>
      <c r="DE220" t="s">
        <v>3</v>
      </c>
      <c r="DF220" t="s">
        <v>3</v>
      </c>
      <c r="DG220" t="s">
        <v>3</v>
      </c>
      <c r="DH220" t="s">
        <v>3</v>
      </c>
      <c r="DI220" t="s">
        <v>3</v>
      </c>
      <c r="DJ220" t="s">
        <v>3</v>
      </c>
      <c r="DK220" t="s">
        <v>3</v>
      </c>
      <c r="DL220" t="s">
        <v>3</v>
      </c>
      <c r="DM220" t="s">
        <v>3</v>
      </c>
      <c r="DN220">
        <v>0</v>
      </c>
      <c r="DO220">
        <v>0</v>
      </c>
      <c r="DP220">
        <v>1</v>
      </c>
      <c r="DQ220">
        <v>1</v>
      </c>
      <c r="DU220">
        <v>1009</v>
      </c>
      <c r="DV220" t="s">
        <v>32</v>
      </c>
      <c r="DW220" t="s">
        <v>32</v>
      </c>
      <c r="DX220">
        <v>1000</v>
      </c>
      <c r="EE220">
        <v>45919611</v>
      </c>
      <c r="EF220">
        <v>2</v>
      </c>
      <c r="EG220" t="s">
        <v>54</v>
      </c>
      <c r="EH220">
        <v>0</v>
      </c>
      <c r="EI220" t="s">
        <v>3</v>
      </c>
      <c r="EJ220">
        <v>1</v>
      </c>
      <c r="EK220">
        <v>27001</v>
      </c>
      <c r="EL220" t="s">
        <v>281</v>
      </c>
      <c r="EM220" t="s">
        <v>282</v>
      </c>
      <c r="EO220" t="s">
        <v>3</v>
      </c>
      <c r="EQ220">
        <v>0</v>
      </c>
      <c r="ER220">
        <v>1946.91</v>
      </c>
      <c r="ES220">
        <v>1946.91</v>
      </c>
      <c r="ET220">
        <v>0</v>
      </c>
      <c r="EU220">
        <v>0</v>
      </c>
      <c r="EV220">
        <v>0</v>
      </c>
      <c r="EW220">
        <v>0</v>
      </c>
      <c r="EX220">
        <v>0</v>
      </c>
      <c r="FQ220">
        <v>0</v>
      </c>
      <c r="FR220">
        <f t="shared" si="240"/>
        <v>0</v>
      </c>
      <c r="FS220">
        <v>0</v>
      </c>
      <c r="FT220" t="s">
        <v>58</v>
      </c>
      <c r="FU220" t="s">
        <v>59</v>
      </c>
      <c r="FX220">
        <v>127.8</v>
      </c>
      <c r="FY220">
        <v>80.75</v>
      </c>
      <c r="GA220" t="s">
        <v>3</v>
      </c>
      <c r="GD220">
        <v>1</v>
      </c>
      <c r="GF220">
        <v>1401058849</v>
      </c>
      <c r="GG220">
        <v>2</v>
      </c>
      <c r="GH220">
        <v>1</v>
      </c>
      <c r="GI220">
        <v>-2</v>
      </c>
      <c r="GJ220">
        <v>0</v>
      </c>
      <c r="GK220">
        <v>0</v>
      </c>
      <c r="GL220">
        <f t="shared" si="241"/>
        <v>0</v>
      </c>
      <c r="GM220">
        <f t="shared" si="242"/>
        <v>3.87</v>
      </c>
      <c r="GN220">
        <f t="shared" si="243"/>
        <v>3.87</v>
      </c>
      <c r="GO220">
        <f t="shared" si="244"/>
        <v>0</v>
      </c>
      <c r="GP220">
        <f t="shared" si="245"/>
        <v>0</v>
      </c>
      <c r="GR220">
        <v>0</v>
      </c>
      <c r="GS220">
        <v>3</v>
      </c>
      <c r="GT220">
        <v>0</v>
      </c>
      <c r="GU220" t="s">
        <v>3</v>
      </c>
      <c r="GV220">
        <f t="shared" si="246"/>
        <v>0</v>
      </c>
      <c r="GW220">
        <v>1</v>
      </c>
      <c r="GX220">
        <f t="shared" si="247"/>
        <v>0</v>
      </c>
      <c r="HA220">
        <v>0</v>
      </c>
      <c r="HB220">
        <v>0</v>
      </c>
      <c r="HC220">
        <f t="shared" si="248"/>
        <v>0</v>
      </c>
      <c r="IK220">
        <v>0</v>
      </c>
    </row>
    <row r="221" spans="1:245" x14ac:dyDescent="0.2">
      <c r="A221">
        <v>18</v>
      </c>
      <c r="B221">
        <v>1</v>
      </c>
      <c r="C221">
        <v>264</v>
      </c>
      <c r="E221" t="s">
        <v>377</v>
      </c>
      <c r="F221" t="s">
        <v>355</v>
      </c>
      <c r="G221" t="s">
        <v>356</v>
      </c>
      <c r="H221" t="s">
        <v>32</v>
      </c>
      <c r="I221">
        <f>I219*J221</f>
        <v>17.7744</v>
      </c>
      <c r="J221">
        <v>96.600000000000009</v>
      </c>
      <c r="O221">
        <f t="shared" si="214"/>
        <v>8176.22</v>
      </c>
      <c r="P221">
        <f t="shared" si="215"/>
        <v>8176.22</v>
      </c>
      <c r="Q221">
        <f t="shared" si="216"/>
        <v>0</v>
      </c>
      <c r="R221">
        <f t="shared" si="217"/>
        <v>0</v>
      </c>
      <c r="S221">
        <f t="shared" si="218"/>
        <v>0</v>
      </c>
      <c r="T221">
        <f t="shared" si="219"/>
        <v>0</v>
      </c>
      <c r="U221">
        <f t="shared" si="220"/>
        <v>0</v>
      </c>
      <c r="V221">
        <f t="shared" si="221"/>
        <v>0</v>
      </c>
      <c r="W221">
        <f t="shared" si="222"/>
        <v>0</v>
      </c>
      <c r="X221">
        <f t="shared" si="223"/>
        <v>0</v>
      </c>
      <c r="Y221">
        <f t="shared" si="224"/>
        <v>0</v>
      </c>
      <c r="AA221">
        <v>47631607</v>
      </c>
      <c r="AB221">
        <f t="shared" si="225"/>
        <v>460</v>
      </c>
      <c r="AC221">
        <f>ROUND((ES221),6)</f>
        <v>460</v>
      </c>
      <c r="AD221">
        <f>ROUND((((ET221)-(EU221))+AE221),6)</f>
        <v>0</v>
      </c>
      <c r="AE221">
        <f>ROUND((EU221),6)</f>
        <v>0</v>
      </c>
      <c r="AF221">
        <f>ROUND((EV221),6)</f>
        <v>0</v>
      </c>
      <c r="AG221">
        <f t="shared" si="227"/>
        <v>0</v>
      </c>
      <c r="AH221">
        <f>(EW221)</f>
        <v>0</v>
      </c>
      <c r="AI221">
        <f>(EX221)</f>
        <v>0</v>
      </c>
      <c r="AJ221">
        <f t="shared" si="228"/>
        <v>0</v>
      </c>
      <c r="AK221">
        <v>460</v>
      </c>
      <c r="AL221">
        <v>460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128</v>
      </c>
      <c r="AU221">
        <v>81</v>
      </c>
      <c r="AV221">
        <v>1</v>
      </c>
      <c r="AW221">
        <v>1</v>
      </c>
      <c r="AZ221">
        <v>1</v>
      </c>
      <c r="BA221">
        <v>1</v>
      </c>
      <c r="BB221">
        <v>1</v>
      </c>
      <c r="BC221">
        <v>1</v>
      </c>
      <c r="BD221" t="s">
        <v>3</v>
      </c>
      <c r="BE221" t="s">
        <v>3</v>
      </c>
      <c r="BF221" t="s">
        <v>3</v>
      </c>
      <c r="BG221" t="s">
        <v>3</v>
      </c>
      <c r="BH221">
        <v>3</v>
      </c>
      <c r="BI221">
        <v>1</v>
      </c>
      <c r="BJ221" t="s">
        <v>357</v>
      </c>
      <c r="BM221">
        <v>27001</v>
      </c>
      <c r="BN221">
        <v>0</v>
      </c>
      <c r="BO221" t="s">
        <v>3</v>
      </c>
      <c r="BP221">
        <v>0</v>
      </c>
      <c r="BQ221">
        <v>2</v>
      </c>
      <c r="BR221">
        <v>0</v>
      </c>
      <c r="BS221">
        <v>1</v>
      </c>
      <c r="BT221">
        <v>1</v>
      </c>
      <c r="BU221">
        <v>1</v>
      </c>
      <c r="BV221">
        <v>1</v>
      </c>
      <c r="BW221">
        <v>1</v>
      </c>
      <c r="BX221">
        <v>1</v>
      </c>
      <c r="BY221" t="s">
        <v>3</v>
      </c>
      <c r="BZ221">
        <v>142</v>
      </c>
      <c r="CA221">
        <v>95</v>
      </c>
      <c r="CE221">
        <v>0</v>
      </c>
      <c r="CF221">
        <v>0</v>
      </c>
      <c r="CG221">
        <v>0</v>
      </c>
      <c r="CM221">
        <v>0</v>
      </c>
      <c r="CN221" t="s">
        <v>3</v>
      </c>
      <c r="CO221">
        <v>0</v>
      </c>
      <c r="CP221">
        <f t="shared" si="229"/>
        <v>8176.22</v>
      </c>
      <c r="CQ221">
        <f t="shared" si="230"/>
        <v>460</v>
      </c>
      <c r="CR221">
        <f t="shared" si="231"/>
        <v>0</v>
      </c>
      <c r="CS221">
        <f t="shared" si="232"/>
        <v>0</v>
      </c>
      <c r="CT221">
        <f t="shared" si="233"/>
        <v>0</v>
      </c>
      <c r="CU221">
        <f t="shared" si="234"/>
        <v>0</v>
      </c>
      <c r="CV221">
        <f t="shared" si="235"/>
        <v>0</v>
      </c>
      <c r="CW221">
        <f t="shared" si="236"/>
        <v>0</v>
      </c>
      <c r="CX221">
        <f t="shared" si="237"/>
        <v>0</v>
      </c>
      <c r="CY221">
        <f t="shared" si="238"/>
        <v>0</v>
      </c>
      <c r="CZ221">
        <f t="shared" si="239"/>
        <v>0</v>
      </c>
      <c r="DC221" t="s">
        <v>3</v>
      </c>
      <c r="DD221" t="s">
        <v>3</v>
      </c>
      <c r="DE221" t="s">
        <v>3</v>
      </c>
      <c r="DF221" t="s">
        <v>3</v>
      </c>
      <c r="DG221" t="s">
        <v>3</v>
      </c>
      <c r="DH221" t="s">
        <v>3</v>
      </c>
      <c r="DI221" t="s">
        <v>3</v>
      </c>
      <c r="DJ221" t="s">
        <v>3</v>
      </c>
      <c r="DK221" t="s">
        <v>3</v>
      </c>
      <c r="DL221" t="s">
        <v>3</v>
      </c>
      <c r="DM221" t="s">
        <v>3</v>
      </c>
      <c r="DN221">
        <v>0</v>
      </c>
      <c r="DO221">
        <v>0</v>
      </c>
      <c r="DP221">
        <v>1</v>
      </c>
      <c r="DQ221">
        <v>1</v>
      </c>
      <c r="DU221">
        <v>1009</v>
      </c>
      <c r="DV221" t="s">
        <v>32</v>
      </c>
      <c r="DW221" t="s">
        <v>32</v>
      </c>
      <c r="DX221">
        <v>1000</v>
      </c>
      <c r="EE221">
        <v>45919611</v>
      </c>
      <c r="EF221">
        <v>2</v>
      </c>
      <c r="EG221" t="s">
        <v>54</v>
      </c>
      <c r="EH221">
        <v>0</v>
      </c>
      <c r="EI221" t="s">
        <v>3</v>
      </c>
      <c r="EJ221">
        <v>1</v>
      </c>
      <c r="EK221">
        <v>27001</v>
      </c>
      <c r="EL221" t="s">
        <v>281</v>
      </c>
      <c r="EM221" t="s">
        <v>282</v>
      </c>
      <c r="EO221" t="s">
        <v>3</v>
      </c>
      <c r="EQ221">
        <v>0</v>
      </c>
      <c r="ER221">
        <v>460</v>
      </c>
      <c r="ES221">
        <v>460</v>
      </c>
      <c r="ET221">
        <v>0</v>
      </c>
      <c r="EU221">
        <v>0</v>
      </c>
      <c r="EV221">
        <v>0</v>
      </c>
      <c r="EW221">
        <v>0</v>
      </c>
      <c r="EX221">
        <v>0</v>
      </c>
      <c r="FQ221">
        <v>0</v>
      </c>
      <c r="FR221">
        <f t="shared" si="240"/>
        <v>0</v>
      </c>
      <c r="FS221">
        <v>0</v>
      </c>
      <c r="FT221" t="s">
        <v>58</v>
      </c>
      <c r="FU221" t="s">
        <v>59</v>
      </c>
      <c r="FX221">
        <v>127.8</v>
      </c>
      <c r="FY221">
        <v>80.75</v>
      </c>
      <c r="GA221" t="s">
        <v>3</v>
      </c>
      <c r="GD221">
        <v>1</v>
      </c>
      <c r="GF221">
        <v>2047521922</v>
      </c>
      <c r="GG221">
        <v>2</v>
      </c>
      <c r="GH221">
        <v>1</v>
      </c>
      <c r="GI221">
        <v>-2</v>
      </c>
      <c r="GJ221">
        <v>0</v>
      </c>
      <c r="GK221">
        <v>0</v>
      </c>
      <c r="GL221">
        <f t="shared" si="241"/>
        <v>0</v>
      </c>
      <c r="GM221">
        <f t="shared" si="242"/>
        <v>8176.22</v>
      </c>
      <c r="GN221">
        <f t="shared" si="243"/>
        <v>8176.22</v>
      </c>
      <c r="GO221">
        <f t="shared" si="244"/>
        <v>0</v>
      </c>
      <c r="GP221">
        <f t="shared" si="245"/>
        <v>0</v>
      </c>
      <c r="GR221">
        <v>0</v>
      </c>
      <c r="GS221">
        <v>3</v>
      </c>
      <c r="GT221">
        <v>0</v>
      </c>
      <c r="GU221" t="s">
        <v>3</v>
      </c>
      <c r="GV221">
        <f t="shared" si="246"/>
        <v>0</v>
      </c>
      <c r="GW221">
        <v>1</v>
      </c>
      <c r="GX221">
        <f t="shared" si="247"/>
        <v>0</v>
      </c>
      <c r="HA221">
        <v>0</v>
      </c>
      <c r="HB221">
        <v>0</v>
      </c>
      <c r="HC221">
        <f t="shared" si="248"/>
        <v>0</v>
      </c>
      <c r="IK221">
        <v>0</v>
      </c>
    </row>
    <row r="222" spans="1:245" x14ac:dyDescent="0.2">
      <c r="A222">
        <v>19</v>
      </c>
      <c r="B222">
        <v>1</v>
      </c>
      <c r="F222" t="s">
        <v>3</v>
      </c>
      <c r="G222" t="s">
        <v>378</v>
      </c>
      <c r="H222" t="s">
        <v>3</v>
      </c>
      <c r="AA222">
        <v>1</v>
      </c>
      <c r="IK222">
        <v>0</v>
      </c>
    </row>
    <row r="223" spans="1:245" x14ac:dyDescent="0.2">
      <c r="A223">
        <v>17</v>
      </c>
      <c r="B223">
        <v>1</v>
      </c>
      <c r="C223">
        <f>ROW(SmtRes!A274)</f>
        <v>274</v>
      </c>
      <c r="D223">
        <f>ROW(EtalonRes!A286)</f>
        <v>286</v>
      </c>
      <c r="E223" t="s">
        <v>379</v>
      </c>
      <c r="F223" t="s">
        <v>277</v>
      </c>
      <c r="G223" t="s">
        <v>278</v>
      </c>
      <c r="H223" t="s">
        <v>154</v>
      </c>
      <c r="I223">
        <f>ROUND((46*4*0.1)/100,9)</f>
        <v>0.184</v>
      </c>
      <c r="J223">
        <v>0</v>
      </c>
      <c r="O223">
        <f t="shared" ref="O223:O233" si="249">ROUND(CP223,2)</f>
        <v>599.92999999999995</v>
      </c>
      <c r="P223">
        <f t="shared" ref="P223:P233" si="250">ROUND(CQ223*I223,2)</f>
        <v>2.2400000000000002</v>
      </c>
      <c r="Q223">
        <f t="shared" ref="Q223:Q233" si="251">ROUND(CR223*I223,2)</f>
        <v>567.01</v>
      </c>
      <c r="R223">
        <f t="shared" ref="R223:R233" si="252">ROUND(CS223*I223,2)</f>
        <v>46.97</v>
      </c>
      <c r="S223">
        <f t="shared" ref="S223:S233" si="253">ROUND(CT223*I223,2)</f>
        <v>30.68</v>
      </c>
      <c r="T223">
        <f t="shared" ref="T223:T233" si="254">ROUND(CU223*I223,2)</f>
        <v>0</v>
      </c>
      <c r="U223">
        <f t="shared" ref="U223:U233" si="255">CV223*I223</f>
        <v>3.8253047999999992</v>
      </c>
      <c r="V223">
        <f t="shared" ref="V223:V233" si="256">CW223*I223</f>
        <v>3.6712600000000002</v>
      </c>
      <c r="W223">
        <f t="shared" ref="W223:W233" si="257">ROUND(CX223*I223,2)</f>
        <v>0</v>
      </c>
      <c r="X223">
        <f t="shared" ref="X223:X233" si="258">ROUND(CY223,2)</f>
        <v>99.39</v>
      </c>
      <c r="Y223">
        <f t="shared" ref="Y223:Y233" si="259">ROUND(CZ223,2)</f>
        <v>62.9</v>
      </c>
      <c r="AA223">
        <v>47631607</v>
      </c>
      <c r="AB223">
        <f t="shared" ref="AB223:AB233" si="260">ROUND((AC223+AD223+AF223),6)</f>
        <v>3260.525075</v>
      </c>
      <c r="AC223">
        <f>ROUND((ES223),6)</f>
        <v>12.2</v>
      </c>
      <c r="AD223">
        <f>ROUND((((((ET223*1.15)*1.25))-(((EU223*1.15)*1.25)))+AE223),6)</f>
        <v>3081.5974999999999</v>
      </c>
      <c r="AE223">
        <f>ROUND((((EU223*1.15)*1.25)),6)</f>
        <v>255.28562500000001</v>
      </c>
      <c r="AF223">
        <f>ROUND((((EV223*1.15)*1.15)),6)</f>
        <v>166.727575</v>
      </c>
      <c r="AG223">
        <f t="shared" ref="AG223:AG233" si="261">ROUND((AP223),6)</f>
        <v>0</v>
      </c>
      <c r="AH223">
        <f>(((EW223*1.15)*1.15))</f>
        <v>20.789699999999996</v>
      </c>
      <c r="AI223">
        <f>(((EX223*1.15)*1.25))</f>
        <v>19.952500000000001</v>
      </c>
      <c r="AJ223">
        <f t="shared" ref="AJ223:AJ233" si="262">(AS223)</f>
        <v>0</v>
      </c>
      <c r="AK223">
        <v>2281.9899999999998</v>
      </c>
      <c r="AL223">
        <v>12.2</v>
      </c>
      <c r="AM223">
        <v>2143.7199999999998</v>
      </c>
      <c r="AN223">
        <v>177.59</v>
      </c>
      <c r="AO223">
        <v>126.07</v>
      </c>
      <c r="AP223">
        <v>0</v>
      </c>
      <c r="AQ223">
        <v>15.72</v>
      </c>
      <c r="AR223">
        <v>13.88</v>
      </c>
      <c r="AS223">
        <v>0</v>
      </c>
      <c r="AT223">
        <v>128</v>
      </c>
      <c r="AU223">
        <v>81</v>
      </c>
      <c r="AV223">
        <v>1</v>
      </c>
      <c r="AW223">
        <v>1</v>
      </c>
      <c r="AZ223">
        <v>1</v>
      </c>
      <c r="BA223">
        <v>1</v>
      </c>
      <c r="BB223">
        <v>1</v>
      </c>
      <c r="BC223">
        <v>1</v>
      </c>
      <c r="BD223" t="s">
        <v>3</v>
      </c>
      <c r="BE223" t="s">
        <v>3</v>
      </c>
      <c r="BF223" t="s">
        <v>3</v>
      </c>
      <c r="BG223" t="s">
        <v>3</v>
      </c>
      <c r="BH223">
        <v>0</v>
      </c>
      <c r="BI223">
        <v>1</v>
      </c>
      <c r="BJ223" t="s">
        <v>279</v>
      </c>
      <c r="BM223">
        <v>27001</v>
      </c>
      <c r="BN223">
        <v>0</v>
      </c>
      <c r="BO223" t="s">
        <v>3</v>
      </c>
      <c r="BP223">
        <v>0</v>
      </c>
      <c r="BQ223">
        <v>2</v>
      </c>
      <c r="BR223">
        <v>0</v>
      </c>
      <c r="BS223">
        <v>1</v>
      </c>
      <c r="BT223">
        <v>1</v>
      </c>
      <c r="BU223">
        <v>1</v>
      </c>
      <c r="BV223">
        <v>1</v>
      </c>
      <c r="BW223">
        <v>1</v>
      </c>
      <c r="BX223">
        <v>1</v>
      </c>
      <c r="BY223" t="s">
        <v>3</v>
      </c>
      <c r="BZ223">
        <v>142</v>
      </c>
      <c r="CA223">
        <v>95</v>
      </c>
      <c r="CE223">
        <v>0</v>
      </c>
      <c r="CF223">
        <v>0</v>
      </c>
      <c r="CG223">
        <v>0</v>
      </c>
      <c r="CM223">
        <v>0</v>
      </c>
      <c r="CN223" t="s">
        <v>746</v>
      </c>
      <c r="CO223">
        <v>0</v>
      </c>
      <c r="CP223">
        <f t="shared" ref="CP223:CP233" si="263">(P223+Q223+S223)</f>
        <v>599.92999999999995</v>
      </c>
      <c r="CQ223">
        <f t="shared" ref="CQ223:CQ233" si="264">AC223*BC223</f>
        <v>12.2</v>
      </c>
      <c r="CR223">
        <f t="shared" ref="CR223:CR233" si="265">AD223*BB223</f>
        <v>3081.5974999999999</v>
      </c>
      <c r="CS223">
        <f t="shared" ref="CS223:CS233" si="266">AE223*BS223</f>
        <v>255.28562500000001</v>
      </c>
      <c r="CT223">
        <f t="shared" ref="CT223:CT233" si="267">AF223*BA223</f>
        <v>166.727575</v>
      </c>
      <c r="CU223">
        <f t="shared" ref="CU223:CU233" si="268">AG223</f>
        <v>0</v>
      </c>
      <c r="CV223">
        <f t="shared" ref="CV223:CV233" si="269">AH223</f>
        <v>20.789699999999996</v>
      </c>
      <c r="CW223">
        <f t="shared" ref="CW223:CW233" si="270">AI223</f>
        <v>19.952500000000001</v>
      </c>
      <c r="CX223">
        <f t="shared" ref="CX223:CX233" si="271">AJ223</f>
        <v>0</v>
      </c>
      <c r="CY223">
        <f t="shared" ref="CY223:CY233" si="272">(((S223+R223)*AT223)/100)</f>
        <v>99.39200000000001</v>
      </c>
      <c r="CZ223">
        <f t="shared" ref="CZ223:CZ233" si="273">(((S223+R223)*AU223)/100)</f>
        <v>62.896500000000003</v>
      </c>
      <c r="DC223" t="s">
        <v>3</v>
      </c>
      <c r="DD223" t="s">
        <v>3</v>
      </c>
      <c r="DE223" t="s">
        <v>280</v>
      </c>
      <c r="DF223" t="s">
        <v>280</v>
      </c>
      <c r="DG223" t="s">
        <v>53</v>
      </c>
      <c r="DH223" t="s">
        <v>3</v>
      </c>
      <c r="DI223" t="s">
        <v>53</v>
      </c>
      <c r="DJ223" t="s">
        <v>280</v>
      </c>
      <c r="DK223" t="s">
        <v>3</v>
      </c>
      <c r="DL223" t="s">
        <v>3</v>
      </c>
      <c r="DM223" t="s">
        <v>3</v>
      </c>
      <c r="DN223">
        <v>0</v>
      </c>
      <c r="DO223">
        <v>0</v>
      </c>
      <c r="DP223">
        <v>1</v>
      </c>
      <c r="DQ223">
        <v>1</v>
      </c>
      <c r="DU223">
        <v>1007</v>
      </c>
      <c r="DV223" t="s">
        <v>154</v>
      </c>
      <c r="DW223" t="s">
        <v>154</v>
      </c>
      <c r="DX223">
        <v>100</v>
      </c>
      <c r="EE223">
        <v>45919611</v>
      </c>
      <c r="EF223">
        <v>2</v>
      </c>
      <c r="EG223" t="s">
        <v>54</v>
      </c>
      <c r="EH223">
        <v>0</v>
      </c>
      <c r="EI223" t="s">
        <v>3</v>
      </c>
      <c r="EJ223">
        <v>1</v>
      </c>
      <c r="EK223">
        <v>27001</v>
      </c>
      <c r="EL223" t="s">
        <v>281</v>
      </c>
      <c r="EM223" t="s">
        <v>282</v>
      </c>
      <c r="EO223" t="s">
        <v>283</v>
      </c>
      <c r="EQ223">
        <v>0</v>
      </c>
      <c r="ER223">
        <v>2281.9899999999998</v>
      </c>
      <c r="ES223">
        <v>12.2</v>
      </c>
      <c r="ET223">
        <v>2143.7199999999998</v>
      </c>
      <c r="EU223">
        <v>177.59</v>
      </c>
      <c r="EV223">
        <v>126.07</v>
      </c>
      <c r="EW223">
        <v>15.72</v>
      </c>
      <c r="EX223">
        <v>13.88</v>
      </c>
      <c r="EY223">
        <v>0</v>
      </c>
      <c r="FQ223">
        <v>0</v>
      </c>
      <c r="FR223">
        <f t="shared" ref="FR223:FR233" si="274">ROUND(IF(AND(BH223=3,BI223=3),P223,0),2)</f>
        <v>0</v>
      </c>
      <c r="FS223">
        <v>0</v>
      </c>
      <c r="FT223" t="s">
        <v>58</v>
      </c>
      <c r="FU223" t="s">
        <v>59</v>
      </c>
      <c r="FX223">
        <v>127.8</v>
      </c>
      <c r="FY223">
        <v>80.75</v>
      </c>
      <c r="GA223" t="s">
        <v>3</v>
      </c>
      <c r="GD223">
        <v>1</v>
      </c>
      <c r="GF223">
        <v>-787423772</v>
      </c>
      <c r="GG223">
        <v>2</v>
      </c>
      <c r="GH223">
        <v>1</v>
      </c>
      <c r="GI223">
        <v>-2</v>
      </c>
      <c r="GJ223">
        <v>0</v>
      </c>
      <c r="GK223">
        <v>0</v>
      </c>
      <c r="GL223">
        <f t="shared" ref="GL223:GL233" si="275">ROUND(IF(AND(BH223=3,BI223=3,FS223&lt;&gt;0),P223,0),2)</f>
        <v>0</v>
      </c>
      <c r="GM223">
        <f t="shared" ref="GM223:GM233" si="276">ROUND(O223+X223+Y223,2)+GX223</f>
        <v>762.22</v>
      </c>
      <c r="GN223">
        <f t="shared" ref="GN223:GN233" si="277">IF(OR(BI223=0,BI223=1),ROUND(O223+X223+Y223,2),0)</f>
        <v>762.22</v>
      </c>
      <c r="GO223">
        <f t="shared" ref="GO223:GO233" si="278">IF(BI223=2,ROUND(O223+X223+Y223,2),0)</f>
        <v>0</v>
      </c>
      <c r="GP223">
        <f t="shared" ref="GP223:GP233" si="279">IF(BI223=4,ROUND(O223+X223+Y223,2)+GX223,0)</f>
        <v>0</v>
      </c>
      <c r="GR223">
        <v>0</v>
      </c>
      <c r="GS223">
        <v>3</v>
      </c>
      <c r="GT223">
        <v>0</v>
      </c>
      <c r="GU223" t="s">
        <v>3</v>
      </c>
      <c r="GV223">
        <f t="shared" ref="GV223:GV233" si="280">ROUND((GT223),6)</f>
        <v>0</v>
      </c>
      <c r="GW223">
        <v>1</v>
      </c>
      <c r="GX223">
        <f t="shared" ref="GX223:GX233" si="281">ROUND(HC223*I223,2)</f>
        <v>0</v>
      </c>
      <c r="HA223">
        <v>0</v>
      </c>
      <c r="HB223">
        <v>0</v>
      </c>
      <c r="HC223">
        <f t="shared" ref="HC223:HC233" si="282">GV223*GW223</f>
        <v>0</v>
      </c>
      <c r="IK223">
        <v>0</v>
      </c>
    </row>
    <row r="224" spans="1:245" x14ac:dyDescent="0.2">
      <c r="A224">
        <v>18</v>
      </c>
      <c r="B224">
        <v>1</v>
      </c>
      <c r="C224">
        <v>274</v>
      </c>
      <c r="E224" t="s">
        <v>380</v>
      </c>
      <c r="F224" t="s">
        <v>101</v>
      </c>
      <c r="G224" t="s">
        <v>102</v>
      </c>
      <c r="H224" t="s">
        <v>96</v>
      </c>
      <c r="I224">
        <f>I223*J224</f>
        <v>18.768000000000001</v>
      </c>
      <c r="J224">
        <v>102</v>
      </c>
      <c r="O224">
        <f t="shared" si="249"/>
        <v>1037.1199999999999</v>
      </c>
      <c r="P224">
        <f t="shared" si="250"/>
        <v>1037.1199999999999</v>
      </c>
      <c r="Q224">
        <f t="shared" si="251"/>
        <v>0</v>
      </c>
      <c r="R224">
        <f t="shared" si="252"/>
        <v>0</v>
      </c>
      <c r="S224">
        <f t="shared" si="253"/>
        <v>0</v>
      </c>
      <c r="T224">
        <f t="shared" si="254"/>
        <v>0</v>
      </c>
      <c r="U224">
        <f t="shared" si="255"/>
        <v>0</v>
      </c>
      <c r="V224">
        <f t="shared" si="256"/>
        <v>0</v>
      </c>
      <c r="W224">
        <f t="shared" si="257"/>
        <v>0</v>
      </c>
      <c r="X224">
        <f t="shared" si="258"/>
        <v>0</v>
      </c>
      <c r="Y224">
        <f t="shared" si="259"/>
        <v>0</v>
      </c>
      <c r="AA224">
        <v>47631607</v>
      </c>
      <c r="AB224">
        <f t="shared" si="260"/>
        <v>55.26</v>
      </c>
      <c r="AC224">
        <f>ROUND((ES224),6)</f>
        <v>55.26</v>
      </c>
      <c r="AD224">
        <f>ROUND((((ET224)-(EU224))+AE224),6)</f>
        <v>0</v>
      </c>
      <c r="AE224">
        <f>ROUND((EU224),6)</f>
        <v>0</v>
      </c>
      <c r="AF224">
        <f>ROUND((EV224),6)</f>
        <v>0</v>
      </c>
      <c r="AG224">
        <f t="shared" si="261"/>
        <v>0</v>
      </c>
      <c r="AH224">
        <f>(EW224)</f>
        <v>0</v>
      </c>
      <c r="AI224">
        <f>(EX224)</f>
        <v>0</v>
      </c>
      <c r="AJ224">
        <f t="shared" si="262"/>
        <v>0</v>
      </c>
      <c r="AK224">
        <v>55.26</v>
      </c>
      <c r="AL224">
        <v>55.26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128</v>
      </c>
      <c r="AU224">
        <v>81</v>
      </c>
      <c r="AV224">
        <v>1</v>
      </c>
      <c r="AW224">
        <v>1</v>
      </c>
      <c r="AZ224">
        <v>1</v>
      </c>
      <c r="BA224">
        <v>1</v>
      </c>
      <c r="BB224">
        <v>1</v>
      </c>
      <c r="BC224">
        <v>1</v>
      </c>
      <c r="BD224" t="s">
        <v>3</v>
      </c>
      <c r="BE224" t="s">
        <v>3</v>
      </c>
      <c r="BF224" t="s">
        <v>3</v>
      </c>
      <c r="BG224" t="s">
        <v>3</v>
      </c>
      <c r="BH224">
        <v>3</v>
      </c>
      <c r="BI224">
        <v>1</v>
      </c>
      <c r="BJ224" t="s">
        <v>103</v>
      </c>
      <c r="BM224">
        <v>27001</v>
      </c>
      <c r="BN224">
        <v>0</v>
      </c>
      <c r="BO224" t="s">
        <v>3</v>
      </c>
      <c r="BP224">
        <v>0</v>
      </c>
      <c r="BQ224">
        <v>2</v>
      </c>
      <c r="BR224">
        <v>0</v>
      </c>
      <c r="BS224">
        <v>1</v>
      </c>
      <c r="BT224">
        <v>1</v>
      </c>
      <c r="BU224">
        <v>1</v>
      </c>
      <c r="BV224">
        <v>1</v>
      </c>
      <c r="BW224">
        <v>1</v>
      </c>
      <c r="BX224">
        <v>1</v>
      </c>
      <c r="BY224" t="s">
        <v>3</v>
      </c>
      <c r="BZ224">
        <v>142</v>
      </c>
      <c r="CA224">
        <v>95</v>
      </c>
      <c r="CE224">
        <v>0</v>
      </c>
      <c r="CF224">
        <v>0</v>
      </c>
      <c r="CG224">
        <v>0</v>
      </c>
      <c r="CM224">
        <v>0</v>
      </c>
      <c r="CN224" t="s">
        <v>3</v>
      </c>
      <c r="CO224">
        <v>0</v>
      </c>
      <c r="CP224">
        <f t="shared" si="263"/>
        <v>1037.1199999999999</v>
      </c>
      <c r="CQ224">
        <f t="shared" si="264"/>
        <v>55.26</v>
      </c>
      <c r="CR224">
        <f t="shared" si="265"/>
        <v>0</v>
      </c>
      <c r="CS224">
        <f t="shared" si="266"/>
        <v>0</v>
      </c>
      <c r="CT224">
        <f t="shared" si="267"/>
        <v>0</v>
      </c>
      <c r="CU224">
        <f t="shared" si="268"/>
        <v>0</v>
      </c>
      <c r="CV224">
        <f t="shared" si="269"/>
        <v>0</v>
      </c>
      <c r="CW224">
        <f t="shared" si="270"/>
        <v>0</v>
      </c>
      <c r="CX224">
        <f t="shared" si="271"/>
        <v>0</v>
      </c>
      <c r="CY224">
        <f t="shared" si="272"/>
        <v>0</v>
      </c>
      <c r="CZ224">
        <f t="shared" si="273"/>
        <v>0</v>
      </c>
      <c r="DC224" t="s">
        <v>3</v>
      </c>
      <c r="DD224" t="s">
        <v>3</v>
      </c>
      <c r="DE224" t="s">
        <v>3</v>
      </c>
      <c r="DF224" t="s">
        <v>3</v>
      </c>
      <c r="DG224" t="s">
        <v>3</v>
      </c>
      <c r="DH224" t="s">
        <v>3</v>
      </c>
      <c r="DI224" t="s">
        <v>3</v>
      </c>
      <c r="DJ224" t="s">
        <v>3</v>
      </c>
      <c r="DK224" t="s">
        <v>3</v>
      </c>
      <c r="DL224" t="s">
        <v>3</v>
      </c>
      <c r="DM224" t="s">
        <v>3</v>
      </c>
      <c r="DN224">
        <v>0</v>
      </c>
      <c r="DO224">
        <v>0</v>
      </c>
      <c r="DP224">
        <v>1</v>
      </c>
      <c r="DQ224">
        <v>1</v>
      </c>
      <c r="DU224">
        <v>1007</v>
      </c>
      <c r="DV224" t="s">
        <v>96</v>
      </c>
      <c r="DW224" t="s">
        <v>96</v>
      </c>
      <c r="DX224">
        <v>1</v>
      </c>
      <c r="EE224">
        <v>45919611</v>
      </c>
      <c r="EF224">
        <v>2</v>
      </c>
      <c r="EG224" t="s">
        <v>54</v>
      </c>
      <c r="EH224">
        <v>0</v>
      </c>
      <c r="EI224" t="s">
        <v>3</v>
      </c>
      <c r="EJ224">
        <v>1</v>
      </c>
      <c r="EK224">
        <v>27001</v>
      </c>
      <c r="EL224" t="s">
        <v>281</v>
      </c>
      <c r="EM224" t="s">
        <v>282</v>
      </c>
      <c r="EO224" t="s">
        <v>3</v>
      </c>
      <c r="EQ224">
        <v>0</v>
      </c>
      <c r="ER224">
        <v>55.26</v>
      </c>
      <c r="ES224">
        <v>55.26</v>
      </c>
      <c r="ET224">
        <v>0</v>
      </c>
      <c r="EU224">
        <v>0</v>
      </c>
      <c r="EV224">
        <v>0</v>
      </c>
      <c r="EW224">
        <v>0</v>
      </c>
      <c r="EX224">
        <v>0</v>
      </c>
      <c r="FQ224">
        <v>0</v>
      </c>
      <c r="FR224">
        <f t="shared" si="274"/>
        <v>0</v>
      </c>
      <c r="FS224">
        <v>0</v>
      </c>
      <c r="FT224" t="s">
        <v>58</v>
      </c>
      <c r="FU224" t="s">
        <v>59</v>
      </c>
      <c r="FX224">
        <v>127.8</v>
      </c>
      <c r="FY224">
        <v>80.75</v>
      </c>
      <c r="GA224" t="s">
        <v>3</v>
      </c>
      <c r="GD224">
        <v>1</v>
      </c>
      <c r="GF224">
        <v>-35545874</v>
      </c>
      <c r="GG224">
        <v>2</v>
      </c>
      <c r="GH224">
        <v>1</v>
      </c>
      <c r="GI224">
        <v>-2</v>
      </c>
      <c r="GJ224">
        <v>0</v>
      </c>
      <c r="GK224">
        <v>0</v>
      </c>
      <c r="GL224">
        <f t="shared" si="275"/>
        <v>0</v>
      </c>
      <c r="GM224">
        <f t="shared" si="276"/>
        <v>1037.1199999999999</v>
      </c>
      <c r="GN224">
        <f t="shared" si="277"/>
        <v>1037.1199999999999</v>
      </c>
      <c r="GO224">
        <f t="shared" si="278"/>
        <v>0</v>
      </c>
      <c r="GP224">
        <f t="shared" si="279"/>
        <v>0</v>
      </c>
      <c r="GR224">
        <v>0</v>
      </c>
      <c r="GS224">
        <v>3</v>
      </c>
      <c r="GT224">
        <v>0</v>
      </c>
      <c r="GU224" t="s">
        <v>3</v>
      </c>
      <c r="GV224">
        <f t="shared" si="280"/>
        <v>0</v>
      </c>
      <c r="GW224">
        <v>1</v>
      </c>
      <c r="GX224">
        <f t="shared" si="281"/>
        <v>0</v>
      </c>
      <c r="HA224">
        <v>0</v>
      </c>
      <c r="HB224">
        <v>0</v>
      </c>
      <c r="HC224">
        <f t="shared" si="282"/>
        <v>0</v>
      </c>
      <c r="IK224">
        <v>0</v>
      </c>
    </row>
    <row r="225" spans="1:245" x14ac:dyDescent="0.2">
      <c r="A225">
        <v>17</v>
      </c>
      <c r="B225">
        <v>1</v>
      </c>
      <c r="C225">
        <f>ROW(SmtRes!A281)</f>
        <v>281</v>
      </c>
      <c r="D225">
        <f>ROW(EtalonRes!A293)</f>
        <v>293</v>
      </c>
      <c r="E225" t="s">
        <v>381</v>
      </c>
      <c r="F225" t="s">
        <v>286</v>
      </c>
      <c r="G225" t="s">
        <v>287</v>
      </c>
      <c r="H225" t="s">
        <v>22</v>
      </c>
      <c r="I225">
        <f>ROUND(46*4/100,9)</f>
        <v>1.84</v>
      </c>
      <c r="J225">
        <v>0</v>
      </c>
      <c r="O225">
        <f t="shared" si="249"/>
        <v>1273.6099999999999</v>
      </c>
      <c r="P225">
        <f t="shared" si="250"/>
        <v>8.98</v>
      </c>
      <c r="Q225">
        <f t="shared" si="251"/>
        <v>724.44</v>
      </c>
      <c r="R225">
        <f t="shared" si="252"/>
        <v>92.58</v>
      </c>
      <c r="S225">
        <f t="shared" si="253"/>
        <v>540.19000000000005</v>
      </c>
      <c r="T225">
        <f t="shared" si="254"/>
        <v>0</v>
      </c>
      <c r="U225">
        <f t="shared" si="255"/>
        <v>63.852415999999984</v>
      </c>
      <c r="V225">
        <f t="shared" si="256"/>
        <v>8.3846500000000006</v>
      </c>
      <c r="W225">
        <f t="shared" si="257"/>
        <v>0</v>
      </c>
      <c r="X225">
        <f t="shared" si="258"/>
        <v>809.95</v>
      </c>
      <c r="Y225">
        <f t="shared" si="259"/>
        <v>512.54</v>
      </c>
      <c r="AA225">
        <v>47631607</v>
      </c>
      <c r="AB225">
        <f t="shared" si="260"/>
        <v>692.17864999999995</v>
      </c>
      <c r="AC225">
        <f>ROUND((ES225),6)</f>
        <v>4.88</v>
      </c>
      <c r="AD225">
        <f>ROUND((((((ET225*1.15)*1.25))-(((EU225*1.15)*1.25)))+AE225),6)</f>
        <v>393.71687500000002</v>
      </c>
      <c r="AE225">
        <f>ROUND((((EU225*1.15)*1.25)),6)</f>
        <v>50.3125</v>
      </c>
      <c r="AF225">
        <f>ROUND((((EV225*1.15)*1.15)),6)</f>
        <v>293.58177499999999</v>
      </c>
      <c r="AG225">
        <f t="shared" si="261"/>
        <v>0</v>
      </c>
      <c r="AH225">
        <f>(((EW225*1.15)*1.15))</f>
        <v>34.70239999999999</v>
      </c>
      <c r="AI225">
        <f>(((EX225*1.15)*1.25))</f>
        <v>4.5568749999999998</v>
      </c>
      <c r="AJ225">
        <f t="shared" si="262"/>
        <v>0</v>
      </c>
      <c r="AK225">
        <v>500.76</v>
      </c>
      <c r="AL225">
        <v>4.88</v>
      </c>
      <c r="AM225">
        <v>273.89</v>
      </c>
      <c r="AN225">
        <v>35</v>
      </c>
      <c r="AO225">
        <v>221.99</v>
      </c>
      <c r="AP225">
        <v>0</v>
      </c>
      <c r="AQ225">
        <v>26.24</v>
      </c>
      <c r="AR225">
        <v>3.17</v>
      </c>
      <c r="AS225">
        <v>0</v>
      </c>
      <c r="AT225">
        <v>128</v>
      </c>
      <c r="AU225">
        <v>81</v>
      </c>
      <c r="AV225">
        <v>1</v>
      </c>
      <c r="AW225">
        <v>1</v>
      </c>
      <c r="AZ225">
        <v>1</v>
      </c>
      <c r="BA225">
        <v>1</v>
      </c>
      <c r="BB225">
        <v>1</v>
      </c>
      <c r="BC225">
        <v>1</v>
      </c>
      <c r="BD225" t="s">
        <v>3</v>
      </c>
      <c r="BE225" t="s">
        <v>3</v>
      </c>
      <c r="BF225" t="s">
        <v>3</v>
      </c>
      <c r="BG225" t="s">
        <v>3</v>
      </c>
      <c r="BH225">
        <v>0</v>
      </c>
      <c r="BI225">
        <v>1</v>
      </c>
      <c r="BJ225" t="s">
        <v>288</v>
      </c>
      <c r="BM225">
        <v>27001</v>
      </c>
      <c r="BN225">
        <v>0</v>
      </c>
      <c r="BO225" t="s">
        <v>3</v>
      </c>
      <c r="BP225">
        <v>0</v>
      </c>
      <c r="BQ225">
        <v>2</v>
      </c>
      <c r="BR225">
        <v>0</v>
      </c>
      <c r="BS225">
        <v>1</v>
      </c>
      <c r="BT225">
        <v>1</v>
      </c>
      <c r="BU225">
        <v>1</v>
      </c>
      <c r="BV225">
        <v>1</v>
      </c>
      <c r="BW225">
        <v>1</v>
      </c>
      <c r="BX225">
        <v>1</v>
      </c>
      <c r="BY225" t="s">
        <v>3</v>
      </c>
      <c r="BZ225">
        <v>142</v>
      </c>
      <c r="CA225">
        <v>95</v>
      </c>
      <c r="CE225">
        <v>0</v>
      </c>
      <c r="CF225">
        <v>0</v>
      </c>
      <c r="CG225">
        <v>0</v>
      </c>
      <c r="CM225">
        <v>0</v>
      </c>
      <c r="CN225" t="s">
        <v>746</v>
      </c>
      <c r="CO225">
        <v>0</v>
      </c>
      <c r="CP225">
        <f t="shared" si="263"/>
        <v>1273.6100000000001</v>
      </c>
      <c r="CQ225">
        <f t="shared" si="264"/>
        <v>4.88</v>
      </c>
      <c r="CR225">
        <f t="shared" si="265"/>
        <v>393.71687500000002</v>
      </c>
      <c r="CS225">
        <f t="shared" si="266"/>
        <v>50.3125</v>
      </c>
      <c r="CT225">
        <f t="shared" si="267"/>
        <v>293.58177499999999</v>
      </c>
      <c r="CU225">
        <f t="shared" si="268"/>
        <v>0</v>
      </c>
      <c r="CV225">
        <f t="shared" si="269"/>
        <v>34.70239999999999</v>
      </c>
      <c r="CW225">
        <f t="shared" si="270"/>
        <v>4.5568749999999998</v>
      </c>
      <c r="CX225">
        <f t="shared" si="271"/>
        <v>0</v>
      </c>
      <c r="CY225">
        <f t="shared" si="272"/>
        <v>809.94560000000013</v>
      </c>
      <c r="CZ225">
        <f t="shared" si="273"/>
        <v>512.54370000000006</v>
      </c>
      <c r="DC225" t="s">
        <v>3</v>
      </c>
      <c r="DD225" t="s">
        <v>3</v>
      </c>
      <c r="DE225" t="s">
        <v>280</v>
      </c>
      <c r="DF225" t="s">
        <v>280</v>
      </c>
      <c r="DG225" t="s">
        <v>53</v>
      </c>
      <c r="DH225" t="s">
        <v>3</v>
      </c>
      <c r="DI225" t="s">
        <v>53</v>
      </c>
      <c r="DJ225" t="s">
        <v>280</v>
      </c>
      <c r="DK225" t="s">
        <v>3</v>
      </c>
      <c r="DL225" t="s">
        <v>3</v>
      </c>
      <c r="DM225" t="s">
        <v>3</v>
      </c>
      <c r="DN225">
        <v>0</v>
      </c>
      <c r="DO225">
        <v>0</v>
      </c>
      <c r="DP225">
        <v>1</v>
      </c>
      <c r="DQ225">
        <v>1</v>
      </c>
      <c r="DU225">
        <v>1005</v>
      </c>
      <c r="DV225" t="s">
        <v>22</v>
      </c>
      <c r="DW225" t="s">
        <v>22</v>
      </c>
      <c r="DX225">
        <v>100</v>
      </c>
      <c r="EE225">
        <v>45919611</v>
      </c>
      <c r="EF225">
        <v>2</v>
      </c>
      <c r="EG225" t="s">
        <v>54</v>
      </c>
      <c r="EH225">
        <v>0</v>
      </c>
      <c r="EI225" t="s">
        <v>3</v>
      </c>
      <c r="EJ225">
        <v>1</v>
      </c>
      <c r="EK225">
        <v>27001</v>
      </c>
      <c r="EL225" t="s">
        <v>281</v>
      </c>
      <c r="EM225" t="s">
        <v>282</v>
      </c>
      <c r="EO225" t="s">
        <v>283</v>
      </c>
      <c r="EQ225">
        <v>0</v>
      </c>
      <c r="ER225">
        <v>500.76</v>
      </c>
      <c r="ES225">
        <v>4.88</v>
      </c>
      <c r="ET225">
        <v>273.89</v>
      </c>
      <c r="EU225">
        <v>35</v>
      </c>
      <c r="EV225">
        <v>221.99</v>
      </c>
      <c r="EW225">
        <v>26.24</v>
      </c>
      <c r="EX225">
        <v>3.17</v>
      </c>
      <c r="EY225">
        <v>0</v>
      </c>
      <c r="FQ225">
        <v>0</v>
      </c>
      <c r="FR225">
        <f t="shared" si="274"/>
        <v>0</v>
      </c>
      <c r="FS225">
        <v>0</v>
      </c>
      <c r="FT225" t="s">
        <v>58</v>
      </c>
      <c r="FU225" t="s">
        <v>59</v>
      </c>
      <c r="FX225">
        <v>127.8</v>
      </c>
      <c r="FY225">
        <v>80.75</v>
      </c>
      <c r="GA225" t="s">
        <v>3</v>
      </c>
      <c r="GD225">
        <v>1</v>
      </c>
      <c r="GF225">
        <v>1556152965</v>
      </c>
      <c r="GG225">
        <v>2</v>
      </c>
      <c r="GH225">
        <v>1</v>
      </c>
      <c r="GI225">
        <v>-2</v>
      </c>
      <c r="GJ225">
        <v>0</v>
      </c>
      <c r="GK225">
        <v>0</v>
      </c>
      <c r="GL225">
        <f t="shared" si="275"/>
        <v>0</v>
      </c>
      <c r="GM225">
        <f t="shared" si="276"/>
        <v>2596.1</v>
      </c>
      <c r="GN225">
        <f t="shared" si="277"/>
        <v>2596.1</v>
      </c>
      <c r="GO225">
        <f t="shared" si="278"/>
        <v>0</v>
      </c>
      <c r="GP225">
        <f t="shared" si="279"/>
        <v>0</v>
      </c>
      <c r="GR225">
        <v>0</v>
      </c>
      <c r="GS225">
        <v>3</v>
      </c>
      <c r="GT225">
        <v>0</v>
      </c>
      <c r="GU225" t="s">
        <v>3</v>
      </c>
      <c r="GV225">
        <f t="shared" si="280"/>
        <v>0</v>
      </c>
      <c r="GW225">
        <v>1</v>
      </c>
      <c r="GX225">
        <f t="shared" si="281"/>
        <v>0</v>
      </c>
      <c r="HA225">
        <v>0</v>
      </c>
      <c r="HB225">
        <v>0</v>
      </c>
      <c r="HC225">
        <f t="shared" si="282"/>
        <v>0</v>
      </c>
      <c r="IK225">
        <v>0</v>
      </c>
    </row>
    <row r="226" spans="1:245" x14ac:dyDescent="0.2">
      <c r="A226">
        <v>18</v>
      </c>
      <c r="B226">
        <v>1</v>
      </c>
      <c r="C226">
        <v>281</v>
      </c>
      <c r="E226" t="s">
        <v>382</v>
      </c>
      <c r="F226" t="s">
        <v>290</v>
      </c>
      <c r="G226" t="s">
        <v>291</v>
      </c>
      <c r="H226" t="s">
        <v>96</v>
      </c>
      <c r="I226">
        <f>I225*J226</f>
        <v>32.015999999999998</v>
      </c>
      <c r="J226">
        <v>17.399999999999999</v>
      </c>
      <c r="O226">
        <f t="shared" si="249"/>
        <v>4470.3900000000003</v>
      </c>
      <c r="P226">
        <f t="shared" si="250"/>
        <v>4470.3900000000003</v>
      </c>
      <c r="Q226">
        <f t="shared" si="251"/>
        <v>0</v>
      </c>
      <c r="R226">
        <f t="shared" si="252"/>
        <v>0</v>
      </c>
      <c r="S226">
        <f t="shared" si="253"/>
        <v>0</v>
      </c>
      <c r="T226">
        <f t="shared" si="254"/>
        <v>0</v>
      </c>
      <c r="U226">
        <f t="shared" si="255"/>
        <v>0</v>
      </c>
      <c r="V226">
        <f t="shared" si="256"/>
        <v>0</v>
      </c>
      <c r="W226">
        <f t="shared" si="257"/>
        <v>0</v>
      </c>
      <c r="X226">
        <f t="shared" si="258"/>
        <v>0</v>
      </c>
      <c r="Y226">
        <f t="shared" si="259"/>
        <v>0</v>
      </c>
      <c r="AA226">
        <v>47631607</v>
      </c>
      <c r="AB226">
        <f t="shared" si="260"/>
        <v>139.63</v>
      </c>
      <c r="AC226">
        <f>ROUND((ES226),6)</f>
        <v>139.63</v>
      </c>
      <c r="AD226">
        <f>ROUND((((ET226)-(EU226))+AE226),6)</f>
        <v>0</v>
      </c>
      <c r="AE226">
        <f>ROUND((EU226),6)</f>
        <v>0</v>
      </c>
      <c r="AF226">
        <f>ROUND((EV226),6)</f>
        <v>0</v>
      </c>
      <c r="AG226">
        <f t="shared" si="261"/>
        <v>0</v>
      </c>
      <c r="AH226">
        <f>(EW226)</f>
        <v>0</v>
      </c>
      <c r="AI226">
        <f>(EX226)</f>
        <v>0</v>
      </c>
      <c r="AJ226">
        <f t="shared" si="262"/>
        <v>0</v>
      </c>
      <c r="AK226">
        <v>139.63</v>
      </c>
      <c r="AL226">
        <v>139.63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128</v>
      </c>
      <c r="AU226">
        <v>81</v>
      </c>
      <c r="AV226">
        <v>1</v>
      </c>
      <c r="AW226">
        <v>1</v>
      </c>
      <c r="AZ226">
        <v>1</v>
      </c>
      <c r="BA226">
        <v>1</v>
      </c>
      <c r="BB226">
        <v>1</v>
      </c>
      <c r="BC226">
        <v>1</v>
      </c>
      <c r="BD226" t="s">
        <v>3</v>
      </c>
      <c r="BE226" t="s">
        <v>3</v>
      </c>
      <c r="BF226" t="s">
        <v>3</v>
      </c>
      <c r="BG226" t="s">
        <v>3</v>
      </c>
      <c r="BH226">
        <v>3</v>
      </c>
      <c r="BI226">
        <v>1</v>
      </c>
      <c r="BJ226" t="s">
        <v>292</v>
      </c>
      <c r="BM226">
        <v>27001</v>
      </c>
      <c r="BN226">
        <v>0</v>
      </c>
      <c r="BO226" t="s">
        <v>3</v>
      </c>
      <c r="BP226">
        <v>0</v>
      </c>
      <c r="BQ226">
        <v>2</v>
      </c>
      <c r="BR226">
        <v>0</v>
      </c>
      <c r="BS226">
        <v>1</v>
      </c>
      <c r="BT226">
        <v>1</v>
      </c>
      <c r="BU226">
        <v>1</v>
      </c>
      <c r="BV226">
        <v>1</v>
      </c>
      <c r="BW226">
        <v>1</v>
      </c>
      <c r="BX226">
        <v>1</v>
      </c>
      <c r="BY226" t="s">
        <v>3</v>
      </c>
      <c r="BZ226">
        <v>142</v>
      </c>
      <c r="CA226">
        <v>95</v>
      </c>
      <c r="CE226">
        <v>0</v>
      </c>
      <c r="CF226">
        <v>0</v>
      </c>
      <c r="CG226">
        <v>0</v>
      </c>
      <c r="CM226">
        <v>0</v>
      </c>
      <c r="CN226" t="s">
        <v>3</v>
      </c>
      <c r="CO226">
        <v>0</v>
      </c>
      <c r="CP226">
        <f t="shared" si="263"/>
        <v>4470.3900000000003</v>
      </c>
      <c r="CQ226">
        <f t="shared" si="264"/>
        <v>139.63</v>
      </c>
      <c r="CR226">
        <f t="shared" si="265"/>
        <v>0</v>
      </c>
      <c r="CS226">
        <f t="shared" si="266"/>
        <v>0</v>
      </c>
      <c r="CT226">
        <f t="shared" si="267"/>
        <v>0</v>
      </c>
      <c r="CU226">
        <f t="shared" si="268"/>
        <v>0</v>
      </c>
      <c r="CV226">
        <f t="shared" si="269"/>
        <v>0</v>
      </c>
      <c r="CW226">
        <f t="shared" si="270"/>
        <v>0</v>
      </c>
      <c r="CX226">
        <f t="shared" si="271"/>
        <v>0</v>
      </c>
      <c r="CY226">
        <f t="shared" si="272"/>
        <v>0</v>
      </c>
      <c r="CZ226">
        <f t="shared" si="273"/>
        <v>0</v>
      </c>
      <c r="DC226" t="s">
        <v>3</v>
      </c>
      <c r="DD226" t="s">
        <v>3</v>
      </c>
      <c r="DE226" t="s">
        <v>3</v>
      </c>
      <c r="DF226" t="s">
        <v>3</v>
      </c>
      <c r="DG226" t="s">
        <v>3</v>
      </c>
      <c r="DH226" t="s">
        <v>3</v>
      </c>
      <c r="DI226" t="s">
        <v>3</v>
      </c>
      <c r="DJ226" t="s">
        <v>3</v>
      </c>
      <c r="DK226" t="s">
        <v>3</v>
      </c>
      <c r="DL226" t="s">
        <v>3</v>
      </c>
      <c r="DM226" t="s">
        <v>3</v>
      </c>
      <c r="DN226">
        <v>0</v>
      </c>
      <c r="DO226">
        <v>0</v>
      </c>
      <c r="DP226">
        <v>1</v>
      </c>
      <c r="DQ226">
        <v>1</v>
      </c>
      <c r="DU226">
        <v>1007</v>
      </c>
      <c r="DV226" t="s">
        <v>96</v>
      </c>
      <c r="DW226" t="s">
        <v>96</v>
      </c>
      <c r="DX226">
        <v>1</v>
      </c>
      <c r="EE226">
        <v>45919611</v>
      </c>
      <c r="EF226">
        <v>2</v>
      </c>
      <c r="EG226" t="s">
        <v>54</v>
      </c>
      <c r="EH226">
        <v>0</v>
      </c>
      <c r="EI226" t="s">
        <v>3</v>
      </c>
      <c r="EJ226">
        <v>1</v>
      </c>
      <c r="EK226">
        <v>27001</v>
      </c>
      <c r="EL226" t="s">
        <v>281</v>
      </c>
      <c r="EM226" t="s">
        <v>282</v>
      </c>
      <c r="EO226" t="s">
        <v>3</v>
      </c>
      <c r="EQ226">
        <v>0</v>
      </c>
      <c r="ER226">
        <v>139.63</v>
      </c>
      <c r="ES226">
        <v>139.63</v>
      </c>
      <c r="ET226">
        <v>0</v>
      </c>
      <c r="EU226">
        <v>0</v>
      </c>
      <c r="EV226">
        <v>0</v>
      </c>
      <c r="EW226">
        <v>0</v>
      </c>
      <c r="EX226">
        <v>0</v>
      </c>
      <c r="FQ226">
        <v>0</v>
      </c>
      <c r="FR226">
        <f t="shared" si="274"/>
        <v>0</v>
      </c>
      <c r="FS226">
        <v>0</v>
      </c>
      <c r="FT226" t="s">
        <v>58</v>
      </c>
      <c r="FU226" t="s">
        <v>59</v>
      </c>
      <c r="FX226">
        <v>127.8</v>
      </c>
      <c r="FY226">
        <v>80.75</v>
      </c>
      <c r="GA226" t="s">
        <v>3</v>
      </c>
      <c r="GD226">
        <v>1</v>
      </c>
      <c r="GF226">
        <v>992648480</v>
      </c>
      <c r="GG226">
        <v>2</v>
      </c>
      <c r="GH226">
        <v>1</v>
      </c>
      <c r="GI226">
        <v>-2</v>
      </c>
      <c r="GJ226">
        <v>0</v>
      </c>
      <c r="GK226">
        <v>0</v>
      </c>
      <c r="GL226">
        <f t="shared" si="275"/>
        <v>0</v>
      </c>
      <c r="GM226">
        <f t="shared" si="276"/>
        <v>4470.3900000000003</v>
      </c>
      <c r="GN226">
        <f t="shared" si="277"/>
        <v>4470.3900000000003</v>
      </c>
      <c r="GO226">
        <f t="shared" si="278"/>
        <v>0</v>
      </c>
      <c r="GP226">
        <f t="shared" si="279"/>
        <v>0</v>
      </c>
      <c r="GR226">
        <v>0</v>
      </c>
      <c r="GS226">
        <v>3</v>
      </c>
      <c r="GT226">
        <v>0</v>
      </c>
      <c r="GU226" t="s">
        <v>3</v>
      </c>
      <c r="GV226">
        <f t="shared" si="280"/>
        <v>0</v>
      </c>
      <c r="GW226">
        <v>1</v>
      </c>
      <c r="GX226">
        <f t="shared" si="281"/>
        <v>0</v>
      </c>
      <c r="HA226">
        <v>0</v>
      </c>
      <c r="HB226">
        <v>0</v>
      </c>
      <c r="HC226">
        <f t="shared" si="282"/>
        <v>0</v>
      </c>
      <c r="IK226">
        <v>0</v>
      </c>
    </row>
    <row r="227" spans="1:245" x14ac:dyDescent="0.2">
      <c r="A227">
        <v>17</v>
      </c>
      <c r="B227">
        <v>1</v>
      </c>
      <c r="C227">
        <f>ROW(SmtRes!A285)</f>
        <v>285</v>
      </c>
      <c r="D227">
        <f>ROW(EtalonRes!A297)</f>
        <v>297</v>
      </c>
      <c r="E227" t="s">
        <v>383</v>
      </c>
      <c r="F227" t="s">
        <v>294</v>
      </c>
      <c r="G227" t="s">
        <v>295</v>
      </c>
      <c r="H227" t="s">
        <v>22</v>
      </c>
      <c r="I227">
        <f>ROUND(184/100,9)</f>
        <v>1.84</v>
      </c>
      <c r="J227">
        <v>0</v>
      </c>
      <c r="O227">
        <f t="shared" si="249"/>
        <v>104.78</v>
      </c>
      <c r="P227">
        <f t="shared" si="250"/>
        <v>0</v>
      </c>
      <c r="Q227">
        <f t="shared" si="251"/>
        <v>71.42</v>
      </c>
      <c r="R227">
        <f t="shared" si="252"/>
        <v>8.01</v>
      </c>
      <c r="S227">
        <f t="shared" si="253"/>
        <v>33.36</v>
      </c>
      <c r="T227">
        <f t="shared" si="254"/>
        <v>0</v>
      </c>
      <c r="U227">
        <f t="shared" si="255"/>
        <v>3.9421079999999997</v>
      </c>
      <c r="V227">
        <f t="shared" si="256"/>
        <v>0.79350000000000009</v>
      </c>
      <c r="W227">
        <f t="shared" si="257"/>
        <v>0</v>
      </c>
      <c r="X227">
        <f t="shared" si="258"/>
        <v>52.95</v>
      </c>
      <c r="Y227">
        <f t="shared" si="259"/>
        <v>33.51</v>
      </c>
      <c r="AA227">
        <v>47631607</v>
      </c>
      <c r="AB227">
        <f t="shared" si="260"/>
        <v>56.943975000000002</v>
      </c>
      <c r="AC227">
        <f>ROUND(((ES227*3)),6)</f>
        <v>0</v>
      </c>
      <c r="AD227">
        <f>ROUND(((((((ET227*3)*1.15)*1.25))-((((EU227*3)*1.15)*1.25)))+AE227),6)</f>
        <v>38.8125</v>
      </c>
      <c r="AE227">
        <f>ROUND(((((EU227*3)*1.15)*1.25)),6)</f>
        <v>4.3556249999999999</v>
      </c>
      <c r="AF227">
        <f>ROUND(((((EV227*3)*1.15)*1.15)),6)</f>
        <v>18.131474999999998</v>
      </c>
      <c r="AG227">
        <f t="shared" si="261"/>
        <v>0</v>
      </c>
      <c r="AH227">
        <f>((((EW227*3)*1.15)*1.15))</f>
        <v>2.1424499999999997</v>
      </c>
      <c r="AI227">
        <f>((((EX227*3)*1.15)*1.25))</f>
        <v>0.43125000000000002</v>
      </c>
      <c r="AJ227">
        <f t="shared" si="262"/>
        <v>0</v>
      </c>
      <c r="AK227">
        <v>13.57</v>
      </c>
      <c r="AL227">
        <v>0</v>
      </c>
      <c r="AM227">
        <v>9</v>
      </c>
      <c r="AN227">
        <v>1.01</v>
      </c>
      <c r="AO227">
        <v>4.57</v>
      </c>
      <c r="AP227">
        <v>0</v>
      </c>
      <c r="AQ227">
        <v>0.54</v>
      </c>
      <c r="AR227">
        <v>0.1</v>
      </c>
      <c r="AS227">
        <v>0</v>
      </c>
      <c r="AT227">
        <v>128</v>
      </c>
      <c r="AU227">
        <v>81</v>
      </c>
      <c r="AV227">
        <v>1</v>
      </c>
      <c r="AW227">
        <v>1</v>
      </c>
      <c r="AZ227">
        <v>1</v>
      </c>
      <c r="BA227">
        <v>1</v>
      </c>
      <c r="BB227">
        <v>1</v>
      </c>
      <c r="BC227">
        <v>1</v>
      </c>
      <c r="BD227" t="s">
        <v>3</v>
      </c>
      <c r="BE227" t="s">
        <v>3</v>
      </c>
      <c r="BF227" t="s">
        <v>3</v>
      </c>
      <c r="BG227" t="s">
        <v>3</v>
      </c>
      <c r="BH227">
        <v>0</v>
      </c>
      <c r="BI227">
        <v>1</v>
      </c>
      <c r="BJ227" t="s">
        <v>296</v>
      </c>
      <c r="BM227">
        <v>27001</v>
      </c>
      <c r="BN227">
        <v>0</v>
      </c>
      <c r="BO227" t="s">
        <v>3</v>
      </c>
      <c r="BP227">
        <v>0</v>
      </c>
      <c r="BQ227">
        <v>2</v>
      </c>
      <c r="BR227">
        <v>0</v>
      </c>
      <c r="BS227">
        <v>1</v>
      </c>
      <c r="BT227">
        <v>1</v>
      </c>
      <c r="BU227">
        <v>1</v>
      </c>
      <c r="BV227">
        <v>1</v>
      </c>
      <c r="BW227">
        <v>1</v>
      </c>
      <c r="BX227">
        <v>1</v>
      </c>
      <c r="BY227" t="s">
        <v>3</v>
      </c>
      <c r="BZ227">
        <v>142</v>
      </c>
      <c r="CA227">
        <v>95</v>
      </c>
      <c r="CE227">
        <v>0</v>
      </c>
      <c r="CF227">
        <v>0</v>
      </c>
      <c r="CG227">
        <v>0</v>
      </c>
      <c r="CM227">
        <v>0</v>
      </c>
      <c r="CN227" t="s">
        <v>746</v>
      </c>
      <c r="CO227">
        <v>0</v>
      </c>
      <c r="CP227">
        <f t="shared" si="263"/>
        <v>104.78</v>
      </c>
      <c r="CQ227">
        <f t="shared" si="264"/>
        <v>0</v>
      </c>
      <c r="CR227">
        <f t="shared" si="265"/>
        <v>38.8125</v>
      </c>
      <c r="CS227">
        <f t="shared" si="266"/>
        <v>4.3556249999999999</v>
      </c>
      <c r="CT227">
        <f t="shared" si="267"/>
        <v>18.131474999999998</v>
      </c>
      <c r="CU227">
        <f t="shared" si="268"/>
        <v>0</v>
      </c>
      <c r="CV227">
        <f t="shared" si="269"/>
        <v>2.1424499999999997</v>
      </c>
      <c r="CW227">
        <f t="shared" si="270"/>
        <v>0.43125000000000002</v>
      </c>
      <c r="CX227">
        <f t="shared" si="271"/>
        <v>0</v>
      </c>
      <c r="CY227">
        <f t="shared" si="272"/>
        <v>52.953599999999994</v>
      </c>
      <c r="CZ227">
        <f t="shared" si="273"/>
        <v>33.509699999999995</v>
      </c>
      <c r="DC227" t="s">
        <v>3</v>
      </c>
      <c r="DD227" t="s">
        <v>297</v>
      </c>
      <c r="DE227" t="s">
        <v>384</v>
      </c>
      <c r="DF227" t="s">
        <v>384</v>
      </c>
      <c r="DG227" t="s">
        <v>385</v>
      </c>
      <c r="DH227" t="s">
        <v>3</v>
      </c>
      <c r="DI227" t="s">
        <v>385</v>
      </c>
      <c r="DJ227" t="s">
        <v>384</v>
      </c>
      <c r="DK227" t="s">
        <v>3</v>
      </c>
      <c r="DL227" t="s">
        <v>3</v>
      </c>
      <c r="DM227" t="s">
        <v>3</v>
      </c>
      <c r="DN227">
        <v>0</v>
      </c>
      <c r="DO227">
        <v>0</v>
      </c>
      <c r="DP227">
        <v>1</v>
      </c>
      <c r="DQ227">
        <v>1</v>
      </c>
      <c r="DU227">
        <v>1005</v>
      </c>
      <c r="DV227" t="s">
        <v>22</v>
      </c>
      <c r="DW227" t="s">
        <v>22</v>
      </c>
      <c r="DX227">
        <v>100</v>
      </c>
      <c r="EE227">
        <v>45919611</v>
      </c>
      <c r="EF227">
        <v>2</v>
      </c>
      <c r="EG227" t="s">
        <v>54</v>
      </c>
      <c r="EH227">
        <v>0</v>
      </c>
      <c r="EI227" t="s">
        <v>3</v>
      </c>
      <c r="EJ227">
        <v>1</v>
      </c>
      <c r="EK227">
        <v>27001</v>
      </c>
      <c r="EL227" t="s">
        <v>281</v>
      </c>
      <c r="EM227" t="s">
        <v>282</v>
      </c>
      <c r="EO227" t="s">
        <v>283</v>
      </c>
      <c r="EQ227">
        <v>0</v>
      </c>
      <c r="ER227">
        <v>13.57</v>
      </c>
      <c r="ES227">
        <v>0</v>
      </c>
      <c r="ET227">
        <v>9</v>
      </c>
      <c r="EU227">
        <v>1.01</v>
      </c>
      <c r="EV227">
        <v>4.57</v>
      </c>
      <c r="EW227">
        <v>0.54</v>
      </c>
      <c r="EX227">
        <v>0.1</v>
      </c>
      <c r="EY227">
        <v>0</v>
      </c>
      <c r="FQ227">
        <v>0</v>
      </c>
      <c r="FR227">
        <f t="shared" si="274"/>
        <v>0</v>
      </c>
      <c r="FS227">
        <v>0</v>
      </c>
      <c r="FT227" t="s">
        <v>58</v>
      </c>
      <c r="FU227" t="s">
        <v>59</v>
      </c>
      <c r="FX227">
        <v>127.8</v>
      </c>
      <c r="FY227">
        <v>80.75</v>
      </c>
      <c r="GA227" t="s">
        <v>3</v>
      </c>
      <c r="GD227">
        <v>1</v>
      </c>
      <c r="GF227">
        <v>2007186393</v>
      </c>
      <c r="GG227">
        <v>2</v>
      </c>
      <c r="GH227">
        <v>1</v>
      </c>
      <c r="GI227">
        <v>-2</v>
      </c>
      <c r="GJ227">
        <v>0</v>
      </c>
      <c r="GK227">
        <v>0</v>
      </c>
      <c r="GL227">
        <f t="shared" si="275"/>
        <v>0</v>
      </c>
      <c r="GM227">
        <f t="shared" si="276"/>
        <v>191.24</v>
      </c>
      <c r="GN227">
        <f t="shared" si="277"/>
        <v>191.24</v>
      </c>
      <c r="GO227">
        <f t="shared" si="278"/>
        <v>0</v>
      </c>
      <c r="GP227">
        <f t="shared" si="279"/>
        <v>0</v>
      </c>
      <c r="GR227">
        <v>0</v>
      </c>
      <c r="GS227">
        <v>3</v>
      </c>
      <c r="GT227">
        <v>0</v>
      </c>
      <c r="GU227" t="s">
        <v>3</v>
      </c>
      <c r="GV227">
        <f t="shared" si="280"/>
        <v>0</v>
      </c>
      <c r="GW227">
        <v>1</v>
      </c>
      <c r="GX227">
        <f t="shared" si="281"/>
        <v>0</v>
      </c>
      <c r="HA227">
        <v>0</v>
      </c>
      <c r="HB227">
        <v>0</v>
      </c>
      <c r="HC227">
        <f t="shared" si="282"/>
        <v>0</v>
      </c>
      <c r="IK227">
        <v>0</v>
      </c>
    </row>
    <row r="228" spans="1:245" x14ac:dyDescent="0.2">
      <c r="A228">
        <v>18</v>
      </c>
      <c r="B228">
        <v>1</v>
      </c>
      <c r="C228">
        <v>285</v>
      </c>
      <c r="E228" t="s">
        <v>386</v>
      </c>
      <c r="F228" t="s">
        <v>290</v>
      </c>
      <c r="G228" t="s">
        <v>291</v>
      </c>
      <c r="H228" t="s">
        <v>96</v>
      </c>
      <c r="I228">
        <f>I227*J228</f>
        <v>24.84</v>
      </c>
      <c r="J228">
        <v>13.5</v>
      </c>
      <c r="O228">
        <f t="shared" si="249"/>
        <v>3468.41</v>
      </c>
      <c r="P228">
        <f t="shared" si="250"/>
        <v>3468.41</v>
      </c>
      <c r="Q228">
        <f t="shared" si="251"/>
        <v>0</v>
      </c>
      <c r="R228">
        <f t="shared" si="252"/>
        <v>0</v>
      </c>
      <c r="S228">
        <f t="shared" si="253"/>
        <v>0</v>
      </c>
      <c r="T228">
        <f t="shared" si="254"/>
        <v>0</v>
      </c>
      <c r="U228">
        <f t="shared" si="255"/>
        <v>0</v>
      </c>
      <c r="V228">
        <f t="shared" si="256"/>
        <v>0</v>
      </c>
      <c r="W228">
        <f t="shared" si="257"/>
        <v>0</v>
      </c>
      <c r="X228">
        <f t="shared" si="258"/>
        <v>0</v>
      </c>
      <c r="Y228">
        <f t="shared" si="259"/>
        <v>0</v>
      </c>
      <c r="AA228">
        <v>47631607</v>
      </c>
      <c r="AB228">
        <f t="shared" si="260"/>
        <v>139.63</v>
      </c>
      <c r="AC228">
        <f t="shared" ref="AC228:AC233" si="283">ROUND((ES228),6)</f>
        <v>139.63</v>
      </c>
      <c r="AD228">
        <f>ROUND((((ET228)-(EU228))+AE228),6)</f>
        <v>0</v>
      </c>
      <c r="AE228">
        <f>ROUND((EU228),6)</f>
        <v>0</v>
      </c>
      <c r="AF228">
        <f>ROUND((EV228),6)</f>
        <v>0</v>
      </c>
      <c r="AG228">
        <f t="shared" si="261"/>
        <v>0</v>
      </c>
      <c r="AH228">
        <f>(EW228)</f>
        <v>0</v>
      </c>
      <c r="AI228">
        <f>(EX228)</f>
        <v>0</v>
      </c>
      <c r="AJ228">
        <f t="shared" si="262"/>
        <v>0</v>
      </c>
      <c r="AK228">
        <v>139.63</v>
      </c>
      <c r="AL228">
        <v>139.63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128</v>
      </c>
      <c r="AU228">
        <v>81</v>
      </c>
      <c r="AV228">
        <v>1</v>
      </c>
      <c r="AW228">
        <v>1</v>
      </c>
      <c r="AZ228">
        <v>1</v>
      </c>
      <c r="BA228">
        <v>1</v>
      </c>
      <c r="BB228">
        <v>1</v>
      </c>
      <c r="BC228">
        <v>1</v>
      </c>
      <c r="BD228" t="s">
        <v>3</v>
      </c>
      <c r="BE228" t="s">
        <v>3</v>
      </c>
      <c r="BF228" t="s">
        <v>3</v>
      </c>
      <c r="BG228" t="s">
        <v>3</v>
      </c>
      <c r="BH228">
        <v>3</v>
      </c>
      <c r="BI228">
        <v>1</v>
      </c>
      <c r="BJ228" t="s">
        <v>292</v>
      </c>
      <c r="BM228">
        <v>27001</v>
      </c>
      <c r="BN228">
        <v>0</v>
      </c>
      <c r="BO228" t="s">
        <v>3</v>
      </c>
      <c r="BP228">
        <v>0</v>
      </c>
      <c r="BQ228">
        <v>2</v>
      </c>
      <c r="BR228">
        <v>0</v>
      </c>
      <c r="BS228">
        <v>1</v>
      </c>
      <c r="BT228">
        <v>1</v>
      </c>
      <c r="BU228">
        <v>1</v>
      </c>
      <c r="BV228">
        <v>1</v>
      </c>
      <c r="BW228">
        <v>1</v>
      </c>
      <c r="BX228">
        <v>1</v>
      </c>
      <c r="BY228" t="s">
        <v>3</v>
      </c>
      <c r="BZ228">
        <v>142</v>
      </c>
      <c r="CA228">
        <v>95</v>
      </c>
      <c r="CE228">
        <v>0</v>
      </c>
      <c r="CF228">
        <v>0</v>
      </c>
      <c r="CG228">
        <v>0</v>
      </c>
      <c r="CM228">
        <v>0</v>
      </c>
      <c r="CN228" t="s">
        <v>3</v>
      </c>
      <c r="CO228">
        <v>0</v>
      </c>
      <c r="CP228">
        <f t="shared" si="263"/>
        <v>3468.41</v>
      </c>
      <c r="CQ228">
        <f t="shared" si="264"/>
        <v>139.63</v>
      </c>
      <c r="CR228">
        <f t="shared" si="265"/>
        <v>0</v>
      </c>
      <c r="CS228">
        <f t="shared" si="266"/>
        <v>0</v>
      </c>
      <c r="CT228">
        <f t="shared" si="267"/>
        <v>0</v>
      </c>
      <c r="CU228">
        <f t="shared" si="268"/>
        <v>0</v>
      </c>
      <c r="CV228">
        <f t="shared" si="269"/>
        <v>0</v>
      </c>
      <c r="CW228">
        <f t="shared" si="270"/>
        <v>0</v>
      </c>
      <c r="CX228">
        <f t="shared" si="271"/>
        <v>0</v>
      </c>
      <c r="CY228">
        <f t="shared" si="272"/>
        <v>0</v>
      </c>
      <c r="CZ228">
        <f t="shared" si="273"/>
        <v>0</v>
      </c>
      <c r="DC228" t="s">
        <v>3</v>
      </c>
      <c r="DD228" t="s">
        <v>3</v>
      </c>
      <c r="DE228" t="s">
        <v>3</v>
      </c>
      <c r="DF228" t="s">
        <v>3</v>
      </c>
      <c r="DG228" t="s">
        <v>3</v>
      </c>
      <c r="DH228" t="s">
        <v>3</v>
      </c>
      <c r="DI228" t="s">
        <v>3</v>
      </c>
      <c r="DJ228" t="s">
        <v>3</v>
      </c>
      <c r="DK228" t="s">
        <v>3</v>
      </c>
      <c r="DL228" t="s">
        <v>3</v>
      </c>
      <c r="DM228" t="s">
        <v>3</v>
      </c>
      <c r="DN228">
        <v>0</v>
      </c>
      <c r="DO228">
        <v>0</v>
      </c>
      <c r="DP228">
        <v>1</v>
      </c>
      <c r="DQ228">
        <v>1</v>
      </c>
      <c r="DU228">
        <v>1007</v>
      </c>
      <c r="DV228" t="s">
        <v>96</v>
      </c>
      <c r="DW228" t="s">
        <v>96</v>
      </c>
      <c r="DX228">
        <v>1</v>
      </c>
      <c r="EE228">
        <v>45919611</v>
      </c>
      <c r="EF228">
        <v>2</v>
      </c>
      <c r="EG228" t="s">
        <v>54</v>
      </c>
      <c r="EH228">
        <v>0</v>
      </c>
      <c r="EI228" t="s">
        <v>3</v>
      </c>
      <c r="EJ228">
        <v>1</v>
      </c>
      <c r="EK228">
        <v>27001</v>
      </c>
      <c r="EL228" t="s">
        <v>281</v>
      </c>
      <c r="EM228" t="s">
        <v>282</v>
      </c>
      <c r="EO228" t="s">
        <v>3</v>
      </c>
      <c r="EQ228">
        <v>0</v>
      </c>
      <c r="ER228">
        <v>139.63</v>
      </c>
      <c r="ES228">
        <v>139.63</v>
      </c>
      <c r="ET228">
        <v>0</v>
      </c>
      <c r="EU228">
        <v>0</v>
      </c>
      <c r="EV228">
        <v>0</v>
      </c>
      <c r="EW228">
        <v>0</v>
      </c>
      <c r="EX228">
        <v>0</v>
      </c>
      <c r="FQ228">
        <v>0</v>
      </c>
      <c r="FR228">
        <f t="shared" si="274"/>
        <v>0</v>
      </c>
      <c r="FS228">
        <v>0</v>
      </c>
      <c r="FT228" t="s">
        <v>58</v>
      </c>
      <c r="FU228" t="s">
        <v>59</v>
      </c>
      <c r="FX228">
        <v>127.8</v>
      </c>
      <c r="FY228">
        <v>80.75</v>
      </c>
      <c r="GA228" t="s">
        <v>3</v>
      </c>
      <c r="GD228">
        <v>1</v>
      </c>
      <c r="GF228">
        <v>992648480</v>
      </c>
      <c r="GG228">
        <v>2</v>
      </c>
      <c r="GH228">
        <v>1</v>
      </c>
      <c r="GI228">
        <v>-2</v>
      </c>
      <c r="GJ228">
        <v>0</v>
      </c>
      <c r="GK228">
        <v>0</v>
      </c>
      <c r="GL228">
        <f t="shared" si="275"/>
        <v>0</v>
      </c>
      <c r="GM228">
        <f t="shared" si="276"/>
        <v>3468.41</v>
      </c>
      <c r="GN228">
        <f t="shared" si="277"/>
        <v>3468.41</v>
      </c>
      <c r="GO228">
        <f t="shared" si="278"/>
        <v>0</v>
      </c>
      <c r="GP228">
        <f t="shared" si="279"/>
        <v>0</v>
      </c>
      <c r="GR228">
        <v>0</v>
      </c>
      <c r="GS228">
        <v>3</v>
      </c>
      <c r="GT228">
        <v>0</v>
      </c>
      <c r="GU228" t="s">
        <v>3</v>
      </c>
      <c r="GV228">
        <f t="shared" si="280"/>
        <v>0</v>
      </c>
      <c r="GW228">
        <v>1</v>
      </c>
      <c r="GX228">
        <f t="shared" si="281"/>
        <v>0</v>
      </c>
      <c r="HA228">
        <v>0</v>
      </c>
      <c r="HB228">
        <v>0</v>
      </c>
      <c r="HC228">
        <f t="shared" si="282"/>
        <v>0</v>
      </c>
      <c r="IK228">
        <v>0</v>
      </c>
    </row>
    <row r="229" spans="1:245" x14ac:dyDescent="0.2">
      <c r="A229">
        <v>17</v>
      </c>
      <c r="B229">
        <v>1</v>
      </c>
      <c r="C229">
        <f>ROW(SmtRes!A294)</f>
        <v>294</v>
      </c>
      <c r="D229">
        <f>ROW(EtalonRes!A306)</f>
        <v>306</v>
      </c>
      <c r="E229" t="s">
        <v>387</v>
      </c>
      <c r="F229" t="s">
        <v>300</v>
      </c>
      <c r="G229" t="s">
        <v>301</v>
      </c>
      <c r="H229" t="s">
        <v>22</v>
      </c>
      <c r="I229">
        <f>ROUND(184/100,9)</f>
        <v>1.84</v>
      </c>
      <c r="J229">
        <v>0</v>
      </c>
      <c r="O229">
        <f t="shared" si="249"/>
        <v>679.81</v>
      </c>
      <c r="P229">
        <f t="shared" si="250"/>
        <v>186.58</v>
      </c>
      <c r="Q229">
        <f t="shared" si="251"/>
        <v>151.43</v>
      </c>
      <c r="R229">
        <f t="shared" si="252"/>
        <v>2.12</v>
      </c>
      <c r="S229">
        <f t="shared" si="253"/>
        <v>341.8</v>
      </c>
      <c r="T229">
        <f t="shared" si="254"/>
        <v>0</v>
      </c>
      <c r="U229">
        <f t="shared" si="255"/>
        <v>36.793007999999993</v>
      </c>
      <c r="V229">
        <f t="shared" si="256"/>
        <v>0.18515000000000001</v>
      </c>
      <c r="W229">
        <f t="shared" si="257"/>
        <v>0</v>
      </c>
      <c r="X229">
        <f t="shared" si="258"/>
        <v>440.22</v>
      </c>
      <c r="Y229">
        <f t="shared" si="259"/>
        <v>278.58</v>
      </c>
      <c r="AA229">
        <v>47631607</v>
      </c>
      <c r="AB229">
        <f t="shared" si="260"/>
        <v>369.45522499999998</v>
      </c>
      <c r="AC229">
        <f t="shared" si="283"/>
        <v>101.4</v>
      </c>
      <c r="AD229">
        <f>ROUND((((((ET229*1.15)*1.25))-(((EU229*1.15)*1.25)))+AE229),6)</f>
        <v>82.296875</v>
      </c>
      <c r="AE229">
        <f>ROUND((((EU229*1.15)*1.25)),6)</f>
        <v>1.1499999999999999</v>
      </c>
      <c r="AF229">
        <f>ROUND((((EV229*1.15)*1.15)),6)</f>
        <v>185.75835000000001</v>
      </c>
      <c r="AG229">
        <f t="shared" si="261"/>
        <v>0</v>
      </c>
      <c r="AH229">
        <f>(((EW229*1.15)*1.15))</f>
        <v>19.996199999999995</v>
      </c>
      <c r="AI229">
        <f>(((EX229*1.15)*1.25))</f>
        <v>0.10062500000000001</v>
      </c>
      <c r="AJ229">
        <f t="shared" si="262"/>
        <v>0</v>
      </c>
      <c r="AK229">
        <v>299.11</v>
      </c>
      <c r="AL229">
        <v>101.4</v>
      </c>
      <c r="AM229">
        <v>57.25</v>
      </c>
      <c r="AN229">
        <v>0.8</v>
      </c>
      <c r="AO229">
        <v>140.46</v>
      </c>
      <c r="AP229">
        <v>0</v>
      </c>
      <c r="AQ229">
        <v>15.12</v>
      </c>
      <c r="AR229">
        <v>7.0000000000000007E-2</v>
      </c>
      <c r="AS229">
        <v>0</v>
      </c>
      <c r="AT229">
        <v>128</v>
      </c>
      <c r="AU229">
        <v>81</v>
      </c>
      <c r="AV229">
        <v>1</v>
      </c>
      <c r="AW229">
        <v>1</v>
      </c>
      <c r="AZ229">
        <v>1</v>
      </c>
      <c r="BA229">
        <v>1</v>
      </c>
      <c r="BB229">
        <v>1</v>
      </c>
      <c r="BC229">
        <v>1</v>
      </c>
      <c r="BD229" t="s">
        <v>3</v>
      </c>
      <c r="BE229" t="s">
        <v>3</v>
      </c>
      <c r="BF229" t="s">
        <v>3</v>
      </c>
      <c r="BG229" t="s">
        <v>3</v>
      </c>
      <c r="BH229">
        <v>0</v>
      </c>
      <c r="BI229">
        <v>1</v>
      </c>
      <c r="BJ229" t="s">
        <v>302</v>
      </c>
      <c r="BM229">
        <v>27001</v>
      </c>
      <c r="BN229">
        <v>0</v>
      </c>
      <c r="BO229" t="s">
        <v>3</v>
      </c>
      <c r="BP229">
        <v>0</v>
      </c>
      <c r="BQ229">
        <v>2</v>
      </c>
      <c r="BR229">
        <v>0</v>
      </c>
      <c r="BS229">
        <v>1</v>
      </c>
      <c r="BT229">
        <v>1</v>
      </c>
      <c r="BU229">
        <v>1</v>
      </c>
      <c r="BV229">
        <v>1</v>
      </c>
      <c r="BW229">
        <v>1</v>
      </c>
      <c r="BX229">
        <v>1</v>
      </c>
      <c r="BY229" t="s">
        <v>3</v>
      </c>
      <c r="BZ229">
        <v>142</v>
      </c>
      <c r="CA229">
        <v>95</v>
      </c>
      <c r="CE229">
        <v>0</v>
      </c>
      <c r="CF229">
        <v>0</v>
      </c>
      <c r="CG229">
        <v>0</v>
      </c>
      <c r="CM229">
        <v>0</v>
      </c>
      <c r="CN229" t="s">
        <v>746</v>
      </c>
      <c r="CO229">
        <v>0</v>
      </c>
      <c r="CP229">
        <f t="shared" si="263"/>
        <v>679.81</v>
      </c>
      <c r="CQ229">
        <f t="shared" si="264"/>
        <v>101.4</v>
      </c>
      <c r="CR229">
        <f t="shared" si="265"/>
        <v>82.296875</v>
      </c>
      <c r="CS229">
        <f t="shared" si="266"/>
        <v>1.1499999999999999</v>
      </c>
      <c r="CT229">
        <f t="shared" si="267"/>
        <v>185.75835000000001</v>
      </c>
      <c r="CU229">
        <f t="shared" si="268"/>
        <v>0</v>
      </c>
      <c r="CV229">
        <f t="shared" si="269"/>
        <v>19.996199999999995</v>
      </c>
      <c r="CW229">
        <f t="shared" si="270"/>
        <v>0.10062500000000001</v>
      </c>
      <c r="CX229">
        <f t="shared" si="271"/>
        <v>0</v>
      </c>
      <c r="CY229">
        <f t="shared" si="272"/>
        <v>440.2176</v>
      </c>
      <c r="CZ229">
        <f t="shared" si="273"/>
        <v>278.5752</v>
      </c>
      <c r="DC229" t="s">
        <v>3</v>
      </c>
      <c r="DD229" t="s">
        <v>3</v>
      </c>
      <c r="DE229" t="s">
        <v>280</v>
      </c>
      <c r="DF229" t="s">
        <v>280</v>
      </c>
      <c r="DG229" t="s">
        <v>53</v>
      </c>
      <c r="DH229" t="s">
        <v>3</v>
      </c>
      <c r="DI229" t="s">
        <v>53</v>
      </c>
      <c r="DJ229" t="s">
        <v>280</v>
      </c>
      <c r="DK229" t="s">
        <v>3</v>
      </c>
      <c r="DL229" t="s">
        <v>3</v>
      </c>
      <c r="DM229" t="s">
        <v>3</v>
      </c>
      <c r="DN229">
        <v>0</v>
      </c>
      <c r="DO229">
        <v>0</v>
      </c>
      <c r="DP229">
        <v>1</v>
      </c>
      <c r="DQ229">
        <v>1</v>
      </c>
      <c r="DU229">
        <v>1005</v>
      </c>
      <c r="DV229" t="s">
        <v>22</v>
      </c>
      <c r="DW229" t="s">
        <v>22</v>
      </c>
      <c r="DX229">
        <v>100</v>
      </c>
      <c r="EE229">
        <v>45919611</v>
      </c>
      <c r="EF229">
        <v>2</v>
      </c>
      <c r="EG229" t="s">
        <v>54</v>
      </c>
      <c r="EH229">
        <v>0</v>
      </c>
      <c r="EI229" t="s">
        <v>3</v>
      </c>
      <c r="EJ229">
        <v>1</v>
      </c>
      <c r="EK229">
        <v>27001</v>
      </c>
      <c r="EL229" t="s">
        <v>281</v>
      </c>
      <c r="EM229" t="s">
        <v>282</v>
      </c>
      <c r="EO229" t="s">
        <v>283</v>
      </c>
      <c r="EQ229">
        <v>0</v>
      </c>
      <c r="ER229">
        <v>299.11</v>
      </c>
      <c r="ES229">
        <v>101.4</v>
      </c>
      <c r="ET229">
        <v>57.25</v>
      </c>
      <c r="EU229">
        <v>0.8</v>
      </c>
      <c r="EV229">
        <v>140.46</v>
      </c>
      <c r="EW229">
        <v>15.12</v>
      </c>
      <c r="EX229">
        <v>7.0000000000000007E-2</v>
      </c>
      <c r="EY229">
        <v>0</v>
      </c>
      <c r="FQ229">
        <v>0</v>
      </c>
      <c r="FR229">
        <f t="shared" si="274"/>
        <v>0</v>
      </c>
      <c r="FS229">
        <v>0</v>
      </c>
      <c r="FT229" t="s">
        <v>58</v>
      </c>
      <c r="FU229" t="s">
        <v>59</v>
      </c>
      <c r="FX229">
        <v>127.8</v>
      </c>
      <c r="FY229">
        <v>80.75</v>
      </c>
      <c r="GA229" t="s">
        <v>3</v>
      </c>
      <c r="GD229">
        <v>1</v>
      </c>
      <c r="GF229">
        <v>-424602008</v>
      </c>
      <c r="GG229">
        <v>2</v>
      </c>
      <c r="GH229">
        <v>1</v>
      </c>
      <c r="GI229">
        <v>-2</v>
      </c>
      <c r="GJ229">
        <v>0</v>
      </c>
      <c r="GK229">
        <v>0</v>
      </c>
      <c r="GL229">
        <f t="shared" si="275"/>
        <v>0</v>
      </c>
      <c r="GM229">
        <f t="shared" si="276"/>
        <v>1398.61</v>
      </c>
      <c r="GN229">
        <f t="shared" si="277"/>
        <v>1398.61</v>
      </c>
      <c r="GO229">
        <f t="shared" si="278"/>
        <v>0</v>
      </c>
      <c r="GP229">
        <f t="shared" si="279"/>
        <v>0</v>
      </c>
      <c r="GR229">
        <v>0</v>
      </c>
      <c r="GS229">
        <v>3</v>
      </c>
      <c r="GT229">
        <v>0</v>
      </c>
      <c r="GU229" t="s">
        <v>3</v>
      </c>
      <c r="GV229">
        <f t="shared" si="280"/>
        <v>0</v>
      </c>
      <c r="GW229">
        <v>1</v>
      </c>
      <c r="GX229">
        <f t="shared" si="281"/>
        <v>0</v>
      </c>
      <c r="HA229">
        <v>0</v>
      </c>
      <c r="HB229">
        <v>0</v>
      </c>
      <c r="HC229">
        <f t="shared" si="282"/>
        <v>0</v>
      </c>
      <c r="IK229">
        <v>0</v>
      </c>
    </row>
    <row r="230" spans="1:245" x14ac:dyDescent="0.2">
      <c r="A230">
        <v>18</v>
      </c>
      <c r="B230">
        <v>1</v>
      </c>
      <c r="C230">
        <v>293</v>
      </c>
      <c r="E230" t="s">
        <v>388</v>
      </c>
      <c r="F230" t="s">
        <v>101</v>
      </c>
      <c r="G230" t="s">
        <v>102</v>
      </c>
      <c r="H230" t="s">
        <v>96</v>
      </c>
      <c r="I230">
        <f>I229*J230</f>
        <v>0.92</v>
      </c>
      <c r="J230">
        <v>0.5</v>
      </c>
      <c r="O230">
        <f t="shared" si="249"/>
        <v>50.84</v>
      </c>
      <c r="P230">
        <f t="shared" si="250"/>
        <v>50.84</v>
      </c>
      <c r="Q230">
        <f t="shared" si="251"/>
        <v>0</v>
      </c>
      <c r="R230">
        <f t="shared" si="252"/>
        <v>0</v>
      </c>
      <c r="S230">
        <f t="shared" si="253"/>
        <v>0</v>
      </c>
      <c r="T230">
        <f t="shared" si="254"/>
        <v>0</v>
      </c>
      <c r="U230">
        <f t="shared" si="255"/>
        <v>0</v>
      </c>
      <c r="V230">
        <f t="shared" si="256"/>
        <v>0</v>
      </c>
      <c r="W230">
        <f t="shared" si="257"/>
        <v>0</v>
      </c>
      <c r="X230">
        <f t="shared" si="258"/>
        <v>0</v>
      </c>
      <c r="Y230">
        <f t="shared" si="259"/>
        <v>0</v>
      </c>
      <c r="AA230">
        <v>47631607</v>
      </c>
      <c r="AB230">
        <f t="shared" si="260"/>
        <v>55.26</v>
      </c>
      <c r="AC230">
        <f t="shared" si="283"/>
        <v>55.26</v>
      </c>
      <c r="AD230">
        <f>ROUND((((ET230)-(EU230))+AE230),6)</f>
        <v>0</v>
      </c>
      <c r="AE230">
        <f>ROUND((EU230),6)</f>
        <v>0</v>
      </c>
      <c r="AF230">
        <f>ROUND((EV230),6)</f>
        <v>0</v>
      </c>
      <c r="AG230">
        <f t="shared" si="261"/>
        <v>0</v>
      </c>
      <c r="AH230">
        <f>(EW230)</f>
        <v>0</v>
      </c>
      <c r="AI230">
        <f>(EX230)</f>
        <v>0</v>
      </c>
      <c r="AJ230">
        <f t="shared" si="262"/>
        <v>0</v>
      </c>
      <c r="AK230">
        <v>55.26</v>
      </c>
      <c r="AL230">
        <v>55.26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128</v>
      </c>
      <c r="AU230">
        <v>81</v>
      </c>
      <c r="AV230">
        <v>1</v>
      </c>
      <c r="AW230">
        <v>1</v>
      </c>
      <c r="AZ230">
        <v>1</v>
      </c>
      <c r="BA230">
        <v>1</v>
      </c>
      <c r="BB230">
        <v>1</v>
      </c>
      <c r="BC230">
        <v>1</v>
      </c>
      <c r="BD230" t="s">
        <v>3</v>
      </c>
      <c r="BE230" t="s">
        <v>3</v>
      </c>
      <c r="BF230" t="s">
        <v>3</v>
      </c>
      <c r="BG230" t="s">
        <v>3</v>
      </c>
      <c r="BH230">
        <v>3</v>
      </c>
      <c r="BI230">
        <v>1</v>
      </c>
      <c r="BJ230" t="s">
        <v>103</v>
      </c>
      <c r="BM230">
        <v>27001</v>
      </c>
      <c r="BN230">
        <v>0</v>
      </c>
      <c r="BO230" t="s">
        <v>3</v>
      </c>
      <c r="BP230">
        <v>0</v>
      </c>
      <c r="BQ230">
        <v>2</v>
      </c>
      <c r="BR230">
        <v>0</v>
      </c>
      <c r="BS230">
        <v>1</v>
      </c>
      <c r="BT230">
        <v>1</v>
      </c>
      <c r="BU230">
        <v>1</v>
      </c>
      <c r="BV230">
        <v>1</v>
      </c>
      <c r="BW230">
        <v>1</v>
      </c>
      <c r="BX230">
        <v>1</v>
      </c>
      <c r="BY230" t="s">
        <v>3</v>
      </c>
      <c r="BZ230">
        <v>142</v>
      </c>
      <c r="CA230">
        <v>95</v>
      </c>
      <c r="CE230">
        <v>0</v>
      </c>
      <c r="CF230">
        <v>0</v>
      </c>
      <c r="CG230">
        <v>0</v>
      </c>
      <c r="CM230">
        <v>0</v>
      </c>
      <c r="CN230" t="s">
        <v>3</v>
      </c>
      <c r="CO230">
        <v>0</v>
      </c>
      <c r="CP230">
        <f t="shared" si="263"/>
        <v>50.84</v>
      </c>
      <c r="CQ230">
        <f t="shared" si="264"/>
        <v>55.26</v>
      </c>
      <c r="CR230">
        <f t="shared" si="265"/>
        <v>0</v>
      </c>
      <c r="CS230">
        <f t="shared" si="266"/>
        <v>0</v>
      </c>
      <c r="CT230">
        <f t="shared" si="267"/>
        <v>0</v>
      </c>
      <c r="CU230">
        <f t="shared" si="268"/>
        <v>0</v>
      </c>
      <c r="CV230">
        <f t="shared" si="269"/>
        <v>0</v>
      </c>
      <c r="CW230">
        <f t="shared" si="270"/>
        <v>0</v>
      </c>
      <c r="CX230">
        <f t="shared" si="271"/>
        <v>0</v>
      </c>
      <c r="CY230">
        <f t="shared" si="272"/>
        <v>0</v>
      </c>
      <c r="CZ230">
        <f t="shared" si="273"/>
        <v>0</v>
      </c>
      <c r="DC230" t="s">
        <v>3</v>
      </c>
      <c r="DD230" t="s">
        <v>3</v>
      </c>
      <c r="DE230" t="s">
        <v>3</v>
      </c>
      <c r="DF230" t="s">
        <v>3</v>
      </c>
      <c r="DG230" t="s">
        <v>3</v>
      </c>
      <c r="DH230" t="s">
        <v>3</v>
      </c>
      <c r="DI230" t="s">
        <v>3</v>
      </c>
      <c r="DJ230" t="s">
        <v>3</v>
      </c>
      <c r="DK230" t="s">
        <v>3</v>
      </c>
      <c r="DL230" t="s">
        <v>3</v>
      </c>
      <c r="DM230" t="s">
        <v>3</v>
      </c>
      <c r="DN230">
        <v>0</v>
      </c>
      <c r="DO230">
        <v>0</v>
      </c>
      <c r="DP230">
        <v>1</v>
      </c>
      <c r="DQ230">
        <v>1</v>
      </c>
      <c r="DU230">
        <v>1007</v>
      </c>
      <c r="DV230" t="s">
        <v>96</v>
      </c>
      <c r="DW230" t="s">
        <v>96</v>
      </c>
      <c r="DX230">
        <v>1</v>
      </c>
      <c r="EE230">
        <v>45919611</v>
      </c>
      <c r="EF230">
        <v>2</v>
      </c>
      <c r="EG230" t="s">
        <v>54</v>
      </c>
      <c r="EH230">
        <v>0</v>
      </c>
      <c r="EI230" t="s">
        <v>3</v>
      </c>
      <c r="EJ230">
        <v>1</v>
      </c>
      <c r="EK230">
        <v>27001</v>
      </c>
      <c r="EL230" t="s">
        <v>281</v>
      </c>
      <c r="EM230" t="s">
        <v>282</v>
      </c>
      <c r="EO230" t="s">
        <v>3</v>
      </c>
      <c r="EQ230">
        <v>0</v>
      </c>
      <c r="ER230">
        <v>55.26</v>
      </c>
      <c r="ES230">
        <v>55.26</v>
      </c>
      <c r="ET230">
        <v>0</v>
      </c>
      <c r="EU230">
        <v>0</v>
      </c>
      <c r="EV230">
        <v>0</v>
      </c>
      <c r="EW230">
        <v>0</v>
      </c>
      <c r="EX230">
        <v>0</v>
      </c>
      <c r="FQ230">
        <v>0</v>
      </c>
      <c r="FR230">
        <f t="shared" si="274"/>
        <v>0</v>
      </c>
      <c r="FS230">
        <v>0</v>
      </c>
      <c r="FT230" t="s">
        <v>58</v>
      </c>
      <c r="FU230" t="s">
        <v>59</v>
      </c>
      <c r="FX230">
        <v>127.8</v>
      </c>
      <c r="FY230">
        <v>80.75</v>
      </c>
      <c r="GA230" t="s">
        <v>3</v>
      </c>
      <c r="GD230">
        <v>1</v>
      </c>
      <c r="GF230">
        <v>-35545874</v>
      </c>
      <c r="GG230">
        <v>2</v>
      </c>
      <c r="GH230">
        <v>1</v>
      </c>
      <c r="GI230">
        <v>-2</v>
      </c>
      <c r="GJ230">
        <v>0</v>
      </c>
      <c r="GK230">
        <v>0</v>
      </c>
      <c r="GL230">
        <f t="shared" si="275"/>
        <v>0</v>
      </c>
      <c r="GM230">
        <f t="shared" si="276"/>
        <v>50.84</v>
      </c>
      <c r="GN230">
        <f t="shared" si="277"/>
        <v>50.84</v>
      </c>
      <c r="GO230">
        <f t="shared" si="278"/>
        <v>0</v>
      </c>
      <c r="GP230">
        <f t="shared" si="279"/>
        <v>0</v>
      </c>
      <c r="GR230">
        <v>0</v>
      </c>
      <c r="GS230">
        <v>3</v>
      </c>
      <c r="GT230">
        <v>0</v>
      </c>
      <c r="GU230" t="s">
        <v>3</v>
      </c>
      <c r="GV230">
        <f t="shared" si="280"/>
        <v>0</v>
      </c>
      <c r="GW230">
        <v>1</v>
      </c>
      <c r="GX230">
        <f t="shared" si="281"/>
        <v>0</v>
      </c>
      <c r="HA230">
        <v>0</v>
      </c>
      <c r="HB230">
        <v>0</v>
      </c>
      <c r="HC230">
        <f t="shared" si="282"/>
        <v>0</v>
      </c>
      <c r="IK230">
        <v>0</v>
      </c>
    </row>
    <row r="231" spans="1:245" x14ac:dyDescent="0.2">
      <c r="A231">
        <v>18</v>
      </c>
      <c r="B231">
        <v>1</v>
      </c>
      <c r="C231">
        <v>294</v>
      </c>
      <c r="E231" t="s">
        <v>389</v>
      </c>
      <c r="F231" t="s">
        <v>305</v>
      </c>
      <c r="G231" t="s">
        <v>306</v>
      </c>
      <c r="H231" t="s">
        <v>32</v>
      </c>
      <c r="I231">
        <f>I229*J231</f>
        <v>13.137600000000001</v>
      </c>
      <c r="J231">
        <v>7.1400000000000006</v>
      </c>
      <c r="O231">
        <f t="shared" si="249"/>
        <v>7035.18</v>
      </c>
      <c r="P231">
        <f t="shared" si="250"/>
        <v>7035.18</v>
      </c>
      <c r="Q231">
        <f t="shared" si="251"/>
        <v>0</v>
      </c>
      <c r="R231">
        <f t="shared" si="252"/>
        <v>0</v>
      </c>
      <c r="S231">
        <f t="shared" si="253"/>
        <v>0</v>
      </c>
      <c r="T231">
        <f t="shared" si="254"/>
        <v>0</v>
      </c>
      <c r="U231">
        <f t="shared" si="255"/>
        <v>0</v>
      </c>
      <c r="V231">
        <f t="shared" si="256"/>
        <v>0</v>
      </c>
      <c r="W231">
        <f t="shared" si="257"/>
        <v>0</v>
      </c>
      <c r="X231">
        <f t="shared" si="258"/>
        <v>0</v>
      </c>
      <c r="Y231">
        <f t="shared" si="259"/>
        <v>0</v>
      </c>
      <c r="AA231">
        <v>47631607</v>
      </c>
      <c r="AB231">
        <f t="shared" si="260"/>
        <v>535.5</v>
      </c>
      <c r="AC231">
        <f t="shared" si="283"/>
        <v>535.5</v>
      </c>
      <c r="AD231">
        <f>ROUND((((ET231)-(EU231))+AE231),6)</f>
        <v>0</v>
      </c>
      <c r="AE231">
        <f>ROUND((EU231),6)</f>
        <v>0</v>
      </c>
      <c r="AF231">
        <f>ROUND((EV231),6)</f>
        <v>0</v>
      </c>
      <c r="AG231">
        <f t="shared" si="261"/>
        <v>0</v>
      </c>
      <c r="AH231">
        <f>(EW231)</f>
        <v>0</v>
      </c>
      <c r="AI231">
        <f>(EX231)</f>
        <v>0</v>
      </c>
      <c r="AJ231">
        <f t="shared" si="262"/>
        <v>0</v>
      </c>
      <c r="AK231">
        <v>535.5</v>
      </c>
      <c r="AL231">
        <v>535.5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128</v>
      </c>
      <c r="AU231">
        <v>81</v>
      </c>
      <c r="AV231">
        <v>1</v>
      </c>
      <c r="AW231">
        <v>1</v>
      </c>
      <c r="AZ231">
        <v>1</v>
      </c>
      <c r="BA231">
        <v>1</v>
      </c>
      <c r="BB231">
        <v>1</v>
      </c>
      <c r="BC231">
        <v>1</v>
      </c>
      <c r="BD231" t="s">
        <v>3</v>
      </c>
      <c r="BE231" t="s">
        <v>3</v>
      </c>
      <c r="BF231" t="s">
        <v>3</v>
      </c>
      <c r="BG231" t="s">
        <v>3</v>
      </c>
      <c r="BH231">
        <v>3</v>
      </c>
      <c r="BI231">
        <v>1</v>
      </c>
      <c r="BJ231" t="s">
        <v>307</v>
      </c>
      <c r="BM231">
        <v>27001</v>
      </c>
      <c r="BN231">
        <v>0</v>
      </c>
      <c r="BO231" t="s">
        <v>3</v>
      </c>
      <c r="BP231">
        <v>0</v>
      </c>
      <c r="BQ231">
        <v>2</v>
      </c>
      <c r="BR231">
        <v>0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 t="s">
        <v>3</v>
      </c>
      <c r="BZ231">
        <v>142</v>
      </c>
      <c r="CA231">
        <v>95</v>
      </c>
      <c r="CE231">
        <v>0</v>
      </c>
      <c r="CF231">
        <v>0</v>
      </c>
      <c r="CG231">
        <v>0</v>
      </c>
      <c r="CM231">
        <v>0</v>
      </c>
      <c r="CN231" t="s">
        <v>3</v>
      </c>
      <c r="CO231">
        <v>0</v>
      </c>
      <c r="CP231">
        <f t="shared" si="263"/>
        <v>7035.18</v>
      </c>
      <c r="CQ231">
        <f t="shared" si="264"/>
        <v>535.5</v>
      </c>
      <c r="CR231">
        <f t="shared" si="265"/>
        <v>0</v>
      </c>
      <c r="CS231">
        <f t="shared" si="266"/>
        <v>0</v>
      </c>
      <c r="CT231">
        <f t="shared" si="267"/>
        <v>0</v>
      </c>
      <c r="CU231">
        <f t="shared" si="268"/>
        <v>0</v>
      </c>
      <c r="CV231">
        <f t="shared" si="269"/>
        <v>0</v>
      </c>
      <c r="CW231">
        <f t="shared" si="270"/>
        <v>0</v>
      </c>
      <c r="CX231">
        <f t="shared" si="271"/>
        <v>0</v>
      </c>
      <c r="CY231">
        <f t="shared" si="272"/>
        <v>0</v>
      </c>
      <c r="CZ231">
        <f t="shared" si="273"/>
        <v>0</v>
      </c>
      <c r="DC231" t="s">
        <v>3</v>
      </c>
      <c r="DD231" t="s">
        <v>3</v>
      </c>
      <c r="DE231" t="s">
        <v>3</v>
      </c>
      <c r="DF231" t="s">
        <v>3</v>
      </c>
      <c r="DG231" t="s">
        <v>3</v>
      </c>
      <c r="DH231" t="s">
        <v>3</v>
      </c>
      <c r="DI231" t="s">
        <v>3</v>
      </c>
      <c r="DJ231" t="s">
        <v>3</v>
      </c>
      <c r="DK231" t="s">
        <v>3</v>
      </c>
      <c r="DL231" t="s">
        <v>3</v>
      </c>
      <c r="DM231" t="s">
        <v>3</v>
      </c>
      <c r="DN231">
        <v>0</v>
      </c>
      <c r="DO231">
        <v>0</v>
      </c>
      <c r="DP231">
        <v>1</v>
      </c>
      <c r="DQ231">
        <v>1</v>
      </c>
      <c r="DU231">
        <v>1009</v>
      </c>
      <c r="DV231" t="s">
        <v>32</v>
      </c>
      <c r="DW231" t="s">
        <v>32</v>
      </c>
      <c r="DX231">
        <v>1000</v>
      </c>
      <c r="EE231">
        <v>45919611</v>
      </c>
      <c r="EF231">
        <v>2</v>
      </c>
      <c r="EG231" t="s">
        <v>54</v>
      </c>
      <c r="EH231">
        <v>0</v>
      </c>
      <c r="EI231" t="s">
        <v>3</v>
      </c>
      <c r="EJ231">
        <v>1</v>
      </c>
      <c r="EK231">
        <v>27001</v>
      </c>
      <c r="EL231" t="s">
        <v>281</v>
      </c>
      <c r="EM231" t="s">
        <v>282</v>
      </c>
      <c r="EO231" t="s">
        <v>3</v>
      </c>
      <c r="EQ231">
        <v>0</v>
      </c>
      <c r="ER231">
        <v>535.5</v>
      </c>
      <c r="ES231">
        <v>535.5</v>
      </c>
      <c r="ET231">
        <v>0</v>
      </c>
      <c r="EU231">
        <v>0</v>
      </c>
      <c r="EV231">
        <v>0</v>
      </c>
      <c r="EW231">
        <v>0</v>
      </c>
      <c r="EX231">
        <v>0</v>
      </c>
      <c r="FQ231">
        <v>0</v>
      </c>
      <c r="FR231">
        <f t="shared" si="274"/>
        <v>0</v>
      </c>
      <c r="FS231">
        <v>0</v>
      </c>
      <c r="FT231" t="s">
        <v>58</v>
      </c>
      <c r="FU231" t="s">
        <v>59</v>
      </c>
      <c r="FX231">
        <v>127.8</v>
      </c>
      <c r="FY231">
        <v>80.75</v>
      </c>
      <c r="GA231" t="s">
        <v>3</v>
      </c>
      <c r="GD231">
        <v>1</v>
      </c>
      <c r="GF231">
        <v>1957326309</v>
      </c>
      <c r="GG231">
        <v>2</v>
      </c>
      <c r="GH231">
        <v>1</v>
      </c>
      <c r="GI231">
        <v>-2</v>
      </c>
      <c r="GJ231">
        <v>0</v>
      </c>
      <c r="GK231">
        <v>0</v>
      </c>
      <c r="GL231">
        <f t="shared" si="275"/>
        <v>0</v>
      </c>
      <c r="GM231">
        <f t="shared" si="276"/>
        <v>7035.18</v>
      </c>
      <c r="GN231">
        <f t="shared" si="277"/>
        <v>7035.18</v>
      </c>
      <c r="GO231">
        <f t="shared" si="278"/>
        <v>0</v>
      </c>
      <c r="GP231">
        <f t="shared" si="279"/>
        <v>0</v>
      </c>
      <c r="GR231">
        <v>0</v>
      </c>
      <c r="GS231">
        <v>3</v>
      </c>
      <c r="GT231">
        <v>0</v>
      </c>
      <c r="GU231" t="s">
        <v>3</v>
      </c>
      <c r="GV231">
        <f t="shared" si="280"/>
        <v>0</v>
      </c>
      <c r="GW231">
        <v>1</v>
      </c>
      <c r="GX231">
        <f t="shared" si="281"/>
        <v>0</v>
      </c>
      <c r="HA231">
        <v>0</v>
      </c>
      <c r="HB231">
        <v>0</v>
      </c>
      <c r="HC231">
        <f t="shared" si="282"/>
        <v>0</v>
      </c>
      <c r="IK231">
        <v>0</v>
      </c>
    </row>
    <row r="232" spans="1:245" x14ac:dyDescent="0.2">
      <c r="A232">
        <v>17</v>
      </c>
      <c r="B232">
        <v>1</v>
      </c>
      <c r="C232">
        <f>ROW(SmtRes!A297)</f>
        <v>297</v>
      </c>
      <c r="D232">
        <f>ROW(EtalonRes!A309)</f>
        <v>309</v>
      </c>
      <c r="E232" t="s">
        <v>390</v>
      </c>
      <c r="F232" t="s">
        <v>309</v>
      </c>
      <c r="G232" t="s">
        <v>310</v>
      </c>
      <c r="H232" t="s">
        <v>22</v>
      </c>
      <c r="I232">
        <f>ROUND(184/100,9)</f>
        <v>1.84</v>
      </c>
      <c r="J232">
        <v>0</v>
      </c>
      <c r="O232">
        <f t="shared" si="249"/>
        <v>74.66</v>
      </c>
      <c r="P232">
        <f t="shared" si="250"/>
        <v>0</v>
      </c>
      <c r="Q232">
        <f t="shared" si="251"/>
        <v>22.22</v>
      </c>
      <c r="R232">
        <f t="shared" si="252"/>
        <v>0</v>
      </c>
      <c r="S232">
        <f t="shared" si="253"/>
        <v>52.44</v>
      </c>
      <c r="T232">
        <f t="shared" si="254"/>
        <v>0</v>
      </c>
      <c r="U232">
        <f t="shared" si="255"/>
        <v>5.6454879999999994</v>
      </c>
      <c r="V232">
        <f t="shared" si="256"/>
        <v>0</v>
      </c>
      <c r="W232">
        <f t="shared" si="257"/>
        <v>0</v>
      </c>
      <c r="X232">
        <f t="shared" si="258"/>
        <v>67.12</v>
      </c>
      <c r="Y232">
        <f t="shared" si="259"/>
        <v>42.48</v>
      </c>
      <c r="AA232">
        <v>47631607</v>
      </c>
      <c r="AB232">
        <f t="shared" si="260"/>
        <v>40.574874999999999</v>
      </c>
      <c r="AC232">
        <f t="shared" si="283"/>
        <v>0</v>
      </c>
      <c r="AD232">
        <f>ROUND((((((ET232*1.15)*1.25))-(((EU232*1.15)*1.25)))+AE232),6)</f>
        <v>12.074999999999999</v>
      </c>
      <c r="AE232">
        <f>ROUND((((EU232*1.15)*1.25)),6)</f>
        <v>0</v>
      </c>
      <c r="AF232">
        <f>ROUND((((EV232*1.15)*1.15)),6)</f>
        <v>28.499874999999999</v>
      </c>
      <c r="AG232">
        <f t="shared" si="261"/>
        <v>0</v>
      </c>
      <c r="AH232">
        <f>(((EW232*1.15)*1.15))</f>
        <v>3.0681999999999996</v>
      </c>
      <c r="AI232">
        <f>(((EX232*1.15)*1.25))</f>
        <v>0</v>
      </c>
      <c r="AJ232">
        <f t="shared" si="262"/>
        <v>0</v>
      </c>
      <c r="AK232">
        <v>29.95</v>
      </c>
      <c r="AL232">
        <v>0</v>
      </c>
      <c r="AM232">
        <v>8.4</v>
      </c>
      <c r="AN232">
        <v>0</v>
      </c>
      <c r="AO232">
        <v>21.55</v>
      </c>
      <c r="AP232">
        <v>0</v>
      </c>
      <c r="AQ232">
        <v>2.3199999999999998</v>
      </c>
      <c r="AR232">
        <v>0</v>
      </c>
      <c r="AS232">
        <v>0</v>
      </c>
      <c r="AT232">
        <v>128</v>
      </c>
      <c r="AU232">
        <v>81</v>
      </c>
      <c r="AV232">
        <v>1</v>
      </c>
      <c r="AW232">
        <v>1</v>
      </c>
      <c r="AZ232">
        <v>1</v>
      </c>
      <c r="BA232">
        <v>1</v>
      </c>
      <c r="BB232">
        <v>1</v>
      </c>
      <c r="BC232">
        <v>1</v>
      </c>
      <c r="BD232" t="s">
        <v>3</v>
      </c>
      <c r="BE232" t="s">
        <v>3</v>
      </c>
      <c r="BF232" t="s">
        <v>3</v>
      </c>
      <c r="BG232" t="s">
        <v>3</v>
      </c>
      <c r="BH232">
        <v>0</v>
      </c>
      <c r="BI232">
        <v>1</v>
      </c>
      <c r="BJ232" t="s">
        <v>311</v>
      </c>
      <c r="BM232">
        <v>27001</v>
      </c>
      <c r="BN232">
        <v>0</v>
      </c>
      <c r="BO232" t="s">
        <v>3</v>
      </c>
      <c r="BP232">
        <v>0</v>
      </c>
      <c r="BQ232">
        <v>2</v>
      </c>
      <c r="BR232">
        <v>0</v>
      </c>
      <c r="BS232">
        <v>1</v>
      </c>
      <c r="BT232">
        <v>1</v>
      </c>
      <c r="BU232">
        <v>1</v>
      </c>
      <c r="BV232">
        <v>1</v>
      </c>
      <c r="BW232">
        <v>1</v>
      </c>
      <c r="BX232">
        <v>1</v>
      </c>
      <c r="BY232" t="s">
        <v>3</v>
      </c>
      <c r="BZ232">
        <v>142</v>
      </c>
      <c r="CA232">
        <v>95</v>
      </c>
      <c r="CE232">
        <v>0</v>
      </c>
      <c r="CF232">
        <v>0</v>
      </c>
      <c r="CG232">
        <v>0</v>
      </c>
      <c r="CM232">
        <v>0</v>
      </c>
      <c r="CN232" t="s">
        <v>746</v>
      </c>
      <c r="CO232">
        <v>0</v>
      </c>
      <c r="CP232">
        <f t="shared" si="263"/>
        <v>74.66</v>
      </c>
      <c r="CQ232">
        <f t="shared" si="264"/>
        <v>0</v>
      </c>
      <c r="CR232">
        <f t="shared" si="265"/>
        <v>12.074999999999999</v>
      </c>
      <c r="CS232">
        <f t="shared" si="266"/>
        <v>0</v>
      </c>
      <c r="CT232">
        <f t="shared" si="267"/>
        <v>28.499874999999999</v>
      </c>
      <c r="CU232">
        <f t="shared" si="268"/>
        <v>0</v>
      </c>
      <c r="CV232">
        <f t="shared" si="269"/>
        <v>3.0681999999999996</v>
      </c>
      <c r="CW232">
        <f t="shared" si="270"/>
        <v>0</v>
      </c>
      <c r="CX232">
        <f t="shared" si="271"/>
        <v>0</v>
      </c>
      <c r="CY232">
        <f t="shared" si="272"/>
        <v>67.123199999999997</v>
      </c>
      <c r="CZ232">
        <f t="shared" si="273"/>
        <v>42.476399999999991</v>
      </c>
      <c r="DC232" t="s">
        <v>3</v>
      </c>
      <c r="DD232" t="s">
        <v>3</v>
      </c>
      <c r="DE232" t="s">
        <v>280</v>
      </c>
      <c r="DF232" t="s">
        <v>280</v>
      </c>
      <c r="DG232" t="s">
        <v>53</v>
      </c>
      <c r="DH232" t="s">
        <v>3</v>
      </c>
      <c r="DI232" t="s">
        <v>53</v>
      </c>
      <c r="DJ232" t="s">
        <v>280</v>
      </c>
      <c r="DK232" t="s">
        <v>3</v>
      </c>
      <c r="DL232" t="s">
        <v>3</v>
      </c>
      <c r="DM232" t="s">
        <v>3</v>
      </c>
      <c r="DN232">
        <v>0</v>
      </c>
      <c r="DO232">
        <v>0</v>
      </c>
      <c r="DP232">
        <v>1</v>
      </c>
      <c r="DQ232">
        <v>1</v>
      </c>
      <c r="DU232">
        <v>1005</v>
      </c>
      <c r="DV232" t="s">
        <v>22</v>
      </c>
      <c r="DW232" t="s">
        <v>22</v>
      </c>
      <c r="DX232">
        <v>100</v>
      </c>
      <c r="EE232">
        <v>45919611</v>
      </c>
      <c r="EF232">
        <v>2</v>
      </c>
      <c r="EG232" t="s">
        <v>54</v>
      </c>
      <c r="EH232">
        <v>0</v>
      </c>
      <c r="EI232" t="s">
        <v>3</v>
      </c>
      <c r="EJ232">
        <v>1</v>
      </c>
      <c r="EK232">
        <v>27001</v>
      </c>
      <c r="EL232" t="s">
        <v>281</v>
      </c>
      <c r="EM232" t="s">
        <v>282</v>
      </c>
      <c r="EO232" t="s">
        <v>283</v>
      </c>
      <c r="EQ232">
        <v>0</v>
      </c>
      <c r="ER232">
        <v>29.95</v>
      </c>
      <c r="ES232">
        <v>0</v>
      </c>
      <c r="ET232">
        <v>8.4</v>
      </c>
      <c r="EU232">
        <v>0</v>
      </c>
      <c r="EV232">
        <v>21.55</v>
      </c>
      <c r="EW232">
        <v>2.3199999999999998</v>
      </c>
      <c r="EX232">
        <v>0</v>
      </c>
      <c r="EY232">
        <v>0</v>
      </c>
      <c r="FQ232">
        <v>0</v>
      </c>
      <c r="FR232">
        <f t="shared" si="274"/>
        <v>0</v>
      </c>
      <c r="FS232">
        <v>0</v>
      </c>
      <c r="FT232" t="s">
        <v>58</v>
      </c>
      <c r="FU232" t="s">
        <v>59</v>
      </c>
      <c r="FX232">
        <v>127.8</v>
      </c>
      <c r="FY232">
        <v>80.75</v>
      </c>
      <c r="GA232" t="s">
        <v>3</v>
      </c>
      <c r="GD232">
        <v>1</v>
      </c>
      <c r="GF232">
        <v>1654391400</v>
      </c>
      <c r="GG232">
        <v>2</v>
      </c>
      <c r="GH232">
        <v>1</v>
      </c>
      <c r="GI232">
        <v>-2</v>
      </c>
      <c r="GJ232">
        <v>0</v>
      </c>
      <c r="GK232">
        <v>0</v>
      </c>
      <c r="GL232">
        <f t="shared" si="275"/>
        <v>0</v>
      </c>
      <c r="GM232">
        <f t="shared" si="276"/>
        <v>184.26</v>
      </c>
      <c r="GN232">
        <f t="shared" si="277"/>
        <v>184.26</v>
      </c>
      <c r="GO232">
        <f t="shared" si="278"/>
        <v>0</v>
      </c>
      <c r="GP232">
        <f t="shared" si="279"/>
        <v>0</v>
      </c>
      <c r="GR232">
        <v>0</v>
      </c>
      <c r="GS232">
        <v>3</v>
      </c>
      <c r="GT232">
        <v>0</v>
      </c>
      <c r="GU232" t="s">
        <v>3</v>
      </c>
      <c r="GV232">
        <f t="shared" si="280"/>
        <v>0</v>
      </c>
      <c r="GW232">
        <v>1</v>
      </c>
      <c r="GX232">
        <f t="shared" si="281"/>
        <v>0</v>
      </c>
      <c r="HA232">
        <v>0</v>
      </c>
      <c r="HB232">
        <v>0</v>
      </c>
      <c r="HC232">
        <f t="shared" si="282"/>
        <v>0</v>
      </c>
      <c r="IK232">
        <v>0</v>
      </c>
    </row>
    <row r="233" spans="1:245" x14ac:dyDescent="0.2">
      <c r="A233">
        <v>18</v>
      </c>
      <c r="B233">
        <v>1</v>
      </c>
      <c r="C233">
        <v>297</v>
      </c>
      <c r="E233" t="s">
        <v>391</v>
      </c>
      <c r="F233" t="s">
        <v>305</v>
      </c>
      <c r="G233" t="s">
        <v>306</v>
      </c>
      <c r="H233" t="s">
        <v>32</v>
      </c>
      <c r="I233">
        <f>I232*J233</f>
        <v>2.2263999999999999</v>
      </c>
      <c r="J233">
        <v>1.21</v>
      </c>
      <c r="O233">
        <f t="shared" si="249"/>
        <v>1192.24</v>
      </c>
      <c r="P233">
        <f t="shared" si="250"/>
        <v>1192.24</v>
      </c>
      <c r="Q233">
        <f t="shared" si="251"/>
        <v>0</v>
      </c>
      <c r="R233">
        <f t="shared" si="252"/>
        <v>0</v>
      </c>
      <c r="S233">
        <f t="shared" si="253"/>
        <v>0</v>
      </c>
      <c r="T233">
        <f t="shared" si="254"/>
        <v>0</v>
      </c>
      <c r="U233">
        <f t="shared" si="255"/>
        <v>0</v>
      </c>
      <c r="V233">
        <f t="shared" si="256"/>
        <v>0</v>
      </c>
      <c r="W233">
        <f t="shared" si="257"/>
        <v>0</v>
      </c>
      <c r="X233">
        <f t="shared" si="258"/>
        <v>0</v>
      </c>
      <c r="Y233">
        <f t="shared" si="259"/>
        <v>0</v>
      </c>
      <c r="AA233">
        <v>47631607</v>
      </c>
      <c r="AB233">
        <f t="shared" si="260"/>
        <v>535.5</v>
      </c>
      <c r="AC233">
        <f t="shared" si="283"/>
        <v>535.5</v>
      </c>
      <c r="AD233">
        <f>ROUND((((ET233)-(EU233))+AE233),6)</f>
        <v>0</v>
      </c>
      <c r="AE233">
        <f>ROUND((EU233),6)</f>
        <v>0</v>
      </c>
      <c r="AF233">
        <f>ROUND((EV233),6)</f>
        <v>0</v>
      </c>
      <c r="AG233">
        <f t="shared" si="261"/>
        <v>0</v>
      </c>
      <c r="AH233">
        <f>(EW233)</f>
        <v>0</v>
      </c>
      <c r="AI233">
        <f>(EX233)</f>
        <v>0</v>
      </c>
      <c r="AJ233">
        <f t="shared" si="262"/>
        <v>0</v>
      </c>
      <c r="AK233">
        <v>535.5</v>
      </c>
      <c r="AL233">
        <v>535.5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128</v>
      </c>
      <c r="AU233">
        <v>81</v>
      </c>
      <c r="AV233">
        <v>1</v>
      </c>
      <c r="AW233">
        <v>1</v>
      </c>
      <c r="AZ233">
        <v>1</v>
      </c>
      <c r="BA233">
        <v>1</v>
      </c>
      <c r="BB233">
        <v>1</v>
      </c>
      <c r="BC233">
        <v>1</v>
      </c>
      <c r="BD233" t="s">
        <v>3</v>
      </c>
      <c r="BE233" t="s">
        <v>3</v>
      </c>
      <c r="BF233" t="s">
        <v>3</v>
      </c>
      <c r="BG233" t="s">
        <v>3</v>
      </c>
      <c r="BH233">
        <v>3</v>
      </c>
      <c r="BI233">
        <v>1</v>
      </c>
      <c r="BJ233" t="s">
        <v>307</v>
      </c>
      <c r="BM233">
        <v>27001</v>
      </c>
      <c r="BN233">
        <v>0</v>
      </c>
      <c r="BO233" t="s">
        <v>3</v>
      </c>
      <c r="BP233">
        <v>0</v>
      </c>
      <c r="BQ233">
        <v>2</v>
      </c>
      <c r="BR233">
        <v>0</v>
      </c>
      <c r="BS233">
        <v>1</v>
      </c>
      <c r="BT233">
        <v>1</v>
      </c>
      <c r="BU233">
        <v>1</v>
      </c>
      <c r="BV233">
        <v>1</v>
      </c>
      <c r="BW233">
        <v>1</v>
      </c>
      <c r="BX233">
        <v>1</v>
      </c>
      <c r="BY233" t="s">
        <v>3</v>
      </c>
      <c r="BZ233">
        <v>142</v>
      </c>
      <c r="CA233">
        <v>95</v>
      </c>
      <c r="CE233">
        <v>0</v>
      </c>
      <c r="CF233">
        <v>0</v>
      </c>
      <c r="CG233">
        <v>0</v>
      </c>
      <c r="CM233">
        <v>0</v>
      </c>
      <c r="CN233" t="s">
        <v>3</v>
      </c>
      <c r="CO233">
        <v>0</v>
      </c>
      <c r="CP233">
        <f t="shared" si="263"/>
        <v>1192.24</v>
      </c>
      <c r="CQ233">
        <f t="shared" si="264"/>
        <v>535.5</v>
      </c>
      <c r="CR233">
        <f t="shared" si="265"/>
        <v>0</v>
      </c>
      <c r="CS233">
        <f t="shared" si="266"/>
        <v>0</v>
      </c>
      <c r="CT233">
        <f t="shared" si="267"/>
        <v>0</v>
      </c>
      <c r="CU233">
        <f t="shared" si="268"/>
        <v>0</v>
      </c>
      <c r="CV233">
        <f t="shared" si="269"/>
        <v>0</v>
      </c>
      <c r="CW233">
        <f t="shared" si="270"/>
        <v>0</v>
      </c>
      <c r="CX233">
        <f t="shared" si="271"/>
        <v>0</v>
      </c>
      <c r="CY233">
        <f t="shared" si="272"/>
        <v>0</v>
      </c>
      <c r="CZ233">
        <f t="shared" si="273"/>
        <v>0</v>
      </c>
      <c r="DC233" t="s">
        <v>3</v>
      </c>
      <c r="DD233" t="s">
        <v>3</v>
      </c>
      <c r="DE233" t="s">
        <v>3</v>
      </c>
      <c r="DF233" t="s">
        <v>3</v>
      </c>
      <c r="DG233" t="s">
        <v>3</v>
      </c>
      <c r="DH233" t="s">
        <v>3</v>
      </c>
      <c r="DI233" t="s">
        <v>3</v>
      </c>
      <c r="DJ233" t="s">
        <v>3</v>
      </c>
      <c r="DK233" t="s">
        <v>3</v>
      </c>
      <c r="DL233" t="s">
        <v>3</v>
      </c>
      <c r="DM233" t="s">
        <v>3</v>
      </c>
      <c r="DN233">
        <v>0</v>
      </c>
      <c r="DO233">
        <v>0</v>
      </c>
      <c r="DP233">
        <v>1</v>
      </c>
      <c r="DQ233">
        <v>1</v>
      </c>
      <c r="DU233">
        <v>1009</v>
      </c>
      <c r="DV233" t="s">
        <v>32</v>
      </c>
      <c r="DW233" t="s">
        <v>32</v>
      </c>
      <c r="DX233">
        <v>1000</v>
      </c>
      <c r="EE233">
        <v>45919611</v>
      </c>
      <c r="EF233">
        <v>2</v>
      </c>
      <c r="EG233" t="s">
        <v>54</v>
      </c>
      <c r="EH233">
        <v>0</v>
      </c>
      <c r="EI233" t="s">
        <v>3</v>
      </c>
      <c r="EJ233">
        <v>1</v>
      </c>
      <c r="EK233">
        <v>27001</v>
      </c>
      <c r="EL233" t="s">
        <v>281</v>
      </c>
      <c r="EM233" t="s">
        <v>282</v>
      </c>
      <c r="EO233" t="s">
        <v>3</v>
      </c>
      <c r="EQ233">
        <v>0</v>
      </c>
      <c r="ER233">
        <v>535.5</v>
      </c>
      <c r="ES233">
        <v>535.5</v>
      </c>
      <c r="ET233">
        <v>0</v>
      </c>
      <c r="EU233">
        <v>0</v>
      </c>
      <c r="EV233">
        <v>0</v>
      </c>
      <c r="EW233">
        <v>0</v>
      </c>
      <c r="EX233">
        <v>0</v>
      </c>
      <c r="FQ233">
        <v>0</v>
      </c>
      <c r="FR233">
        <f t="shared" si="274"/>
        <v>0</v>
      </c>
      <c r="FS233">
        <v>0</v>
      </c>
      <c r="FT233" t="s">
        <v>58</v>
      </c>
      <c r="FU233" t="s">
        <v>59</v>
      </c>
      <c r="FX233">
        <v>127.8</v>
      </c>
      <c r="FY233">
        <v>80.75</v>
      </c>
      <c r="GA233" t="s">
        <v>3</v>
      </c>
      <c r="GD233">
        <v>1</v>
      </c>
      <c r="GF233">
        <v>1957326309</v>
      </c>
      <c r="GG233">
        <v>2</v>
      </c>
      <c r="GH233">
        <v>1</v>
      </c>
      <c r="GI233">
        <v>-2</v>
      </c>
      <c r="GJ233">
        <v>0</v>
      </c>
      <c r="GK233">
        <v>0</v>
      </c>
      <c r="GL233">
        <f t="shared" si="275"/>
        <v>0</v>
      </c>
      <c r="GM233">
        <f t="shared" si="276"/>
        <v>1192.24</v>
      </c>
      <c r="GN233">
        <f t="shared" si="277"/>
        <v>1192.24</v>
      </c>
      <c r="GO233">
        <f t="shared" si="278"/>
        <v>0</v>
      </c>
      <c r="GP233">
        <f t="shared" si="279"/>
        <v>0</v>
      </c>
      <c r="GR233">
        <v>0</v>
      </c>
      <c r="GS233">
        <v>3</v>
      </c>
      <c r="GT233">
        <v>0</v>
      </c>
      <c r="GU233" t="s">
        <v>3</v>
      </c>
      <c r="GV233">
        <f t="shared" si="280"/>
        <v>0</v>
      </c>
      <c r="GW233">
        <v>1</v>
      </c>
      <c r="GX233">
        <f t="shared" si="281"/>
        <v>0</v>
      </c>
      <c r="HA233">
        <v>0</v>
      </c>
      <c r="HB233">
        <v>0</v>
      </c>
      <c r="HC233">
        <f t="shared" si="282"/>
        <v>0</v>
      </c>
      <c r="IK233">
        <v>0</v>
      </c>
    </row>
    <row r="235" spans="1:245" x14ac:dyDescent="0.2">
      <c r="A235" s="2">
        <v>51</v>
      </c>
      <c r="B235" s="2">
        <f>B199</f>
        <v>1</v>
      </c>
      <c r="C235" s="2">
        <f>A199</f>
        <v>5</v>
      </c>
      <c r="D235" s="2">
        <f>ROW(A199)</f>
        <v>199</v>
      </c>
      <c r="E235" s="2"/>
      <c r="F235" s="2" t="str">
        <f>IF(F199&lt;&gt;"",F199,"")</f>
        <v>Востановление общественной зоны</v>
      </c>
      <c r="G235" s="2" t="str">
        <f>IF(G199&lt;&gt;"",G199,"")</f>
        <v>Востановление общественной зоны</v>
      </c>
      <c r="H235" s="2">
        <v>0</v>
      </c>
      <c r="I235" s="2"/>
      <c r="J235" s="2"/>
      <c r="K235" s="2"/>
      <c r="L235" s="2"/>
      <c r="M235" s="2"/>
      <c r="N235" s="2"/>
      <c r="O235" s="2">
        <f t="shared" ref="O235:T235" si="284">ROUND(AB235,2)</f>
        <v>67170.52</v>
      </c>
      <c r="P235" s="2">
        <f t="shared" si="284"/>
        <v>53902.44</v>
      </c>
      <c r="Q235" s="2">
        <f t="shared" si="284"/>
        <v>11131.95</v>
      </c>
      <c r="R235" s="2">
        <f t="shared" si="284"/>
        <v>1050.1400000000001</v>
      </c>
      <c r="S235" s="2">
        <f t="shared" si="284"/>
        <v>2136.13</v>
      </c>
      <c r="T235" s="2">
        <f t="shared" si="284"/>
        <v>0</v>
      </c>
      <c r="U235" s="2">
        <f>AH235</f>
        <v>251.27035399999994</v>
      </c>
      <c r="V235" s="2">
        <f>AI235</f>
        <v>82.989519999999999</v>
      </c>
      <c r="W235" s="2">
        <f>ROUND(AJ235,2)</f>
        <v>0</v>
      </c>
      <c r="X235" s="2">
        <f>ROUND(AK235,2)</f>
        <v>3877.84</v>
      </c>
      <c r="Y235" s="2">
        <f>ROUND(AL235,2)</f>
        <v>2405.38</v>
      </c>
      <c r="Z235" s="2"/>
      <c r="AA235" s="2"/>
      <c r="AB235" s="2">
        <f>ROUND(SUMIF(AA203:AA233,"=47631607",O203:O233),2)</f>
        <v>67170.52</v>
      </c>
      <c r="AC235" s="2">
        <f>ROUND(SUMIF(AA203:AA233,"=47631607",P203:P233),2)</f>
        <v>53902.44</v>
      </c>
      <c r="AD235" s="2">
        <f>ROUND(SUMIF(AA203:AA233,"=47631607",Q203:Q233),2)</f>
        <v>11131.95</v>
      </c>
      <c r="AE235" s="2">
        <f>ROUND(SUMIF(AA203:AA233,"=47631607",R203:R233),2)</f>
        <v>1050.1400000000001</v>
      </c>
      <c r="AF235" s="2">
        <f>ROUND(SUMIF(AA203:AA233,"=47631607",S203:S233),2)</f>
        <v>2136.13</v>
      </c>
      <c r="AG235" s="2">
        <f>ROUND(SUMIF(AA203:AA233,"=47631607",T203:T233),2)</f>
        <v>0</v>
      </c>
      <c r="AH235" s="2">
        <f>SUMIF(AA203:AA233,"=47631607",U203:U233)</f>
        <v>251.27035399999994</v>
      </c>
      <c r="AI235" s="2">
        <f>SUMIF(AA203:AA233,"=47631607",V203:V233)</f>
        <v>82.989519999999999</v>
      </c>
      <c r="AJ235" s="2">
        <f>ROUND(SUMIF(AA203:AA233,"=47631607",W203:W233),2)</f>
        <v>0</v>
      </c>
      <c r="AK235" s="2">
        <f>ROUND(SUMIF(AA203:AA233,"=47631607",X203:X233),2)</f>
        <v>3877.84</v>
      </c>
      <c r="AL235" s="2">
        <f>ROUND(SUMIF(AA203:AA233,"=47631607",Y203:Y233),2)</f>
        <v>2405.38</v>
      </c>
      <c r="AM235" s="2"/>
      <c r="AN235" s="2"/>
      <c r="AO235" s="2">
        <f t="shared" ref="AO235:BC235" si="285">ROUND(BX235,2)</f>
        <v>0</v>
      </c>
      <c r="AP235" s="2">
        <f t="shared" si="285"/>
        <v>0</v>
      </c>
      <c r="AQ235" s="2">
        <f t="shared" si="285"/>
        <v>0</v>
      </c>
      <c r="AR235" s="2">
        <f t="shared" si="285"/>
        <v>80105.42</v>
      </c>
      <c r="AS235" s="2">
        <f t="shared" si="285"/>
        <v>80105.42</v>
      </c>
      <c r="AT235" s="2">
        <f t="shared" si="285"/>
        <v>0</v>
      </c>
      <c r="AU235" s="2">
        <f t="shared" si="285"/>
        <v>0</v>
      </c>
      <c r="AV235" s="2">
        <f t="shared" si="285"/>
        <v>53902.44</v>
      </c>
      <c r="AW235" s="2">
        <f t="shared" si="285"/>
        <v>53902.44</v>
      </c>
      <c r="AX235" s="2">
        <f t="shared" si="285"/>
        <v>0</v>
      </c>
      <c r="AY235" s="2">
        <f t="shared" si="285"/>
        <v>53902.44</v>
      </c>
      <c r="AZ235" s="2">
        <f t="shared" si="285"/>
        <v>0</v>
      </c>
      <c r="BA235" s="2">
        <f t="shared" si="285"/>
        <v>0</v>
      </c>
      <c r="BB235" s="2">
        <f t="shared" si="285"/>
        <v>0</v>
      </c>
      <c r="BC235" s="2">
        <f t="shared" si="285"/>
        <v>0</v>
      </c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>
        <f>ROUND(SUMIF(AA203:AA233,"=47631607",FQ203:FQ233),2)</f>
        <v>0</v>
      </c>
      <c r="BY235" s="2">
        <f>ROUND(SUMIF(AA203:AA233,"=47631607",FR203:FR233),2)</f>
        <v>0</v>
      </c>
      <c r="BZ235" s="2">
        <f>ROUND(SUMIF(AA203:AA233,"=47631607",GL203:GL233),2)</f>
        <v>0</v>
      </c>
      <c r="CA235" s="2">
        <f>ROUND(SUMIF(AA203:AA233,"=47631607",GM203:GM233),2)</f>
        <v>80105.42</v>
      </c>
      <c r="CB235" s="2">
        <f>ROUND(SUMIF(AA203:AA233,"=47631607",GN203:GN233),2)</f>
        <v>80105.42</v>
      </c>
      <c r="CC235" s="2">
        <f>ROUND(SUMIF(AA203:AA233,"=47631607",GO203:GO233),2)</f>
        <v>0</v>
      </c>
      <c r="CD235" s="2">
        <f>ROUND(SUMIF(AA203:AA233,"=47631607",GP203:GP233),2)</f>
        <v>0</v>
      </c>
      <c r="CE235" s="2">
        <f>AC235-BX235</f>
        <v>53902.44</v>
      </c>
      <c r="CF235" s="2">
        <f>AC235-BY235</f>
        <v>53902.44</v>
      </c>
      <c r="CG235" s="2">
        <f>BX235-BZ235</f>
        <v>0</v>
      </c>
      <c r="CH235" s="2">
        <f>AC235-BX235-BY235+BZ235</f>
        <v>53902.44</v>
      </c>
      <c r="CI235" s="2">
        <f>BY235-BZ235</f>
        <v>0</v>
      </c>
      <c r="CJ235" s="2">
        <f>ROUND(SUMIF(AA203:AA233,"=47631607",GX203:GX233),2)</f>
        <v>0</v>
      </c>
      <c r="CK235" s="2">
        <f>ROUND(SUMIF(AA203:AA233,"=47631607",GY203:GY233),2)</f>
        <v>0</v>
      </c>
      <c r="CL235" s="2">
        <f>ROUND(SUMIF(AA203:AA233,"=47631607",GZ203:GZ233),2)</f>
        <v>0</v>
      </c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>
        <v>0</v>
      </c>
    </row>
    <row r="237" spans="1:245" x14ac:dyDescent="0.2">
      <c r="A237" s="4">
        <v>50</v>
      </c>
      <c r="B237" s="4">
        <v>0</v>
      </c>
      <c r="C237" s="4">
        <v>0</v>
      </c>
      <c r="D237" s="4">
        <v>1</v>
      </c>
      <c r="E237" s="4">
        <v>201</v>
      </c>
      <c r="F237" s="4">
        <f>ROUND(Source!O235,O237)</f>
        <v>67170.52</v>
      </c>
      <c r="G237" s="4" t="s">
        <v>206</v>
      </c>
      <c r="H237" s="4" t="s">
        <v>207</v>
      </c>
      <c r="I237" s="4"/>
      <c r="J237" s="4"/>
      <c r="K237" s="4">
        <v>201</v>
      </c>
      <c r="L237" s="4">
        <v>1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45" x14ac:dyDescent="0.2">
      <c r="A238" s="4">
        <v>50</v>
      </c>
      <c r="B238" s="4">
        <v>0</v>
      </c>
      <c r="C238" s="4">
        <v>0</v>
      </c>
      <c r="D238" s="4">
        <v>1</v>
      </c>
      <c r="E238" s="4">
        <v>202</v>
      </c>
      <c r="F238" s="4">
        <f>ROUND(Source!P235,O238)</f>
        <v>53902.44</v>
      </c>
      <c r="G238" s="4" t="s">
        <v>208</v>
      </c>
      <c r="H238" s="4" t="s">
        <v>209</v>
      </c>
      <c r="I238" s="4"/>
      <c r="J238" s="4"/>
      <c r="K238" s="4">
        <v>202</v>
      </c>
      <c r="L238" s="4">
        <v>2</v>
      </c>
      <c r="M238" s="4">
        <v>3</v>
      </c>
      <c r="N238" s="4" t="s">
        <v>3</v>
      </c>
      <c r="O238" s="4">
        <v>2</v>
      </c>
      <c r="P238" s="4"/>
      <c r="Q238" s="4"/>
      <c r="R238" s="4"/>
      <c r="S238" s="4"/>
      <c r="T238" s="4"/>
      <c r="U238" s="4"/>
      <c r="V238" s="4"/>
      <c r="W238" s="4"/>
    </row>
    <row r="239" spans="1:245" x14ac:dyDescent="0.2">
      <c r="A239" s="4">
        <v>50</v>
      </c>
      <c r="B239" s="4">
        <v>0</v>
      </c>
      <c r="C239" s="4">
        <v>0</v>
      </c>
      <c r="D239" s="4">
        <v>1</v>
      </c>
      <c r="E239" s="4">
        <v>222</v>
      </c>
      <c r="F239" s="4">
        <f>ROUND(Source!AO235,O239)</f>
        <v>0</v>
      </c>
      <c r="G239" s="4" t="s">
        <v>210</v>
      </c>
      <c r="H239" s="4" t="s">
        <v>211</v>
      </c>
      <c r="I239" s="4"/>
      <c r="J239" s="4"/>
      <c r="K239" s="4">
        <v>222</v>
      </c>
      <c r="L239" s="4">
        <v>3</v>
      </c>
      <c r="M239" s="4">
        <v>3</v>
      </c>
      <c r="N239" s="4" t="s">
        <v>3</v>
      </c>
      <c r="O239" s="4">
        <v>2</v>
      </c>
      <c r="P239" s="4"/>
      <c r="Q239" s="4"/>
      <c r="R239" s="4"/>
      <c r="S239" s="4"/>
      <c r="T239" s="4"/>
      <c r="U239" s="4"/>
      <c r="V239" s="4"/>
      <c r="W239" s="4"/>
    </row>
    <row r="240" spans="1:245" x14ac:dyDescent="0.2">
      <c r="A240" s="4">
        <v>50</v>
      </c>
      <c r="B240" s="4">
        <v>0</v>
      </c>
      <c r="C240" s="4">
        <v>0</v>
      </c>
      <c r="D240" s="4">
        <v>1</v>
      </c>
      <c r="E240" s="4">
        <v>225</v>
      </c>
      <c r="F240" s="4">
        <f>ROUND(Source!AV235,O240)</f>
        <v>53902.44</v>
      </c>
      <c r="G240" s="4" t="s">
        <v>212</v>
      </c>
      <c r="H240" s="4" t="s">
        <v>213</v>
      </c>
      <c r="I240" s="4"/>
      <c r="J240" s="4"/>
      <c r="K240" s="4">
        <v>225</v>
      </c>
      <c r="L240" s="4">
        <v>4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3" x14ac:dyDescent="0.2">
      <c r="A241" s="4">
        <v>50</v>
      </c>
      <c r="B241" s="4">
        <v>0</v>
      </c>
      <c r="C241" s="4">
        <v>0</v>
      </c>
      <c r="D241" s="4">
        <v>1</v>
      </c>
      <c r="E241" s="4">
        <v>226</v>
      </c>
      <c r="F241" s="4">
        <f>ROUND(Source!AW235,O241)</f>
        <v>53902.44</v>
      </c>
      <c r="G241" s="4" t="s">
        <v>214</v>
      </c>
      <c r="H241" s="4" t="s">
        <v>215</v>
      </c>
      <c r="I241" s="4"/>
      <c r="J241" s="4"/>
      <c r="K241" s="4">
        <v>226</v>
      </c>
      <c r="L241" s="4">
        <v>5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2" spans="1:23" x14ac:dyDescent="0.2">
      <c r="A242" s="4">
        <v>50</v>
      </c>
      <c r="B242" s="4">
        <v>0</v>
      </c>
      <c r="C242" s="4">
        <v>0</v>
      </c>
      <c r="D242" s="4">
        <v>1</v>
      </c>
      <c r="E242" s="4">
        <v>227</v>
      </c>
      <c r="F242" s="4">
        <f>ROUND(Source!AX235,O242)</f>
        <v>0</v>
      </c>
      <c r="G242" s="4" t="s">
        <v>216</v>
      </c>
      <c r="H242" s="4" t="s">
        <v>217</v>
      </c>
      <c r="I242" s="4"/>
      <c r="J242" s="4"/>
      <c r="K242" s="4">
        <v>227</v>
      </c>
      <c r="L242" s="4">
        <v>6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</row>
    <row r="243" spans="1:23" x14ac:dyDescent="0.2">
      <c r="A243" s="4">
        <v>50</v>
      </c>
      <c r="B243" s="4">
        <v>0</v>
      </c>
      <c r="C243" s="4">
        <v>0</v>
      </c>
      <c r="D243" s="4">
        <v>1</v>
      </c>
      <c r="E243" s="4">
        <v>228</v>
      </c>
      <c r="F243" s="4">
        <f>ROUND(Source!AY235,O243)</f>
        <v>53902.44</v>
      </c>
      <c r="G243" s="4" t="s">
        <v>218</v>
      </c>
      <c r="H243" s="4" t="s">
        <v>219</v>
      </c>
      <c r="I243" s="4"/>
      <c r="J243" s="4"/>
      <c r="K243" s="4">
        <v>228</v>
      </c>
      <c r="L243" s="4">
        <v>7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3" x14ac:dyDescent="0.2">
      <c r="A244" s="4">
        <v>50</v>
      </c>
      <c r="B244" s="4">
        <v>0</v>
      </c>
      <c r="C244" s="4">
        <v>0</v>
      </c>
      <c r="D244" s="4">
        <v>1</v>
      </c>
      <c r="E244" s="4">
        <v>216</v>
      </c>
      <c r="F244" s="4">
        <f>ROUND(Source!AP235,O244)</f>
        <v>0</v>
      </c>
      <c r="G244" s="4" t="s">
        <v>220</v>
      </c>
      <c r="H244" s="4" t="s">
        <v>221</v>
      </c>
      <c r="I244" s="4"/>
      <c r="J244" s="4"/>
      <c r="K244" s="4">
        <v>216</v>
      </c>
      <c r="L244" s="4">
        <v>8</v>
      </c>
      <c r="M244" s="4">
        <v>3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/>
    </row>
    <row r="245" spans="1:23" x14ac:dyDescent="0.2">
      <c r="A245" s="4">
        <v>50</v>
      </c>
      <c r="B245" s="4">
        <v>0</v>
      </c>
      <c r="C245" s="4">
        <v>0</v>
      </c>
      <c r="D245" s="4">
        <v>1</v>
      </c>
      <c r="E245" s="4">
        <v>223</v>
      </c>
      <c r="F245" s="4">
        <f>ROUND(Source!AQ235,O245)</f>
        <v>0</v>
      </c>
      <c r="G245" s="4" t="s">
        <v>222</v>
      </c>
      <c r="H245" s="4" t="s">
        <v>223</v>
      </c>
      <c r="I245" s="4"/>
      <c r="J245" s="4"/>
      <c r="K245" s="4">
        <v>223</v>
      </c>
      <c r="L245" s="4">
        <v>9</v>
      </c>
      <c r="M245" s="4">
        <v>3</v>
      </c>
      <c r="N245" s="4" t="s">
        <v>3</v>
      </c>
      <c r="O245" s="4">
        <v>2</v>
      </c>
      <c r="P245" s="4"/>
      <c r="Q245" s="4"/>
      <c r="R245" s="4"/>
      <c r="S245" s="4"/>
      <c r="T245" s="4"/>
      <c r="U245" s="4"/>
      <c r="V245" s="4"/>
      <c r="W245" s="4"/>
    </row>
    <row r="246" spans="1:23" x14ac:dyDescent="0.2">
      <c r="A246" s="4">
        <v>50</v>
      </c>
      <c r="B246" s="4">
        <v>0</v>
      </c>
      <c r="C246" s="4">
        <v>0</v>
      </c>
      <c r="D246" s="4">
        <v>1</v>
      </c>
      <c r="E246" s="4">
        <v>229</v>
      </c>
      <c r="F246" s="4">
        <f>ROUND(Source!AZ235,O246)</f>
        <v>0</v>
      </c>
      <c r="G246" s="4" t="s">
        <v>224</v>
      </c>
      <c r="H246" s="4" t="s">
        <v>225</v>
      </c>
      <c r="I246" s="4"/>
      <c r="J246" s="4"/>
      <c r="K246" s="4">
        <v>229</v>
      </c>
      <c r="L246" s="4">
        <v>10</v>
      </c>
      <c r="M246" s="4">
        <v>3</v>
      </c>
      <c r="N246" s="4" t="s">
        <v>3</v>
      </c>
      <c r="O246" s="4">
        <v>2</v>
      </c>
      <c r="P246" s="4"/>
      <c r="Q246" s="4"/>
      <c r="R246" s="4"/>
      <c r="S246" s="4"/>
      <c r="T246" s="4"/>
      <c r="U246" s="4"/>
      <c r="V246" s="4"/>
      <c r="W246" s="4"/>
    </row>
    <row r="247" spans="1:23" x14ac:dyDescent="0.2">
      <c r="A247" s="4">
        <v>50</v>
      </c>
      <c r="B247" s="4">
        <v>0</v>
      </c>
      <c r="C247" s="4">
        <v>0</v>
      </c>
      <c r="D247" s="4">
        <v>1</v>
      </c>
      <c r="E247" s="4">
        <v>203</v>
      </c>
      <c r="F247" s="4">
        <f>ROUND(Source!Q235,O247)</f>
        <v>11131.95</v>
      </c>
      <c r="G247" s="4" t="s">
        <v>226</v>
      </c>
      <c r="H247" s="4" t="s">
        <v>227</v>
      </c>
      <c r="I247" s="4"/>
      <c r="J247" s="4"/>
      <c r="K247" s="4">
        <v>203</v>
      </c>
      <c r="L247" s="4">
        <v>11</v>
      </c>
      <c r="M247" s="4">
        <v>3</v>
      </c>
      <c r="N247" s="4" t="s">
        <v>3</v>
      </c>
      <c r="O247" s="4">
        <v>2</v>
      </c>
      <c r="P247" s="4"/>
      <c r="Q247" s="4"/>
      <c r="R247" s="4"/>
      <c r="S247" s="4"/>
      <c r="T247" s="4"/>
      <c r="U247" s="4"/>
      <c r="V247" s="4"/>
      <c r="W247" s="4"/>
    </row>
    <row r="248" spans="1:23" x14ac:dyDescent="0.2">
      <c r="A248" s="4">
        <v>50</v>
      </c>
      <c r="B248" s="4">
        <v>0</v>
      </c>
      <c r="C248" s="4">
        <v>0</v>
      </c>
      <c r="D248" s="4">
        <v>1</v>
      </c>
      <c r="E248" s="4">
        <v>231</v>
      </c>
      <c r="F248" s="4">
        <f>ROUND(Source!BB235,O248)</f>
        <v>0</v>
      </c>
      <c r="G248" s="4" t="s">
        <v>228</v>
      </c>
      <c r="H248" s="4" t="s">
        <v>229</v>
      </c>
      <c r="I248" s="4"/>
      <c r="J248" s="4"/>
      <c r="K248" s="4">
        <v>231</v>
      </c>
      <c r="L248" s="4">
        <v>12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/>
    </row>
    <row r="249" spans="1:23" x14ac:dyDescent="0.2">
      <c r="A249" s="4">
        <v>50</v>
      </c>
      <c r="B249" s="4">
        <v>0</v>
      </c>
      <c r="C249" s="4">
        <v>0</v>
      </c>
      <c r="D249" s="4">
        <v>1</v>
      </c>
      <c r="E249" s="4">
        <v>204</v>
      </c>
      <c r="F249" s="4">
        <f>ROUND(Source!R235,O249)</f>
        <v>1050.1400000000001</v>
      </c>
      <c r="G249" s="4" t="s">
        <v>230</v>
      </c>
      <c r="H249" s="4" t="s">
        <v>231</v>
      </c>
      <c r="I249" s="4"/>
      <c r="J249" s="4"/>
      <c r="K249" s="4">
        <v>204</v>
      </c>
      <c r="L249" s="4">
        <v>13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/>
    </row>
    <row r="250" spans="1:23" x14ac:dyDescent="0.2">
      <c r="A250" s="4">
        <v>50</v>
      </c>
      <c r="B250" s="4">
        <v>0</v>
      </c>
      <c r="C250" s="4">
        <v>0</v>
      </c>
      <c r="D250" s="4">
        <v>1</v>
      </c>
      <c r="E250" s="4">
        <v>205</v>
      </c>
      <c r="F250" s="4">
        <f>ROUND(Source!S235,O250)</f>
        <v>2136.13</v>
      </c>
      <c r="G250" s="4" t="s">
        <v>232</v>
      </c>
      <c r="H250" s="4" t="s">
        <v>233</v>
      </c>
      <c r="I250" s="4"/>
      <c r="J250" s="4"/>
      <c r="K250" s="4">
        <v>205</v>
      </c>
      <c r="L250" s="4">
        <v>14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/>
    </row>
    <row r="251" spans="1:23" x14ac:dyDescent="0.2">
      <c r="A251" s="4">
        <v>50</v>
      </c>
      <c r="B251" s="4">
        <v>0</v>
      </c>
      <c r="C251" s="4">
        <v>0</v>
      </c>
      <c r="D251" s="4">
        <v>1</v>
      </c>
      <c r="E251" s="4">
        <v>232</v>
      </c>
      <c r="F251" s="4">
        <f>ROUND(Source!BC235,O251)</f>
        <v>0</v>
      </c>
      <c r="G251" s="4" t="s">
        <v>234</v>
      </c>
      <c r="H251" s="4" t="s">
        <v>235</v>
      </c>
      <c r="I251" s="4"/>
      <c r="J251" s="4"/>
      <c r="K251" s="4">
        <v>232</v>
      </c>
      <c r="L251" s="4">
        <v>15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/>
    </row>
    <row r="252" spans="1:23" x14ac:dyDescent="0.2">
      <c r="A252" s="4">
        <v>50</v>
      </c>
      <c r="B252" s="4">
        <v>0</v>
      </c>
      <c r="C252" s="4">
        <v>0</v>
      </c>
      <c r="D252" s="4">
        <v>1</v>
      </c>
      <c r="E252" s="4">
        <v>214</v>
      </c>
      <c r="F252" s="4">
        <f>ROUND(Source!AS235,O252)</f>
        <v>80105.42</v>
      </c>
      <c r="G252" s="4" t="s">
        <v>236</v>
      </c>
      <c r="H252" s="4" t="s">
        <v>237</v>
      </c>
      <c r="I252" s="4"/>
      <c r="J252" s="4"/>
      <c r="K252" s="4">
        <v>214</v>
      </c>
      <c r="L252" s="4">
        <v>16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/>
    </row>
    <row r="253" spans="1:23" x14ac:dyDescent="0.2">
      <c r="A253" s="4">
        <v>50</v>
      </c>
      <c r="B253" s="4">
        <v>0</v>
      </c>
      <c r="C253" s="4">
        <v>0</v>
      </c>
      <c r="D253" s="4">
        <v>1</v>
      </c>
      <c r="E253" s="4">
        <v>215</v>
      </c>
      <c r="F253" s="4">
        <f>ROUND(Source!AT235,O253)</f>
        <v>0</v>
      </c>
      <c r="G253" s="4" t="s">
        <v>238</v>
      </c>
      <c r="H253" s="4" t="s">
        <v>239</v>
      </c>
      <c r="I253" s="4"/>
      <c r="J253" s="4"/>
      <c r="K253" s="4">
        <v>215</v>
      </c>
      <c r="L253" s="4">
        <v>17</v>
      </c>
      <c r="M253" s="4">
        <v>3</v>
      </c>
      <c r="N253" s="4" t="s">
        <v>3</v>
      </c>
      <c r="O253" s="4">
        <v>2</v>
      </c>
      <c r="P253" s="4"/>
      <c r="Q253" s="4"/>
      <c r="R253" s="4"/>
      <c r="S253" s="4"/>
      <c r="T253" s="4"/>
      <c r="U253" s="4"/>
      <c r="V253" s="4"/>
      <c r="W253" s="4"/>
    </row>
    <row r="254" spans="1:23" x14ac:dyDescent="0.2">
      <c r="A254" s="4">
        <v>50</v>
      </c>
      <c r="B254" s="4">
        <v>0</v>
      </c>
      <c r="C254" s="4">
        <v>0</v>
      </c>
      <c r="D254" s="4">
        <v>1</v>
      </c>
      <c r="E254" s="4">
        <v>217</v>
      </c>
      <c r="F254" s="4">
        <f>ROUND(Source!AU235,O254)</f>
        <v>0</v>
      </c>
      <c r="G254" s="4" t="s">
        <v>240</v>
      </c>
      <c r="H254" s="4" t="s">
        <v>241</v>
      </c>
      <c r="I254" s="4"/>
      <c r="J254" s="4"/>
      <c r="K254" s="4">
        <v>217</v>
      </c>
      <c r="L254" s="4">
        <v>18</v>
      </c>
      <c r="M254" s="4">
        <v>3</v>
      </c>
      <c r="N254" s="4" t="s">
        <v>3</v>
      </c>
      <c r="O254" s="4">
        <v>2</v>
      </c>
      <c r="P254" s="4"/>
      <c r="Q254" s="4"/>
      <c r="R254" s="4"/>
      <c r="S254" s="4"/>
      <c r="T254" s="4"/>
      <c r="U254" s="4"/>
      <c r="V254" s="4"/>
      <c r="W254" s="4"/>
    </row>
    <row r="255" spans="1:23" x14ac:dyDescent="0.2">
      <c r="A255" s="4">
        <v>50</v>
      </c>
      <c r="B255" s="4">
        <v>0</v>
      </c>
      <c r="C255" s="4">
        <v>0</v>
      </c>
      <c r="D255" s="4">
        <v>1</v>
      </c>
      <c r="E255" s="4">
        <v>230</v>
      </c>
      <c r="F255" s="4">
        <f>ROUND(Source!BA235,O255)</f>
        <v>0</v>
      </c>
      <c r="G255" s="4" t="s">
        <v>242</v>
      </c>
      <c r="H255" s="4" t="s">
        <v>243</v>
      </c>
      <c r="I255" s="4"/>
      <c r="J255" s="4"/>
      <c r="K255" s="4">
        <v>230</v>
      </c>
      <c r="L255" s="4">
        <v>19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/>
    </row>
    <row r="256" spans="1:23" x14ac:dyDescent="0.2">
      <c r="A256" s="4">
        <v>50</v>
      </c>
      <c r="B256" s="4">
        <v>0</v>
      </c>
      <c r="C256" s="4">
        <v>0</v>
      </c>
      <c r="D256" s="4">
        <v>1</v>
      </c>
      <c r="E256" s="4">
        <v>206</v>
      </c>
      <c r="F256" s="4">
        <f>ROUND(Source!T235,O256)</f>
        <v>0</v>
      </c>
      <c r="G256" s="4" t="s">
        <v>244</v>
      </c>
      <c r="H256" s="4" t="s">
        <v>245</v>
      </c>
      <c r="I256" s="4"/>
      <c r="J256" s="4"/>
      <c r="K256" s="4">
        <v>206</v>
      </c>
      <c r="L256" s="4">
        <v>20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/>
    </row>
    <row r="257" spans="1:245" x14ac:dyDescent="0.2">
      <c r="A257" s="4">
        <v>50</v>
      </c>
      <c r="B257" s="4">
        <v>0</v>
      </c>
      <c r="C257" s="4">
        <v>0</v>
      </c>
      <c r="D257" s="4">
        <v>1</v>
      </c>
      <c r="E257" s="4">
        <v>207</v>
      </c>
      <c r="F257" s="4">
        <f>Source!U235</f>
        <v>251.27035399999994</v>
      </c>
      <c r="G257" s="4" t="s">
        <v>246</v>
      </c>
      <c r="H257" s="4" t="s">
        <v>247</v>
      </c>
      <c r="I257" s="4"/>
      <c r="J257" s="4"/>
      <c r="K257" s="4">
        <v>207</v>
      </c>
      <c r="L257" s="4">
        <v>21</v>
      </c>
      <c r="M257" s="4">
        <v>3</v>
      </c>
      <c r="N257" s="4" t="s">
        <v>3</v>
      </c>
      <c r="O257" s="4">
        <v>-1</v>
      </c>
      <c r="P257" s="4"/>
      <c r="Q257" s="4"/>
      <c r="R257" s="4"/>
      <c r="S257" s="4"/>
      <c r="T257" s="4"/>
      <c r="U257" s="4"/>
      <c r="V257" s="4"/>
      <c r="W257" s="4"/>
    </row>
    <row r="258" spans="1:245" x14ac:dyDescent="0.2">
      <c r="A258" s="4">
        <v>50</v>
      </c>
      <c r="B258" s="4">
        <v>0</v>
      </c>
      <c r="C258" s="4">
        <v>0</v>
      </c>
      <c r="D258" s="4">
        <v>1</v>
      </c>
      <c r="E258" s="4">
        <v>208</v>
      </c>
      <c r="F258" s="4">
        <f>Source!V235</f>
        <v>82.989519999999999</v>
      </c>
      <c r="G258" s="4" t="s">
        <v>248</v>
      </c>
      <c r="H258" s="4" t="s">
        <v>249</v>
      </c>
      <c r="I258" s="4"/>
      <c r="J258" s="4"/>
      <c r="K258" s="4">
        <v>208</v>
      </c>
      <c r="L258" s="4">
        <v>22</v>
      </c>
      <c r="M258" s="4">
        <v>3</v>
      </c>
      <c r="N258" s="4" t="s">
        <v>3</v>
      </c>
      <c r="O258" s="4">
        <v>-1</v>
      </c>
      <c r="P258" s="4"/>
      <c r="Q258" s="4"/>
      <c r="R258" s="4"/>
      <c r="S258" s="4"/>
      <c r="T258" s="4"/>
      <c r="U258" s="4"/>
      <c r="V258" s="4"/>
      <c r="W258" s="4"/>
    </row>
    <row r="259" spans="1:245" x14ac:dyDescent="0.2">
      <c r="A259" s="4">
        <v>50</v>
      </c>
      <c r="B259" s="4">
        <v>0</v>
      </c>
      <c r="C259" s="4">
        <v>0</v>
      </c>
      <c r="D259" s="4">
        <v>1</v>
      </c>
      <c r="E259" s="4">
        <v>209</v>
      </c>
      <c r="F259" s="4">
        <f>ROUND(Source!W235,O259)</f>
        <v>0</v>
      </c>
      <c r="G259" s="4" t="s">
        <v>250</v>
      </c>
      <c r="H259" s="4" t="s">
        <v>251</v>
      </c>
      <c r="I259" s="4"/>
      <c r="J259" s="4"/>
      <c r="K259" s="4">
        <v>209</v>
      </c>
      <c r="L259" s="4">
        <v>23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45" x14ac:dyDescent="0.2">
      <c r="A260" s="4">
        <v>50</v>
      </c>
      <c r="B260" s="4">
        <v>0</v>
      </c>
      <c r="C260" s="4">
        <v>0</v>
      </c>
      <c r="D260" s="4">
        <v>1</v>
      </c>
      <c r="E260" s="4">
        <v>210</v>
      </c>
      <c r="F260" s="4">
        <f>ROUND(Source!X235,O260)</f>
        <v>3877.84</v>
      </c>
      <c r="G260" s="4" t="s">
        <v>252</v>
      </c>
      <c r="H260" s="4" t="s">
        <v>253</v>
      </c>
      <c r="I260" s="4"/>
      <c r="J260" s="4"/>
      <c r="K260" s="4">
        <v>210</v>
      </c>
      <c r="L260" s="4">
        <v>24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45" x14ac:dyDescent="0.2">
      <c r="A261" s="4">
        <v>50</v>
      </c>
      <c r="B261" s="4">
        <v>0</v>
      </c>
      <c r="C261" s="4">
        <v>0</v>
      </c>
      <c r="D261" s="4">
        <v>1</v>
      </c>
      <c r="E261" s="4">
        <v>211</v>
      </c>
      <c r="F261" s="4">
        <f>ROUND(Source!Y235,O261)</f>
        <v>2405.38</v>
      </c>
      <c r="G261" s="4" t="s">
        <v>254</v>
      </c>
      <c r="H261" s="4" t="s">
        <v>255</v>
      </c>
      <c r="I261" s="4"/>
      <c r="J261" s="4"/>
      <c r="K261" s="4">
        <v>211</v>
      </c>
      <c r="L261" s="4">
        <v>25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/>
    </row>
    <row r="262" spans="1:245" x14ac:dyDescent="0.2">
      <c r="A262" s="4">
        <v>50</v>
      </c>
      <c r="B262" s="4">
        <v>0</v>
      </c>
      <c r="C262" s="4">
        <v>0</v>
      </c>
      <c r="D262" s="4">
        <v>1</v>
      </c>
      <c r="E262" s="4">
        <v>224</v>
      </c>
      <c r="F262" s="4">
        <f>ROUND(Source!AR235,O262)</f>
        <v>80105.42</v>
      </c>
      <c r="G262" s="4" t="s">
        <v>256</v>
      </c>
      <c r="H262" s="4" t="s">
        <v>257</v>
      </c>
      <c r="I262" s="4"/>
      <c r="J262" s="4"/>
      <c r="K262" s="4">
        <v>224</v>
      </c>
      <c r="L262" s="4">
        <v>26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/>
    </row>
    <row r="264" spans="1:245" x14ac:dyDescent="0.2">
      <c r="A264" s="1">
        <v>5</v>
      </c>
      <c r="B264" s="1">
        <v>1</v>
      </c>
      <c r="C264" s="1"/>
      <c r="D264" s="1">
        <f>ROW(A272)</f>
        <v>272</v>
      </c>
      <c r="E264" s="1"/>
      <c r="F264" s="1" t="s">
        <v>260</v>
      </c>
      <c r="G264" s="1" t="s">
        <v>392</v>
      </c>
      <c r="H264" s="1" t="s">
        <v>3</v>
      </c>
      <c r="I264" s="1">
        <v>0</v>
      </c>
      <c r="J264" s="1"/>
      <c r="K264" s="1">
        <v>0</v>
      </c>
      <c r="L264" s="1"/>
      <c r="M264" s="1"/>
      <c r="N264" s="1"/>
      <c r="O264" s="1"/>
      <c r="P264" s="1"/>
      <c r="Q264" s="1"/>
      <c r="R264" s="1"/>
      <c r="S264" s="1"/>
      <c r="T264" s="1"/>
      <c r="U264" s="1" t="s">
        <v>3</v>
      </c>
      <c r="V264" s="1">
        <v>0</v>
      </c>
      <c r="W264" s="1"/>
      <c r="X264" s="1"/>
      <c r="Y264" s="1"/>
      <c r="Z264" s="1"/>
      <c r="AA264" s="1"/>
      <c r="AB264" s="1" t="s">
        <v>3</v>
      </c>
      <c r="AC264" s="1" t="s">
        <v>3</v>
      </c>
      <c r="AD264" s="1" t="s">
        <v>3</v>
      </c>
      <c r="AE264" s="1" t="s">
        <v>3</v>
      </c>
      <c r="AF264" s="1" t="s">
        <v>3</v>
      </c>
      <c r="AG264" s="1" t="s">
        <v>3</v>
      </c>
      <c r="AH264" s="1"/>
      <c r="AI264" s="1"/>
      <c r="AJ264" s="1"/>
      <c r="AK264" s="1"/>
      <c r="AL264" s="1"/>
      <c r="AM264" s="1"/>
      <c r="AN264" s="1"/>
      <c r="AO264" s="1"/>
      <c r="AP264" s="1" t="s">
        <v>3</v>
      </c>
      <c r="AQ264" s="1" t="s">
        <v>3</v>
      </c>
      <c r="AR264" s="1" t="s">
        <v>3</v>
      </c>
      <c r="AS264" s="1"/>
      <c r="AT264" s="1"/>
      <c r="AU264" s="1"/>
      <c r="AV264" s="1"/>
      <c r="AW264" s="1"/>
      <c r="AX264" s="1"/>
      <c r="AY264" s="1"/>
      <c r="AZ264" s="1" t="s">
        <v>3</v>
      </c>
      <c r="BA264" s="1"/>
      <c r="BB264" s="1" t="s">
        <v>3</v>
      </c>
      <c r="BC264" s="1" t="s">
        <v>3</v>
      </c>
      <c r="BD264" s="1" t="s">
        <v>3</v>
      </c>
      <c r="BE264" s="1" t="s">
        <v>3</v>
      </c>
      <c r="BF264" s="1" t="s">
        <v>3</v>
      </c>
      <c r="BG264" s="1" t="s">
        <v>3</v>
      </c>
      <c r="BH264" s="1" t="s">
        <v>3</v>
      </c>
      <c r="BI264" s="1" t="s">
        <v>3</v>
      </c>
      <c r="BJ264" s="1" t="s">
        <v>3</v>
      </c>
      <c r="BK264" s="1" t="s">
        <v>3</v>
      </c>
      <c r="BL264" s="1" t="s">
        <v>3</v>
      </c>
      <c r="BM264" s="1" t="s">
        <v>3</v>
      </c>
      <c r="BN264" s="1" t="s">
        <v>3</v>
      </c>
      <c r="BO264" s="1" t="s">
        <v>3</v>
      </c>
      <c r="BP264" s="1" t="s">
        <v>3</v>
      </c>
      <c r="BQ264" s="1"/>
      <c r="BR264" s="1"/>
      <c r="BS264" s="1"/>
      <c r="BT264" s="1"/>
      <c r="BU264" s="1"/>
      <c r="BV264" s="1"/>
      <c r="BW264" s="1"/>
      <c r="BX264" s="1">
        <v>0</v>
      </c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>
        <v>0</v>
      </c>
    </row>
    <row r="266" spans="1:245" x14ac:dyDescent="0.2">
      <c r="A266" s="2">
        <v>52</v>
      </c>
      <c r="B266" s="2">
        <f t="shared" ref="B266:G266" si="286">B272</f>
        <v>1</v>
      </c>
      <c r="C266" s="2">
        <f t="shared" si="286"/>
        <v>5</v>
      </c>
      <c r="D266" s="2">
        <f t="shared" si="286"/>
        <v>264</v>
      </c>
      <c r="E266" s="2">
        <f t="shared" si="286"/>
        <v>0</v>
      </c>
      <c r="F266" s="2" t="str">
        <f t="shared" si="286"/>
        <v>Новый подраздел</v>
      </c>
      <c r="G266" s="2" t="str">
        <f t="shared" si="286"/>
        <v>Газоны</v>
      </c>
      <c r="H266" s="2"/>
      <c r="I266" s="2"/>
      <c r="J266" s="2"/>
      <c r="K266" s="2"/>
      <c r="L266" s="2"/>
      <c r="M266" s="2"/>
      <c r="N266" s="2"/>
      <c r="O266" s="2">
        <f t="shared" ref="O266:AT266" si="287">O272</f>
        <v>4874.3599999999997</v>
      </c>
      <c r="P266" s="2">
        <f t="shared" si="287"/>
        <v>1269.6400000000001</v>
      </c>
      <c r="Q266" s="2">
        <f t="shared" si="287"/>
        <v>2242.42</v>
      </c>
      <c r="R266" s="2">
        <f t="shared" si="287"/>
        <v>236.44</v>
      </c>
      <c r="S266" s="2">
        <f t="shared" si="287"/>
        <v>1362.3</v>
      </c>
      <c r="T266" s="2">
        <f t="shared" si="287"/>
        <v>0</v>
      </c>
      <c r="U266" s="2">
        <f t="shared" si="287"/>
        <v>165.94920000000002</v>
      </c>
      <c r="V266" s="2">
        <f t="shared" si="287"/>
        <v>20.385600000000004</v>
      </c>
      <c r="W266" s="2">
        <f t="shared" si="287"/>
        <v>0</v>
      </c>
      <c r="X266" s="2">
        <f t="shared" si="287"/>
        <v>1662.69</v>
      </c>
      <c r="Y266" s="2">
        <f t="shared" si="287"/>
        <v>1231.03</v>
      </c>
      <c r="Z266" s="2">
        <f t="shared" si="287"/>
        <v>0</v>
      </c>
      <c r="AA266" s="2">
        <f t="shared" si="287"/>
        <v>0</v>
      </c>
      <c r="AB266" s="2">
        <f t="shared" si="287"/>
        <v>4874.3599999999997</v>
      </c>
      <c r="AC266" s="2">
        <f t="shared" si="287"/>
        <v>1269.6400000000001</v>
      </c>
      <c r="AD266" s="2">
        <f t="shared" si="287"/>
        <v>2242.42</v>
      </c>
      <c r="AE266" s="2">
        <f t="shared" si="287"/>
        <v>236.44</v>
      </c>
      <c r="AF266" s="2">
        <f t="shared" si="287"/>
        <v>1362.3</v>
      </c>
      <c r="AG266" s="2">
        <f t="shared" si="287"/>
        <v>0</v>
      </c>
      <c r="AH266" s="2">
        <f t="shared" si="287"/>
        <v>165.94920000000002</v>
      </c>
      <c r="AI266" s="2">
        <f t="shared" si="287"/>
        <v>20.385600000000004</v>
      </c>
      <c r="AJ266" s="2">
        <f t="shared" si="287"/>
        <v>0</v>
      </c>
      <c r="AK266" s="2">
        <f t="shared" si="287"/>
        <v>1662.69</v>
      </c>
      <c r="AL266" s="2">
        <f t="shared" si="287"/>
        <v>1231.03</v>
      </c>
      <c r="AM266" s="2">
        <f t="shared" si="287"/>
        <v>0</v>
      </c>
      <c r="AN266" s="2">
        <f t="shared" si="287"/>
        <v>0</v>
      </c>
      <c r="AO266" s="2">
        <f t="shared" si="287"/>
        <v>0</v>
      </c>
      <c r="AP266" s="2">
        <f t="shared" si="287"/>
        <v>0</v>
      </c>
      <c r="AQ266" s="2">
        <f t="shared" si="287"/>
        <v>0</v>
      </c>
      <c r="AR266" s="2">
        <f t="shared" si="287"/>
        <v>7768.08</v>
      </c>
      <c r="AS266" s="2">
        <f t="shared" si="287"/>
        <v>7768.08</v>
      </c>
      <c r="AT266" s="2">
        <f t="shared" si="287"/>
        <v>0</v>
      </c>
      <c r="AU266" s="2">
        <f t="shared" ref="AU266:BZ266" si="288">AU272</f>
        <v>0</v>
      </c>
      <c r="AV266" s="2">
        <f t="shared" si="288"/>
        <v>1269.6400000000001</v>
      </c>
      <c r="AW266" s="2">
        <f t="shared" si="288"/>
        <v>1269.6400000000001</v>
      </c>
      <c r="AX266" s="2">
        <f t="shared" si="288"/>
        <v>0</v>
      </c>
      <c r="AY266" s="2">
        <f t="shared" si="288"/>
        <v>1269.6400000000001</v>
      </c>
      <c r="AZ266" s="2">
        <f t="shared" si="288"/>
        <v>0</v>
      </c>
      <c r="BA266" s="2">
        <f t="shared" si="288"/>
        <v>0</v>
      </c>
      <c r="BB266" s="2">
        <f t="shared" si="288"/>
        <v>0</v>
      </c>
      <c r="BC266" s="2">
        <f t="shared" si="288"/>
        <v>0</v>
      </c>
      <c r="BD266" s="2">
        <f t="shared" si="288"/>
        <v>0</v>
      </c>
      <c r="BE266" s="2">
        <f t="shared" si="288"/>
        <v>0</v>
      </c>
      <c r="BF266" s="2">
        <f t="shared" si="288"/>
        <v>0</v>
      </c>
      <c r="BG266" s="2">
        <f t="shared" si="288"/>
        <v>0</v>
      </c>
      <c r="BH266" s="2">
        <f t="shared" si="288"/>
        <v>0</v>
      </c>
      <c r="BI266" s="2">
        <f t="shared" si="288"/>
        <v>0</v>
      </c>
      <c r="BJ266" s="2">
        <f t="shared" si="288"/>
        <v>0</v>
      </c>
      <c r="BK266" s="2">
        <f t="shared" si="288"/>
        <v>0</v>
      </c>
      <c r="BL266" s="2">
        <f t="shared" si="288"/>
        <v>0</v>
      </c>
      <c r="BM266" s="2">
        <f t="shared" si="288"/>
        <v>0</v>
      </c>
      <c r="BN266" s="2">
        <f t="shared" si="288"/>
        <v>0</v>
      </c>
      <c r="BO266" s="2">
        <f t="shared" si="288"/>
        <v>0</v>
      </c>
      <c r="BP266" s="2">
        <f t="shared" si="288"/>
        <v>0</v>
      </c>
      <c r="BQ266" s="2">
        <f t="shared" si="288"/>
        <v>0</v>
      </c>
      <c r="BR266" s="2">
        <f t="shared" si="288"/>
        <v>0</v>
      </c>
      <c r="BS266" s="2">
        <f t="shared" si="288"/>
        <v>0</v>
      </c>
      <c r="BT266" s="2">
        <f t="shared" si="288"/>
        <v>0</v>
      </c>
      <c r="BU266" s="2">
        <f t="shared" si="288"/>
        <v>0</v>
      </c>
      <c r="BV266" s="2">
        <f t="shared" si="288"/>
        <v>0</v>
      </c>
      <c r="BW266" s="2">
        <f t="shared" si="288"/>
        <v>0</v>
      </c>
      <c r="BX266" s="2">
        <f t="shared" si="288"/>
        <v>0</v>
      </c>
      <c r="BY266" s="2">
        <f t="shared" si="288"/>
        <v>0</v>
      </c>
      <c r="BZ266" s="2">
        <f t="shared" si="288"/>
        <v>0</v>
      </c>
      <c r="CA266" s="2">
        <f t="shared" ref="CA266:DF266" si="289">CA272</f>
        <v>7768.08</v>
      </c>
      <c r="CB266" s="2">
        <f t="shared" si="289"/>
        <v>7768.08</v>
      </c>
      <c r="CC266" s="2">
        <f t="shared" si="289"/>
        <v>0</v>
      </c>
      <c r="CD266" s="2">
        <f t="shared" si="289"/>
        <v>0</v>
      </c>
      <c r="CE266" s="2">
        <f t="shared" si="289"/>
        <v>1269.6400000000001</v>
      </c>
      <c r="CF266" s="2">
        <f t="shared" si="289"/>
        <v>1269.6400000000001</v>
      </c>
      <c r="CG266" s="2">
        <f t="shared" si="289"/>
        <v>0</v>
      </c>
      <c r="CH266" s="2">
        <f t="shared" si="289"/>
        <v>1269.6400000000001</v>
      </c>
      <c r="CI266" s="2">
        <f t="shared" si="289"/>
        <v>0</v>
      </c>
      <c r="CJ266" s="2">
        <f t="shared" si="289"/>
        <v>0</v>
      </c>
      <c r="CK266" s="2">
        <f t="shared" si="289"/>
        <v>0</v>
      </c>
      <c r="CL266" s="2">
        <f t="shared" si="289"/>
        <v>0</v>
      </c>
      <c r="CM266" s="2">
        <f t="shared" si="289"/>
        <v>0</v>
      </c>
      <c r="CN266" s="2">
        <f t="shared" si="289"/>
        <v>0</v>
      </c>
      <c r="CO266" s="2">
        <f t="shared" si="289"/>
        <v>0</v>
      </c>
      <c r="CP266" s="2">
        <f t="shared" si="289"/>
        <v>0</v>
      </c>
      <c r="CQ266" s="2">
        <f t="shared" si="289"/>
        <v>0</v>
      </c>
      <c r="CR266" s="2">
        <f t="shared" si="289"/>
        <v>0</v>
      </c>
      <c r="CS266" s="2">
        <f t="shared" si="289"/>
        <v>0</v>
      </c>
      <c r="CT266" s="2">
        <f t="shared" si="289"/>
        <v>0</v>
      </c>
      <c r="CU266" s="2">
        <f t="shared" si="289"/>
        <v>0</v>
      </c>
      <c r="CV266" s="2">
        <f t="shared" si="289"/>
        <v>0</v>
      </c>
      <c r="CW266" s="2">
        <f t="shared" si="289"/>
        <v>0</v>
      </c>
      <c r="CX266" s="2">
        <f t="shared" si="289"/>
        <v>0</v>
      </c>
      <c r="CY266" s="2">
        <f t="shared" si="289"/>
        <v>0</v>
      </c>
      <c r="CZ266" s="2">
        <f t="shared" si="289"/>
        <v>0</v>
      </c>
      <c r="DA266" s="2">
        <f t="shared" si="289"/>
        <v>0</v>
      </c>
      <c r="DB266" s="2">
        <f t="shared" si="289"/>
        <v>0</v>
      </c>
      <c r="DC266" s="2">
        <f t="shared" si="289"/>
        <v>0</v>
      </c>
      <c r="DD266" s="2">
        <f t="shared" si="289"/>
        <v>0</v>
      </c>
      <c r="DE266" s="2">
        <f t="shared" si="289"/>
        <v>0</v>
      </c>
      <c r="DF266" s="2">
        <f t="shared" si="289"/>
        <v>0</v>
      </c>
      <c r="DG266" s="3">
        <f t="shared" ref="DG266:EL266" si="290">DG272</f>
        <v>0</v>
      </c>
      <c r="DH266" s="3">
        <f t="shared" si="290"/>
        <v>0</v>
      </c>
      <c r="DI266" s="3">
        <f t="shared" si="290"/>
        <v>0</v>
      </c>
      <c r="DJ266" s="3">
        <f t="shared" si="290"/>
        <v>0</v>
      </c>
      <c r="DK266" s="3">
        <f t="shared" si="290"/>
        <v>0</v>
      </c>
      <c r="DL266" s="3">
        <f t="shared" si="290"/>
        <v>0</v>
      </c>
      <c r="DM266" s="3">
        <f t="shared" si="290"/>
        <v>0</v>
      </c>
      <c r="DN266" s="3">
        <f t="shared" si="290"/>
        <v>0</v>
      </c>
      <c r="DO266" s="3">
        <f t="shared" si="290"/>
        <v>0</v>
      </c>
      <c r="DP266" s="3">
        <f t="shared" si="290"/>
        <v>0</v>
      </c>
      <c r="DQ266" s="3">
        <f t="shared" si="290"/>
        <v>0</v>
      </c>
      <c r="DR266" s="3">
        <f t="shared" si="290"/>
        <v>0</v>
      </c>
      <c r="DS266" s="3">
        <f t="shared" si="290"/>
        <v>0</v>
      </c>
      <c r="DT266" s="3">
        <f t="shared" si="290"/>
        <v>0</v>
      </c>
      <c r="DU266" s="3">
        <f t="shared" si="290"/>
        <v>0</v>
      </c>
      <c r="DV266" s="3">
        <f t="shared" si="290"/>
        <v>0</v>
      </c>
      <c r="DW266" s="3">
        <f t="shared" si="290"/>
        <v>0</v>
      </c>
      <c r="DX266" s="3">
        <f t="shared" si="290"/>
        <v>0</v>
      </c>
      <c r="DY266" s="3">
        <f t="shared" si="290"/>
        <v>0</v>
      </c>
      <c r="DZ266" s="3">
        <f t="shared" si="290"/>
        <v>0</v>
      </c>
      <c r="EA266" s="3">
        <f t="shared" si="290"/>
        <v>0</v>
      </c>
      <c r="EB266" s="3">
        <f t="shared" si="290"/>
        <v>0</v>
      </c>
      <c r="EC266" s="3">
        <f t="shared" si="290"/>
        <v>0</v>
      </c>
      <c r="ED266" s="3">
        <f t="shared" si="290"/>
        <v>0</v>
      </c>
      <c r="EE266" s="3">
        <f t="shared" si="290"/>
        <v>0</v>
      </c>
      <c r="EF266" s="3">
        <f t="shared" si="290"/>
        <v>0</v>
      </c>
      <c r="EG266" s="3">
        <f t="shared" si="290"/>
        <v>0</v>
      </c>
      <c r="EH266" s="3">
        <f t="shared" si="290"/>
        <v>0</v>
      </c>
      <c r="EI266" s="3">
        <f t="shared" si="290"/>
        <v>0</v>
      </c>
      <c r="EJ266" s="3">
        <f t="shared" si="290"/>
        <v>0</v>
      </c>
      <c r="EK266" s="3">
        <f t="shared" si="290"/>
        <v>0</v>
      </c>
      <c r="EL266" s="3">
        <f t="shared" si="290"/>
        <v>0</v>
      </c>
      <c r="EM266" s="3">
        <f t="shared" ref="EM266:FR266" si="291">EM272</f>
        <v>0</v>
      </c>
      <c r="EN266" s="3">
        <f t="shared" si="291"/>
        <v>0</v>
      </c>
      <c r="EO266" s="3">
        <f t="shared" si="291"/>
        <v>0</v>
      </c>
      <c r="EP266" s="3">
        <f t="shared" si="291"/>
        <v>0</v>
      </c>
      <c r="EQ266" s="3">
        <f t="shared" si="291"/>
        <v>0</v>
      </c>
      <c r="ER266" s="3">
        <f t="shared" si="291"/>
        <v>0</v>
      </c>
      <c r="ES266" s="3">
        <f t="shared" si="291"/>
        <v>0</v>
      </c>
      <c r="ET266" s="3">
        <f t="shared" si="291"/>
        <v>0</v>
      </c>
      <c r="EU266" s="3">
        <f t="shared" si="291"/>
        <v>0</v>
      </c>
      <c r="EV266" s="3">
        <f t="shared" si="291"/>
        <v>0</v>
      </c>
      <c r="EW266" s="3">
        <f t="shared" si="291"/>
        <v>0</v>
      </c>
      <c r="EX266" s="3">
        <f t="shared" si="291"/>
        <v>0</v>
      </c>
      <c r="EY266" s="3">
        <f t="shared" si="291"/>
        <v>0</v>
      </c>
      <c r="EZ266" s="3">
        <f t="shared" si="291"/>
        <v>0</v>
      </c>
      <c r="FA266" s="3">
        <f t="shared" si="291"/>
        <v>0</v>
      </c>
      <c r="FB266" s="3">
        <f t="shared" si="291"/>
        <v>0</v>
      </c>
      <c r="FC266" s="3">
        <f t="shared" si="291"/>
        <v>0</v>
      </c>
      <c r="FD266" s="3">
        <f t="shared" si="291"/>
        <v>0</v>
      </c>
      <c r="FE266" s="3">
        <f t="shared" si="291"/>
        <v>0</v>
      </c>
      <c r="FF266" s="3">
        <f t="shared" si="291"/>
        <v>0</v>
      </c>
      <c r="FG266" s="3">
        <f t="shared" si="291"/>
        <v>0</v>
      </c>
      <c r="FH266" s="3">
        <f t="shared" si="291"/>
        <v>0</v>
      </c>
      <c r="FI266" s="3">
        <f t="shared" si="291"/>
        <v>0</v>
      </c>
      <c r="FJ266" s="3">
        <f t="shared" si="291"/>
        <v>0</v>
      </c>
      <c r="FK266" s="3">
        <f t="shared" si="291"/>
        <v>0</v>
      </c>
      <c r="FL266" s="3">
        <f t="shared" si="291"/>
        <v>0</v>
      </c>
      <c r="FM266" s="3">
        <f t="shared" si="291"/>
        <v>0</v>
      </c>
      <c r="FN266" s="3">
        <f t="shared" si="291"/>
        <v>0</v>
      </c>
      <c r="FO266" s="3">
        <f t="shared" si="291"/>
        <v>0</v>
      </c>
      <c r="FP266" s="3">
        <f t="shared" si="291"/>
        <v>0</v>
      </c>
      <c r="FQ266" s="3">
        <f t="shared" si="291"/>
        <v>0</v>
      </c>
      <c r="FR266" s="3">
        <f t="shared" si="291"/>
        <v>0</v>
      </c>
      <c r="FS266" s="3">
        <f t="shared" ref="FS266:GX266" si="292">FS272</f>
        <v>0</v>
      </c>
      <c r="FT266" s="3">
        <f t="shared" si="292"/>
        <v>0</v>
      </c>
      <c r="FU266" s="3">
        <f t="shared" si="292"/>
        <v>0</v>
      </c>
      <c r="FV266" s="3">
        <f t="shared" si="292"/>
        <v>0</v>
      </c>
      <c r="FW266" s="3">
        <f t="shared" si="292"/>
        <v>0</v>
      </c>
      <c r="FX266" s="3">
        <f t="shared" si="292"/>
        <v>0</v>
      </c>
      <c r="FY266" s="3">
        <f t="shared" si="292"/>
        <v>0</v>
      </c>
      <c r="FZ266" s="3">
        <f t="shared" si="292"/>
        <v>0</v>
      </c>
      <c r="GA266" s="3">
        <f t="shared" si="292"/>
        <v>0</v>
      </c>
      <c r="GB266" s="3">
        <f t="shared" si="292"/>
        <v>0</v>
      </c>
      <c r="GC266" s="3">
        <f t="shared" si="292"/>
        <v>0</v>
      </c>
      <c r="GD266" s="3">
        <f t="shared" si="292"/>
        <v>0</v>
      </c>
      <c r="GE266" s="3">
        <f t="shared" si="292"/>
        <v>0</v>
      </c>
      <c r="GF266" s="3">
        <f t="shared" si="292"/>
        <v>0</v>
      </c>
      <c r="GG266" s="3">
        <f t="shared" si="292"/>
        <v>0</v>
      </c>
      <c r="GH266" s="3">
        <f t="shared" si="292"/>
        <v>0</v>
      </c>
      <c r="GI266" s="3">
        <f t="shared" si="292"/>
        <v>0</v>
      </c>
      <c r="GJ266" s="3">
        <f t="shared" si="292"/>
        <v>0</v>
      </c>
      <c r="GK266" s="3">
        <f t="shared" si="292"/>
        <v>0</v>
      </c>
      <c r="GL266" s="3">
        <f t="shared" si="292"/>
        <v>0</v>
      </c>
      <c r="GM266" s="3">
        <f t="shared" si="292"/>
        <v>0</v>
      </c>
      <c r="GN266" s="3">
        <f t="shared" si="292"/>
        <v>0</v>
      </c>
      <c r="GO266" s="3">
        <f t="shared" si="292"/>
        <v>0</v>
      </c>
      <c r="GP266" s="3">
        <f t="shared" si="292"/>
        <v>0</v>
      </c>
      <c r="GQ266" s="3">
        <f t="shared" si="292"/>
        <v>0</v>
      </c>
      <c r="GR266" s="3">
        <f t="shared" si="292"/>
        <v>0</v>
      </c>
      <c r="GS266" s="3">
        <f t="shared" si="292"/>
        <v>0</v>
      </c>
      <c r="GT266" s="3">
        <f t="shared" si="292"/>
        <v>0</v>
      </c>
      <c r="GU266" s="3">
        <f t="shared" si="292"/>
        <v>0</v>
      </c>
      <c r="GV266" s="3">
        <f t="shared" si="292"/>
        <v>0</v>
      </c>
      <c r="GW266" s="3">
        <f t="shared" si="292"/>
        <v>0</v>
      </c>
      <c r="GX266" s="3">
        <f t="shared" si="292"/>
        <v>0</v>
      </c>
    </row>
    <row r="268" spans="1:245" x14ac:dyDescent="0.2">
      <c r="A268">
        <v>17</v>
      </c>
      <c r="B268">
        <v>1</v>
      </c>
      <c r="C268">
        <f>ROW(SmtRes!A302)</f>
        <v>302</v>
      </c>
      <c r="D268">
        <f>ROW(EtalonRes!A314)</f>
        <v>314</v>
      </c>
      <c r="E268" t="s">
        <v>393</v>
      </c>
      <c r="F268" t="s">
        <v>394</v>
      </c>
      <c r="G268" t="s">
        <v>395</v>
      </c>
      <c r="H268" t="s">
        <v>22</v>
      </c>
      <c r="I268">
        <f>ROUND(372/100,9)</f>
        <v>3.72</v>
      </c>
      <c r="J268">
        <v>0</v>
      </c>
      <c r="O268">
        <f>ROUND(CP268,2)</f>
        <v>1400.51</v>
      </c>
      <c r="P268">
        <f>ROUND(CQ268*I268,2)</f>
        <v>90.77</v>
      </c>
      <c r="Q268">
        <f>ROUND(CR268*I268,2)</f>
        <v>1121.21</v>
      </c>
      <c r="R268">
        <f>ROUND(CS268*I268,2)</f>
        <v>118.22</v>
      </c>
      <c r="S268">
        <f>ROUND(CT268*I268,2)</f>
        <v>188.53</v>
      </c>
      <c r="T268">
        <f>ROUND(CU268*I268,2)</f>
        <v>0</v>
      </c>
      <c r="U268">
        <f>CV268*I268</f>
        <v>22.282800000000002</v>
      </c>
      <c r="V268">
        <f>CW268*I268</f>
        <v>10.192800000000002</v>
      </c>
      <c r="W268">
        <f>ROUND(CX268*I268,2)</f>
        <v>0</v>
      </c>
      <c r="X268">
        <f t="shared" ref="X268:Y270" si="293">ROUND(CY268,2)</f>
        <v>319.02</v>
      </c>
      <c r="Y268">
        <f t="shared" si="293"/>
        <v>236.2</v>
      </c>
      <c r="AA268">
        <v>47631607</v>
      </c>
      <c r="AB268">
        <f>ROUND((AC268+AD268+AF268),6)</f>
        <v>376.48</v>
      </c>
      <c r="AC268">
        <f>ROUND((ES268),6)</f>
        <v>24.4</v>
      </c>
      <c r="AD268">
        <f>ROUND((((ET268)-(EU268))+AE268),6)</f>
        <v>301.39999999999998</v>
      </c>
      <c r="AE268">
        <f t="shared" ref="AE268:AF270" si="294">ROUND((EU268),6)</f>
        <v>31.78</v>
      </c>
      <c r="AF268">
        <f t="shared" si="294"/>
        <v>50.68</v>
      </c>
      <c r="AG268">
        <f>ROUND((AP268),6)</f>
        <v>0</v>
      </c>
      <c r="AH268">
        <f t="shared" ref="AH268:AI270" si="295">(EW268)</f>
        <v>5.99</v>
      </c>
      <c r="AI268">
        <f t="shared" si="295"/>
        <v>2.74</v>
      </c>
      <c r="AJ268">
        <f>(AS268)</f>
        <v>0</v>
      </c>
      <c r="AK268">
        <v>376.48</v>
      </c>
      <c r="AL268">
        <v>24.4</v>
      </c>
      <c r="AM268">
        <v>301.39999999999998</v>
      </c>
      <c r="AN268">
        <v>31.78</v>
      </c>
      <c r="AO268">
        <v>50.68</v>
      </c>
      <c r="AP268">
        <v>0</v>
      </c>
      <c r="AQ268">
        <v>5.99</v>
      </c>
      <c r="AR268">
        <v>2.74</v>
      </c>
      <c r="AS268">
        <v>0</v>
      </c>
      <c r="AT268">
        <v>104</v>
      </c>
      <c r="AU268">
        <v>77</v>
      </c>
      <c r="AV268">
        <v>1</v>
      </c>
      <c r="AW268">
        <v>1</v>
      </c>
      <c r="AZ268">
        <v>1</v>
      </c>
      <c r="BA268">
        <v>1</v>
      </c>
      <c r="BB268">
        <v>1</v>
      </c>
      <c r="BC268">
        <v>1</v>
      </c>
      <c r="BD268" t="s">
        <v>3</v>
      </c>
      <c r="BE268" t="s">
        <v>3</v>
      </c>
      <c r="BF268" t="s">
        <v>3</v>
      </c>
      <c r="BG268" t="s">
        <v>3</v>
      </c>
      <c r="BH268">
        <v>0</v>
      </c>
      <c r="BI268">
        <v>1</v>
      </c>
      <c r="BJ268" t="s">
        <v>396</v>
      </c>
      <c r="BM268">
        <v>47001</v>
      </c>
      <c r="BN268">
        <v>0</v>
      </c>
      <c r="BO268" t="s">
        <v>3</v>
      </c>
      <c r="BP268">
        <v>0</v>
      </c>
      <c r="BQ268">
        <v>2</v>
      </c>
      <c r="BR268">
        <v>0</v>
      </c>
      <c r="BS268">
        <v>1</v>
      </c>
      <c r="BT268">
        <v>1</v>
      </c>
      <c r="BU268">
        <v>1</v>
      </c>
      <c r="BV268">
        <v>1</v>
      </c>
      <c r="BW268">
        <v>1</v>
      </c>
      <c r="BX268">
        <v>1</v>
      </c>
      <c r="BY268" t="s">
        <v>3</v>
      </c>
      <c r="BZ268">
        <v>115</v>
      </c>
      <c r="CA268">
        <v>90</v>
      </c>
      <c r="CE268">
        <v>0</v>
      </c>
      <c r="CF268">
        <v>0</v>
      </c>
      <c r="CG268">
        <v>0</v>
      </c>
      <c r="CM268">
        <v>0</v>
      </c>
      <c r="CN268" t="s">
        <v>3</v>
      </c>
      <c r="CO268">
        <v>0</v>
      </c>
      <c r="CP268">
        <f>(P268+Q268+S268)</f>
        <v>1400.51</v>
      </c>
      <c r="CQ268">
        <f>AC268*BC268</f>
        <v>24.4</v>
      </c>
      <c r="CR268">
        <f>AD268*BB268</f>
        <v>301.39999999999998</v>
      </c>
      <c r="CS268">
        <f>AE268*BS268</f>
        <v>31.78</v>
      </c>
      <c r="CT268">
        <f>AF268*BA268</f>
        <v>50.68</v>
      </c>
      <c r="CU268">
        <f t="shared" ref="CU268:CX270" si="296">AG268</f>
        <v>0</v>
      </c>
      <c r="CV268">
        <f t="shared" si="296"/>
        <v>5.99</v>
      </c>
      <c r="CW268">
        <f t="shared" si="296"/>
        <v>2.74</v>
      </c>
      <c r="CX268">
        <f t="shared" si="296"/>
        <v>0</v>
      </c>
      <c r="CY268">
        <f>(((S268+R268)*AT268)/100)</f>
        <v>319.02</v>
      </c>
      <c r="CZ268">
        <f>(((S268+R268)*AU268)/100)</f>
        <v>236.19749999999999</v>
      </c>
      <c r="DC268" t="s">
        <v>3</v>
      </c>
      <c r="DD268" t="s">
        <v>3</v>
      </c>
      <c r="DE268" t="s">
        <v>3</v>
      </c>
      <c r="DF268" t="s">
        <v>3</v>
      </c>
      <c r="DG268" t="s">
        <v>3</v>
      </c>
      <c r="DH268" t="s">
        <v>3</v>
      </c>
      <c r="DI268" t="s">
        <v>3</v>
      </c>
      <c r="DJ268" t="s">
        <v>3</v>
      </c>
      <c r="DK268" t="s">
        <v>3</v>
      </c>
      <c r="DL268" t="s">
        <v>3</v>
      </c>
      <c r="DM268" t="s">
        <v>3</v>
      </c>
      <c r="DN268">
        <v>0</v>
      </c>
      <c r="DO268">
        <v>0</v>
      </c>
      <c r="DP268">
        <v>1</v>
      </c>
      <c r="DQ268">
        <v>1</v>
      </c>
      <c r="DU268">
        <v>1005</v>
      </c>
      <c r="DV268" t="s">
        <v>22</v>
      </c>
      <c r="DW268" t="s">
        <v>22</v>
      </c>
      <c r="DX268">
        <v>100</v>
      </c>
      <c r="EE268">
        <v>45919639</v>
      </c>
      <c r="EF268">
        <v>2</v>
      </c>
      <c r="EG268" t="s">
        <v>54</v>
      </c>
      <c r="EH268">
        <v>0</v>
      </c>
      <c r="EI268" t="s">
        <v>3</v>
      </c>
      <c r="EJ268">
        <v>1</v>
      </c>
      <c r="EK268">
        <v>47001</v>
      </c>
      <c r="EL268" t="s">
        <v>55</v>
      </c>
      <c r="EM268" t="s">
        <v>56</v>
      </c>
      <c r="EO268" t="s">
        <v>3</v>
      </c>
      <c r="EQ268">
        <v>0</v>
      </c>
      <c r="ER268">
        <v>376.48</v>
      </c>
      <c r="ES268">
        <v>24.4</v>
      </c>
      <c r="ET268">
        <v>301.39999999999998</v>
      </c>
      <c r="EU268">
        <v>31.78</v>
      </c>
      <c r="EV268">
        <v>50.68</v>
      </c>
      <c r="EW268">
        <v>5.99</v>
      </c>
      <c r="EX268">
        <v>2.74</v>
      </c>
      <c r="EY268">
        <v>0</v>
      </c>
      <c r="FQ268">
        <v>0</v>
      </c>
      <c r="FR268">
        <f>ROUND(IF(AND(BH268=3,BI268=3),P268,0),2)</f>
        <v>0</v>
      </c>
      <c r="FS268">
        <v>0</v>
      </c>
      <c r="FT268" t="s">
        <v>58</v>
      </c>
      <c r="FU268" t="s">
        <v>59</v>
      </c>
      <c r="FX268">
        <v>103.5</v>
      </c>
      <c r="FY268">
        <v>76.5</v>
      </c>
      <c r="GA268" t="s">
        <v>3</v>
      </c>
      <c r="GD268">
        <v>1</v>
      </c>
      <c r="GF268">
        <v>-1126125750</v>
      </c>
      <c r="GG268">
        <v>2</v>
      </c>
      <c r="GH268">
        <v>1</v>
      </c>
      <c r="GI268">
        <v>-2</v>
      </c>
      <c r="GJ268">
        <v>0</v>
      </c>
      <c r="GK268">
        <v>0</v>
      </c>
      <c r="GL268">
        <f>ROUND(IF(AND(BH268=3,BI268=3,FS268&lt;&gt;0),P268,0),2)</f>
        <v>0</v>
      </c>
      <c r="GM268">
        <f>ROUND(O268+X268+Y268,2)+GX268</f>
        <v>1955.73</v>
      </c>
      <c r="GN268">
        <f>IF(OR(BI268=0,BI268=1),ROUND(O268+X268+Y268,2),0)</f>
        <v>1955.73</v>
      </c>
      <c r="GO268">
        <f>IF(BI268=2,ROUND(O268+X268+Y268,2),0)</f>
        <v>0</v>
      </c>
      <c r="GP268">
        <f>IF(BI268=4,ROUND(O268+X268+Y268,2)+GX268,0)</f>
        <v>0</v>
      </c>
      <c r="GR268">
        <v>0</v>
      </c>
      <c r="GS268">
        <v>3</v>
      </c>
      <c r="GT268">
        <v>0</v>
      </c>
      <c r="GU268" t="s">
        <v>3</v>
      </c>
      <c r="GV268">
        <f>ROUND((GT268),6)</f>
        <v>0</v>
      </c>
      <c r="GW268">
        <v>1</v>
      </c>
      <c r="GX268">
        <f>ROUND(HC268*I268,2)</f>
        <v>0</v>
      </c>
      <c r="HA268">
        <v>0</v>
      </c>
      <c r="HB268">
        <v>0</v>
      </c>
      <c r="HC268">
        <f>GV268*GW268</f>
        <v>0</v>
      </c>
      <c r="IK268">
        <v>0</v>
      </c>
    </row>
    <row r="269" spans="1:245" x14ac:dyDescent="0.2">
      <c r="A269">
        <v>18</v>
      </c>
      <c r="B269">
        <v>1</v>
      </c>
      <c r="C269">
        <v>302</v>
      </c>
      <c r="E269" t="s">
        <v>397</v>
      </c>
      <c r="F269" t="s">
        <v>398</v>
      </c>
      <c r="G269" t="s">
        <v>399</v>
      </c>
      <c r="H269" t="s">
        <v>400</v>
      </c>
      <c r="I269">
        <f>I268*J269</f>
        <v>7.44</v>
      </c>
      <c r="J269">
        <v>2</v>
      </c>
      <c r="O269">
        <f>ROUND(CP269,2)</f>
        <v>1088.0999999999999</v>
      </c>
      <c r="P269">
        <f>ROUND(CQ269*I269,2)</f>
        <v>1088.0999999999999</v>
      </c>
      <c r="Q269">
        <f>ROUND(CR269*I269,2)</f>
        <v>0</v>
      </c>
      <c r="R269">
        <f>ROUND(CS269*I269,2)</f>
        <v>0</v>
      </c>
      <c r="S269">
        <f>ROUND(CT269*I269,2)</f>
        <v>0</v>
      </c>
      <c r="T269">
        <f>ROUND(CU269*I269,2)</f>
        <v>0</v>
      </c>
      <c r="U269">
        <f>CV269*I269</f>
        <v>0</v>
      </c>
      <c r="V269">
        <f>CW269*I269</f>
        <v>0</v>
      </c>
      <c r="W269">
        <f>ROUND(CX269*I269,2)</f>
        <v>0</v>
      </c>
      <c r="X269">
        <f t="shared" si="293"/>
        <v>0</v>
      </c>
      <c r="Y269">
        <f t="shared" si="293"/>
        <v>0</v>
      </c>
      <c r="AA269">
        <v>47631607</v>
      </c>
      <c r="AB269">
        <f>ROUND((AC269+AD269+AF269),6)</f>
        <v>146.25</v>
      </c>
      <c r="AC269">
        <f>ROUND((ES269),6)</f>
        <v>146.25</v>
      </c>
      <c r="AD269">
        <f>ROUND((((ET269)-(EU269))+AE269),6)</f>
        <v>0</v>
      </c>
      <c r="AE269">
        <f t="shared" si="294"/>
        <v>0</v>
      </c>
      <c r="AF269">
        <f t="shared" si="294"/>
        <v>0</v>
      </c>
      <c r="AG269">
        <f>ROUND((AP269),6)</f>
        <v>0</v>
      </c>
      <c r="AH269">
        <f t="shared" si="295"/>
        <v>0</v>
      </c>
      <c r="AI269">
        <f t="shared" si="295"/>
        <v>0</v>
      </c>
      <c r="AJ269">
        <f>(AS269)</f>
        <v>0</v>
      </c>
      <c r="AK269">
        <v>146.25</v>
      </c>
      <c r="AL269">
        <v>146.25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104</v>
      </c>
      <c r="AU269">
        <v>77</v>
      </c>
      <c r="AV269">
        <v>1</v>
      </c>
      <c r="AW269">
        <v>1</v>
      </c>
      <c r="AZ269">
        <v>1</v>
      </c>
      <c r="BA269">
        <v>1</v>
      </c>
      <c r="BB269">
        <v>1</v>
      </c>
      <c r="BC269">
        <v>1</v>
      </c>
      <c r="BD269" t="s">
        <v>3</v>
      </c>
      <c r="BE269" t="s">
        <v>3</v>
      </c>
      <c r="BF269" t="s">
        <v>3</v>
      </c>
      <c r="BG269" t="s">
        <v>3</v>
      </c>
      <c r="BH269">
        <v>3</v>
      </c>
      <c r="BI269">
        <v>1</v>
      </c>
      <c r="BJ269" t="s">
        <v>401</v>
      </c>
      <c r="BM269">
        <v>47001</v>
      </c>
      <c r="BN269">
        <v>0</v>
      </c>
      <c r="BO269" t="s">
        <v>3</v>
      </c>
      <c r="BP269">
        <v>0</v>
      </c>
      <c r="BQ269">
        <v>2</v>
      </c>
      <c r="BR269">
        <v>0</v>
      </c>
      <c r="BS269">
        <v>1</v>
      </c>
      <c r="BT269">
        <v>1</v>
      </c>
      <c r="BU269">
        <v>1</v>
      </c>
      <c r="BV269">
        <v>1</v>
      </c>
      <c r="BW269">
        <v>1</v>
      </c>
      <c r="BX269">
        <v>1</v>
      </c>
      <c r="BY269" t="s">
        <v>3</v>
      </c>
      <c r="BZ269">
        <v>115</v>
      </c>
      <c r="CA269">
        <v>90</v>
      </c>
      <c r="CE269">
        <v>0</v>
      </c>
      <c r="CF269">
        <v>0</v>
      </c>
      <c r="CG269">
        <v>0</v>
      </c>
      <c r="CM269">
        <v>0</v>
      </c>
      <c r="CN269" t="s">
        <v>3</v>
      </c>
      <c r="CO269">
        <v>0</v>
      </c>
      <c r="CP269">
        <f>(P269+Q269+S269)</f>
        <v>1088.0999999999999</v>
      </c>
      <c r="CQ269">
        <f>AC269*BC269</f>
        <v>146.25</v>
      </c>
      <c r="CR269">
        <f>AD269*BB269</f>
        <v>0</v>
      </c>
      <c r="CS269">
        <f>AE269*BS269</f>
        <v>0</v>
      </c>
      <c r="CT269">
        <f>AF269*BA269</f>
        <v>0</v>
      </c>
      <c r="CU269">
        <f t="shared" si="296"/>
        <v>0</v>
      </c>
      <c r="CV269">
        <f t="shared" si="296"/>
        <v>0</v>
      </c>
      <c r="CW269">
        <f t="shared" si="296"/>
        <v>0</v>
      </c>
      <c r="CX269">
        <f t="shared" si="296"/>
        <v>0</v>
      </c>
      <c r="CY269">
        <f>(((S269+R269)*AT269)/100)</f>
        <v>0</v>
      </c>
      <c r="CZ269">
        <f>(((S269+R269)*AU269)/100)</f>
        <v>0</v>
      </c>
      <c r="DC269" t="s">
        <v>3</v>
      </c>
      <c r="DD269" t="s">
        <v>3</v>
      </c>
      <c r="DE269" t="s">
        <v>3</v>
      </c>
      <c r="DF269" t="s">
        <v>3</v>
      </c>
      <c r="DG269" t="s">
        <v>3</v>
      </c>
      <c r="DH269" t="s">
        <v>3</v>
      </c>
      <c r="DI269" t="s">
        <v>3</v>
      </c>
      <c r="DJ269" t="s">
        <v>3</v>
      </c>
      <c r="DK269" t="s">
        <v>3</v>
      </c>
      <c r="DL269" t="s">
        <v>3</v>
      </c>
      <c r="DM269" t="s">
        <v>3</v>
      </c>
      <c r="DN269">
        <v>0</v>
      </c>
      <c r="DO269">
        <v>0</v>
      </c>
      <c r="DP269">
        <v>1</v>
      </c>
      <c r="DQ269">
        <v>1</v>
      </c>
      <c r="DU269">
        <v>1009</v>
      </c>
      <c r="DV269" t="s">
        <v>400</v>
      </c>
      <c r="DW269" t="s">
        <v>400</v>
      </c>
      <c r="DX269">
        <v>1</v>
      </c>
      <c r="EE269">
        <v>45919639</v>
      </c>
      <c r="EF269">
        <v>2</v>
      </c>
      <c r="EG269" t="s">
        <v>54</v>
      </c>
      <c r="EH269">
        <v>0</v>
      </c>
      <c r="EI269" t="s">
        <v>3</v>
      </c>
      <c r="EJ269">
        <v>1</v>
      </c>
      <c r="EK269">
        <v>47001</v>
      </c>
      <c r="EL269" t="s">
        <v>55</v>
      </c>
      <c r="EM269" t="s">
        <v>56</v>
      </c>
      <c r="EO269" t="s">
        <v>3</v>
      </c>
      <c r="EQ269">
        <v>0</v>
      </c>
      <c r="ER269">
        <v>146.25</v>
      </c>
      <c r="ES269">
        <v>146.25</v>
      </c>
      <c r="ET269">
        <v>0</v>
      </c>
      <c r="EU269">
        <v>0</v>
      </c>
      <c r="EV269">
        <v>0</v>
      </c>
      <c r="EW269">
        <v>0</v>
      </c>
      <c r="EX269">
        <v>0</v>
      </c>
      <c r="FQ269">
        <v>0</v>
      </c>
      <c r="FR269">
        <f>ROUND(IF(AND(BH269=3,BI269=3),P269,0),2)</f>
        <v>0</v>
      </c>
      <c r="FS269">
        <v>0</v>
      </c>
      <c r="FT269" t="s">
        <v>58</v>
      </c>
      <c r="FU269" t="s">
        <v>59</v>
      </c>
      <c r="FX269">
        <v>103.5</v>
      </c>
      <c r="FY269">
        <v>76.5</v>
      </c>
      <c r="GA269" t="s">
        <v>3</v>
      </c>
      <c r="GD269">
        <v>1</v>
      </c>
      <c r="GF269">
        <v>-1440369693</v>
      </c>
      <c r="GG269">
        <v>2</v>
      </c>
      <c r="GH269">
        <v>1</v>
      </c>
      <c r="GI269">
        <v>-2</v>
      </c>
      <c r="GJ269">
        <v>0</v>
      </c>
      <c r="GK269">
        <v>0</v>
      </c>
      <c r="GL269">
        <f>ROUND(IF(AND(BH269=3,BI269=3,FS269&lt;&gt;0),P269,0),2)</f>
        <v>0</v>
      </c>
      <c r="GM269">
        <f>ROUND(O269+X269+Y269,2)+GX269</f>
        <v>1088.0999999999999</v>
      </c>
      <c r="GN269">
        <f>IF(OR(BI269=0,BI269=1),ROUND(O269+X269+Y269,2),0)</f>
        <v>1088.0999999999999</v>
      </c>
      <c r="GO269">
        <f>IF(BI269=2,ROUND(O269+X269+Y269,2),0)</f>
        <v>0</v>
      </c>
      <c r="GP269">
        <f>IF(BI269=4,ROUND(O269+X269+Y269,2)+GX269,0)</f>
        <v>0</v>
      </c>
      <c r="GR269">
        <v>0</v>
      </c>
      <c r="GS269">
        <v>3</v>
      </c>
      <c r="GT269">
        <v>0</v>
      </c>
      <c r="GU269" t="s">
        <v>3</v>
      </c>
      <c r="GV269">
        <f>ROUND((GT269),6)</f>
        <v>0</v>
      </c>
      <c r="GW269">
        <v>1</v>
      </c>
      <c r="GX269">
        <f>ROUND(HC269*I269,2)</f>
        <v>0</v>
      </c>
      <c r="HA269">
        <v>0</v>
      </c>
      <c r="HB269">
        <v>0</v>
      </c>
      <c r="HC269">
        <f>GV269*GW269</f>
        <v>0</v>
      </c>
      <c r="IK269">
        <v>0</v>
      </c>
    </row>
    <row r="270" spans="1:245" x14ac:dyDescent="0.2">
      <c r="A270">
        <v>17</v>
      </c>
      <c r="B270">
        <v>1</v>
      </c>
      <c r="C270">
        <f>ROW(SmtRes!A306)</f>
        <v>306</v>
      </c>
      <c r="D270">
        <f>ROW(EtalonRes!A319)</f>
        <v>319</v>
      </c>
      <c r="E270" t="s">
        <v>402</v>
      </c>
      <c r="F270" t="s">
        <v>403</v>
      </c>
      <c r="G270" t="s">
        <v>404</v>
      </c>
      <c r="H270" t="s">
        <v>22</v>
      </c>
      <c r="I270">
        <f>ROUND(372/100,9)</f>
        <v>3.72</v>
      </c>
      <c r="J270">
        <v>0</v>
      </c>
      <c r="O270">
        <f>ROUND(CP270,2)</f>
        <v>2385.75</v>
      </c>
      <c r="P270">
        <f>ROUND(CQ270*I270,2)</f>
        <v>90.77</v>
      </c>
      <c r="Q270">
        <f>ROUND(CR270*I270,2)</f>
        <v>1121.21</v>
      </c>
      <c r="R270">
        <f>ROUND(CS270*I270,2)</f>
        <v>118.22</v>
      </c>
      <c r="S270">
        <f>ROUND(CT270*I270,2)</f>
        <v>1173.77</v>
      </c>
      <c r="T270">
        <f>ROUND(CU270*I270,2)</f>
        <v>0</v>
      </c>
      <c r="U270">
        <f>CV270*I270</f>
        <v>143.66640000000001</v>
      </c>
      <c r="V270">
        <f>CW270*I270</f>
        <v>10.192800000000002</v>
      </c>
      <c r="W270">
        <f>ROUND(CX270*I270,2)</f>
        <v>0</v>
      </c>
      <c r="X270">
        <f t="shared" si="293"/>
        <v>1343.67</v>
      </c>
      <c r="Y270">
        <f t="shared" si="293"/>
        <v>994.83</v>
      </c>
      <c r="AA270">
        <v>47631607</v>
      </c>
      <c r="AB270">
        <f>ROUND((AC270+AD270+AF270),6)</f>
        <v>641.33000000000004</v>
      </c>
      <c r="AC270">
        <f>ROUND((ES270),6)</f>
        <v>24.4</v>
      </c>
      <c r="AD270">
        <f>ROUND((((ET270)-(EU270))+AE270),6)</f>
        <v>301.39999999999998</v>
      </c>
      <c r="AE270">
        <f t="shared" si="294"/>
        <v>31.78</v>
      </c>
      <c r="AF270">
        <f t="shared" si="294"/>
        <v>315.52999999999997</v>
      </c>
      <c r="AG270">
        <f>ROUND((AP270),6)</f>
        <v>0</v>
      </c>
      <c r="AH270">
        <f t="shared" si="295"/>
        <v>38.619999999999997</v>
      </c>
      <c r="AI270">
        <f t="shared" si="295"/>
        <v>2.74</v>
      </c>
      <c r="AJ270">
        <f>(AS270)</f>
        <v>0</v>
      </c>
      <c r="AK270">
        <v>641.33000000000004</v>
      </c>
      <c r="AL270">
        <v>24.4</v>
      </c>
      <c r="AM270">
        <v>301.39999999999998</v>
      </c>
      <c r="AN270">
        <v>31.78</v>
      </c>
      <c r="AO270">
        <v>315.52999999999997</v>
      </c>
      <c r="AP270">
        <v>0</v>
      </c>
      <c r="AQ270">
        <v>38.619999999999997</v>
      </c>
      <c r="AR270">
        <v>2.74</v>
      </c>
      <c r="AS270">
        <v>0</v>
      </c>
      <c r="AT270">
        <v>104</v>
      </c>
      <c r="AU270">
        <v>77</v>
      </c>
      <c r="AV270">
        <v>1</v>
      </c>
      <c r="AW270">
        <v>1</v>
      </c>
      <c r="AZ270">
        <v>1</v>
      </c>
      <c r="BA270">
        <v>1</v>
      </c>
      <c r="BB270">
        <v>1</v>
      </c>
      <c r="BC270">
        <v>1</v>
      </c>
      <c r="BD270" t="s">
        <v>3</v>
      </c>
      <c r="BE270" t="s">
        <v>3</v>
      </c>
      <c r="BF270" t="s">
        <v>3</v>
      </c>
      <c r="BG270" t="s">
        <v>3</v>
      </c>
      <c r="BH270">
        <v>0</v>
      </c>
      <c r="BI270">
        <v>1</v>
      </c>
      <c r="BJ270" t="s">
        <v>405</v>
      </c>
      <c r="BM270">
        <v>47001</v>
      </c>
      <c r="BN270">
        <v>0</v>
      </c>
      <c r="BO270" t="s">
        <v>3</v>
      </c>
      <c r="BP270">
        <v>0</v>
      </c>
      <c r="BQ270">
        <v>2</v>
      </c>
      <c r="BR270">
        <v>0</v>
      </c>
      <c r="BS270">
        <v>1</v>
      </c>
      <c r="BT270">
        <v>1</v>
      </c>
      <c r="BU270">
        <v>1</v>
      </c>
      <c r="BV270">
        <v>1</v>
      </c>
      <c r="BW270">
        <v>1</v>
      </c>
      <c r="BX270">
        <v>1</v>
      </c>
      <c r="BY270" t="s">
        <v>3</v>
      </c>
      <c r="BZ270">
        <v>115</v>
      </c>
      <c r="CA270">
        <v>90</v>
      </c>
      <c r="CE270">
        <v>0</v>
      </c>
      <c r="CF270">
        <v>0</v>
      </c>
      <c r="CG270">
        <v>0</v>
      </c>
      <c r="CM270">
        <v>0</v>
      </c>
      <c r="CN270" t="s">
        <v>3</v>
      </c>
      <c r="CO270">
        <v>0</v>
      </c>
      <c r="CP270">
        <f>(P270+Q270+S270)</f>
        <v>2385.75</v>
      </c>
      <c r="CQ270">
        <f>AC270*BC270</f>
        <v>24.4</v>
      </c>
      <c r="CR270">
        <f>AD270*BB270</f>
        <v>301.39999999999998</v>
      </c>
      <c r="CS270">
        <f>AE270*BS270</f>
        <v>31.78</v>
      </c>
      <c r="CT270">
        <f>AF270*BA270</f>
        <v>315.52999999999997</v>
      </c>
      <c r="CU270">
        <f t="shared" si="296"/>
        <v>0</v>
      </c>
      <c r="CV270">
        <f t="shared" si="296"/>
        <v>38.619999999999997</v>
      </c>
      <c r="CW270">
        <f t="shared" si="296"/>
        <v>2.74</v>
      </c>
      <c r="CX270">
        <f t="shared" si="296"/>
        <v>0</v>
      </c>
      <c r="CY270">
        <f>(((S270+R270)*AT270)/100)</f>
        <v>1343.6695999999999</v>
      </c>
      <c r="CZ270">
        <f>(((S270+R270)*AU270)/100)</f>
        <v>994.83229999999992</v>
      </c>
      <c r="DC270" t="s">
        <v>3</v>
      </c>
      <c r="DD270" t="s">
        <v>3</v>
      </c>
      <c r="DE270" t="s">
        <v>3</v>
      </c>
      <c r="DF270" t="s">
        <v>3</v>
      </c>
      <c r="DG270" t="s">
        <v>3</v>
      </c>
      <c r="DH270" t="s">
        <v>3</v>
      </c>
      <c r="DI270" t="s">
        <v>3</v>
      </c>
      <c r="DJ270" t="s">
        <v>3</v>
      </c>
      <c r="DK270" t="s">
        <v>3</v>
      </c>
      <c r="DL270" t="s">
        <v>3</v>
      </c>
      <c r="DM270" t="s">
        <v>3</v>
      </c>
      <c r="DN270">
        <v>0</v>
      </c>
      <c r="DO270">
        <v>0</v>
      </c>
      <c r="DP270">
        <v>1</v>
      </c>
      <c r="DQ270">
        <v>1</v>
      </c>
      <c r="DU270">
        <v>1005</v>
      </c>
      <c r="DV270" t="s">
        <v>22</v>
      </c>
      <c r="DW270" t="s">
        <v>22</v>
      </c>
      <c r="DX270">
        <v>100</v>
      </c>
      <c r="EE270">
        <v>45919639</v>
      </c>
      <c r="EF270">
        <v>2</v>
      </c>
      <c r="EG270" t="s">
        <v>54</v>
      </c>
      <c r="EH270">
        <v>0</v>
      </c>
      <c r="EI270" t="s">
        <v>3</v>
      </c>
      <c r="EJ270">
        <v>1</v>
      </c>
      <c r="EK270">
        <v>47001</v>
      </c>
      <c r="EL270" t="s">
        <v>55</v>
      </c>
      <c r="EM270" t="s">
        <v>56</v>
      </c>
      <c r="EO270" t="s">
        <v>3</v>
      </c>
      <c r="EQ270">
        <v>0</v>
      </c>
      <c r="ER270">
        <v>641.33000000000004</v>
      </c>
      <c r="ES270">
        <v>24.4</v>
      </c>
      <c r="ET270">
        <v>301.39999999999998</v>
      </c>
      <c r="EU270">
        <v>31.78</v>
      </c>
      <c r="EV270">
        <v>315.52999999999997</v>
      </c>
      <c r="EW270">
        <v>38.619999999999997</v>
      </c>
      <c r="EX270">
        <v>2.74</v>
      </c>
      <c r="EY270">
        <v>0</v>
      </c>
      <c r="FQ270">
        <v>0</v>
      </c>
      <c r="FR270">
        <f>ROUND(IF(AND(BH270=3,BI270=3),P270,0),2)</f>
        <v>0</v>
      </c>
      <c r="FS270">
        <v>0</v>
      </c>
      <c r="FT270" t="s">
        <v>58</v>
      </c>
      <c r="FU270" t="s">
        <v>59</v>
      </c>
      <c r="FX270">
        <v>103.5</v>
      </c>
      <c r="FY270">
        <v>76.5</v>
      </c>
      <c r="GA270" t="s">
        <v>3</v>
      </c>
      <c r="GD270">
        <v>1</v>
      </c>
      <c r="GF270">
        <v>1019307999</v>
      </c>
      <c r="GG270">
        <v>2</v>
      </c>
      <c r="GH270">
        <v>1</v>
      </c>
      <c r="GI270">
        <v>-2</v>
      </c>
      <c r="GJ270">
        <v>0</v>
      </c>
      <c r="GK270">
        <v>0</v>
      </c>
      <c r="GL270">
        <f>ROUND(IF(AND(BH270=3,BI270=3,FS270&lt;&gt;0),P270,0),2)</f>
        <v>0</v>
      </c>
      <c r="GM270">
        <f>ROUND(O270+X270+Y270,2)+GX270</f>
        <v>4724.25</v>
      </c>
      <c r="GN270">
        <f>IF(OR(BI270=0,BI270=1),ROUND(O270+X270+Y270,2),0)</f>
        <v>4724.25</v>
      </c>
      <c r="GO270">
        <f>IF(BI270=2,ROUND(O270+X270+Y270,2),0)</f>
        <v>0</v>
      </c>
      <c r="GP270">
        <f>IF(BI270=4,ROUND(O270+X270+Y270,2)+GX270,0)</f>
        <v>0</v>
      </c>
      <c r="GR270">
        <v>0</v>
      </c>
      <c r="GS270">
        <v>3</v>
      </c>
      <c r="GT270">
        <v>0</v>
      </c>
      <c r="GU270" t="s">
        <v>3</v>
      </c>
      <c r="GV270">
        <f>ROUND((GT270),6)</f>
        <v>0</v>
      </c>
      <c r="GW270">
        <v>1</v>
      </c>
      <c r="GX270">
        <f>ROUND(HC270*I270,2)</f>
        <v>0</v>
      </c>
      <c r="HA270">
        <v>0</v>
      </c>
      <c r="HB270">
        <v>0</v>
      </c>
      <c r="HC270">
        <f>GV270*GW270</f>
        <v>0</v>
      </c>
      <c r="IK270">
        <v>0</v>
      </c>
    </row>
    <row r="272" spans="1:245" x14ac:dyDescent="0.2">
      <c r="A272" s="2">
        <v>51</v>
      </c>
      <c r="B272" s="2">
        <f>B264</f>
        <v>1</v>
      </c>
      <c r="C272" s="2">
        <f>A264</f>
        <v>5</v>
      </c>
      <c r="D272" s="2">
        <f>ROW(A264)</f>
        <v>264</v>
      </c>
      <c r="E272" s="2"/>
      <c r="F272" s="2" t="str">
        <f>IF(F264&lt;&gt;"",F264,"")</f>
        <v>Новый подраздел</v>
      </c>
      <c r="G272" s="2" t="str">
        <f>IF(G264&lt;&gt;"",G264,"")</f>
        <v>Газоны</v>
      </c>
      <c r="H272" s="2">
        <v>0</v>
      </c>
      <c r="I272" s="2"/>
      <c r="J272" s="2"/>
      <c r="K272" s="2"/>
      <c r="L272" s="2"/>
      <c r="M272" s="2"/>
      <c r="N272" s="2"/>
      <c r="O272" s="2">
        <f t="shared" ref="O272:T272" si="297">ROUND(AB272,2)</f>
        <v>4874.3599999999997</v>
      </c>
      <c r="P272" s="2">
        <f t="shared" si="297"/>
        <v>1269.6400000000001</v>
      </c>
      <c r="Q272" s="2">
        <f t="shared" si="297"/>
        <v>2242.42</v>
      </c>
      <c r="R272" s="2">
        <f t="shared" si="297"/>
        <v>236.44</v>
      </c>
      <c r="S272" s="2">
        <f t="shared" si="297"/>
        <v>1362.3</v>
      </c>
      <c r="T272" s="2">
        <f t="shared" si="297"/>
        <v>0</v>
      </c>
      <c r="U272" s="2">
        <f>AH272</f>
        <v>165.94920000000002</v>
      </c>
      <c r="V272" s="2">
        <f>AI272</f>
        <v>20.385600000000004</v>
      </c>
      <c r="W272" s="2">
        <f>ROUND(AJ272,2)</f>
        <v>0</v>
      </c>
      <c r="X272" s="2">
        <f>ROUND(AK272,2)</f>
        <v>1662.69</v>
      </c>
      <c r="Y272" s="2">
        <f>ROUND(AL272,2)</f>
        <v>1231.03</v>
      </c>
      <c r="Z272" s="2"/>
      <c r="AA272" s="2"/>
      <c r="AB272" s="2">
        <f>ROUND(SUMIF(AA268:AA270,"=47631607",O268:O270),2)</f>
        <v>4874.3599999999997</v>
      </c>
      <c r="AC272" s="2">
        <f>ROUND(SUMIF(AA268:AA270,"=47631607",P268:P270),2)</f>
        <v>1269.6400000000001</v>
      </c>
      <c r="AD272" s="2">
        <f>ROUND(SUMIF(AA268:AA270,"=47631607",Q268:Q270),2)</f>
        <v>2242.42</v>
      </c>
      <c r="AE272" s="2">
        <f>ROUND(SUMIF(AA268:AA270,"=47631607",R268:R270),2)</f>
        <v>236.44</v>
      </c>
      <c r="AF272" s="2">
        <f>ROUND(SUMIF(AA268:AA270,"=47631607",S268:S270),2)</f>
        <v>1362.3</v>
      </c>
      <c r="AG272" s="2">
        <f>ROUND(SUMIF(AA268:AA270,"=47631607",T268:T270),2)</f>
        <v>0</v>
      </c>
      <c r="AH272" s="2">
        <f>SUMIF(AA268:AA270,"=47631607",U268:U270)</f>
        <v>165.94920000000002</v>
      </c>
      <c r="AI272" s="2">
        <f>SUMIF(AA268:AA270,"=47631607",V268:V270)</f>
        <v>20.385600000000004</v>
      </c>
      <c r="AJ272" s="2">
        <f>ROUND(SUMIF(AA268:AA270,"=47631607",W268:W270),2)</f>
        <v>0</v>
      </c>
      <c r="AK272" s="2">
        <f>ROUND(SUMIF(AA268:AA270,"=47631607",X268:X270),2)</f>
        <v>1662.69</v>
      </c>
      <c r="AL272" s="2">
        <f>ROUND(SUMIF(AA268:AA270,"=47631607",Y268:Y270),2)</f>
        <v>1231.03</v>
      </c>
      <c r="AM272" s="2"/>
      <c r="AN272" s="2"/>
      <c r="AO272" s="2">
        <f t="shared" ref="AO272:BC272" si="298">ROUND(BX272,2)</f>
        <v>0</v>
      </c>
      <c r="AP272" s="2">
        <f t="shared" si="298"/>
        <v>0</v>
      </c>
      <c r="AQ272" s="2">
        <f t="shared" si="298"/>
        <v>0</v>
      </c>
      <c r="AR272" s="2">
        <f t="shared" si="298"/>
        <v>7768.08</v>
      </c>
      <c r="AS272" s="2">
        <f t="shared" si="298"/>
        <v>7768.08</v>
      </c>
      <c r="AT272" s="2">
        <f t="shared" si="298"/>
        <v>0</v>
      </c>
      <c r="AU272" s="2">
        <f t="shared" si="298"/>
        <v>0</v>
      </c>
      <c r="AV272" s="2">
        <f t="shared" si="298"/>
        <v>1269.6400000000001</v>
      </c>
      <c r="AW272" s="2">
        <f t="shared" si="298"/>
        <v>1269.6400000000001</v>
      </c>
      <c r="AX272" s="2">
        <f t="shared" si="298"/>
        <v>0</v>
      </c>
      <c r="AY272" s="2">
        <f t="shared" si="298"/>
        <v>1269.6400000000001</v>
      </c>
      <c r="AZ272" s="2">
        <f t="shared" si="298"/>
        <v>0</v>
      </c>
      <c r="BA272" s="2">
        <f t="shared" si="298"/>
        <v>0</v>
      </c>
      <c r="BB272" s="2">
        <f t="shared" si="298"/>
        <v>0</v>
      </c>
      <c r="BC272" s="2">
        <f t="shared" si="298"/>
        <v>0</v>
      </c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>
        <f>ROUND(SUMIF(AA268:AA270,"=47631607",FQ268:FQ270),2)</f>
        <v>0</v>
      </c>
      <c r="BY272" s="2">
        <f>ROUND(SUMIF(AA268:AA270,"=47631607",FR268:FR270),2)</f>
        <v>0</v>
      </c>
      <c r="BZ272" s="2">
        <f>ROUND(SUMIF(AA268:AA270,"=47631607",GL268:GL270),2)</f>
        <v>0</v>
      </c>
      <c r="CA272" s="2">
        <f>ROUND(SUMIF(AA268:AA270,"=47631607",GM268:GM270),2)</f>
        <v>7768.08</v>
      </c>
      <c r="CB272" s="2">
        <f>ROUND(SUMIF(AA268:AA270,"=47631607",GN268:GN270),2)</f>
        <v>7768.08</v>
      </c>
      <c r="CC272" s="2">
        <f>ROUND(SUMIF(AA268:AA270,"=47631607",GO268:GO270),2)</f>
        <v>0</v>
      </c>
      <c r="CD272" s="2">
        <f>ROUND(SUMIF(AA268:AA270,"=47631607",GP268:GP270),2)</f>
        <v>0</v>
      </c>
      <c r="CE272" s="2">
        <f>AC272-BX272</f>
        <v>1269.6400000000001</v>
      </c>
      <c r="CF272" s="2">
        <f>AC272-BY272</f>
        <v>1269.6400000000001</v>
      </c>
      <c r="CG272" s="2">
        <f>BX272-BZ272</f>
        <v>0</v>
      </c>
      <c r="CH272" s="2">
        <f>AC272-BX272-BY272+BZ272</f>
        <v>1269.6400000000001</v>
      </c>
      <c r="CI272" s="2">
        <f>BY272-BZ272</f>
        <v>0</v>
      </c>
      <c r="CJ272" s="2">
        <f>ROUND(SUMIF(AA268:AA270,"=47631607",GX268:GX270),2)</f>
        <v>0</v>
      </c>
      <c r="CK272" s="2">
        <f>ROUND(SUMIF(AA268:AA270,"=47631607",GY268:GY270),2)</f>
        <v>0</v>
      </c>
      <c r="CL272" s="2">
        <f>ROUND(SUMIF(AA268:AA270,"=47631607",GZ268:GZ270),2)</f>
        <v>0</v>
      </c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>
        <v>0</v>
      </c>
    </row>
    <row r="274" spans="1:23" x14ac:dyDescent="0.2">
      <c r="A274" s="4">
        <v>50</v>
      </c>
      <c r="B274" s="4">
        <v>0</v>
      </c>
      <c r="C274" s="4">
        <v>0</v>
      </c>
      <c r="D274" s="4">
        <v>1</v>
      </c>
      <c r="E274" s="4">
        <v>201</v>
      </c>
      <c r="F274" s="4">
        <f>ROUND(Source!O272,O274)</f>
        <v>4874.3599999999997</v>
      </c>
      <c r="G274" s="4" t="s">
        <v>206</v>
      </c>
      <c r="H274" s="4" t="s">
        <v>207</v>
      </c>
      <c r="I274" s="4"/>
      <c r="J274" s="4"/>
      <c r="K274" s="4">
        <v>201</v>
      </c>
      <c r="L274" s="4">
        <v>1</v>
      </c>
      <c r="M274" s="4">
        <v>3</v>
      </c>
      <c r="N274" s="4" t="s">
        <v>3</v>
      </c>
      <c r="O274" s="4">
        <v>2</v>
      </c>
      <c r="P274" s="4"/>
      <c r="Q274" s="4"/>
      <c r="R274" s="4"/>
      <c r="S274" s="4"/>
      <c r="T274" s="4"/>
      <c r="U274" s="4"/>
      <c r="V274" s="4"/>
      <c r="W274" s="4"/>
    </row>
    <row r="275" spans="1:23" x14ac:dyDescent="0.2">
      <c r="A275" s="4">
        <v>50</v>
      </c>
      <c r="B275" s="4">
        <v>0</v>
      </c>
      <c r="C275" s="4">
        <v>0</v>
      </c>
      <c r="D275" s="4">
        <v>1</v>
      </c>
      <c r="E275" s="4">
        <v>202</v>
      </c>
      <c r="F275" s="4">
        <f>ROUND(Source!P272,O275)</f>
        <v>1269.6400000000001</v>
      </c>
      <c r="G275" s="4" t="s">
        <v>208</v>
      </c>
      <c r="H275" s="4" t="s">
        <v>209</v>
      </c>
      <c r="I275" s="4"/>
      <c r="J275" s="4"/>
      <c r="K275" s="4">
        <v>202</v>
      </c>
      <c r="L275" s="4">
        <v>2</v>
      </c>
      <c r="M275" s="4">
        <v>3</v>
      </c>
      <c r="N275" s="4" t="s">
        <v>3</v>
      </c>
      <c r="O275" s="4">
        <v>2</v>
      </c>
      <c r="P275" s="4"/>
      <c r="Q275" s="4"/>
      <c r="R275" s="4"/>
      <c r="S275" s="4"/>
      <c r="T275" s="4"/>
      <c r="U275" s="4"/>
      <c r="V275" s="4"/>
      <c r="W275" s="4"/>
    </row>
    <row r="276" spans="1:23" x14ac:dyDescent="0.2">
      <c r="A276" s="4">
        <v>50</v>
      </c>
      <c r="B276" s="4">
        <v>0</v>
      </c>
      <c r="C276" s="4">
        <v>0</v>
      </c>
      <c r="D276" s="4">
        <v>1</v>
      </c>
      <c r="E276" s="4">
        <v>222</v>
      </c>
      <c r="F276" s="4">
        <f>ROUND(Source!AO272,O276)</f>
        <v>0</v>
      </c>
      <c r="G276" s="4" t="s">
        <v>210</v>
      </c>
      <c r="H276" s="4" t="s">
        <v>211</v>
      </c>
      <c r="I276" s="4"/>
      <c r="J276" s="4"/>
      <c r="K276" s="4">
        <v>222</v>
      </c>
      <c r="L276" s="4">
        <v>3</v>
      </c>
      <c r="M276" s="4">
        <v>3</v>
      </c>
      <c r="N276" s="4" t="s">
        <v>3</v>
      </c>
      <c r="O276" s="4">
        <v>2</v>
      </c>
      <c r="P276" s="4"/>
      <c r="Q276" s="4"/>
      <c r="R276" s="4"/>
      <c r="S276" s="4"/>
      <c r="T276" s="4"/>
      <c r="U276" s="4"/>
      <c r="V276" s="4"/>
      <c r="W276" s="4"/>
    </row>
    <row r="277" spans="1:23" x14ac:dyDescent="0.2">
      <c r="A277" s="4">
        <v>50</v>
      </c>
      <c r="B277" s="4">
        <v>0</v>
      </c>
      <c r="C277" s="4">
        <v>0</v>
      </c>
      <c r="D277" s="4">
        <v>1</v>
      </c>
      <c r="E277" s="4">
        <v>225</v>
      </c>
      <c r="F277" s="4">
        <f>ROUND(Source!AV272,O277)</f>
        <v>1269.6400000000001</v>
      </c>
      <c r="G277" s="4" t="s">
        <v>212</v>
      </c>
      <c r="H277" s="4" t="s">
        <v>213</v>
      </c>
      <c r="I277" s="4"/>
      <c r="J277" s="4"/>
      <c r="K277" s="4">
        <v>225</v>
      </c>
      <c r="L277" s="4">
        <v>4</v>
      </c>
      <c r="M277" s="4">
        <v>3</v>
      </c>
      <c r="N277" s="4" t="s">
        <v>3</v>
      </c>
      <c r="O277" s="4">
        <v>2</v>
      </c>
      <c r="P277" s="4"/>
      <c r="Q277" s="4"/>
      <c r="R277" s="4"/>
      <c r="S277" s="4"/>
      <c r="T277" s="4"/>
      <c r="U277" s="4"/>
      <c r="V277" s="4"/>
      <c r="W277" s="4"/>
    </row>
    <row r="278" spans="1:23" x14ac:dyDescent="0.2">
      <c r="A278" s="4">
        <v>50</v>
      </c>
      <c r="B278" s="4">
        <v>0</v>
      </c>
      <c r="C278" s="4">
        <v>0</v>
      </c>
      <c r="D278" s="4">
        <v>1</v>
      </c>
      <c r="E278" s="4">
        <v>226</v>
      </c>
      <c r="F278" s="4">
        <f>ROUND(Source!AW272,O278)</f>
        <v>1269.6400000000001</v>
      </c>
      <c r="G278" s="4" t="s">
        <v>214</v>
      </c>
      <c r="H278" s="4" t="s">
        <v>215</v>
      </c>
      <c r="I278" s="4"/>
      <c r="J278" s="4"/>
      <c r="K278" s="4">
        <v>226</v>
      </c>
      <c r="L278" s="4">
        <v>5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/>
    </row>
    <row r="279" spans="1:23" x14ac:dyDescent="0.2">
      <c r="A279" s="4">
        <v>50</v>
      </c>
      <c r="B279" s="4">
        <v>0</v>
      </c>
      <c r="C279" s="4">
        <v>0</v>
      </c>
      <c r="D279" s="4">
        <v>1</v>
      </c>
      <c r="E279" s="4">
        <v>227</v>
      </c>
      <c r="F279" s="4">
        <f>ROUND(Source!AX272,O279)</f>
        <v>0</v>
      </c>
      <c r="G279" s="4" t="s">
        <v>216</v>
      </c>
      <c r="H279" s="4" t="s">
        <v>217</v>
      </c>
      <c r="I279" s="4"/>
      <c r="J279" s="4"/>
      <c r="K279" s="4">
        <v>227</v>
      </c>
      <c r="L279" s="4">
        <v>6</v>
      </c>
      <c r="M279" s="4">
        <v>3</v>
      </c>
      <c r="N279" s="4" t="s">
        <v>3</v>
      </c>
      <c r="O279" s="4">
        <v>2</v>
      </c>
      <c r="P279" s="4"/>
      <c r="Q279" s="4"/>
      <c r="R279" s="4"/>
      <c r="S279" s="4"/>
      <c r="T279" s="4"/>
      <c r="U279" s="4"/>
      <c r="V279" s="4"/>
      <c r="W279" s="4"/>
    </row>
    <row r="280" spans="1:23" x14ac:dyDescent="0.2">
      <c r="A280" s="4">
        <v>50</v>
      </c>
      <c r="B280" s="4">
        <v>0</v>
      </c>
      <c r="C280" s="4">
        <v>0</v>
      </c>
      <c r="D280" s="4">
        <v>1</v>
      </c>
      <c r="E280" s="4">
        <v>228</v>
      </c>
      <c r="F280" s="4">
        <f>ROUND(Source!AY272,O280)</f>
        <v>1269.6400000000001</v>
      </c>
      <c r="G280" s="4" t="s">
        <v>218</v>
      </c>
      <c r="H280" s="4" t="s">
        <v>219</v>
      </c>
      <c r="I280" s="4"/>
      <c r="J280" s="4"/>
      <c r="K280" s="4">
        <v>228</v>
      </c>
      <c r="L280" s="4">
        <v>7</v>
      </c>
      <c r="M280" s="4">
        <v>3</v>
      </c>
      <c r="N280" s="4" t="s">
        <v>3</v>
      </c>
      <c r="O280" s="4">
        <v>2</v>
      </c>
      <c r="P280" s="4"/>
      <c r="Q280" s="4"/>
      <c r="R280" s="4"/>
      <c r="S280" s="4"/>
      <c r="T280" s="4"/>
      <c r="U280" s="4"/>
      <c r="V280" s="4"/>
      <c r="W280" s="4"/>
    </row>
    <row r="281" spans="1:23" x14ac:dyDescent="0.2">
      <c r="A281" s="4">
        <v>50</v>
      </c>
      <c r="B281" s="4">
        <v>0</v>
      </c>
      <c r="C281" s="4">
        <v>0</v>
      </c>
      <c r="D281" s="4">
        <v>1</v>
      </c>
      <c r="E281" s="4">
        <v>216</v>
      </c>
      <c r="F281" s="4">
        <f>ROUND(Source!AP272,O281)</f>
        <v>0</v>
      </c>
      <c r="G281" s="4" t="s">
        <v>220</v>
      </c>
      <c r="H281" s="4" t="s">
        <v>221</v>
      </c>
      <c r="I281" s="4"/>
      <c r="J281" s="4"/>
      <c r="K281" s="4">
        <v>216</v>
      </c>
      <c r="L281" s="4">
        <v>8</v>
      </c>
      <c r="M281" s="4">
        <v>3</v>
      </c>
      <c r="N281" s="4" t="s">
        <v>3</v>
      </c>
      <c r="O281" s="4">
        <v>2</v>
      </c>
      <c r="P281" s="4"/>
      <c r="Q281" s="4"/>
      <c r="R281" s="4"/>
      <c r="S281" s="4"/>
      <c r="T281" s="4"/>
      <c r="U281" s="4"/>
      <c r="V281" s="4"/>
      <c r="W281" s="4"/>
    </row>
    <row r="282" spans="1:23" x14ac:dyDescent="0.2">
      <c r="A282" s="4">
        <v>50</v>
      </c>
      <c r="B282" s="4">
        <v>0</v>
      </c>
      <c r="C282" s="4">
        <v>0</v>
      </c>
      <c r="D282" s="4">
        <v>1</v>
      </c>
      <c r="E282" s="4">
        <v>223</v>
      </c>
      <c r="F282" s="4">
        <f>ROUND(Source!AQ272,O282)</f>
        <v>0</v>
      </c>
      <c r="G282" s="4" t="s">
        <v>222</v>
      </c>
      <c r="H282" s="4" t="s">
        <v>223</v>
      </c>
      <c r="I282" s="4"/>
      <c r="J282" s="4"/>
      <c r="K282" s="4">
        <v>223</v>
      </c>
      <c r="L282" s="4">
        <v>9</v>
      </c>
      <c r="M282" s="4">
        <v>3</v>
      </c>
      <c r="N282" s="4" t="s">
        <v>3</v>
      </c>
      <c r="O282" s="4">
        <v>2</v>
      </c>
      <c r="P282" s="4"/>
      <c r="Q282" s="4"/>
      <c r="R282" s="4"/>
      <c r="S282" s="4"/>
      <c r="T282" s="4"/>
      <c r="U282" s="4"/>
      <c r="V282" s="4"/>
      <c r="W282" s="4"/>
    </row>
    <row r="283" spans="1:23" x14ac:dyDescent="0.2">
      <c r="A283" s="4">
        <v>50</v>
      </c>
      <c r="B283" s="4">
        <v>0</v>
      </c>
      <c r="C283" s="4">
        <v>0</v>
      </c>
      <c r="D283" s="4">
        <v>1</v>
      </c>
      <c r="E283" s="4">
        <v>229</v>
      </c>
      <c r="F283" s="4">
        <f>ROUND(Source!AZ272,O283)</f>
        <v>0</v>
      </c>
      <c r="G283" s="4" t="s">
        <v>224</v>
      </c>
      <c r="H283" s="4" t="s">
        <v>225</v>
      </c>
      <c r="I283" s="4"/>
      <c r="J283" s="4"/>
      <c r="K283" s="4">
        <v>229</v>
      </c>
      <c r="L283" s="4">
        <v>10</v>
      </c>
      <c r="M283" s="4">
        <v>3</v>
      </c>
      <c r="N283" s="4" t="s">
        <v>3</v>
      </c>
      <c r="O283" s="4">
        <v>2</v>
      </c>
      <c r="P283" s="4"/>
      <c r="Q283" s="4"/>
      <c r="R283" s="4"/>
      <c r="S283" s="4"/>
      <c r="T283" s="4"/>
      <c r="U283" s="4"/>
      <c r="V283" s="4"/>
      <c r="W283" s="4"/>
    </row>
    <row r="284" spans="1:23" x14ac:dyDescent="0.2">
      <c r="A284" s="4">
        <v>50</v>
      </c>
      <c r="B284" s="4">
        <v>0</v>
      </c>
      <c r="C284" s="4">
        <v>0</v>
      </c>
      <c r="D284" s="4">
        <v>1</v>
      </c>
      <c r="E284" s="4">
        <v>203</v>
      </c>
      <c r="F284" s="4">
        <f>ROUND(Source!Q272,O284)</f>
        <v>2242.42</v>
      </c>
      <c r="G284" s="4" t="s">
        <v>226</v>
      </c>
      <c r="H284" s="4" t="s">
        <v>227</v>
      </c>
      <c r="I284" s="4"/>
      <c r="J284" s="4"/>
      <c r="K284" s="4">
        <v>203</v>
      </c>
      <c r="L284" s="4">
        <v>11</v>
      </c>
      <c r="M284" s="4">
        <v>3</v>
      </c>
      <c r="N284" s="4" t="s">
        <v>3</v>
      </c>
      <c r="O284" s="4">
        <v>2</v>
      </c>
      <c r="P284" s="4"/>
      <c r="Q284" s="4"/>
      <c r="R284" s="4"/>
      <c r="S284" s="4"/>
      <c r="T284" s="4"/>
      <c r="U284" s="4"/>
      <c r="V284" s="4"/>
      <c r="W284" s="4"/>
    </row>
    <row r="285" spans="1:23" x14ac:dyDescent="0.2">
      <c r="A285" s="4">
        <v>50</v>
      </c>
      <c r="B285" s="4">
        <v>0</v>
      </c>
      <c r="C285" s="4">
        <v>0</v>
      </c>
      <c r="D285" s="4">
        <v>1</v>
      </c>
      <c r="E285" s="4">
        <v>231</v>
      </c>
      <c r="F285" s="4">
        <f>ROUND(Source!BB272,O285)</f>
        <v>0</v>
      </c>
      <c r="G285" s="4" t="s">
        <v>228</v>
      </c>
      <c r="H285" s="4" t="s">
        <v>229</v>
      </c>
      <c r="I285" s="4"/>
      <c r="J285" s="4"/>
      <c r="K285" s="4">
        <v>231</v>
      </c>
      <c r="L285" s="4">
        <v>12</v>
      </c>
      <c r="M285" s="4">
        <v>3</v>
      </c>
      <c r="N285" s="4" t="s">
        <v>3</v>
      </c>
      <c r="O285" s="4">
        <v>2</v>
      </c>
      <c r="P285" s="4"/>
      <c r="Q285" s="4"/>
      <c r="R285" s="4"/>
      <c r="S285" s="4"/>
      <c r="T285" s="4"/>
      <c r="U285" s="4"/>
      <c r="V285" s="4"/>
      <c r="W285" s="4"/>
    </row>
    <row r="286" spans="1:23" x14ac:dyDescent="0.2">
      <c r="A286" s="4">
        <v>50</v>
      </c>
      <c r="B286" s="4">
        <v>0</v>
      </c>
      <c r="C286" s="4">
        <v>0</v>
      </c>
      <c r="D286" s="4">
        <v>1</v>
      </c>
      <c r="E286" s="4">
        <v>204</v>
      </c>
      <c r="F286" s="4">
        <f>ROUND(Source!R272,O286)</f>
        <v>236.44</v>
      </c>
      <c r="G286" s="4" t="s">
        <v>230</v>
      </c>
      <c r="H286" s="4" t="s">
        <v>231</v>
      </c>
      <c r="I286" s="4"/>
      <c r="J286" s="4"/>
      <c r="K286" s="4">
        <v>204</v>
      </c>
      <c r="L286" s="4">
        <v>13</v>
      </c>
      <c r="M286" s="4">
        <v>3</v>
      </c>
      <c r="N286" s="4" t="s">
        <v>3</v>
      </c>
      <c r="O286" s="4">
        <v>2</v>
      </c>
      <c r="P286" s="4"/>
      <c r="Q286" s="4"/>
      <c r="R286" s="4"/>
      <c r="S286" s="4"/>
      <c r="T286" s="4"/>
      <c r="U286" s="4"/>
      <c r="V286" s="4"/>
      <c r="W286" s="4"/>
    </row>
    <row r="287" spans="1:23" x14ac:dyDescent="0.2">
      <c r="A287" s="4">
        <v>50</v>
      </c>
      <c r="B287" s="4">
        <v>0</v>
      </c>
      <c r="C287" s="4">
        <v>0</v>
      </c>
      <c r="D287" s="4">
        <v>1</v>
      </c>
      <c r="E287" s="4">
        <v>205</v>
      </c>
      <c r="F287" s="4">
        <f>ROUND(Source!S272,O287)</f>
        <v>1362.3</v>
      </c>
      <c r="G287" s="4" t="s">
        <v>232</v>
      </c>
      <c r="H287" s="4" t="s">
        <v>233</v>
      </c>
      <c r="I287" s="4"/>
      <c r="J287" s="4"/>
      <c r="K287" s="4">
        <v>205</v>
      </c>
      <c r="L287" s="4">
        <v>14</v>
      </c>
      <c r="M287" s="4">
        <v>3</v>
      </c>
      <c r="N287" s="4" t="s">
        <v>3</v>
      </c>
      <c r="O287" s="4">
        <v>2</v>
      </c>
      <c r="P287" s="4"/>
      <c r="Q287" s="4"/>
      <c r="R287" s="4"/>
      <c r="S287" s="4"/>
      <c r="T287" s="4"/>
      <c r="U287" s="4"/>
      <c r="V287" s="4"/>
      <c r="W287" s="4"/>
    </row>
    <row r="288" spans="1:23" x14ac:dyDescent="0.2">
      <c r="A288" s="4">
        <v>50</v>
      </c>
      <c r="B288" s="4">
        <v>0</v>
      </c>
      <c r="C288" s="4">
        <v>0</v>
      </c>
      <c r="D288" s="4">
        <v>1</v>
      </c>
      <c r="E288" s="4">
        <v>232</v>
      </c>
      <c r="F288" s="4">
        <f>ROUND(Source!BC272,O288)</f>
        <v>0</v>
      </c>
      <c r="G288" s="4" t="s">
        <v>234</v>
      </c>
      <c r="H288" s="4" t="s">
        <v>235</v>
      </c>
      <c r="I288" s="4"/>
      <c r="J288" s="4"/>
      <c r="K288" s="4">
        <v>232</v>
      </c>
      <c r="L288" s="4">
        <v>15</v>
      </c>
      <c r="M288" s="4">
        <v>3</v>
      </c>
      <c r="N288" s="4" t="s">
        <v>3</v>
      </c>
      <c r="O288" s="4">
        <v>2</v>
      </c>
      <c r="P288" s="4"/>
      <c r="Q288" s="4"/>
      <c r="R288" s="4"/>
      <c r="S288" s="4"/>
      <c r="T288" s="4"/>
      <c r="U288" s="4"/>
      <c r="V288" s="4"/>
      <c r="W288" s="4"/>
    </row>
    <row r="289" spans="1:206" x14ac:dyDescent="0.2">
      <c r="A289" s="4">
        <v>50</v>
      </c>
      <c r="B289" s="4">
        <v>0</v>
      </c>
      <c r="C289" s="4">
        <v>0</v>
      </c>
      <c r="D289" s="4">
        <v>1</v>
      </c>
      <c r="E289" s="4">
        <v>214</v>
      </c>
      <c r="F289" s="4">
        <f>ROUND(Source!AS272,O289)</f>
        <v>7768.08</v>
      </c>
      <c r="G289" s="4" t="s">
        <v>236</v>
      </c>
      <c r="H289" s="4" t="s">
        <v>237</v>
      </c>
      <c r="I289" s="4"/>
      <c r="J289" s="4"/>
      <c r="K289" s="4">
        <v>214</v>
      </c>
      <c r="L289" s="4">
        <v>16</v>
      </c>
      <c r="M289" s="4">
        <v>3</v>
      </c>
      <c r="N289" s="4" t="s">
        <v>3</v>
      </c>
      <c r="O289" s="4">
        <v>2</v>
      </c>
      <c r="P289" s="4"/>
      <c r="Q289" s="4"/>
      <c r="R289" s="4"/>
      <c r="S289" s="4"/>
      <c r="T289" s="4"/>
      <c r="U289" s="4"/>
      <c r="V289" s="4"/>
      <c r="W289" s="4"/>
    </row>
    <row r="290" spans="1:206" x14ac:dyDescent="0.2">
      <c r="A290" s="4">
        <v>50</v>
      </c>
      <c r="B290" s="4">
        <v>0</v>
      </c>
      <c r="C290" s="4">
        <v>0</v>
      </c>
      <c r="D290" s="4">
        <v>1</v>
      </c>
      <c r="E290" s="4">
        <v>215</v>
      </c>
      <c r="F290" s="4">
        <f>ROUND(Source!AT272,O290)</f>
        <v>0</v>
      </c>
      <c r="G290" s="4" t="s">
        <v>238</v>
      </c>
      <c r="H290" s="4" t="s">
        <v>239</v>
      </c>
      <c r="I290" s="4"/>
      <c r="J290" s="4"/>
      <c r="K290" s="4">
        <v>215</v>
      </c>
      <c r="L290" s="4">
        <v>17</v>
      </c>
      <c r="M290" s="4">
        <v>3</v>
      </c>
      <c r="N290" s="4" t="s">
        <v>3</v>
      </c>
      <c r="O290" s="4">
        <v>2</v>
      </c>
      <c r="P290" s="4"/>
      <c r="Q290" s="4"/>
      <c r="R290" s="4"/>
      <c r="S290" s="4"/>
      <c r="T290" s="4"/>
      <c r="U290" s="4"/>
      <c r="V290" s="4"/>
      <c r="W290" s="4"/>
    </row>
    <row r="291" spans="1:206" x14ac:dyDescent="0.2">
      <c r="A291" s="4">
        <v>50</v>
      </c>
      <c r="B291" s="4">
        <v>0</v>
      </c>
      <c r="C291" s="4">
        <v>0</v>
      </c>
      <c r="D291" s="4">
        <v>1</v>
      </c>
      <c r="E291" s="4">
        <v>217</v>
      </c>
      <c r="F291" s="4">
        <f>ROUND(Source!AU272,O291)</f>
        <v>0</v>
      </c>
      <c r="G291" s="4" t="s">
        <v>240</v>
      </c>
      <c r="H291" s="4" t="s">
        <v>241</v>
      </c>
      <c r="I291" s="4"/>
      <c r="J291" s="4"/>
      <c r="K291" s="4">
        <v>217</v>
      </c>
      <c r="L291" s="4">
        <v>18</v>
      </c>
      <c r="M291" s="4">
        <v>3</v>
      </c>
      <c r="N291" s="4" t="s">
        <v>3</v>
      </c>
      <c r="O291" s="4">
        <v>2</v>
      </c>
      <c r="P291" s="4"/>
      <c r="Q291" s="4"/>
      <c r="R291" s="4"/>
      <c r="S291" s="4"/>
      <c r="T291" s="4"/>
      <c r="U291" s="4"/>
      <c r="V291" s="4"/>
      <c r="W291" s="4"/>
    </row>
    <row r="292" spans="1:206" x14ac:dyDescent="0.2">
      <c r="A292" s="4">
        <v>50</v>
      </c>
      <c r="B292" s="4">
        <v>0</v>
      </c>
      <c r="C292" s="4">
        <v>0</v>
      </c>
      <c r="D292" s="4">
        <v>1</v>
      </c>
      <c r="E292" s="4">
        <v>230</v>
      </c>
      <c r="F292" s="4">
        <f>ROUND(Source!BA272,O292)</f>
        <v>0</v>
      </c>
      <c r="G292" s="4" t="s">
        <v>242</v>
      </c>
      <c r="H292" s="4" t="s">
        <v>243</v>
      </c>
      <c r="I292" s="4"/>
      <c r="J292" s="4"/>
      <c r="K292" s="4">
        <v>230</v>
      </c>
      <c r="L292" s="4">
        <v>19</v>
      </c>
      <c r="M292" s="4">
        <v>3</v>
      </c>
      <c r="N292" s="4" t="s">
        <v>3</v>
      </c>
      <c r="O292" s="4">
        <v>2</v>
      </c>
      <c r="P292" s="4"/>
      <c r="Q292" s="4"/>
      <c r="R292" s="4"/>
      <c r="S292" s="4"/>
      <c r="T292" s="4"/>
      <c r="U292" s="4"/>
      <c r="V292" s="4"/>
      <c r="W292" s="4"/>
    </row>
    <row r="293" spans="1:206" x14ac:dyDescent="0.2">
      <c r="A293" s="4">
        <v>50</v>
      </c>
      <c r="B293" s="4">
        <v>0</v>
      </c>
      <c r="C293" s="4">
        <v>0</v>
      </c>
      <c r="D293" s="4">
        <v>1</v>
      </c>
      <c r="E293" s="4">
        <v>206</v>
      </c>
      <c r="F293" s="4">
        <f>ROUND(Source!T272,O293)</f>
        <v>0</v>
      </c>
      <c r="G293" s="4" t="s">
        <v>244</v>
      </c>
      <c r="H293" s="4" t="s">
        <v>245</v>
      </c>
      <c r="I293" s="4"/>
      <c r="J293" s="4"/>
      <c r="K293" s="4">
        <v>206</v>
      </c>
      <c r="L293" s="4">
        <v>20</v>
      </c>
      <c r="M293" s="4">
        <v>3</v>
      </c>
      <c r="N293" s="4" t="s">
        <v>3</v>
      </c>
      <c r="O293" s="4">
        <v>2</v>
      </c>
      <c r="P293" s="4"/>
      <c r="Q293" s="4"/>
      <c r="R293" s="4"/>
      <c r="S293" s="4"/>
      <c r="T293" s="4"/>
      <c r="U293" s="4"/>
      <c r="V293" s="4"/>
      <c r="W293" s="4"/>
    </row>
    <row r="294" spans="1:206" x14ac:dyDescent="0.2">
      <c r="A294" s="4">
        <v>50</v>
      </c>
      <c r="B294" s="4">
        <v>0</v>
      </c>
      <c r="C294" s="4">
        <v>0</v>
      </c>
      <c r="D294" s="4">
        <v>1</v>
      </c>
      <c r="E294" s="4">
        <v>207</v>
      </c>
      <c r="F294" s="4">
        <f>Source!U272</f>
        <v>165.94920000000002</v>
      </c>
      <c r="G294" s="4" t="s">
        <v>246</v>
      </c>
      <c r="H294" s="4" t="s">
        <v>247</v>
      </c>
      <c r="I294" s="4"/>
      <c r="J294" s="4"/>
      <c r="K294" s="4">
        <v>207</v>
      </c>
      <c r="L294" s="4">
        <v>21</v>
      </c>
      <c r="M294" s="4">
        <v>3</v>
      </c>
      <c r="N294" s="4" t="s">
        <v>3</v>
      </c>
      <c r="O294" s="4">
        <v>-1</v>
      </c>
      <c r="P294" s="4"/>
      <c r="Q294" s="4"/>
      <c r="R294" s="4"/>
      <c r="S294" s="4"/>
      <c r="T294" s="4"/>
      <c r="U294" s="4"/>
      <c r="V294" s="4"/>
      <c r="W294" s="4"/>
    </row>
    <row r="295" spans="1:206" x14ac:dyDescent="0.2">
      <c r="A295" s="4">
        <v>50</v>
      </c>
      <c r="B295" s="4">
        <v>0</v>
      </c>
      <c r="C295" s="4">
        <v>0</v>
      </c>
      <c r="D295" s="4">
        <v>1</v>
      </c>
      <c r="E295" s="4">
        <v>208</v>
      </c>
      <c r="F295" s="4">
        <f>Source!V272</f>
        <v>20.385600000000004</v>
      </c>
      <c r="G295" s="4" t="s">
        <v>248</v>
      </c>
      <c r="H295" s="4" t="s">
        <v>249</v>
      </c>
      <c r="I295" s="4"/>
      <c r="J295" s="4"/>
      <c r="K295" s="4">
        <v>208</v>
      </c>
      <c r="L295" s="4">
        <v>22</v>
      </c>
      <c r="M295" s="4">
        <v>3</v>
      </c>
      <c r="N295" s="4" t="s">
        <v>3</v>
      </c>
      <c r="O295" s="4">
        <v>-1</v>
      </c>
      <c r="P295" s="4"/>
      <c r="Q295" s="4"/>
      <c r="R295" s="4"/>
      <c r="S295" s="4"/>
      <c r="T295" s="4"/>
      <c r="U295" s="4"/>
      <c r="V295" s="4"/>
      <c r="W295" s="4"/>
    </row>
    <row r="296" spans="1:206" x14ac:dyDescent="0.2">
      <c r="A296" s="4">
        <v>50</v>
      </c>
      <c r="B296" s="4">
        <v>0</v>
      </c>
      <c r="C296" s="4">
        <v>0</v>
      </c>
      <c r="D296" s="4">
        <v>1</v>
      </c>
      <c r="E296" s="4">
        <v>209</v>
      </c>
      <c r="F296" s="4">
        <f>ROUND(Source!W272,O296)</f>
        <v>0</v>
      </c>
      <c r="G296" s="4" t="s">
        <v>250</v>
      </c>
      <c r="H296" s="4" t="s">
        <v>251</v>
      </c>
      <c r="I296" s="4"/>
      <c r="J296" s="4"/>
      <c r="K296" s="4">
        <v>209</v>
      </c>
      <c r="L296" s="4">
        <v>23</v>
      </c>
      <c r="M296" s="4">
        <v>3</v>
      </c>
      <c r="N296" s="4" t="s">
        <v>3</v>
      </c>
      <c r="O296" s="4">
        <v>2</v>
      </c>
      <c r="P296" s="4"/>
      <c r="Q296" s="4"/>
      <c r="R296" s="4"/>
      <c r="S296" s="4"/>
      <c r="T296" s="4"/>
      <c r="U296" s="4"/>
      <c r="V296" s="4"/>
      <c r="W296" s="4"/>
    </row>
    <row r="297" spans="1:206" x14ac:dyDescent="0.2">
      <c r="A297" s="4">
        <v>50</v>
      </c>
      <c r="B297" s="4">
        <v>0</v>
      </c>
      <c r="C297" s="4">
        <v>0</v>
      </c>
      <c r="D297" s="4">
        <v>1</v>
      </c>
      <c r="E297" s="4">
        <v>210</v>
      </c>
      <c r="F297" s="4">
        <f>ROUND(Source!X272,O297)</f>
        <v>1662.69</v>
      </c>
      <c r="G297" s="4" t="s">
        <v>252</v>
      </c>
      <c r="H297" s="4" t="s">
        <v>253</v>
      </c>
      <c r="I297" s="4"/>
      <c r="J297" s="4"/>
      <c r="K297" s="4">
        <v>210</v>
      </c>
      <c r="L297" s="4">
        <v>24</v>
      </c>
      <c r="M297" s="4">
        <v>3</v>
      </c>
      <c r="N297" s="4" t="s">
        <v>3</v>
      </c>
      <c r="O297" s="4">
        <v>2</v>
      </c>
      <c r="P297" s="4"/>
      <c r="Q297" s="4"/>
      <c r="R297" s="4"/>
      <c r="S297" s="4"/>
      <c r="T297" s="4"/>
      <c r="U297" s="4"/>
      <c r="V297" s="4"/>
      <c r="W297" s="4"/>
    </row>
    <row r="298" spans="1:206" x14ac:dyDescent="0.2">
      <c r="A298" s="4">
        <v>50</v>
      </c>
      <c r="B298" s="4">
        <v>0</v>
      </c>
      <c r="C298" s="4">
        <v>0</v>
      </c>
      <c r="D298" s="4">
        <v>1</v>
      </c>
      <c r="E298" s="4">
        <v>211</v>
      </c>
      <c r="F298" s="4">
        <f>ROUND(Source!Y272,O298)</f>
        <v>1231.03</v>
      </c>
      <c r="G298" s="4" t="s">
        <v>254</v>
      </c>
      <c r="H298" s="4" t="s">
        <v>255</v>
      </c>
      <c r="I298" s="4"/>
      <c r="J298" s="4"/>
      <c r="K298" s="4">
        <v>211</v>
      </c>
      <c r="L298" s="4">
        <v>25</v>
      </c>
      <c r="M298" s="4">
        <v>3</v>
      </c>
      <c r="N298" s="4" t="s">
        <v>3</v>
      </c>
      <c r="O298" s="4">
        <v>2</v>
      </c>
      <c r="P298" s="4"/>
      <c r="Q298" s="4"/>
      <c r="R298" s="4"/>
      <c r="S298" s="4"/>
      <c r="T298" s="4"/>
      <c r="U298" s="4"/>
      <c r="V298" s="4"/>
      <c r="W298" s="4"/>
    </row>
    <row r="299" spans="1:206" x14ac:dyDescent="0.2">
      <c r="A299" s="4">
        <v>50</v>
      </c>
      <c r="B299" s="4">
        <v>0</v>
      </c>
      <c r="C299" s="4">
        <v>0</v>
      </c>
      <c r="D299" s="4">
        <v>1</v>
      </c>
      <c r="E299" s="4">
        <v>224</v>
      </c>
      <c r="F299" s="4">
        <f>ROUND(Source!AR272,O299)</f>
        <v>7768.08</v>
      </c>
      <c r="G299" s="4" t="s">
        <v>256</v>
      </c>
      <c r="H299" s="4" t="s">
        <v>257</v>
      </c>
      <c r="I299" s="4"/>
      <c r="J299" s="4"/>
      <c r="K299" s="4">
        <v>224</v>
      </c>
      <c r="L299" s="4">
        <v>26</v>
      </c>
      <c r="M299" s="4">
        <v>3</v>
      </c>
      <c r="N299" s="4" t="s">
        <v>3</v>
      </c>
      <c r="O299" s="4">
        <v>2</v>
      </c>
      <c r="P299" s="4"/>
      <c r="Q299" s="4"/>
      <c r="R299" s="4"/>
      <c r="S299" s="4"/>
      <c r="T299" s="4"/>
      <c r="U299" s="4"/>
      <c r="V299" s="4"/>
      <c r="W299" s="4"/>
    </row>
    <row r="301" spans="1:206" x14ac:dyDescent="0.2">
      <c r="A301" s="2">
        <v>51</v>
      </c>
      <c r="B301" s="2">
        <f>B94</f>
        <v>1</v>
      </c>
      <c r="C301" s="2">
        <f>A94</f>
        <v>4</v>
      </c>
      <c r="D301" s="2">
        <f>ROW(A94)</f>
        <v>94</v>
      </c>
      <c r="E301" s="2"/>
      <c r="F301" s="2" t="str">
        <f>IF(F94&lt;&gt;"",F94,"")</f>
        <v>Новый раздел</v>
      </c>
      <c r="G301" s="2" t="str">
        <f>IF(G94&lt;&gt;"",G94,"")</f>
        <v>Прочие работы</v>
      </c>
      <c r="H301" s="2">
        <v>0</v>
      </c>
      <c r="I301" s="2"/>
      <c r="J301" s="2"/>
      <c r="K301" s="2"/>
      <c r="L301" s="2"/>
      <c r="M301" s="2"/>
      <c r="N301" s="2"/>
      <c r="O301" s="2">
        <f t="shared" ref="O301:T301" si="299">ROUND(O118+O170+O235+O272+AB301,2)</f>
        <v>166405.17000000001</v>
      </c>
      <c r="P301" s="2">
        <f t="shared" si="299"/>
        <v>132272.22</v>
      </c>
      <c r="Q301" s="2">
        <f t="shared" si="299"/>
        <v>27710.1</v>
      </c>
      <c r="R301" s="2">
        <f t="shared" si="299"/>
        <v>2666.08</v>
      </c>
      <c r="S301" s="2">
        <f t="shared" si="299"/>
        <v>6422.85</v>
      </c>
      <c r="T301" s="2">
        <f t="shared" si="299"/>
        <v>0</v>
      </c>
      <c r="U301" s="2">
        <f>U118+U170+U235+U272+AH301</f>
        <v>759.59182714999997</v>
      </c>
      <c r="V301" s="2">
        <f>V118+V170+V235+V272+AI301</f>
        <v>213.32946625</v>
      </c>
      <c r="W301" s="2">
        <f>ROUND(W118+W170+W235+W272+AJ301,2)</f>
        <v>0</v>
      </c>
      <c r="X301" s="2">
        <f>ROUND(X118+X170+X235+X272+AK301,2)</f>
        <v>10752.31</v>
      </c>
      <c r="Y301" s="2">
        <f>ROUND(Y118+Y170+Y235+Y272+AL301,2)</f>
        <v>6862.5</v>
      </c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>
        <f t="shared" ref="AO301:BC301" si="300">ROUND(AO118+AO170+AO235+AO272+BX301,2)</f>
        <v>0</v>
      </c>
      <c r="AP301" s="2">
        <f t="shared" si="300"/>
        <v>0</v>
      </c>
      <c r="AQ301" s="2">
        <f t="shared" si="300"/>
        <v>0</v>
      </c>
      <c r="AR301" s="2">
        <f t="shared" si="300"/>
        <v>200582.25</v>
      </c>
      <c r="AS301" s="2">
        <f t="shared" si="300"/>
        <v>200582.25</v>
      </c>
      <c r="AT301" s="2">
        <f t="shared" si="300"/>
        <v>0</v>
      </c>
      <c r="AU301" s="2">
        <f t="shared" si="300"/>
        <v>0</v>
      </c>
      <c r="AV301" s="2">
        <f t="shared" si="300"/>
        <v>132272.22</v>
      </c>
      <c r="AW301" s="2">
        <f t="shared" si="300"/>
        <v>132272.22</v>
      </c>
      <c r="AX301" s="2">
        <f t="shared" si="300"/>
        <v>0</v>
      </c>
      <c r="AY301" s="2">
        <f t="shared" si="300"/>
        <v>132272.22</v>
      </c>
      <c r="AZ301" s="2">
        <f t="shared" si="300"/>
        <v>0</v>
      </c>
      <c r="BA301" s="2">
        <f t="shared" si="300"/>
        <v>0</v>
      </c>
      <c r="BB301" s="2">
        <f t="shared" si="300"/>
        <v>0</v>
      </c>
      <c r="BC301" s="2">
        <f t="shared" si="300"/>
        <v>0</v>
      </c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>
        <v>0</v>
      </c>
    </row>
    <row r="303" spans="1:206" x14ac:dyDescent="0.2">
      <c r="A303" s="4">
        <v>50</v>
      </c>
      <c r="B303" s="4">
        <v>0</v>
      </c>
      <c r="C303" s="4">
        <v>0</v>
      </c>
      <c r="D303" s="4">
        <v>1</v>
      </c>
      <c r="E303" s="4">
        <v>201</v>
      </c>
      <c r="F303" s="4">
        <f>ROUND(Source!O301,O303)</f>
        <v>166405.17000000001</v>
      </c>
      <c r="G303" s="4" t="s">
        <v>206</v>
      </c>
      <c r="H303" s="4" t="s">
        <v>207</v>
      </c>
      <c r="I303" s="4"/>
      <c r="J303" s="4"/>
      <c r="K303" s="4">
        <v>201</v>
      </c>
      <c r="L303" s="4">
        <v>1</v>
      </c>
      <c r="M303" s="4">
        <v>3</v>
      </c>
      <c r="N303" s="4" t="s">
        <v>3</v>
      </c>
      <c r="O303" s="4">
        <v>2</v>
      </c>
      <c r="P303" s="4"/>
      <c r="Q303" s="4"/>
      <c r="R303" s="4"/>
      <c r="S303" s="4"/>
      <c r="T303" s="4"/>
      <c r="U303" s="4"/>
      <c r="V303" s="4"/>
      <c r="W303" s="4"/>
    </row>
    <row r="304" spans="1:206" x14ac:dyDescent="0.2">
      <c r="A304" s="4">
        <v>50</v>
      </c>
      <c r="B304" s="4">
        <v>0</v>
      </c>
      <c r="C304" s="4">
        <v>0</v>
      </c>
      <c r="D304" s="4">
        <v>1</v>
      </c>
      <c r="E304" s="4">
        <v>202</v>
      </c>
      <c r="F304" s="4">
        <f>ROUND(Source!P301,O304)</f>
        <v>132272.22</v>
      </c>
      <c r="G304" s="4" t="s">
        <v>208</v>
      </c>
      <c r="H304" s="4" t="s">
        <v>209</v>
      </c>
      <c r="I304" s="4"/>
      <c r="J304" s="4"/>
      <c r="K304" s="4">
        <v>202</v>
      </c>
      <c r="L304" s="4">
        <v>2</v>
      </c>
      <c r="M304" s="4">
        <v>3</v>
      </c>
      <c r="N304" s="4" t="s">
        <v>3</v>
      </c>
      <c r="O304" s="4">
        <v>2</v>
      </c>
      <c r="P304" s="4"/>
      <c r="Q304" s="4"/>
      <c r="R304" s="4"/>
      <c r="S304" s="4"/>
      <c r="T304" s="4"/>
      <c r="U304" s="4"/>
      <c r="V304" s="4"/>
      <c r="W304" s="4"/>
    </row>
    <row r="305" spans="1:23" x14ac:dyDescent="0.2">
      <c r="A305" s="4">
        <v>50</v>
      </c>
      <c r="B305" s="4">
        <v>0</v>
      </c>
      <c r="C305" s="4">
        <v>0</v>
      </c>
      <c r="D305" s="4">
        <v>1</v>
      </c>
      <c r="E305" s="4">
        <v>222</v>
      </c>
      <c r="F305" s="4">
        <f>ROUND(Source!AO301,O305)</f>
        <v>0</v>
      </c>
      <c r="G305" s="4" t="s">
        <v>210</v>
      </c>
      <c r="H305" s="4" t="s">
        <v>211</v>
      </c>
      <c r="I305" s="4"/>
      <c r="J305" s="4"/>
      <c r="K305" s="4">
        <v>222</v>
      </c>
      <c r="L305" s="4">
        <v>3</v>
      </c>
      <c r="M305" s="4">
        <v>3</v>
      </c>
      <c r="N305" s="4" t="s">
        <v>3</v>
      </c>
      <c r="O305" s="4">
        <v>2</v>
      </c>
      <c r="P305" s="4"/>
      <c r="Q305" s="4"/>
      <c r="R305" s="4"/>
      <c r="S305" s="4"/>
      <c r="T305" s="4"/>
      <c r="U305" s="4"/>
      <c r="V305" s="4"/>
      <c r="W305" s="4"/>
    </row>
    <row r="306" spans="1:23" x14ac:dyDescent="0.2">
      <c r="A306" s="4">
        <v>50</v>
      </c>
      <c r="B306" s="4">
        <v>0</v>
      </c>
      <c r="C306" s="4">
        <v>0</v>
      </c>
      <c r="D306" s="4">
        <v>1</v>
      </c>
      <c r="E306" s="4">
        <v>225</v>
      </c>
      <c r="F306" s="4">
        <f>ROUND(Source!AV301,O306)</f>
        <v>132272.22</v>
      </c>
      <c r="G306" s="4" t="s">
        <v>212</v>
      </c>
      <c r="H306" s="4" t="s">
        <v>213</v>
      </c>
      <c r="I306" s="4"/>
      <c r="J306" s="4"/>
      <c r="K306" s="4">
        <v>225</v>
      </c>
      <c r="L306" s="4">
        <v>4</v>
      </c>
      <c r="M306" s="4">
        <v>3</v>
      </c>
      <c r="N306" s="4" t="s">
        <v>3</v>
      </c>
      <c r="O306" s="4">
        <v>2</v>
      </c>
      <c r="P306" s="4"/>
      <c r="Q306" s="4"/>
      <c r="R306" s="4"/>
      <c r="S306" s="4"/>
      <c r="T306" s="4"/>
      <c r="U306" s="4"/>
      <c r="V306" s="4"/>
      <c r="W306" s="4"/>
    </row>
    <row r="307" spans="1:23" x14ac:dyDescent="0.2">
      <c r="A307" s="4">
        <v>50</v>
      </c>
      <c r="B307" s="4">
        <v>0</v>
      </c>
      <c r="C307" s="4">
        <v>0</v>
      </c>
      <c r="D307" s="4">
        <v>1</v>
      </c>
      <c r="E307" s="4">
        <v>226</v>
      </c>
      <c r="F307" s="4">
        <f>ROUND(Source!AW301,O307)</f>
        <v>132272.22</v>
      </c>
      <c r="G307" s="4" t="s">
        <v>214</v>
      </c>
      <c r="H307" s="4" t="s">
        <v>215</v>
      </c>
      <c r="I307" s="4"/>
      <c r="J307" s="4"/>
      <c r="K307" s="4">
        <v>226</v>
      </c>
      <c r="L307" s="4">
        <v>5</v>
      </c>
      <c r="M307" s="4">
        <v>3</v>
      </c>
      <c r="N307" s="4" t="s">
        <v>3</v>
      </c>
      <c r="O307" s="4">
        <v>2</v>
      </c>
      <c r="P307" s="4"/>
      <c r="Q307" s="4"/>
      <c r="R307" s="4"/>
      <c r="S307" s="4"/>
      <c r="T307" s="4"/>
      <c r="U307" s="4"/>
      <c r="V307" s="4"/>
      <c r="W307" s="4"/>
    </row>
    <row r="308" spans="1:23" x14ac:dyDescent="0.2">
      <c r="A308" s="4">
        <v>50</v>
      </c>
      <c r="B308" s="4">
        <v>0</v>
      </c>
      <c r="C308" s="4">
        <v>0</v>
      </c>
      <c r="D308" s="4">
        <v>1</v>
      </c>
      <c r="E308" s="4">
        <v>227</v>
      </c>
      <c r="F308" s="4">
        <f>ROUND(Source!AX301,O308)</f>
        <v>0</v>
      </c>
      <c r="G308" s="4" t="s">
        <v>216</v>
      </c>
      <c r="H308" s="4" t="s">
        <v>217</v>
      </c>
      <c r="I308" s="4"/>
      <c r="J308" s="4"/>
      <c r="K308" s="4">
        <v>227</v>
      </c>
      <c r="L308" s="4">
        <v>6</v>
      </c>
      <c r="M308" s="4">
        <v>3</v>
      </c>
      <c r="N308" s="4" t="s">
        <v>3</v>
      </c>
      <c r="O308" s="4">
        <v>2</v>
      </c>
      <c r="P308" s="4"/>
      <c r="Q308" s="4"/>
      <c r="R308" s="4"/>
      <c r="S308" s="4"/>
      <c r="T308" s="4"/>
      <c r="U308" s="4"/>
      <c r="V308" s="4"/>
      <c r="W308" s="4"/>
    </row>
    <row r="309" spans="1:23" x14ac:dyDescent="0.2">
      <c r="A309" s="4">
        <v>50</v>
      </c>
      <c r="B309" s="4">
        <v>0</v>
      </c>
      <c r="C309" s="4">
        <v>0</v>
      </c>
      <c r="D309" s="4">
        <v>1</v>
      </c>
      <c r="E309" s="4">
        <v>228</v>
      </c>
      <c r="F309" s="4">
        <f>ROUND(Source!AY301,O309)</f>
        <v>132272.22</v>
      </c>
      <c r="G309" s="4" t="s">
        <v>218</v>
      </c>
      <c r="H309" s="4" t="s">
        <v>219</v>
      </c>
      <c r="I309" s="4"/>
      <c r="J309" s="4"/>
      <c r="K309" s="4">
        <v>228</v>
      </c>
      <c r="L309" s="4">
        <v>7</v>
      </c>
      <c r="M309" s="4">
        <v>3</v>
      </c>
      <c r="N309" s="4" t="s">
        <v>3</v>
      </c>
      <c r="O309" s="4">
        <v>2</v>
      </c>
      <c r="P309" s="4"/>
      <c r="Q309" s="4"/>
      <c r="R309" s="4"/>
      <c r="S309" s="4"/>
      <c r="T309" s="4"/>
      <c r="U309" s="4"/>
      <c r="V309" s="4"/>
      <c r="W309" s="4"/>
    </row>
    <row r="310" spans="1:23" x14ac:dyDescent="0.2">
      <c r="A310" s="4">
        <v>50</v>
      </c>
      <c r="B310" s="4">
        <v>0</v>
      </c>
      <c r="C310" s="4">
        <v>0</v>
      </c>
      <c r="D310" s="4">
        <v>1</v>
      </c>
      <c r="E310" s="4">
        <v>216</v>
      </c>
      <c r="F310" s="4">
        <f>ROUND(Source!AP301,O310)</f>
        <v>0</v>
      </c>
      <c r="G310" s="4" t="s">
        <v>220</v>
      </c>
      <c r="H310" s="4" t="s">
        <v>221</v>
      </c>
      <c r="I310" s="4"/>
      <c r="J310" s="4"/>
      <c r="K310" s="4">
        <v>216</v>
      </c>
      <c r="L310" s="4">
        <v>8</v>
      </c>
      <c r="M310" s="4">
        <v>3</v>
      </c>
      <c r="N310" s="4" t="s">
        <v>3</v>
      </c>
      <c r="O310" s="4">
        <v>2</v>
      </c>
      <c r="P310" s="4"/>
      <c r="Q310" s="4"/>
      <c r="R310" s="4"/>
      <c r="S310" s="4"/>
      <c r="T310" s="4"/>
      <c r="U310" s="4"/>
      <c r="V310" s="4"/>
      <c r="W310" s="4"/>
    </row>
    <row r="311" spans="1:23" x14ac:dyDescent="0.2">
      <c r="A311" s="4">
        <v>50</v>
      </c>
      <c r="B311" s="4">
        <v>0</v>
      </c>
      <c r="C311" s="4">
        <v>0</v>
      </c>
      <c r="D311" s="4">
        <v>1</v>
      </c>
      <c r="E311" s="4">
        <v>223</v>
      </c>
      <c r="F311" s="4">
        <f>ROUND(Source!AQ301,O311)</f>
        <v>0</v>
      </c>
      <c r="G311" s="4" t="s">
        <v>222</v>
      </c>
      <c r="H311" s="4" t="s">
        <v>223</v>
      </c>
      <c r="I311" s="4"/>
      <c r="J311" s="4"/>
      <c r="K311" s="4">
        <v>223</v>
      </c>
      <c r="L311" s="4">
        <v>9</v>
      </c>
      <c r="M311" s="4">
        <v>3</v>
      </c>
      <c r="N311" s="4" t="s">
        <v>3</v>
      </c>
      <c r="O311" s="4">
        <v>2</v>
      </c>
      <c r="P311" s="4"/>
      <c r="Q311" s="4"/>
      <c r="R311" s="4"/>
      <c r="S311" s="4"/>
      <c r="T311" s="4"/>
      <c r="U311" s="4"/>
      <c r="V311" s="4"/>
      <c r="W311" s="4"/>
    </row>
    <row r="312" spans="1:23" x14ac:dyDescent="0.2">
      <c r="A312" s="4">
        <v>50</v>
      </c>
      <c r="B312" s="4">
        <v>0</v>
      </c>
      <c r="C312" s="4">
        <v>0</v>
      </c>
      <c r="D312" s="4">
        <v>1</v>
      </c>
      <c r="E312" s="4">
        <v>229</v>
      </c>
      <c r="F312" s="4">
        <f>ROUND(Source!AZ301,O312)</f>
        <v>0</v>
      </c>
      <c r="G312" s="4" t="s">
        <v>224</v>
      </c>
      <c r="H312" s="4" t="s">
        <v>225</v>
      </c>
      <c r="I312" s="4"/>
      <c r="J312" s="4"/>
      <c r="K312" s="4">
        <v>229</v>
      </c>
      <c r="L312" s="4">
        <v>10</v>
      </c>
      <c r="M312" s="4">
        <v>3</v>
      </c>
      <c r="N312" s="4" t="s">
        <v>3</v>
      </c>
      <c r="O312" s="4">
        <v>2</v>
      </c>
      <c r="P312" s="4"/>
      <c r="Q312" s="4"/>
      <c r="R312" s="4"/>
      <c r="S312" s="4"/>
      <c r="T312" s="4"/>
      <c r="U312" s="4"/>
      <c r="V312" s="4"/>
      <c r="W312" s="4"/>
    </row>
    <row r="313" spans="1:23" x14ac:dyDescent="0.2">
      <c r="A313" s="4">
        <v>50</v>
      </c>
      <c r="B313" s="4">
        <v>0</v>
      </c>
      <c r="C313" s="4">
        <v>0</v>
      </c>
      <c r="D313" s="4">
        <v>1</v>
      </c>
      <c r="E313" s="4">
        <v>203</v>
      </c>
      <c r="F313" s="4">
        <f>ROUND(Source!Q301,O313)</f>
        <v>27710.1</v>
      </c>
      <c r="G313" s="4" t="s">
        <v>226</v>
      </c>
      <c r="H313" s="4" t="s">
        <v>227</v>
      </c>
      <c r="I313" s="4"/>
      <c r="J313" s="4"/>
      <c r="K313" s="4">
        <v>203</v>
      </c>
      <c r="L313" s="4">
        <v>11</v>
      </c>
      <c r="M313" s="4">
        <v>3</v>
      </c>
      <c r="N313" s="4" t="s">
        <v>3</v>
      </c>
      <c r="O313" s="4">
        <v>2</v>
      </c>
      <c r="P313" s="4"/>
      <c r="Q313" s="4"/>
      <c r="R313" s="4"/>
      <c r="S313" s="4"/>
      <c r="T313" s="4"/>
      <c r="U313" s="4"/>
      <c r="V313" s="4"/>
      <c r="W313" s="4"/>
    </row>
    <row r="314" spans="1:23" x14ac:dyDescent="0.2">
      <c r="A314" s="4">
        <v>50</v>
      </c>
      <c r="B314" s="4">
        <v>0</v>
      </c>
      <c r="C314" s="4">
        <v>0</v>
      </c>
      <c r="D314" s="4">
        <v>1</v>
      </c>
      <c r="E314" s="4">
        <v>231</v>
      </c>
      <c r="F314" s="4">
        <f>ROUND(Source!BB301,O314)</f>
        <v>0</v>
      </c>
      <c r="G314" s="4" t="s">
        <v>228</v>
      </c>
      <c r="H314" s="4" t="s">
        <v>229</v>
      </c>
      <c r="I314" s="4"/>
      <c r="J314" s="4"/>
      <c r="K314" s="4">
        <v>231</v>
      </c>
      <c r="L314" s="4">
        <v>12</v>
      </c>
      <c r="M314" s="4">
        <v>3</v>
      </c>
      <c r="N314" s="4" t="s">
        <v>3</v>
      </c>
      <c r="O314" s="4">
        <v>2</v>
      </c>
      <c r="P314" s="4"/>
      <c r="Q314" s="4"/>
      <c r="R314" s="4"/>
      <c r="S314" s="4"/>
      <c r="T314" s="4"/>
      <c r="U314" s="4"/>
      <c r="V314" s="4"/>
      <c r="W314" s="4"/>
    </row>
    <row r="315" spans="1:23" x14ac:dyDescent="0.2">
      <c r="A315" s="4">
        <v>50</v>
      </c>
      <c r="B315" s="4">
        <v>0</v>
      </c>
      <c r="C315" s="4">
        <v>0</v>
      </c>
      <c r="D315" s="4">
        <v>1</v>
      </c>
      <c r="E315" s="4">
        <v>204</v>
      </c>
      <c r="F315" s="4">
        <f>ROUND(Source!R301,O315)</f>
        <v>2666.08</v>
      </c>
      <c r="G315" s="4" t="s">
        <v>230</v>
      </c>
      <c r="H315" s="4" t="s">
        <v>231</v>
      </c>
      <c r="I315" s="4"/>
      <c r="J315" s="4"/>
      <c r="K315" s="4">
        <v>204</v>
      </c>
      <c r="L315" s="4">
        <v>13</v>
      </c>
      <c r="M315" s="4">
        <v>3</v>
      </c>
      <c r="N315" s="4" t="s">
        <v>3</v>
      </c>
      <c r="O315" s="4">
        <v>2</v>
      </c>
      <c r="P315" s="4"/>
      <c r="Q315" s="4"/>
      <c r="R315" s="4"/>
      <c r="S315" s="4"/>
      <c r="T315" s="4"/>
      <c r="U315" s="4"/>
      <c r="V315" s="4"/>
      <c r="W315" s="4"/>
    </row>
    <row r="316" spans="1:23" x14ac:dyDescent="0.2">
      <c r="A316" s="4">
        <v>50</v>
      </c>
      <c r="B316" s="4">
        <v>0</v>
      </c>
      <c r="C316" s="4">
        <v>0</v>
      </c>
      <c r="D316" s="4">
        <v>1</v>
      </c>
      <c r="E316" s="4">
        <v>205</v>
      </c>
      <c r="F316" s="4">
        <f>ROUND(Source!S301,O316)</f>
        <v>6422.85</v>
      </c>
      <c r="G316" s="4" t="s">
        <v>232</v>
      </c>
      <c r="H316" s="4" t="s">
        <v>233</v>
      </c>
      <c r="I316" s="4"/>
      <c r="J316" s="4"/>
      <c r="K316" s="4">
        <v>205</v>
      </c>
      <c r="L316" s="4">
        <v>14</v>
      </c>
      <c r="M316" s="4">
        <v>3</v>
      </c>
      <c r="N316" s="4" t="s">
        <v>3</v>
      </c>
      <c r="O316" s="4">
        <v>2</v>
      </c>
      <c r="P316" s="4"/>
      <c r="Q316" s="4"/>
      <c r="R316" s="4"/>
      <c r="S316" s="4"/>
      <c r="T316" s="4"/>
      <c r="U316" s="4"/>
      <c r="V316" s="4"/>
      <c r="W316" s="4"/>
    </row>
    <row r="317" spans="1:23" x14ac:dyDescent="0.2">
      <c r="A317" s="4">
        <v>50</v>
      </c>
      <c r="B317" s="4">
        <v>0</v>
      </c>
      <c r="C317" s="4">
        <v>0</v>
      </c>
      <c r="D317" s="4">
        <v>1</v>
      </c>
      <c r="E317" s="4">
        <v>232</v>
      </c>
      <c r="F317" s="4">
        <f>ROUND(Source!BC301,O317)</f>
        <v>0</v>
      </c>
      <c r="G317" s="4" t="s">
        <v>234</v>
      </c>
      <c r="H317" s="4" t="s">
        <v>235</v>
      </c>
      <c r="I317" s="4"/>
      <c r="J317" s="4"/>
      <c r="K317" s="4">
        <v>232</v>
      </c>
      <c r="L317" s="4">
        <v>15</v>
      </c>
      <c r="M317" s="4">
        <v>3</v>
      </c>
      <c r="N317" s="4" t="s">
        <v>3</v>
      </c>
      <c r="O317" s="4">
        <v>2</v>
      </c>
      <c r="P317" s="4"/>
      <c r="Q317" s="4"/>
      <c r="R317" s="4"/>
      <c r="S317" s="4"/>
      <c r="T317" s="4"/>
      <c r="U317" s="4"/>
      <c r="V317" s="4"/>
      <c r="W317" s="4"/>
    </row>
    <row r="318" spans="1:23" x14ac:dyDescent="0.2">
      <c r="A318" s="4">
        <v>50</v>
      </c>
      <c r="B318" s="4">
        <v>0</v>
      </c>
      <c r="C318" s="4">
        <v>0</v>
      </c>
      <c r="D318" s="4">
        <v>1</v>
      </c>
      <c r="E318" s="4">
        <v>214</v>
      </c>
      <c r="F318" s="4">
        <f>ROUND(Source!AS301,O318)</f>
        <v>200582.25</v>
      </c>
      <c r="G318" s="4" t="s">
        <v>236</v>
      </c>
      <c r="H318" s="4" t="s">
        <v>237</v>
      </c>
      <c r="I318" s="4"/>
      <c r="J318" s="4"/>
      <c r="K318" s="4">
        <v>214</v>
      </c>
      <c r="L318" s="4">
        <v>16</v>
      </c>
      <c r="M318" s="4">
        <v>3</v>
      </c>
      <c r="N318" s="4" t="s">
        <v>3</v>
      </c>
      <c r="O318" s="4">
        <v>2</v>
      </c>
      <c r="P318" s="4"/>
      <c r="Q318" s="4"/>
      <c r="R318" s="4"/>
      <c r="S318" s="4"/>
      <c r="T318" s="4"/>
      <c r="U318" s="4"/>
      <c r="V318" s="4"/>
      <c r="W318" s="4"/>
    </row>
    <row r="319" spans="1:23" x14ac:dyDescent="0.2">
      <c r="A319" s="4">
        <v>50</v>
      </c>
      <c r="B319" s="4">
        <v>0</v>
      </c>
      <c r="C319" s="4">
        <v>0</v>
      </c>
      <c r="D319" s="4">
        <v>1</v>
      </c>
      <c r="E319" s="4">
        <v>215</v>
      </c>
      <c r="F319" s="4">
        <f>ROUND(Source!AT301,O319)</f>
        <v>0</v>
      </c>
      <c r="G319" s="4" t="s">
        <v>238</v>
      </c>
      <c r="H319" s="4" t="s">
        <v>239</v>
      </c>
      <c r="I319" s="4"/>
      <c r="J319" s="4"/>
      <c r="K319" s="4">
        <v>215</v>
      </c>
      <c r="L319" s="4">
        <v>17</v>
      </c>
      <c r="M319" s="4">
        <v>3</v>
      </c>
      <c r="N319" s="4" t="s">
        <v>3</v>
      </c>
      <c r="O319" s="4">
        <v>2</v>
      </c>
      <c r="P319" s="4"/>
      <c r="Q319" s="4"/>
      <c r="R319" s="4"/>
      <c r="S319" s="4"/>
      <c r="T319" s="4"/>
      <c r="U319" s="4"/>
      <c r="V319" s="4"/>
      <c r="W319" s="4"/>
    </row>
    <row r="320" spans="1:23" x14ac:dyDescent="0.2">
      <c r="A320" s="4">
        <v>50</v>
      </c>
      <c r="B320" s="4">
        <v>0</v>
      </c>
      <c r="C320" s="4">
        <v>0</v>
      </c>
      <c r="D320" s="4">
        <v>1</v>
      </c>
      <c r="E320" s="4">
        <v>217</v>
      </c>
      <c r="F320" s="4">
        <f>ROUND(Source!AU301,O320)</f>
        <v>0</v>
      </c>
      <c r="G320" s="4" t="s">
        <v>240</v>
      </c>
      <c r="H320" s="4" t="s">
        <v>241</v>
      </c>
      <c r="I320" s="4"/>
      <c r="J320" s="4"/>
      <c r="K320" s="4">
        <v>217</v>
      </c>
      <c r="L320" s="4">
        <v>18</v>
      </c>
      <c r="M320" s="4">
        <v>3</v>
      </c>
      <c r="N320" s="4" t="s">
        <v>3</v>
      </c>
      <c r="O320" s="4">
        <v>2</v>
      </c>
      <c r="P320" s="4"/>
      <c r="Q320" s="4"/>
      <c r="R320" s="4"/>
      <c r="S320" s="4"/>
      <c r="T320" s="4"/>
      <c r="U320" s="4"/>
      <c r="V320" s="4"/>
      <c r="W320" s="4"/>
    </row>
    <row r="321" spans="1:206" x14ac:dyDescent="0.2">
      <c r="A321" s="4">
        <v>50</v>
      </c>
      <c r="B321" s="4">
        <v>0</v>
      </c>
      <c r="C321" s="4">
        <v>0</v>
      </c>
      <c r="D321" s="4">
        <v>1</v>
      </c>
      <c r="E321" s="4">
        <v>230</v>
      </c>
      <c r="F321" s="4">
        <f>ROUND(Source!BA301,O321)</f>
        <v>0</v>
      </c>
      <c r="G321" s="4" t="s">
        <v>242</v>
      </c>
      <c r="H321" s="4" t="s">
        <v>243</v>
      </c>
      <c r="I321" s="4"/>
      <c r="J321" s="4"/>
      <c r="K321" s="4">
        <v>230</v>
      </c>
      <c r="L321" s="4">
        <v>19</v>
      </c>
      <c r="M321" s="4">
        <v>3</v>
      </c>
      <c r="N321" s="4" t="s">
        <v>3</v>
      </c>
      <c r="O321" s="4">
        <v>2</v>
      </c>
      <c r="P321" s="4"/>
      <c r="Q321" s="4"/>
      <c r="R321" s="4"/>
      <c r="S321" s="4"/>
      <c r="T321" s="4"/>
      <c r="U321" s="4"/>
      <c r="V321" s="4"/>
      <c r="W321" s="4"/>
    </row>
    <row r="322" spans="1:206" x14ac:dyDescent="0.2">
      <c r="A322" s="4">
        <v>50</v>
      </c>
      <c r="B322" s="4">
        <v>0</v>
      </c>
      <c r="C322" s="4">
        <v>0</v>
      </c>
      <c r="D322" s="4">
        <v>1</v>
      </c>
      <c r="E322" s="4">
        <v>206</v>
      </c>
      <c r="F322" s="4">
        <f>ROUND(Source!T301,O322)</f>
        <v>0</v>
      </c>
      <c r="G322" s="4" t="s">
        <v>244</v>
      </c>
      <c r="H322" s="4" t="s">
        <v>245</v>
      </c>
      <c r="I322" s="4"/>
      <c r="J322" s="4"/>
      <c r="K322" s="4">
        <v>206</v>
      </c>
      <c r="L322" s="4">
        <v>20</v>
      </c>
      <c r="M322" s="4">
        <v>3</v>
      </c>
      <c r="N322" s="4" t="s">
        <v>3</v>
      </c>
      <c r="O322" s="4">
        <v>2</v>
      </c>
      <c r="P322" s="4"/>
      <c r="Q322" s="4"/>
      <c r="R322" s="4"/>
      <c r="S322" s="4"/>
      <c r="T322" s="4"/>
      <c r="U322" s="4"/>
      <c r="V322" s="4"/>
      <c r="W322" s="4"/>
    </row>
    <row r="323" spans="1:206" x14ac:dyDescent="0.2">
      <c r="A323" s="4">
        <v>50</v>
      </c>
      <c r="B323" s="4">
        <v>0</v>
      </c>
      <c r="C323" s="4">
        <v>0</v>
      </c>
      <c r="D323" s="4">
        <v>1</v>
      </c>
      <c r="E323" s="4">
        <v>207</v>
      </c>
      <c r="F323" s="4">
        <f>Source!U301</f>
        <v>759.59182714999997</v>
      </c>
      <c r="G323" s="4" t="s">
        <v>246</v>
      </c>
      <c r="H323" s="4" t="s">
        <v>247</v>
      </c>
      <c r="I323" s="4"/>
      <c r="J323" s="4"/>
      <c r="K323" s="4">
        <v>207</v>
      </c>
      <c r="L323" s="4">
        <v>21</v>
      </c>
      <c r="M323" s="4">
        <v>3</v>
      </c>
      <c r="N323" s="4" t="s">
        <v>3</v>
      </c>
      <c r="O323" s="4">
        <v>-1</v>
      </c>
      <c r="P323" s="4"/>
      <c r="Q323" s="4"/>
      <c r="R323" s="4"/>
      <c r="S323" s="4"/>
      <c r="T323" s="4"/>
      <c r="U323" s="4"/>
      <c r="V323" s="4"/>
      <c r="W323" s="4"/>
    </row>
    <row r="324" spans="1:206" x14ac:dyDescent="0.2">
      <c r="A324" s="4">
        <v>50</v>
      </c>
      <c r="B324" s="4">
        <v>0</v>
      </c>
      <c r="C324" s="4">
        <v>0</v>
      </c>
      <c r="D324" s="4">
        <v>1</v>
      </c>
      <c r="E324" s="4">
        <v>208</v>
      </c>
      <c r="F324" s="4">
        <f>Source!V301</f>
        <v>213.32946625</v>
      </c>
      <c r="G324" s="4" t="s">
        <v>248</v>
      </c>
      <c r="H324" s="4" t="s">
        <v>249</v>
      </c>
      <c r="I324" s="4"/>
      <c r="J324" s="4"/>
      <c r="K324" s="4">
        <v>208</v>
      </c>
      <c r="L324" s="4">
        <v>22</v>
      </c>
      <c r="M324" s="4">
        <v>3</v>
      </c>
      <c r="N324" s="4" t="s">
        <v>3</v>
      </c>
      <c r="O324" s="4">
        <v>-1</v>
      </c>
      <c r="P324" s="4"/>
      <c r="Q324" s="4"/>
      <c r="R324" s="4"/>
      <c r="S324" s="4"/>
      <c r="T324" s="4"/>
      <c r="U324" s="4"/>
      <c r="V324" s="4"/>
      <c r="W324" s="4"/>
    </row>
    <row r="325" spans="1:206" x14ac:dyDescent="0.2">
      <c r="A325" s="4">
        <v>50</v>
      </c>
      <c r="B325" s="4">
        <v>0</v>
      </c>
      <c r="C325" s="4">
        <v>0</v>
      </c>
      <c r="D325" s="4">
        <v>1</v>
      </c>
      <c r="E325" s="4">
        <v>209</v>
      </c>
      <c r="F325" s="4">
        <f>ROUND(Source!W301,O325)</f>
        <v>0</v>
      </c>
      <c r="G325" s="4" t="s">
        <v>250</v>
      </c>
      <c r="H325" s="4" t="s">
        <v>251</v>
      </c>
      <c r="I325" s="4"/>
      <c r="J325" s="4"/>
      <c r="K325" s="4">
        <v>209</v>
      </c>
      <c r="L325" s="4">
        <v>23</v>
      </c>
      <c r="M325" s="4">
        <v>3</v>
      </c>
      <c r="N325" s="4" t="s">
        <v>3</v>
      </c>
      <c r="O325" s="4">
        <v>2</v>
      </c>
      <c r="P325" s="4"/>
      <c r="Q325" s="4"/>
      <c r="R325" s="4"/>
      <c r="S325" s="4"/>
      <c r="T325" s="4"/>
      <c r="U325" s="4"/>
      <c r="V325" s="4"/>
      <c r="W325" s="4"/>
    </row>
    <row r="326" spans="1:206" x14ac:dyDescent="0.2">
      <c r="A326" s="4">
        <v>50</v>
      </c>
      <c r="B326" s="4">
        <v>0</v>
      </c>
      <c r="C326" s="4">
        <v>0</v>
      </c>
      <c r="D326" s="4">
        <v>1</v>
      </c>
      <c r="E326" s="4">
        <v>210</v>
      </c>
      <c r="F326" s="4">
        <f>ROUND(Source!X301,O326)</f>
        <v>10752.31</v>
      </c>
      <c r="G326" s="4" t="s">
        <v>252</v>
      </c>
      <c r="H326" s="4" t="s">
        <v>253</v>
      </c>
      <c r="I326" s="4"/>
      <c r="J326" s="4"/>
      <c r="K326" s="4">
        <v>210</v>
      </c>
      <c r="L326" s="4">
        <v>24</v>
      </c>
      <c r="M326" s="4">
        <v>3</v>
      </c>
      <c r="N326" s="4" t="s">
        <v>3</v>
      </c>
      <c r="O326" s="4">
        <v>2</v>
      </c>
      <c r="P326" s="4"/>
      <c r="Q326" s="4"/>
      <c r="R326" s="4"/>
      <c r="S326" s="4"/>
      <c r="T326" s="4"/>
      <c r="U326" s="4"/>
      <c r="V326" s="4"/>
      <c r="W326" s="4"/>
    </row>
    <row r="327" spans="1:206" x14ac:dyDescent="0.2">
      <c r="A327" s="4">
        <v>50</v>
      </c>
      <c r="B327" s="4">
        <v>0</v>
      </c>
      <c r="C327" s="4">
        <v>0</v>
      </c>
      <c r="D327" s="4">
        <v>1</v>
      </c>
      <c r="E327" s="4">
        <v>211</v>
      </c>
      <c r="F327" s="4">
        <f>ROUND(Source!Y301,O327)</f>
        <v>6862.5</v>
      </c>
      <c r="G327" s="4" t="s">
        <v>254</v>
      </c>
      <c r="H327" s="4" t="s">
        <v>255</v>
      </c>
      <c r="I327" s="4"/>
      <c r="J327" s="4"/>
      <c r="K327" s="4">
        <v>211</v>
      </c>
      <c r="L327" s="4">
        <v>25</v>
      </c>
      <c r="M327" s="4">
        <v>3</v>
      </c>
      <c r="N327" s="4" t="s">
        <v>3</v>
      </c>
      <c r="O327" s="4">
        <v>2</v>
      </c>
      <c r="P327" s="4"/>
      <c r="Q327" s="4"/>
      <c r="R327" s="4"/>
      <c r="S327" s="4"/>
      <c r="T327" s="4"/>
      <c r="U327" s="4"/>
      <c r="V327" s="4"/>
      <c r="W327" s="4"/>
    </row>
    <row r="328" spans="1:206" x14ac:dyDescent="0.2">
      <c r="A328" s="4">
        <v>50</v>
      </c>
      <c r="B328" s="4">
        <v>0</v>
      </c>
      <c r="C328" s="4">
        <v>0</v>
      </c>
      <c r="D328" s="4">
        <v>1</v>
      </c>
      <c r="E328" s="4">
        <v>224</v>
      </c>
      <c r="F328" s="4">
        <f>ROUND(Source!AR301,O328)</f>
        <v>200582.25</v>
      </c>
      <c r="G328" s="4" t="s">
        <v>256</v>
      </c>
      <c r="H328" s="4" t="s">
        <v>257</v>
      </c>
      <c r="I328" s="4"/>
      <c r="J328" s="4"/>
      <c r="K328" s="4">
        <v>224</v>
      </c>
      <c r="L328" s="4">
        <v>26</v>
      </c>
      <c r="M328" s="4">
        <v>3</v>
      </c>
      <c r="N328" s="4" t="s">
        <v>3</v>
      </c>
      <c r="O328" s="4">
        <v>2</v>
      </c>
      <c r="P328" s="4"/>
      <c r="Q328" s="4"/>
      <c r="R328" s="4"/>
      <c r="S328" s="4"/>
      <c r="T328" s="4"/>
      <c r="U328" s="4"/>
      <c r="V328" s="4"/>
      <c r="W328" s="4"/>
    </row>
    <row r="330" spans="1:206" x14ac:dyDescent="0.2">
      <c r="A330" s="2">
        <v>51</v>
      </c>
      <c r="B330" s="2">
        <f>B20</f>
        <v>1</v>
      </c>
      <c r="C330" s="2">
        <f>A20</f>
        <v>3</v>
      </c>
      <c r="D330" s="2">
        <f>ROW(A20)</f>
        <v>20</v>
      </c>
      <c r="E330" s="2"/>
      <c r="F330" s="2" t="str">
        <f>IF(F20&lt;&gt;"",F20,"")</f>
        <v>Локальная смета №1</v>
      </c>
      <c r="G330" s="2" t="str">
        <f>IF(G20&lt;&gt;"",G20,"")</f>
        <v>Локальная смета №1</v>
      </c>
      <c r="H330" s="2">
        <v>0</v>
      </c>
      <c r="I330" s="2"/>
      <c r="J330" s="2"/>
      <c r="K330" s="2"/>
      <c r="L330" s="2"/>
      <c r="M330" s="2"/>
      <c r="N330" s="2"/>
      <c r="O330" s="2">
        <f t="shared" ref="O330:T330" si="301">ROUND(O65+O301+AB330,2)</f>
        <v>425120.03</v>
      </c>
      <c r="P330" s="2">
        <f t="shared" si="301"/>
        <v>365828.51</v>
      </c>
      <c r="Q330" s="2">
        <f t="shared" si="301"/>
        <v>36603.980000000003</v>
      </c>
      <c r="R330" s="2">
        <f t="shared" si="301"/>
        <v>3228.98</v>
      </c>
      <c r="S330" s="2">
        <f t="shared" si="301"/>
        <v>22687.54</v>
      </c>
      <c r="T330" s="2">
        <f t="shared" si="301"/>
        <v>0</v>
      </c>
      <c r="U330" s="2">
        <f>U65+U301+AH330</f>
        <v>2669.4528021982505</v>
      </c>
      <c r="V330" s="2">
        <f>V65+V301+AI330</f>
        <v>258.48574603750001</v>
      </c>
      <c r="W330" s="2">
        <f>ROUND(W65+W301+AJ330,2)</f>
        <v>0</v>
      </c>
      <c r="X330" s="2">
        <f>ROUND(X65+X301+AK330,2)</f>
        <v>25477.99</v>
      </c>
      <c r="Y330" s="2">
        <f>ROUND(Y65+Y301+AL330,2)</f>
        <v>18055</v>
      </c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>
        <f t="shared" ref="AO330:BC330" si="302">ROUND(AO65+AO301+BX330,2)</f>
        <v>0</v>
      </c>
      <c r="AP330" s="2">
        <f t="shared" si="302"/>
        <v>0</v>
      </c>
      <c r="AQ330" s="2">
        <f t="shared" si="302"/>
        <v>0</v>
      </c>
      <c r="AR330" s="2">
        <f t="shared" si="302"/>
        <v>485977.98</v>
      </c>
      <c r="AS330" s="2">
        <f t="shared" si="302"/>
        <v>484843.84</v>
      </c>
      <c r="AT330" s="2">
        <f t="shared" si="302"/>
        <v>1134.1400000000001</v>
      </c>
      <c r="AU330" s="2">
        <f t="shared" si="302"/>
        <v>0</v>
      </c>
      <c r="AV330" s="2">
        <f t="shared" si="302"/>
        <v>365828.51</v>
      </c>
      <c r="AW330" s="2">
        <f t="shared" si="302"/>
        <v>365828.51</v>
      </c>
      <c r="AX330" s="2">
        <f t="shared" si="302"/>
        <v>0</v>
      </c>
      <c r="AY330" s="2">
        <f t="shared" si="302"/>
        <v>365828.51</v>
      </c>
      <c r="AZ330" s="2">
        <f t="shared" si="302"/>
        <v>0</v>
      </c>
      <c r="BA330" s="2">
        <f t="shared" si="302"/>
        <v>0</v>
      </c>
      <c r="BB330" s="2">
        <f t="shared" si="302"/>
        <v>0</v>
      </c>
      <c r="BC330" s="2">
        <f t="shared" si="302"/>
        <v>0</v>
      </c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>
        <v>0</v>
      </c>
    </row>
    <row r="332" spans="1:206" x14ac:dyDescent="0.2">
      <c r="A332" s="4">
        <v>50</v>
      </c>
      <c r="B332" s="4">
        <v>0</v>
      </c>
      <c r="C332" s="4">
        <v>0</v>
      </c>
      <c r="D332" s="4">
        <v>1</v>
      </c>
      <c r="E332" s="4">
        <v>201</v>
      </c>
      <c r="F332" s="4">
        <f>ROUND(Source!O330,O332)</f>
        <v>425120.03</v>
      </c>
      <c r="G332" s="4" t="s">
        <v>206</v>
      </c>
      <c r="H332" s="4" t="s">
        <v>207</v>
      </c>
      <c r="I332" s="4"/>
      <c r="J332" s="4"/>
      <c r="K332" s="4">
        <v>201</v>
      </c>
      <c r="L332" s="4">
        <v>1</v>
      </c>
      <c r="M332" s="4">
        <v>3</v>
      </c>
      <c r="N332" s="4" t="s">
        <v>3</v>
      </c>
      <c r="O332" s="4">
        <v>2</v>
      </c>
      <c r="P332" s="4"/>
      <c r="Q332" s="4"/>
      <c r="R332" s="4"/>
      <c r="S332" s="4"/>
      <c r="T332" s="4"/>
      <c r="U332" s="4"/>
      <c r="V332" s="4"/>
      <c r="W332" s="4"/>
    </row>
    <row r="333" spans="1:206" x14ac:dyDescent="0.2">
      <c r="A333" s="4">
        <v>50</v>
      </c>
      <c r="B333" s="4">
        <v>0</v>
      </c>
      <c r="C333" s="4">
        <v>0</v>
      </c>
      <c r="D333" s="4">
        <v>1</v>
      </c>
      <c r="E333" s="4">
        <v>202</v>
      </c>
      <c r="F333" s="4">
        <f>ROUND(Source!P330,O333)</f>
        <v>365828.51</v>
      </c>
      <c r="G333" s="4" t="s">
        <v>208</v>
      </c>
      <c r="H333" s="4" t="s">
        <v>209</v>
      </c>
      <c r="I333" s="4"/>
      <c r="J333" s="4"/>
      <c r="K333" s="4">
        <v>202</v>
      </c>
      <c r="L333" s="4">
        <v>2</v>
      </c>
      <c r="M333" s="4">
        <v>3</v>
      </c>
      <c r="N333" s="4" t="s">
        <v>3</v>
      </c>
      <c r="O333" s="4">
        <v>2</v>
      </c>
      <c r="P333" s="4"/>
      <c r="Q333" s="4"/>
      <c r="R333" s="4"/>
      <c r="S333" s="4"/>
      <c r="T333" s="4"/>
      <c r="U333" s="4"/>
      <c r="V333" s="4"/>
      <c r="W333" s="4"/>
    </row>
    <row r="334" spans="1:206" x14ac:dyDescent="0.2">
      <c r="A334" s="4">
        <v>50</v>
      </c>
      <c r="B334" s="4">
        <v>0</v>
      </c>
      <c r="C334" s="4">
        <v>0</v>
      </c>
      <c r="D334" s="4">
        <v>1</v>
      </c>
      <c r="E334" s="4">
        <v>222</v>
      </c>
      <c r="F334" s="4">
        <f>ROUND(Source!AO330,O334)</f>
        <v>0</v>
      </c>
      <c r="G334" s="4" t="s">
        <v>210</v>
      </c>
      <c r="H334" s="4" t="s">
        <v>211</v>
      </c>
      <c r="I334" s="4"/>
      <c r="J334" s="4"/>
      <c r="K334" s="4">
        <v>222</v>
      </c>
      <c r="L334" s="4">
        <v>3</v>
      </c>
      <c r="M334" s="4">
        <v>3</v>
      </c>
      <c r="N334" s="4" t="s">
        <v>3</v>
      </c>
      <c r="O334" s="4">
        <v>2</v>
      </c>
      <c r="P334" s="4"/>
      <c r="Q334" s="4"/>
      <c r="R334" s="4"/>
      <c r="S334" s="4"/>
      <c r="T334" s="4"/>
      <c r="U334" s="4"/>
      <c r="V334" s="4"/>
      <c r="W334" s="4"/>
    </row>
    <row r="335" spans="1:206" x14ac:dyDescent="0.2">
      <c r="A335" s="4">
        <v>50</v>
      </c>
      <c r="B335" s="4">
        <v>0</v>
      </c>
      <c r="C335" s="4">
        <v>0</v>
      </c>
      <c r="D335" s="4">
        <v>1</v>
      </c>
      <c r="E335" s="4">
        <v>225</v>
      </c>
      <c r="F335" s="4">
        <f>ROUND(Source!AV330,O335)</f>
        <v>365828.51</v>
      </c>
      <c r="G335" s="4" t="s">
        <v>212</v>
      </c>
      <c r="H335" s="4" t="s">
        <v>213</v>
      </c>
      <c r="I335" s="4"/>
      <c r="J335" s="4"/>
      <c r="K335" s="4">
        <v>225</v>
      </c>
      <c r="L335" s="4">
        <v>4</v>
      </c>
      <c r="M335" s="4">
        <v>3</v>
      </c>
      <c r="N335" s="4" t="s">
        <v>3</v>
      </c>
      <c r="O335" s="4">
        <v>2</v>
      </c>
      <c r="P335" s="4"/>
      <c r="Q335" s="4"/>
      <c r="R335" s="4"/>
      <c r="S335" s="4"/>
      <c r="T335" s="4"/>
      <c r="U335" s="4"/>
      <c r="V335" s="4"/>
      <c r="W335" s="4"/>
    </row>
    <row r="336" spans="1:206" x14ac:dyDescent="0.2">
      <c r="A336" s="4">
        <v>50</v>
      </c>
      <c r="B336" s="4">
        <v>0</v>
      </c>
      <c r="C336" s="4">
        <v>0</v>
      </c>
      <c r="D336" s="4">
        <v>1</v>
      </c>
      <c r="E336" s="4">
        <v>226</v>
      </c>
      <c r="F336" s="4">
        <f>ROUND(Source!AW330,O336)</f>
        <v>365828.51</v>
      </c>
      <c r="G336" s="4" t="s">
        <v>214</v>
      </c>
      <c r="H336" s="4" t="s">
        <v>215</v>
      </c>
      <c r="I336" s="4"/>
      <c r="J336" s="4"/>
      <c r="K336" s="4">
        <v>226</v>
      </c>
      <c r="L336" s="4">
        <v>5</v>
      </c>
      <c r="M336" s="4">
        <v>3</v>
      </c>
      <c r="N336" s="4" t="s">
        <v>3</v>
      </c>
      <c r="O336" s="4">
        <v>2</v>
      </c>
      <c r="P336" s="4"/>
      <c r="Q336" s="4"/>
      <c r="R336" s="4"/>
      <c r="S336" s="4"/>
      <c r="T336" s="4"/>
      <c r="U336" s="4"/>
      <c r="V336" s="4"/>
      <c r="W336" s="4"/>
    </row>
    <row r="337" spans="1:23" x14ac:dyDescent="0.2">
      <c r="A337" s="4">
        <v>50</v>
      </c>
      <c r="B337" s="4">
        <v>0</v>
      </c>
      <c r="C337" s="4">
        <v>0</v>
      </c>
      <c r="D337" s="4">
        <v>1</v>
      </c>
      <c r="E337" s="4">
        <v>227</v>
      </c>
      <c r="F337" s="4">
        <f>ROUND(Source!AX330,O337)</f>
        <v>0</v>
      </c>
      <c r="G337" s="4" t="s">
        <v>216</v>
      </c>
      <c r="H337" s="4" t="s">
        <v>217</v>
      </c>
      <c r="I337" s="4"/>
      <c r="J337" s="4"/>
      <c r="K337" s="4">
        <v>227</v>
      </c>
      <c r="L337" s="4">
        <v>6</v>
      </c>
      <c r="M337" s="4">
        <v>3</v>
      </c>
      <c r="N337" s="4" t="s">
        <v>3</v>
      </c>
      <c r="O337" s="4">
        <v>2</v>
      </c>
      <c r="P337" s="4"/>
      <c r="Q337" s="4"/>
      <c r="R337" s="4"/>
      <c r="S337" s="4"/>
      <c r="T337" s="4"/>
      <c r="U337" s="4"/>
      <c r="V337" s="4"/>
      <c r="W337" s="4"/>
    </row>
    <row r="338" spans="1:23" x14ac:dyDescent="0.2">
      <c r="A338" s="4">
        <v>50</v>
      </c>
      <c r="B338" s="4">
        <v>0</v>
      </c>
      <c r="C338" s="4">
        <v>0</v>
      </c>
      <c r="D338" s="4">
        <v>1</v>
      </c>
      <c r="E338" s="4">
        <v>228</v>
      </c>
      <c r="F338" s="4">
        <f>ROUND(Source!AY330,O338)</f>
        <v>365828.51</v>
      </c>
      <c r="G338" s="4" t="s">
        <v>218</v>
      </c>
      <c r="H338" s="4" t="s">
        <v>219</v>
      </c>
      <c r="I338" s="4"/>
      <c r="J338" s="4"/>
      <c r="K338" s="4">
        <v>228</v>
      </c>
      <c r="L338" s="4">
        <v>7</v>
      </c>
      <c r="M338" s="4">
        <v>3</v>
      </c>
      <c r="N338" s="4" t="s">
        <v>3</v>
      </c>
      <c r="O338" s="4">
        <v>2</v>
      </c>
      <c r="P338" s="4"/>
      <c r="Q338" s="4"/>
      <c r="R338" s="4"/>
      <c r="S338" s="4"/>
      <c r="T338" s="4"/>
      <c r="U338" s="4"/>
      <c r="V338" s="4"/>
      <c r="W338" s="4"/>
    </row>
    <row r="339" spans="1:23" x14ac:dyDescent="0.2">
      <c r="A339" s="4">
        <v>50</v>
      </c>
      <c r="B339" s="4">
        <v>0</v>
      </c>
      <c r="C339" s="4">
        <v>0</v>
      </c>
      <c r="D339" s="4">
        <v>1</v>
      </c>
      <c r="E339" s="4">
        <v>216</v>
      </c>
      <c r="F339" s="4">
        <f>ROUND(Source!AP330,O339)</f>
        <v>0</v>
      </c>
      <c r="G339" s="4" t="s">
        <v>220</v>
      </c>
      <c r="H339" s="4" t="s">
        <v>221</v>
      </c>
      <c r="I339" s="4"/>
      <c r="J339" s="4"/>
      <c r="K339" s="4">
        <v>216</v>
      </c>
      <c r="L339" s="4">
        <v>8</v>
      </c>
      <c r="M339" s="4">
        <v>3</v>
      </c>
      <c r="N339" s="4" t="s">
        <v>3</v>
      </c>
      <c r="O339" s="4">
        <v>2</v>
      </c>
      <c r="P339" s="4"/>
      <c r="Q339" s="4"/>
      <c r="R339" s="4"/>
      <c r="S339" s="4"/>
      <c r="T339" s="4"/>
      <c r="U339" s="4"/>
      <c r="V339" s="4"/>
      <c r="W339" s="4"/>
    </row>
    <row r="340" spans="1:23" x14ac:dyDescent="0.2">
      <c r="A340" s="4">
        <v>50</v>
      </c>
      <c r="B340" s="4">
        <v>0</v>
      </c>
      <c r="C340" s="4">
        <v>0</v>
      </c>
      <c r="D340" s="4">
        <v>1</v>
      </c>
      <c r="E340" s="4">
        <v>223</v>
      </c>
      <c r="F340" s="4">
        <f>ROUND(Source!AQ330,O340)</f>
        <v>0</v>
      </c>
      <c r="G340" s="4" t="s">
        <v>222</v>
      </c>
      <c r="H340" s="4" t="s">
        <v>223</v>
      </c>
      <c r="I340" s="4"/>
      <c r="J340" s="4"/>
      <c r="K340" s="4">
        <v>223</v>
      </c>
      <c r="L340" s="4">
        <v>9</v>
      </c>
      <c r="M340" s="4">
        <v>3</v>
      </c>
      <c r="N340" s="4" t="s">
        <v>3</v>
      </c>
      <c r="O340" s="4">
        <v>2</v>
      </c>
      <c r="P340" s="4"/>
      <c r="Q340" s="4"/>
      <c r="R340" s="4"/>
      <c r="S340" s="4"/>
      <c r="T340" s="4"/>
      <c r="U340" s="4"/>
      <c r="V340" s="4"/>
      <c r="W340" s="4"/>
    </row>
    <row r="341" spans="1:23" x14ac:dyDescent="0.2">
      <c r="A341" s="4">
        <v>50</v>
      </c>
      <c r="B341" s="4">
        <v>0</v>
      </c>
      <c r="C341" s="4">
        <v>0</v>
      </c>
      <c r="D341" s="4">
        <v>1</v>
      </c>
      <c r="E341" s="4">
        <v>229</v>
      </c>
      <c r="F341" s="4">
        <f>ROUND(Source!AZ330,O341)</f>
        <v>0</v>
      </c>
      <c r="G341" s="4" t="s">
        <v>224</v>
      </c>
      <c r="H341" s="4" t="s">
        <v>225</v>
      </c>
      <c r="I341" s="4"/>
      <c r="J341" s="4"/>
      <c r="K341" s="4">
        <v>229</v>
      </c>
      <c r="L341" s="4">
        <v>10</v>
      </c>
      <c r="M341" s="4">
        <v>3</v>
      </c>
      <c r="N341" s="4" t="s">
        <v>3</v>
      </c>
      <c r="O341" s="4">
        <v>2</v>
      </c>
      <c r="P341" s="4"/>
      <c r="Q341" s="4"/>
      <c r="R341" s="4"/>
      <c r="S341" s="4"/>
      <c r="T341" s="4"/>
      <c r="U341" s="4"/>
      <c r="V341" s="4"/>
      <c r="W341" s="4"/>
    </row>
    <row r="342" spans="1:23" x14ac:dyDescent="0.2">
      <c r="A342" s="4">
        <v>50</v>
      </c>
      <c r="B342" s="4">
        <v>0</v>
      </c>
      <c r="C342" s="4">
        <v>0</v>
      </c>
      <c r="D342" s="4">
        <v>1</v>
      </c>
      <c r="E342" s="4">
        <v>203</v>
      </c>
      <c r="F342" s="4">
        <f>ROUND(Source!Q330,O342)</f>
        <v>36603.980000000003</v>
      </c>
      <c r="G342" s="4" t="s">
        <v>226</v>
      </c>
      <c r="H342" s="4" t="s">
        <v>227</v>
      </c>
      <c r="I342" s="4"/>
      <c r="J342" s="4"/>
      <c r="K342" s="4">
        <v>203</v>
      </c>
      <c r="L342" s="4">
        <v>11</v>
      </c>
      <c r="M342" s="4">
        <v>3</v>
      </c>
      <c r="N342" s="4" t="s">
        <v>3</v>
      </c>
      <c r="O342" s="4">
        <v>2</v>
      </c>
      <c r="P342" s="4"/>
      <c r="Q342" s="4"/>
      <c r="R342" s="4"/>
      <c r="S342" s="4"/>
      <c r="T342" s="4"/>
      <c r="U342" s="4"/>
      <c r="V342" s="4"/>
      <c r="W342" s="4"/>
    </row>
    <row r="343" spans="1:23" x14ac:dyDescent="0.2">
      <c r="A343" s="4">
        <v>50</v>
      </c>
      <c r="B343" s="4">
        <v>0</v>
      </c>
      <c r="C343" s="4">
        <v>0</v>
      </c>
      <c r="D343" s="4">
        <v>1</v>
      </c>
      <c r="E343" s="4">
        <v>231</v>
      </c>
      <c r="F343" s="4">
        <f>ROUND(Source!BB330,O343)</f>
        <v>0</v>
      </c>
      <c r="G343" s="4" t="s">
        <v>228</v>
      </c>
      <c r="H343" s="4" t="s">
        <v>229</v>
      </c>
      <c r="I343" s="4"/>
      <c r="J343" s="4"/>
      <c r="K343" s="4">
        <v>231</v>
      </c>
      <c r="L343" s="4">
        <v>12</v>
      </c>
      <c r="M343" s="4">
        <v>3</v>
      </c>
      <c r="N343" s="4" t="s">
        <v>3</v>
      </c>
      <c r="O343" s="4">
        <v>2</v>
      </c>
      <c r="P343" s="4"/>
      <c r="Q343" s="4"/>
      <c r="R343" s="4"/>
      <c r="S343" s="4"/>
      <c r="T343" s="4"/>
      <c r="U343" s="4"/>
      <c r="V343" s="4"/>
      <c r="W343" s="4"/>
    </row>
    <row r="344" spans="1:23" x14ac:dyDescent="0.2">
      <c r="A344" s="4">
        <v>50</v>
      </c>
      <c r="B344" s="4">
        <v>0</v>
      </c>
      <c r="C344" s="4">
        <v>0</v>
      </c>
      <c r="D344" s="4">
        <v>1</v>
      </c>
      <c r="E344" s="4">
        <v>204</v>
      </c>
      <c r="F344" s="4">
        <f>ROUND(Source!R330,O344)</f>
        <v>3228.98</v>
      </c>
      <c r="G344" s="4" t="s">
        <v>230</v>
      </c>
      <c r="H344" s="4" t="s">
        <v>231</v>
      </c>
      <c r="I344" s="4"/>
      <c r="J344" s="4"/>
      <c r="K344" s="4">
        <v>204</v>
      </c>
      <c r="L344" s="4">
        <v>13</v>
      </c>
      <c r="M344" s="4">
        <v>3</v>
      </c>
      <c r="N344" s="4" t="s">
        <v>3</v>
      </c>
      <c r="O344" s="4">
        <v>2</v>
      </c>
      <c r="P344" s="4"/>
      <c r="Q344" s="4"/>
      <c r="R344" s="4"/>
      <c r="S344" s="4"/>
      <c r="T344" s="4"/>
      <c r="U344" s="4"/>
      <c r="V344" s="4"/>
      <c r="W344" s="4"/>
    </row>
    <row r="345" spans="1:23" x14ac:dyDescent="0.2">
      <c r="A345" s="4">
        <v>50</v>
      </c>
      <c r="B345" s="4">
        <v>0</v>
      </c>
      <c r="C345" s="4">
        <v>0</v>
      </c>
      <c r="D345" s="4">
        <v>1</v>
      </c>
      <c r="E345" s="4">
        <v>205</v>
      </c>
      <c r="F345" s="4">
        <f>ROUND(Source!S330,O345)</f>
        <v>22687.54</v>
      </c>
      <c r="G345" s="4" t="s">
        <v>232</v>
      </c>
      <c r="H345" s="4" t="s">
        <v>233</v>
      </c>
      <c r="I345" s="4"/>
      <c r="J345" s="4"/>
      <c r="K345" s="4">
        <v>205</v>
      </c>
      <c r="L345" s="4">
        <v>14</v>
      </c>
      <c r="M345" s="4">
        <v>3</v>
      </c>
      <c r="N345" s="4" t="s">
        <v>3</v>
      </c>
      <c r="O345" s="4">
        <v>2</v>
      </c>
      <c r="P345" s="4"/>
      <c r="Q345" s="4"/>
      <c r="R345" s="4"/>
      <c r="S345" s="4"/>
      <c r="T345" s="4"/>
      <c r="U345" s="4"/>
      <c r="V345" s="4"/>
      <c r="W345" s="4"/>
    </row>
    <row r="346" spans="1:23" x14ac:dyDescent="0.2">
      <c r="A346" s="4">
        <v>50</v>
      </c>
      <c r="B346" s="4">
        <v>0</v>
      </c>
      <c r="C346" s="4">
        <v>0</v>
      </c>
      <c r="D346" s="4">
        <v>1</v>
      </c>
      <c r="E346" s="4">
        <v>232</v>
      </c>
      <c r="F346" s="4">
        <f>ROUND(Source!BC330,O346)</f>
        <v>0</v>
      </c>
      <c r="G346" s="4" t="s">
        <v>234</v>
      </c>
      <c r="H346" s="4" t="s">
        <v>235</v>
      </c>
      <c r="I346" s="4"/>
      <c r="J346" s="4"/>
      <c r="K346" s="4">
        <v>232</v>
      </c>
      <c r="L346" s="4">
        <v>15</v>
      </c>
      <c r="M346" s="4">
        <v>3</v>
      </c>
      <c r="N346" s="4" t="s">
        <v>3</v>
      </c>
      <c r="O346" s="4">
        <v>2</v>
      </c>
      <c r="P346" s="4"/>
      <c r="Q346" s="4"/>
      <c r="R346" s="4"/>
      <c r="S346" s="4"/>
      <c r="T346" s="4"/>
      <c r="U346" s="4"/>
      <c r="V346" s="4"/>
      <c r="W346" s="4"/>
    </row>
    <row r="347" spans="1:23" x14ac:dyDescent="0.2">
      <c r="A347" s="4">
        <v>50</v>
      </c>
      <c r="B347" s="4">
        <v>0</v>
      </c>
      <c r="C347" s="4">
        <v>0</v>
      </c>
      <c r="D347" s="4">
        <v>1</v>
      </c>
      <c r="E347" s="4">
        <v>214</v>
      </c>
      <c r="F347" s="4">
        <f>ROUND(Source!AS330,O347)</f>
        <v>484843.84</v>
      </c>
      <c r="G347" s="4" t="s">
        <v>236</v>
      </c>
      <c r="H347" s="4" t="s">
        <v>237</v>
      </c>
      <c r="I347" s="4"/>
      <c r="J347" s="4"/>
      <c r="K347" s="4">
        <v>214</v>
      </c>
      <c r="L347" s="4">
        <v>16</v>
      </c>
      <c r="M347" s="4">
        <v>3</v>
      </c>
      <c r="N347" s="4" t="s">
        <v>3</v>
      </c>
      <c r="O347" s="4">
        <v>2</v>
      </c>
      <c r="P347" s="4"/>
      <c r="Q347" s="4"/>
      <c r="R347" s="4"/>
      <c r="S347" s="4"/>
      <c r="T347" s="4"/>
      <c r="U347" s="4"/>
      <c r="V347" s="4"/>
      <c r="W347" s="4"/>
    </row>
    <row r="348" spans="1:23" x14ac:dyDescent="0.2">
      <c r="A348" s="4">
        <v>50</v>
      </c>
      <c r="B348" s="4">
        <v>0</v>
      </c>
      <c r="C348" s="4">
        <v>0</v>
      </c>
      <c r="D348" s="4">
        <v>1</v>
      </c>
      <c r="E348" s="4">
        <v>215</v>
      </c>
      <c r="F348" s="4">
        <f>ROUND(Source!AT330,O348)</f>
        <v>1134.1400000000001</v>
      </c>
      <c r="G348" s="4" t="s">
        <v>238</v>
      </c>
      <c r="H348" s="4" t="s">
        <v>239</v>
      </c>
      <c r="I348" s="4"/>
      <c r="J348" s="4"/>
      <c r="K348" s="4">
        <v>215</v>
      </c>
      <c r="L348" s="4">
        <v>17</v>
      </c>
      <c r="M348" s="4">
        <v>3</v>
      </c>
      <c r="N348" s="4" t="s">
        <v>3</v>
      </c>
      <c r="O348" s="4">
        <v>2</v>
      </c>
      <c r="P348" s="4"/>
      <c r="Q348" s="4"/>
      <c r="R348" s="4"/>
      <c r="S348" s="4"/>
      <c r="T348" s="4"/>
      <c r="U348" s="4"/>
      <c r="V348" s="4"/>
      <c r="W348" s="4"/>
    </row>
    <row r="349" spans="1:23" x14ac:dyDescent="0.2">
      <c r="A349" s="4">
        <v>50</v>
      </c>
      <c r="B349" s="4">
        <v>0</v>
      </c>
      <c r="C349" s="4">
        <v>0</v>
      </c>
      <c r="D349" s="4">
        <v>1</v>
      </c>
      <c r="E349" s="4">
        <v>217</v>
      </c>
      <c r="F349" s="4">
        <f>ROUND(Source!AU330,O349)</f>
        <v>0</v>
      </c>
      <c r="G349" s="4" t="s">
        <v>240</v>
      </c>
      <c r="H349" s="4" t="s">
        <v>241</v>
      </c>
      <c r="I349" s="4"/>
      <c r="J349" s="4"/>
      <c r="K349" s="4">
        <v>217</v>
      </c>
      <c r="L349" s="4">
        <v>18</v>
      </c>
      <c r="M349" s="4">
        <v>3</v>
      </c>
      <c r="N349" s="4" t="s">
        <v>3</v>
      </c>
      <c r="O349" s="4">
        <v>2</v>
      </c>
      <c r="P349" s="4"/>
      <c r="Q349" s="4"/>
      <c r="R349" s="4"/>
      <c r="S349" s="4"/>
      <c r="T349" s="4"/>
      <c r="U349" s="4"/>
      <c r="V349" s="4"/>
      <c r="W349" s="4"/>
    </row>
    <row r="350" spans="1:23" x14ac:dyDescent="0.2">
      <c r="A350" s="4">
        <v>50</v>
      </c>
      <c r="B350" s="4">
        <v>0</v>
      </c>
      <c r="C350" s="4">
        <v>0</v>
      </c>
      <c r="D350" s="4">
        <v>1</v>
      </c>
      <c r="E350" s="4">
        <v>230</v>
      </c>
      <c r="F350" s="4">
        <f>ROUND(Source!BA330,O350)</f>
        <v>0</v>
      </c>
      <c r="G350" s="4" t="s">
        <v>242</v>
      </c>
      <c r="H350" s="4" t="s">
        <v>243</v>
      </c>
      <c r="I350" s="4"/>
      <c r="J350" s="4"/>
      <c r="K350" s="4">
        <v>230</v>
      </c>
      <c r="L350" s="4">
        <v>19</v>
      </c>
      <c r="M350" s="4">
        <v>3</v>
      </c>
      <c r="N350" s="4" t="s">
        <v>3</v>
      </c>
      <c r="O350" s="4">
        <v>2</v>
      </c>
      <c r="P350" s="4"/>
      <c r="Q350" s="4"/>
      <c r="R350" s="4"/>
      <c r="S350" s="4"/>
      <c r="T350" s="4"/>
      <c r="U350" s="4"/>
      <c r="V350" s="4"/>
      <c r="W350" s="4"/>
    </row>
    <row r="351" spans="1:23" x14ac:dyDescent="0.2">
      <c r="A351" s="4">
        <v>50</v>
      </c>
      <c r="B351" s="4">
        <v>0</v>
      </c>
      <c r="C351" s="4">
        <v>0</v>
      </c>
      <c r="D351" s="4">
        <v>1</v>
      </c>
      <c r="E351" s="4">
        <v>206</v>
      </c>
      <c r="F351" s="4">
        <f>ROUND(Source!T330,O351)</f>
        <v>0</v>
      </c>
      <c r="G351" s="4" t="s">
        <v>244</v>
      </c>
      <c r="H351" s="4" t="s">
        <v>245</v>
      </c>
      <c r="I351" s="4"/>
      <c r="J351" s="4"/>
      <c r="K351" s="4">
        <v>206</v>
      </c>
      <c r="L351" s="4">
        <v>20</v>
      </c>
      <c r="M351" s="4">
        <v>3</v>
      </c>
      <c r="N351" s="4" t="s">
        <v>3</v>
      </c>
      <c r="O351" s="4">
        <v>2</v>
      </c>
      <c r="P351" s="4"/>
      <c r="Q351" s="4"/>
      <c r="R351" s="4"/>
      <c r="S351" s="4"/>
      <c r="T351" s="4"/>
      <c r="U351" s="4"/>
      <c r="V351" s="4"/>
      <c r="W351" s="4"/>
    </row>
    <row r="352" spans="1:23" x14ac:dyDescent="0.2">
      <c r="A352" s="4">
        <v>50</v>
      </c>
      <c r="B352" s="4">
        <v>0</v>
      </c>
      <c r="C352" s="4">
        <v>0</v>
      </c>
      <c r="D352" s="4">
        <v>1</v>
      </c>
      <c r="E352" s="4">
        <v>207</v>
      </c>
      <c r="F352" s="4">
        <f>Source!U330</f>
        <v>2669.4528021982505</v>
      </c>
      <c r="G352" s="4" t="s">
        <v>246</v>
      </c>
      <c r="H352" s="4" t="s">
        <v>247</v>
      </c>
      <c r="I352" s="4"/>
      <c r="J352" s="4"/>
      <c r="K352" s="4">
        <v>207</v>
      </c>
      <c r="L352" s="4">
        <v>21</v>
      </c>
      <c r="M352" s="4">
        <v>3</v>
      </c>
      <c r="N352" s="4" t="s">
        <v>3</v>
      </c>
      <c r="O352" s="4">
        <v>-1</v>
      </c>
      <c r="P352" s="4"/>
      <c r="Q352" s="4"/>
      <c r="R352" s="4"/>
      <c r="S352" s="4"/>
      <c r="T352" s="4"/>
      <c r="U352" s="4"/>
      <c r="V352" s="4"/>
      <c r="W352" s="4"/>
    </row>
    <row r="353" spans="1:206" x14ac:dyDescent="0.2">
      <c r="A353" s="4">
        <v>50</v>
      </c>
      <c r="B353" s="4">
        <v>0</v>
      </c>
      <c r="C353" s="4">
        <v>0</v>
      </c>
      <c r="D353" s="4">
        <v>1</v>
      </c>
      <c r="E353" s="4">
        <v>208</v>
      </c>
      <c r="F353" s="4">
        <f>Source!V330</f>
        <v>258.48574603750001</v>
      </c>
      <c r="G353" s="4" t="s">
        <v>248</v>
      </c>
      <c r="H353" s="4" t="s">
        <v>249</v>
      </c>
      <c r="I353" s="4"/>
      <c r="J353" s="4"/>
      <c r="K353" s="4">
        <v>208</v>
      </c>
      <c r="L353" s="4">
        <v>22</v>
      </c>
      <c r="M353" s="4">
        <v>3</v>
      </c>
      <c r="N353" s="4" t="s">
        <v>3</v>
      </c>
      <c r="O353" s="4">
        <v>-1</v>
      </c>
      <c r="P353" s="4"/>
      <c r="Q353" s="4"/>
      <c r="R353" s="4"/>
      <c r="S353" s="4"/>
      <c r="T353" s="4"/>
      <c r="U353" s="4"/>
      <c r="V353" s="4"/>
      <c r="W353" s="4"/>
    </row>
    <row r="354" spans="1:206" x14ac:dyDescent="0.2">
      <c r="A354" s="4">
        <v>50</v>
      </c>
      <c r="B354" s="4">
        <v>0</v>
      </c>
      <c r="C354" s="4">
        <v>0</v>
      </c>
      <c r="D354" s="4">
        <v>1</v>
      </c>
      <c r="E354" s="4">
        <v>209</v>
      </c>
      <c r="F354" s="4">
        <f>ROUND(Source!W330,O354)</f>
        <v>0</v>
      </c>
      <c r="G354" s="4" t="s">
        <v>250</v>
      </c>
      <c r="H354" s="4" t="s">
        <v>251</v>
      </c>
      <c r="I354" s="4"/>
      <c r="J354" s="4"/>
      <c r="K354" s="4">
        <v>209</v>
      </c>
      <c r="L354" s="4">
        <v>23</v>
      </c>
      <c r="M354" s="4">
        <v>3</v>
      </c>
      <c r="N354" s="4" t="s">
        <v>3</v>
      </c>
      <c r="O354" s="4">
        <v>2</v>
      </c>
      <c r="P354" s="4"/>
      <c r="Q354" s="4"/>
      <c r="R354" s="4"/>
      <c r="S354" s="4"/>
      <c r="T354" s="4"/>
      <c r="U354" s="4"/>
      <c r="V354" s="4"/>
      <c r="W354" s="4"/>
    </row>
    <row r="355" spans="1:206" x14ac:dyDescent="0.2">
      <c r="A355" s="4">
        <v>50</v>
      </c>
      <c r="B355" s="4">
        <v>0</v>
      </c>
      <c r="C355" s="4">
        <v>0</v>
      </c>
      <c r="D355" s="4">
        <v>1</v>
      </c>
      <c r="E355" s="4">
        <v>210</v>
      </c>
      <c r="F355" s="4">
        <f>ROUND(Source!X330,O355)</f>
        <v>25477.99</v>
      </c>
      <c r="G355" s="4" t="s">
        <v>252</v>
      </c>
      <c r="H355" s="4" t="s">
        <v>253</v>
      </c>
      <c r="I355" s="4"/>
      <c r="J355" s="4"/>
      <c r="K355" s="4">
        <v>210</v>
      </c>
      <c r="L355" s="4">
        <v>24</v>
      </c>
      <c r="M355" s="4">
        <v>3</v>
      </c>
      <c r="N355" s="4" t="s">
        <v>3</v>
      </c>
      <c r="O355" s="4">
        <v>2</v>
      </c>
      <c r="P355" s="4"/>
      <c r="Q355" s="4"/>
      <c r="R355" s="4"/>
      <c r="S355" s="4"/>
      <c r="T355" s="4"/>
      <c r="U355" s="4"/>
      <c r="V355" s="4"/>
      <c r="W355" s="4"/>
    </row>
    <row r="356" spans="1:206" x14ac:dyDescent="0.2">
      <c r="A356" s="4">
        <v>50</v>
      </c>
      <c r="B356" s="4">
        <v>0</v>
      </c>
      <c r="C356" s="4">
        <v>0</v>
      </c>
      <c r="D356" s="4">
        <v>1</v>
      </c>
      <c r="E356" s="4">
        <v>211</v>
      </c>
      <c r="F356" s="4">
        <f>ROUND(Source!Y330,O356)</f>
        <v>18055</v>
      </c>
      <c r="G356" s="4" t="s">
        <v>254</v>
      </c>
      <c r="H356" s="4" t="s">
        <v>255</v>
      </c>
      <c r="I356" s="4"/>
      <c r="J356" s="4"/>
      <c r="K356" s="4">
        <v>211</v>
      </c>
      <c r="L356" s="4">
        <v>25</v>
      </c>
      <c r="M356" s="4">
        <v>3</v>
      </c>
      <c r="N356" s="4" t="s">
        <v>3</v>
      </c>
      <c r="O356" s="4">
        <v>2</v>
      </c>
      <c r="P356" s="4"/>
      <c r="Q356" s="4"/>
      <c r="R356" s="4"/>
      <c r="S356" s="4"/>
      <c r="T356" s="4"/>
      <c r="U356" s="4"/>
      <c r="V356" s="4"/>
      <c r="W356" s="4"/>
    </row>
    <row r="357" spans="1:206" x14ac:dyDescent="0.2">
      <c r="A357" s="4">
        <v>50</v>
      </c>
      <c r="B357" s="4">
        <v>0</v>
      </c>
      <c r="C357" s="4">
        <v>0</v>
      </c>
      <c r="D357" s="4">
        <v>1</v>
      </c>
      <c r="E357" s="4">
        <v>224</v>
      </c>
      <c r="F357" s="4">
        <f>ROUND(Source!AR330,O357)</f>
        <v>485977.98</v>
      </c>
      <c r="G357" s="4" t="s">
        <v>256</v>
      </c>
      <c r="H357" s="4" t="s">
        <v>257</v>
      </c>
      <c r="I357" s="4"/>
      <c r="J357" s="4"/>
      <c r="K357" s="4">
        <v>224</v>
      </c>
      <c r="L357" s="4">
        <v>26</v>
      </c>
      <c r="M357" s="4">
        <v>3</v>
      </c>
      <c r="N357" s="4" t="s">
        <v>3</v>
      </c>
      <c r="O357" s="4">
        <v>2</v>
      </c>
      <c r="P357" s="4"/>
      <c r="Q357" s="4"/>
      <c r="R357" s="4"/>
      <c r="S357" s="4"/>
      <c r="T357" s="4"/>
      <c r="U357" s="4"/>
      <c r="V357" s="4"/>
      <c r="W357" s="4"/>
    </row>
    <row r="359" spans="1:206" x14ac:dyDescent="0.2">
      <c r="A359" s="2">
        <v>51</v>
      </c>
      <c r="B359" s="2">
        <f>B12</f>
        <v>429</v>
      </c>
      <c r="C359" s="2">
        <f>A12</f>
        <v>1</v>
      </c>
      <c r="D359" s="2">
        <f>ROW(A12)</f>
        <v>12</v>
      </c>
      <c r="E359" s="2"/>
      <c r="F359" s="2" t="str">
        <f>IF(F12&lt;&gt;"",F12,"")</f>
        <v>ФНС России в Амурской области, Амурская область,г. Благовещенск, ул. Пушкина, д. 104_(в базовых ценах)</v>
      </c>
      <c r="G359" s="2" t="str">
        <f>IF(G12&lt;&gt;"",G12,"")</f>
        <v>ФНС России в Амурской области, Амурская область,г. Благовещенск, ул. Пушкина, д. 104_(в базовых ценах)</v>
      </c>
      <c r="H359" s="2">
        <v>0</v>
      </c>
      <c r="I359" s="2"/>
      <c r="J359" s="2"/>
      <c r="K359" s="2"/>
      <c r="L359" s="2"/>
      <c r="M359" s="2"/>
      <c r="N359" s="2"/>
      <c r="O359" s="2">
        <f t="shared" ref="O359:T359" si="303">ROUND(O330,2)</f>
        <v>425120.03</v>
      </c>
      <c r="P359" s="2">
        <f t="shared" si="303"/>
        <v>365828.51</v>
      </c>
      <c r="Q359" s="2">
        <f t="shared" si="303"/>
        <v>36603.980000000003</v>
      </c>
      <c r="R359" s="2">
        <f t="shared" si="303"/>
        <v>3228.98</v>
      </c>
      <c r="S359" s="2">
        <f t="shared" si="303"/>
        <v>22687.54</v>
      </c>
      <c r="T359" s="2">
        <f t="shared" si="303"/>
        <v>0</v>
      </c>
      <c r="U359" s="2">
        <f>U330</f>
        <v>2669.4528021982505</v>
      </c>
      <c r="V359" s="2">
        <f>V330</f>
        <v>258.48574603750001</v>
      </c>
      <c r="W359" s="2">
        <f>ROUND(W330,2)</f>
        <v>0</v>
      </c>
      <c r="X359" s="2">
        <f>ROUND(X330,2)</f>
        <v>25477.99</v>
      </c>
      <c r="Y359" s="2">
        <f>ROUND(Y330,2)</f>
        <v>18055</v>
      </c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>
        <f t="shared" ref="AO359:BC359" si="304">ROUND(AO330,2)</f>
        <v>0</v>
      </c>
      <c r="AP359" s="2">
        <f t="shared" si="304"/>
        <v>0</v>
      </c>
      <c r="AQ359" s="2">
        <f t="shared" si="304"/>
        <v>0</v>
      </c>
      <c r="AR359" s="2">
        <f t="shared" si="304"/>
        <v>485977.98</v>
      </c>
      <c r="AS359" s="2">
        <f t="shared" si="304"/>
        <v>484843.84</v>
      </c>
      <c r="AT359" s="2">
        <f t="shared" si="304"/>
        <v>1134.1400000000001</v>
      </c>
      <c r="AU359" s="2">
        <f t="shared" si="304"/>
        <v>0</v>
      </c>
      <c r="AV359" s="2">
        <f t="shared" si="304"/>
        <v>365828.51</v>
      </c>
      <c r="AW359" s="2">
        <f t="shared" si="304"/>
        <v>365828.51</v>
      </c>
      <c r="AX359" s="2">
        <f t="shared" si="304"/>
        <v>0</v>
      </c>
      <c r="AY359" s="2">
        <f t="shared" si="304"/>
        <v>365828.51</v>
      </c>
      <c r="AZ359" s="2">
        <f t="shared" si="304"/>
        <v>0</v>
      </c>
      <c r="BA359" s="2">
        <f t="shared" si="304"/>
        <v>0</v>
      </c>
      <c r="BB359" s="2">
        <f t="shared" si="304"/>
        <v>0</v>
      </c>
      <c r="BC359" s="2">
        <f t="shared" si="304"/>
        <v>0</v>
      </c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>
        <v>0</v>
      </c>
    </row>
    <row r="361" spans="1:206" x14ac:dyDescent="0.2">
      <c r="A361" s="4">
        <v>50</v>
      </c>
      <c r="B361" s="4">
        <v>1</v>
      </c>
      <c r="C361" s="4">
        <v>0</v>
      </c>
      <c r="D361" s="4">
        <v>1</v>
      </c>
      <c r="E361" s="4">
        <v>201</v>
      </c>
      <c r="F361" s="4">
        <f>ROUND(Source!O359,O361)</f>
        <v>425120.03</v>
      </c>
      <c r="G361" s="4" t="s">
        <v>206</v>
      </c>
      <c r="H361" s="4" t="s">
        <v>207</v>
      </c>
      <c r="I361" s="4"/>
      <c r="J361" s="4"/>
      <c r="K361" s="4">
        <v>201</v>
      </c>
      <c r="L361" s="4">
        <v>1</v>
      </c>
      <c r="M361" s="4">
        <v>0</v>
      </c>
      <c r="N361" s="4" t="s">
        <v>3</v>
      </c>
      <c r="O361" s="4">
        <v>2</v>
      </c>
      <c r="P361" s="4"/>
      <c r="Q361" s="4"/>
      <c r="R361" s="4"/>
      <c r="S361" s="4"/>
      <c r="T361" s="4"/>
      <c r="U361" s="4"/>
      <c r="V361" s="4"/>
      <c r="W361" s="4"/>
    </row>
    <row r="362" spans="1:206" x14ac:dyDescent="0.2">
      <c r="A362" s="4">
        <v>50</v>
      </c>
      <c r="B362" s="4">
        <v>1</v>
      </c>
      <c r="C362" s="4">
        <v>0</v>
      </c>
      <c r="D362" s="4">
        <v>1</v>
      </c>
      <c r="E362" s="4">
        <v>202</v>
      </c>
      <c r="F362" s="4">
        <f>ROUND(Source!P359,O362)</f>
        <v>365828.51</v>
      </c>
      <c r="G362" s="4" t="s">
        <v>208</v>
      </c>
      <c r="H362" s="4" t="s">
        <v>209</v>
      </c>
      <c r="I362" s="4"/>
      <c r="J362" s="4"/>
      <c r="K362" s="4">
        <v>202</v>
      </c>
      <c r="L362" s="4">
        <v>2</v>
      </c>
      <c r="M362" s="4">
        <v>0</v>
      </c>
      <c r="N362" s="4" t="s">
        <v>3</v>
      </c>
      <c r="O362" s="4">
        <v>2</v>
      </c>
      <c r="P362" s="4"/>
      <c r="Q362" s="4"/>
      <c r="R362" s="4"/>
      <c r="S362" s="4"/>
      <c r="T362" s="4"/>
      <c r="U362" s="4"/>
      <c r="V362" s="4"/>
      <c r="W362" s="4"/>
    </row>
    <row r="363" spans="1:206" x14ac:dyDescent="0.2">
      <c r="A363" s="4">
        <v>50</v>
      </c>
      <c r="B363" s="4">
        <v>0</v>
      </c>
      <c r="C363" s="4">
        <v>0</v>
      </c>
      <c r="D363" s="4">
        <v>1</v>
      </c>
      <c r="E363" s="4">
        <v>222</v>
      </c>
      <c r="F363" s="4">
        <f>ROUND(Source!AO359,O363)</f>
        <v>0</v>
      </c>
      <c r="G363" s="4" t="s">
        <v>210</v>
      </c>
      <c r="H363" s="4" t="s">
        <v>211</v>
      </c>
      <c r="I363" s="4"/>
      <c r="J363" s="4"/>
      <c r="K363" s="4">
        <v>222</v>
      </c>
      <c r="L363" s="4">
        <v>3</v>
      </c>
      <c r="M363" s="4">
        <v>3</v>
      </c>
      <c r="N363" s="4" t="s">
        <v>3</v>
      </c>
      <c r="O363" s="4">
        <v>2</v>
      </c>
      <c r="P363" s="4"/>
      <c r="Q363" s="4"/>
      <c r="R363" s="4"/>
      <c r="S363" s="4"/>
      <c r="T363" s="4"/>
      <c r="U363" s="4"/>
      <c r="V363" s="4"/>
      <c r="W363" s="4"/>
    </row>
    <row r="364" spans="1:206" x14ac:dyDescent="0.2">
      <c r="A364" s="4">
        <v>50</v>
      </c>
      <c r="B364" s="4">
        <v>0</v>
      </c>
      <c r="C364" s="4">
        <v>0</v>
      </c>
      <c r="D364" s="4">
        <v>1</v>
      </c>
      <c r="E364" s="4">
        <v>225</v>
      </c>
      <c r="F364" s="4">
        <f>ROUND(Source!AV359,O364)</f>
        <v>365828.51</v>
      </c>
      <c r="G364" s="4" t="s">
        <v>212</v>
      </c>
      <c r="H364" s="4" t="s">
        <v>213</v>
      </c>
      <c r="I364" s="4"/>
      <c r="J364" s="4"/>
      <c r="K364" s="4">
        <v>225</v>
      </c>
      <c r="L364" s="4">
        <v>4</v>
      </c>
      <c r="M364" s="4">
        <v>3</v>
      </c>
      <c r="N364" s="4" t="s">
        <v>3</v>
      </c>
      <c r="O364" s="4">
        <v>2</v>
      </c>
      <c r="P364" s="4"/>
      <c r="Q364" s="4"/>
      <c r="R364" s="4"/>
      <c r="S364" s="4"/>
      <c r="T364" s="4"/>
      <c r="U364" s="4"/>
      <c r="V364" s="4"/>
      <c r="W364" s="4"/>
    </row>
    <row r="365" spans="1:206" x14ac:dyDescent="0.2">
      <c r="A365" s="4">
        <v>50</v>
      </c>
      <c r="B365" s="4">
        <v>0</v>
      </c>
      <c r="C365" s="4">
        <v>0</v>
      </c>
      <c r="D365" s="4">
        <v>1</v>
      </c>
      <c r="E365" s="4">
        <v>226</v>
      </c>
      <c r="F365" s="4">
        <f>ROUND(Source!AW359,O365)</f>
        <v>365828.51</v>
      </c>
      <c r="G365" s="4" t="s">
        <v>214</v>
      </c>
      <c r="H365" s="4" t="s">
        <v>215</v>
      </c>
      <c r="I365" s="4"/>
      <c r="J365" s="4"/>
      <c r="K365" s="4">
        <v>226</v>
      </c>
      <c r="L365" s="4">
        <v>5</v>
      </c>
      <c r="M365" s="4">
        <v>3</v>
      </c>
      <c r="N365" s="4" t="s">
        <v>3</v>
      </c>
      <c r="O365" s="4">
        <v>2</v>
      </c>
      <c r="P365" s="4"/>
      <c r="Q365" s="4"/>
      <c r="R365" s="4"/>
      <c r="S365" s="4"/>
      <c r="T365" s="4"/>
      <c r="U365" s="4"/>
      <c r="V365" s="4"/>
      <c r="W365" s="4"/>
    </row>
    <row r="366" spans="1:206" x14ac:dyDescent="0.2">
      <c r="A366" s="4">
        <v>50</v>
      </c>
      <c r="B366" s="4">
        <v>0</v>
      </c>
      <c r="C366" s="4">
        <v>0</v>
      </c>
      <c r="D366" s="4">
        <v>1</v>
      </c>
      <c r="E366" s="4">
        <v>227</v>
      </c>
      <c r="F366" s="4">
        <f>ROUND(Source!AX359,O366)</f>
        <v>0</v>
      </c>
      <c r="G366" s="4" t="s">
        <v>216</v>
      </c>
      <c r="H366" s="4" t="s">
        <v>217</v>
      </c>
      <c r="I366" s="4"/>
      <c r="J366" s="4"/>
      <c r="K366" s="4">
        <v>227</v>
      </c>
      <c r="L366" s="4">
        <v>6</v>
      </c>
      <c r="M366" s="4">
        <v>3</v>
      </c>
      <c r="N366" s="4" t="s">
        <v>3</v>
      </c>
      <c r="O366" s="4">
        <v>2</v>
      </c>
      <c r="P366" s="4"/>
      <c r="Q366" s="4"/>
      <c r="R366" s="4"/>
      <c r="S366" s="4"/>
      <c r="T366" s="4"/>
      <c r="U366" s="4"/>
      <c r="V366" s="4"/>
      <c r="W366" s="4"/>
    </row>
    <row r="367" spans="1:206" x14ac:dyDescent="0.2">
      <c r="A367" s="4">
        <v>50</v>
      </c>
      <c r="B367" s="4">
        <v>0</v>
      </c>
      <c r="C367" s="4">
        <v>0</v>
      </c>
      <c r="D367" s="4">
        <v>1</v>
      </c>
      <c r="E367" s="4">
        <v>228</v>
      </c>
      <c r="F367" s="4">
        <f>ROUND(Source!AY359,O367)</f>
        <v>365828.51</v>
      </c>
      <c r="G367" s="4" t="s">
        <v>218</v>
      </c>
      <c r="H367" s="4" t="s">
        <v>219</v>
      </c>
      <c r="I367" s="4"/>
      <c r="J367" s="4"/>
      <c r="K367" s="4">
        <v>228</v>
      </c>
      <c r="L367" s="4">
        <v>7</v>
      </c>
      <c r="M367" s="4">
        <v>3</v>
      </c>
      <c r="N367" s="4" t="s">
        <v>3</v>
      </c>
      <c r="O367" s="4">
        <v>2</v>
      </c>
      <c r="P367" s="4"/>
      <c r="Q367" s="4"/>
      <c r="R367" s="4"/>
      <c r="S367" s="4"/>
      <c r="T367" s="4"/>
      <c r="U367" s="4"/>
      <c r="V367" s="4"/>
      <c r="W367" s="4"/>
    </row>
    <row r="368" spans="1:206" x14ac:dyDescent="0.2">
      <c r="A368" s="4">
        <v>50</v>
      </c>
      <c r="B368" s="4">
        <v>0</v>
      </c>
      <c r="C368" s="4">
        <v>0</v>
      </c>
      <c r="D368" s="4">
        <v>1</v>
      </c>
      <c r="E368" s="4">
        <v>216</v>
      </c>
      <c r="F368" s="4">
        <f>ROUND(Source!AP359,O368)</f>
        <v>0</v>
      </c>
      <c r="G368" s="4" t="s">
        <v>220</v>
      </c>
      <c r="H368" s="4" t="s">
        <v>221</v>
      </c>
      <c r="I368" s="4"/>
      <c r="J368" s="4"/>
      <c r="K368" s="4">
        <v>216</v>
      </c>
      <c r="L368" s="4">
        <v>8</v>
      </c>
      <c r="M368" s="4">
        <v>3</v>
      </c>
      <c r="N368" s="4" t="s">
        <v>3</v>
      </c>
      <c r="O368" s="4">
        <v>2</v>
      </c>
      <c r="P368" s="4"/>
      <c r="Q368" s="4"/>
      <c r="R368" s="4"/>
      <c r="S368" s="4"/>
      <c r="T368" s="4"/>
      <c r="U368" s="4"/>
      <c r="V368" s="4"/>
      <c r="W368" s="4"/>
    </row>
    <row r="369" spans="1:23" x14ac:dyDescent="0.2">
      <c r="A369" s="4">
        <v>50</v>
      </c>
      <c r="B369" s="4">
        <v>0</v>
      </c>
      <c r="C369" s="4">
        <v>0</v>
      </c>
      <c r="D369" s="4">
        <v>1</v>
      </c>
      <c r="E369" s="4">
        <v>223</v>
      </c>
      <c r="F369" s="4">
        <f>ROUND(Source!AQ359,O369)</f>
        <v>0</v>
      </c>
      <c r="G369" s="4" t="s">
        <v>222</v>
      </c>
      <c r="H369" s="4" t="s">
        <v>223</v>
      </c>
      <c r="I369" s="4"/>
      <c r="J369" s="4"/>
      <c r="K369" s="4">
        <v>223</v>
      </c>
      <c r="L369" s="4">
        <v>9</v>
      </c>
      <c r="M369" s="4">
        <v>3</v>
      </c>
      <c r="N369" s="4" t="s">
        <v>3</v>
      </c>
      <c r="O369" s="4">
        <v>2</v>
      </c>
      <c r="P369" s="4"/>
      <c r="Q369" s="4"/>
      <c r="R369" s="4"/>
      <c r="S369" s="4"/>
      <c r="T369" s="4"/>
      <c r="U369" s="4"/>
      <c r="V369" s="4"/>
      <c r="W369" s="4"/>
    </row>
    <row r="370" spans="1:23" x14ac:dyDescent="0.2">
      <c r="A370" s="4">
        <v>50</v>
      </c>
      <c r="B370" s="4">
        <v>0</v>
      </c>
      <c r="C370" s="4">
        <v>0</v>
      </c>
      <c r="D370" s="4">
        <v>1</v>
      </c>
      <c r="E370" s="4">
        <v>229</v>
      </c>
      <c r="F370" s="4">
        <f>ROUND(Source!AZ359,O370)</f>
        <v>0</v>
      </c>
      <c r="G370" s="4" t="s">
        <v>224</v>
      </c>
      <c r="H370" s="4" t="s">
        <v>225</v>
      </c>
      <c r="I370" s="4"/>
      <c r="J370" s="4"/>
      <c r="K370" s="4">
        <v>229</v>
      </c>
      <c r="L370" s="4">
        <v>10</v>
      </c>
      <c r="M370" s="4">
        <v>3</v>
      </c>
      <c r="N370" s="4" t="s">
        <v>3</v>
      </c>
      <c r="O370" s="4">
        <v>2</v>
      </c>
      <c r="P370" s="4"/>
      <c r="Q370" s="4"/>
      <c r="R370" s="4"/>
      <c r="S370" s="4"/>
      <c r="T370" s="4"/>
      <c r="U370" s="4"/>
      <c r="V370" s="4"/>
      <c r="W370" s="4"/>
    </row>
    <row r="371" spans="1:23" x14ac:dyDescent="0.2">
      <c r="A371" s="4">
        <v>50</v>
      </c>
      <c r="B371" s="4">
        <v>1</v>
      </c>
      <c r="C371" s="4">
        <v>0</v>
      </c>
      <c r="D371" s="4">
        <v>1</v>
      </c>
      <c r="E371" s="4">
        <v>203</v>
      </c>
      <c r="F371" s="4">
        <f>ROUND(Source!Q359,O371)</f>
        <v>36603.980000000003</v>
      </c>
      <c r="G371" s="4" t="s">
        <v>226</v>
      </c>
      <c r="H371" s="4" t="s">
        <v>227</v>
      </c>
      <c r="I371" s="4"/>
      <c r="J371" s="4"/>
      <c r="K371" s="4">
        <v>203</v>
      </c>
      <c r="L371" s="4">
        <v>11</v>
      </c>
      <c r="M371" s="4">
        <v>0</v>
      </c>
      <c r="N371" s="4" t="s">
        <v>3</v>
      </c>
      <c r="O371" s="4">
        <v>2</v>
      </c>
      <c r="P371" s="4"/>
      <c r="Q371" s="4"/>
      <c r="R371" s="4"/>
      <c r="S371" s="4"/>
      <c r="T371" s="4"/>
      <c r="U371" s="4"/>
      <c r="V371" s="4"/>
      <c r="W371" s="4"/>
    </row>
    <row r="372" spans="1:23" x14ac:dyDescent="0.2">
      <c r="A372" s="4">
        <v>50</v>
      </c>
      <c r="B372" s="4">
        <v>0</v>
      </c>
      <c r="C372" s="4">
        <v>0</v>
      </c>
      <c r="D372" s="4">
        <v>1</v>
      </c>
      <c r="E372" s="4">
        <v>231</v>
      </c>
      <c r="F372" s="4">
        <f>ROUND(Source!BB359,O372)</f>
        <v>0</v>
      </c>
      <c r="G372" s="4" t="s">
        <v>228</v>
      </c>
      <c r="H372" s="4" t="s">
        <v>229</v>
      </c>
      <c r="I372" s="4"/>
      <c r="J372" s="4"/>
      <c r="K372" s="4">
        <v>231</v>
      </c>
      <c r="L372" s="4">
        <v>12</v>
      </c>
      <c r="M372" s="4">
        <v>3</v>
      </c>
      <c r="N372" s="4" t="s">
        <v>3</v>
      </c>
      <c r="O372" s="4">
        <v>2</v>
      </c>
      <c r="P372" s="4"/>
      <c r="Q372" s="4"/>
      <c r="R372" s="4"/>
      <c r="S372" s="4"/>
      <c r="T372" s="4"/>
      <c r="U372" s="4"/>
      <c r="V372" s="4"/>
      <c r="W372" s="4"/>
    </row>
    <row r="373" spans="1:23" x14ac:dyDescent="0.2">
      <c r="A373" s="4">
        <v>50</v>
      </c>
      <c r="B373" s="4">
        <v>1</v>
      </c>
      <c r="C373" s="4">
        <v>0</v>
      </c>
      <c r="D373" s="4">
        <v>1</v>
      </c>
      <c r="E373" s="4">
        <v>204</v>
      </c>
      <c r="F373" s="4">
        <f>ROUND(Source!R359,O373)</f>
        <v>3228.98</v>
      </c>
      <c r="G373" s="4" t="s">
        <v>230</v>
      </c>
      <c r="H373" s="4" t="s">
        <v>231</v>
      </c>
      <c r="I373" s="4"/>
      <c r="J373" s="4"/>
      <c r="K373" s="4">
        <v>204</v>
      </c>
      <c r="L373" s="4">
        <v>13</v>
      </c>
      <c r="M373" s="4">
        <v>0</v>
      </c>
      <c r="N373" s="4" t="s">
        <v>3</v>
      </c>
      <c r="O373" s="4">
        <v>2</v>
      </c>
      <c r="P373" s="4"/>
      <c r="Q373" s="4"/>
      <c r="R373" s="4"/>
      <c r="S373" s="4"/>
      <c r="T373" s="4"/>
      <c r="U373" s="4"/>
      <c r="V373" s="4"/>
      <c r="W373" s="4"/>
    </row>
    <row r="374" spans="1:23" x14ac:dyDescent="0.2">
      <c r="A374" s="4">
        <v>50</v>
      </c>
      <c r="B374" s="4">
        <v>1</v>
      </c>
      <c r="C374" s="4">
        <v>0</v>
      </c>
      <c r="D374" s="4">
        <v>1</v>
      </c>
      <c r="E374" s="4">
        <v>205</v>
      </c>
      <c r="F374" s="4">
        <f>ROUND(Source!S359,O374)</f>
        <v>22687.54</v>
      </c>
      <c r="G374" s="4" t="s">
        <v>232</v>
      </c>
      <c r="H374" s="4" t="s">
        <v>233</v>
      </c>
      <c r="I374" s="4"/>
      <c r="J374" s="4"/>
      <c r="K374" s="4">
        <v>205</v>
      </c>
      <c r="L374" s="4">
        <v>14</v>
      </c>
      <c r="M374" s="4">
        <v>0</v>
      </c>
      <c r="N374" s="4" t="s">
        <v>3</v>
      </c>
      <c r="O374" s="4">
        <v>2</v>
      </c>
      <c r="P374" s="4"/>
      <c r="Q374" s="4"/>
      <c r="R374" s="4"/>
      <c r="S374" s="4"/>
      <c r="T374" s="4"/>
      <c r="U374" s="4"/>
      <c r="V374" s="4"/>
      <c r="W374" s="4"/>
    </row>
    <row r="375" spans="1:23" x14ac:dyDescent="0.2">
      <c r="A375" s="4">
        <v>50</v>
      </c>
      <c r="B375" s="4">
        <v>0</v>
      </c>
      <c r="C375" s="4">
        <v>0</v>
      </c>
      <c r="D375" s="4">
        <v>1</v>
      </c>
      <c r="E375" s="4">
        <v>232</v>
      </c>
      <c r="F375" s="4">
        <f>ROUND(Source!BC359,O375)</f>
        <v>0</v>
      </c>
      <c r="G375" s="4" t="s">
        <v>234</v>
      </c>
      <c r="H375" s="4" t="s">
        <v>235</v>
      </c>
      <c r="I375" s="4"/>
      <c r="J375" s="4"/>
      <c r="K375" s="4">
        <v>232</v>
      </c>
      <c r="L375" s="4">
        <v>15</v>
      </c>
      <c r="M375" s="4">
        <v>3</v>
      </c>
      <c r="N375" s="4" t="s">
        <v>3</v>
      </c>
      <c r="O375" s="4">
        <v>2</v>
      </c>
      <c r="P375" s="4"/>
      <c r="Q375" s="4"/>
      <c r="R375" s="4"/>
      <c r="S375" s="4"/>
      <c r="T375" s="4"/>
      <c r="U375" s="4"/>
      <c r="V375" s="4"/>
      <c r="W375" s="4"/>
    </row>
    <row r="376" spans="1:23" x14ac:dyDescent="0.2">
      <c r="A376" s="4">
        <v>50</v>
      </c>
      <c r="B376" s="4">
        <v>0</v>
      </c>
      <c r="C376" s="4">
        <v>0</v>
      </c>
      <c r="D376" s="4">
        <v>1</v>
      </c>
      <c r="E376" s="4">
        <v>214</v>
      </c>
      <c r="F376" s="4">
        <f>ROUND(Source!AS359,O376)</f>
        <v>484843.84</v>
      </c>
      <c r="G376" s="4" t="s">
        <v>236</v>
      </c>
      <c r="H376" s="4" t="s">
        <v>237</v>
      </c>
      <c r="I376" s="4"/>
      <c r="J376" s="4"/>
      <c r="K376" s="4">
        <v>214</v>
      </c>
      <c r="L376" s="4">
        <v>16</v>
      </c>
      <c r="M376" s="4">
        <v>3</v>
      </c>
      <c r="N376" s="4" t="s">
        <v>3</v>
      </c>
      <c r="O376" s="4">
        <v>2</v>
      </c>
      <c r="P376" s="4"/>
      <c r="Q376" s="4"/>
      <c r="R376" s="4"/>
      <c r="S376" s="4"/>
      <c r="T376" s="4"/>
      <c r="U376" s="4"/>
      <c r="V376" s="4"/>
      <c r="W376" s="4"/>
    </row>
    <row r="377" spans="1:23" x14ac:dyDescent="0.2">
      <c r="A377" s="4">
        <v>50</v>
      </c>
      <c r="B377" s="4">
        <v>0</v>
      </c>
      <c r="C377" s="4">
        <v>0</v>
      </c>
      <c r="D377" s="4">
        <v>1</v>
      </c>
      <c r="E377" s="4">
        <v>215</v>
      </c>
      <c r="F377" s="4">
        <f>ROUND(Source!AT359,O377)</f>
        <v>1134.1400000000001</v>
      </c>
      <c r="G377" s="4" t="s">
        <v>238</v>
      </c>
      <c r="H377" s="4" t="s">
        <v>239</v>
      </c>
      <c r="I377" s="4"/>
      <c r="J377" s="4"/>
      <c r="K377" s="4">
        <v>215</v>
      </c>
      <c r="L377" s="4">
        <v>17</v>
      </c>
      <c r="M377" s="4">
        <v>3</v>
      </c>
      <c r="N377" s="4" t="s">
        <v>3</v>
      </c>
      <c r="O377" s="4">
        <v>2</v>
      </c>
      <c r="P377" s="4"/>
      <c r="Q377" s="4"/>
      <c r="R377" s="4"/>
      <c r="S377" s="4"/>
      <c r="T377" s="4"/>
      <c r="U377" s="4"/>
      <c r="V377" s="4"/>
      <c r="W377" s="4"/>
    </row>
    <row r="378" spans="1:23" x14ac:dyDescent="0.2">
      <c r="A378" s="4">
        <v>50</v>
      </c>
      <c r="B378" s="4">
        <v>0</v>
      </c>
      <c r="C378" s="4">
        <v>0</v>
      </c>
      <c r="D378" s="4">
        <v>1</v>
      </c>
      <c r="E378" s="4">
        <v>217</v>
      </c>
      <c r="F378" s="4">
        <f>ROUND(Source!AU359,O378)</f>
        <v>0</v>
      </c>
      <c r="G378" s="4" t="s">
        <v>240</v>
      </c>
      <c r="H378" s="4" t="s">
        <v>241</v>
      </c>
      <c r="I378" s="4"/>
      <c r="J378" s="4"/>
      <c r="K378" s="4">
        <v>217</v>
      </c>
      <c r="L378" s="4">
        <v>18</v>
      </c>
      <c r="M378" s="4">
        <v>3</v>
      </c>
      <c r="N378" s="4" t="s">
        <v>3</v>
      </c>
      <c r="O378" s="4">
        <v>2</v>
      </c>
      <c r="P378" s="4"/>
      <c r="Q378" s="4"/>
      <c r="R378" s="4"/>
      <c r="S378" s="4"/>
      <c r="T378" s="4"/>
      <c r="U378" s="4"/>
      <c r="V378" s="4"/>
      <c r="W378" s="4"/>
    </row>
    <row r="379" spans="1:23" x14ac:dyDescent="0.2">
      <c r="A379" s="4">
        <v>50</v>
      </c>
      <c r="B379" s="4">
        <v>0</v>
      </c>
      <c r="C379" s="4">
        <v>0</v>
      </c>
      <c r="D379" s="4">
        <v>1</v>
      </c>
      <c r="E379" s="4">
        <v>230</v>
      </c>
      <c r="F379" s="4">
        <f>ROUND(Source!BA359,O379)</f>
        <v>0</v>
      </c>
      <c r="G379" s="4" t="s">
        <v>242</v>
      </c>
      <c r="H379" s="4" t="s">
        <v>243</v>
      </c>
      <c r="I379" s="4"/>
      <c r="J379" s="4"/>
      <c r="K379" s="4">
        <v>230</v>
      </c>
      <c r="L379" s="4">
        <v>19</v>
      </c>
      <c r="M379" s="4">
        <v>3</v>
      </c>
      <c r="N379" s="4" t="s">
        <v>3</v>
      </c>
      <c r="O379" s="4">
        <v>2</v>
      </c>
      <c r="P379" s="4"/>
      <c r="Q379" s="4"/>
      <c r="R379" s="4"/>
      <c r="S379" s="4"/>
      <c r="T379" s="4"/>
      <c r="U379" s="4"/>
      <c r="V379" s="4"/>
      <c r="W379" s="4"/>
    </row>
    <row r="380" spans="1:23" x14ac:dyDescent="0.2">
      <c r="A380" s="4">
        <v>50</v>
      </c>
      <c r="B380" s="4">
        <v>0</v>
      </c>
      <c r="C380" s="4">
        <v>0</v>
      </c>
      <c r="D380" s="4">
        <v>1</v>
      </c>
      <c r="E380" s="4">
        <v>206</v>
      </c>
      <c r="F380" s="4">
        <f>ROUND(Source!T359,O380)</f>
        <v>0</v>
      </c>
      <c r="G380" s="4" t="s">
        <v>244</v>
      </c>
      <c r="H380" s="4" t="s">
        <v>245</v>
      </c>
      <c r="I380" s="4"/>
      <c r="J380" s="4"/>
      <c r="K380" s="4">
        <v>206</v>
      </c>
      <c r="L380" s="4">
        <v>20</v>
      </c>
      <c r="M380" s="4">
        <v>3</v>
      </c>
      <c r="N380" s="4" t="s">
        <v>3</v>
      </c>
      <c r="O380" s="4">
        <v>2</v>
      </c>
      <c r="P380" s="4"/>
      <c r="Q380" s="4"/>
      <c r="R380" s="4"/>
      <c r="S380" s="4"/>
      <c r="T380" s="4"/>
      <c r="U380" s="4"/>
      <c r="V380" s="4"/>
      <c r="W380" s="4"/>
    </row>
    <row r="381" spans="1:23" x14ac:dyDescent="0.2">
      <c r="A381" s="4">
        <v>50</v>
      </c>
      <c r="B381" s="4">
        <v>0</v>
      </c>
      <c r="C381" s="4">
        <v>0</v>
      </c>
      <c r="D381" s="4">
        <v>1</v>
      </c>
      <c r="E381" s="4">
        <v>207</v>
      </c>
      <c r="F381" s="4">
        <f>Source!U359</f>
        <v>2669.4528021982505</v>
      </c>
      <c r="G381" s="4" t="s">
        <v>246</v>
      </c>
      <c r="H381" s="4" t="s">
        <v>247</v>
      </c>
      <c r="I381" s="4"/>
      <c r="J381" s="4"/>
      <c r="K381" s="4">
        <v>207</v>
      </c>
      <c r="L381" s="4">
        <v>21</v>
      </c>
      <c r="M381" s="4">
        <v>3</v>
      </c>
      <c r="N381" s="4" t="s">
        <v>3</v>
      </c>
      <c r="O381" s="4">
        <v>-1</v>
      </c>
      <c r="P381" s="4"/>
      <c r="Q381" s="4"/>
      <c r="R381" s="4"/>
      <c r="S381" s="4"/>
      <c r="T381" s="4"/>
      <c r="U381" s="4"/>
      <c r="V381" s="4"/>
      <c r="W381" s="4"/>
    </row>
    <row r="382" spans="1:23" x14ac:dyDescent="0.2">
      <c r="A382" s="4">
        <v>50</v>
      </c>
      <c r="B382" s="4">
        <v>0</v>
      </c>
      <c r="C382" s="4">
        <v>0</v>
      </c>
      <c r="D382" s="4">
        <v>1</v>
      </c>
      <c r="E382" s="4">
        <v>208</v>
      </c>
      <c r="F382" s="4">
        <f>Source!V359</f>
        <v>258.48574603750001</v>
      </c>
      <c r="G382" s="4" t="s">
        <v>248</v>
      </c>
      <c r="H382" s="4" t="s">
        <v>249</v>
      </c>
      <c r="I382" s="4"/>
      <c r="J382" s="4"/>
      <c r="K382" s="4">
        <v>208</v>
      </c>
      <c r="L382" s="4">
        <v>22</v>
      </c>
      <c r="M382" s="4">
        <v>3</v>
      </c>
      <c r="N382" s="4" t="s">
        <v>3</v>
      </c>
      <c r="O382" s="4">
        <v>-1</v>
      </c>
      <c r="P382" s="4"/>
      <c r="Q382" s="4"/>
      <c r="R382" s="4"/>
      <c r="S382" s="4"/>
      <c r="T382" s="4"/>
      <c r="U382" s="4"/>
      <c r="V382" s="4"/>
      <c r="W382" s="4"/>
    </row>
    <row r="383" spans="1:23" x14ac:dyDescent="0.2">
      <c r="A383" s="4">
        <v>50</v>
      </c>
      <c r="B383" s="4">
        <v>0</v>
      </c>
      <c r="C383" s="4">
        <v>0</v>
      </c>
      <c r="D383" s="4">
        <v>1</v>
      </c>
      <c r="E383" s="4">
        <v>209</v>
      </c>
      <c r="F383" s="4">
        <f>ROUND(Source!W359,O383)</f>
        <v>0</v>
      </c>
      <c r="G383" s="4" t="s">
        <v>250</v>
      </c>
      <c r="H383" s="4" t="s">
        <v>251</v>
      </c>
      <c r="I383" s="4"/>
      <c r="J383" s="4"/>
      <c r="K383" s="4">
        <v>209</v>
      </c>
      <c r="L383" s="4">
        <v>23</v>
      </c>
      <c r="M383" s="4">
        <v>3</v>
      </c>
      <c r="N383" s="4" t="s">
        <v>3</v>
      </c>
      <c r="O383" s="4">
        <v>2</v>
      </c>
      <c r="P383" s="4"/>
      <c r="Q383" s="4"/>
      <c r="R383" s="4"/>
      <c r="S383" s="4"/>
      <c r="T383" s="4"/>
      <c r="U383" s="4"/>
      <c r="V383" s="4"/>
      <c r="W383" s="4"/>
    </row>
    <row r="384" spans="1:23" x14ac:dyDescent="0.2">
      <c r="A384" s="4">
        <v>50</v>
      </c>
      <c r="B384" s="4">
        <v>1</v>
      </c>
      <c r="C384" s="4">
        <v>0</v>
      </c>
      <c r="D384" s="4">
        <v>1</v>
      </c>
      <c r="E384" s="4">
        <v>210</v>
      </c>
      <c r="F384" s="4">
        <f>ROUND(Source!X359,O384)</f>
        <v>25477.99</v>
      </c>
      <c r="G384" s="4" t="s">
        <v>252</v>
      </c>
      <c r="H384" s="4" t="s">
        <v>253</v>
      </c>
      <c r="I384" s="4"/>
      <c r="J384" s="4"/>
      <c r="K384" s="4">
        <v>210</v>
      </c>
      <c r="L384" s="4">
        <v>24</v>
      </c>
      <c r="M384" s="4">
        <v>0</v>
      </c>
      <c r="N384" s="4" t="s">
        <v>3</v>
      </c>
      <c r="O384" s="4">
        <v>2</v>
      </c>
      <c r="P384" s="4"/>
      <c r="Q384" s="4"/>
      <c r="R384" s="4"/>
      <c r="S384" s="4"/>
      <c r="T384" s="4"/>
      <c r="U384" s="4"/>
      <c r="V384" s="4"/>
      <c r="W384" s="4"/>
    </row>
    <row r="385" spans="1:23" x14ac:dyDescent="0.2">
      <c r="A385" s="4">
        <v>50</v>
      </c>
      <c r="B385" s="4">
        <v>1</v>
      </c>
      <c r="C385" s="4">
        <v>0</v>
      </c>
      <c r="D385" s="4">
        <v>1</v>
      </c>
      <c r="E385" s="4">
        <v>211</v>
      </c>
      <c r="F385" s="4">
        <f>ROUND(Source!Y359,O385)</f>
        <v>18055</v>
      </c>
      <c r="G385" s="4" t="s">
        <v>254</v>
      </c>
      <c r="H385" s="4" t="s">
        <v>255</v>
      </c>
      <c r="I385" s="4"/>
      <c r="J385" s="4"/>
      <c r="K385" s="4">
        <v>211</v>
      </c>
      <c r="L385" s="4">
        <v>25</v>
      </c>
      <c r="M385" s="4">
        <v>0</v>
      </c>
      <c r="N385" s="4" t="s">
        <v>3</v>
      </c>
      <c r="O385" s="4">
        <v>2</v>
      </c>
      <c r="P385" s="4"/>
      <c r="Q385" s="4"/>
      <c r="R385" s="4"/>
      <c r="S385" s="4"/>
      <c r="T385" s="4"/>
      <c r="U385" s="4"/>
      <c r="V385" s="4"/>
      <c r="W385" s="4"/>
    </row>
    <row r="386" spans="1:23" x14ac:dyDescent="0.2">
      <c r="A386" s="4">
        <v>50</v>
      </c>
      <c r="B386" s="4">
        <v>0</v>
      </c>
      <c r="C386" s="4">
        <v>0</v>
      </c>
      <c r="D386" s="4">
        <v>1</v>
      </c>
      <c r="E386" s="4">
        <v>224</v>
      </c>
      <c r="F386" s="4">
        <f>ROUND(Source!AR359,O386)</f>
        <v>485977.98</v>
      </c>
      <c r="G386" s="4" t="s">
        <v>256</v>
      </c>
      <c r="H386" s="4" t="s">
        <v>257</v>
      </c>
      <c r="I386" s="4"/>
      <c r="J386" s="4"/>
      <c r="K386" s="4">
        <v>224</v>
      </c>
      <c r="L386" s="4">
        <v>26</v>
      </c>
      <c r="M386" s="4">
        <v>3</v>
      </c>
      <c r="N386" s="4" t="s">
        <v>3</v>
      </c>
      <c r="O386" s="4">
        <v>2</v>
      </c>
      <c r="P386" s="4"/>
      <c r="Q386" s="4"/>
      <c r="R386" s="4"/>
      <c r="S386" s="4"/>
      <c r="T386" s="4"/>
      <c r="U386" s="4"/>
      <c r="V386" s="4"/>
      <c r="W386" s="4"/>
    </row>
    <row r="387" spans="1:23" x14ac:dyDescent="0.2">
      <c r="A387" s="4">
        <v>50</v>
      </c>
      <c r="B387" s="4">
        <v>1</v>
      </c>
      <c r="C387" s="4">
        <v>0</v>
      </c>
      <c r="D387" s="4">
        <v>2</v>
      </c>
      <c r="E387" s="4">
        <v>0</v>
      </c>
      <c r="F387" s="4">
        <f>ROUND(F386,O387)</f>
        <v>485977.98</v>
      </c>
      <c r="G387" s="4" t="s">
        <v>406</v>
      </c>
      <c r="H387" s="4" t="s">
        <v>407</v>
      </c>
      <c r="I387" s="4"/>
      <c r="J387" s="4"/>
      <c r="K387" s="4">
        <v>212</v>
      </c>
      <c r="L387" s="4">
        <v>27</v>
      </c>
      <c r="M387" s="4">
        <v>0</v>
      </c>
      <c r="N387" s="4" t="s">
        <v>3</v>
      </c>
      <c r="O387" s="4">
        <v>2</v>
      </c>
      <c r="P387" s="4"/>
      <c r="Q387" s="4"/>
      <c r="R387" s="4"/>
      <c r="S387" s="4"/>
      <c r="T387" s="4"/>
      <c r="U387" s="4"/>
      <c r="V387" s="4"/>
      <c r="W387" s="4"/>
    </row>
    <row r="388" spans="1:23" x14ac:dyDescent="0.2">
      <c r="A388" s="4">
        <v>50</v>
      </c>
      <c r="B388" s="4">
        <v>0</v>
      </c>
      <c r="C388" s="4">
        <v>0</v>
      </c>
      <c r="D388" s="4">
        <v>2</v>
      </c>
      <c r="E388" s="4">
        <v>0</v>
      </c>
      <c r="F388" s="4">
        <f>ROUND(F387*1.03384,O388)</f>
        <v>502423.47</v>
      </c>
      <c r="G388" s="4" t="s">
        <v>408</v>
      </c>
      <c r="H388" s="4" t="s">
        <v>409</v>
      </c>
      <c r="I388" s="4"/>
      <c r="J388" s="4"/>
      <c r="K388" s="4">
        <v>212</v>
      </c>
      <c r="L388" s="4">
        <v>28</v>
      </c>
      <c r="M388" s="4">
        <v>3</v>
      </c>
      <c r="N388" s="4" t="s">
        <v>3</v>
      </c>
      <c r="O388" s="4">
        <v>2</v>
      </c>
      <c r="P388" s="4"/>
      <c r="Q388" s="4"/>
      <c r="R388" s="4"/>
      <c r="S388" s="4"/>
      <c r="T388" s="4"/>
      <c r="U388" s="4"/>
      <c r="V388" s="4"/>
      <c r="W388" s="4"/>
    </row>
    <row r="389" spans="1:23" x14ac:dyDescent="0.2">
      <c r="A389" s="4">
        <v>50</v>
      </c>
      <c r="B389" s="4">
        <v>0</v>
      </c>
      <c r="C389" s="4">
        <v>0</v>
      </c>
      <c r="D389" s="4">
        <v>2</v>
      </c>
      <c r="E389" s="4">
        <v>0</v>
      </c>
      <c r="F389" s="4">
        <f>ROUND(F388*1.0701,O389)</f>
        <v>537643.36</v>
      </c>
      <c r="G389" s="4" t="s">
        <v>410</v>
      </c>
      <c r="H389" s="4" t="s">
        <v>411</v>
      </c>
      <c r="I389" s="4"/>
      <c r="J389" s="4"/>
      <c r="K389" s="4">
        <v>212</v>
      </c>
      <c r="L389" s="4">
        <v>29</v>
      </c>
      <c r="M389" s="4">
        <v>3</v>
      </c>
      <c r="N389" s="4" t="s">
        <v>3</v>
      </c>
      <c r="O389" s="4">
        <v>2</v>
      </c>
      <c r="P389" s="4"/>
      <c r="Q389" s="4"/>
      <c r="R389" s="4"/>
      <c r="S389" s="4"/>
      <c r="T389" s="4"/>
      <c r="U389" s="4"/>
      <c r="V389" s="4"/>
      <c r="W389" s="4"/>
    </row>
    <row r="390" spans="1:23" x14ac:dyDescent="0.2">
      <c r="A390" s="4">
        <v>50</v>
      </c>
      <c r="B390" s="4">
        <v>0</v>
      </c>
      <c r="C390" s="4">
        <v>0</v>
      </c>
      <c r="D390" s="4">
        <v>2</v>
      </c>
      <c r="E390" s="4">
        <v>0</v>
      </c>
      <c r="F390" s="4">
        <f>ROUND(F389*0.2,O390)</f>
        <v>107528.67</v>
      </c>
      <c r="G390" s="4" t="s">
        <v>412</v>
      </c>
      <c r="H390" s="4" t="s">
        <v>413</v>
      </c>
      <c r="I390" s="4"/>
      <c r="J390" s="4"/>
      <c r="K390" s="4">
        <v>212</v>
      </c>
      <c r="L390" s="4">
        <v>30</v>
      </c>
      <c r="M390" s="4">
        <v>3</v>
      </c>
      <c r="N390" s="4" t="s">
        <v>3</v>
      </c>
      <c r="O390" s="4">
        <v>2</v>
      </c>
      <c r="P390" s="4"/>
      <c r="Q390" s="4"/>
      <c r="R390" s="4"/>
      <c r="S390" s="4"/>
      <c r="T390" s="4"/>
      <c r="U390" s="4"/>
      <c r="V390" s="4"/>
      <c r="W390" s="4"/>
    </row>
    <row r="391" spans="1:23" x14ac:dyDescent="0.2">
      <c r="A391" s="4">
        <v>50</v>
      </c>
      <c r="B391" s="4">
        <v>0</v>
      </c>
      <c r="C391" s="4">
        <v>0</v>
      </c>
      <c r="D391" s="4">
        <v>2</v>
      </c>
      <c r="E391" s="4">
        <v>213</v>
      </c>
      <c r="F391" s="4">
        <f>ROUND(F389+F390,O391)</f>
        <v>645172.03</v>
      </c>
      <c r="G391" s="4" t="s">
        <v>414</v>
      </c>
      <c r="H391" s="4" t="s">
        <v>256</v>
      </c>
      <c r="I391" s="4"/>
      <c r="J391" s="4"/>
      <c r="K391" s="4">
        <v>212</v>
      </c>
      <c r="L391" s="4">
        <v>32</v>
      </c>
      <c r="M391" s="4">
        <v>3</v>
      </c>
      <c r="N391" s="4" t="s">
        <v>3</v>
      </c>
      <c r="O391" s="4">
        <v>2</v>
      </c>
      <c r="P391" s="4"/>
      <c r="Q391" s="4"/>
      <c r="R391" s="4"/>
      <c r="S391" s="4"/>
      <c r="T391" s="4"/>
      <c r="U391" s="4"/>
      <c r="V391" s="4"/>
      <c r="W391" s="4"/>
    </row>
    <row r="393" spans="1:23" x14ac:dyDescent="0.2">
      <c r="A393" s="5">
        <v>61</v>
      </c>
      <c r="B393" s="5"/>
      <c r="C393" s="5"/>
      <c r="D393" s="5"/>
      <c r="E393" s="5"/>
      <c r="F393" s="5">
        <v>1</v>
      </c>
      <c r="G393" s="5" t="s">
        <v>415</v>
      </c>
      <c r="H393" s="5" t="s">
        <v>416</v>
      </c>
    </row>
    <row r="394" spans="1:23" x14ac:dyDescent="0.2">
      <c r="A394" s="5">
        <v>61</v>
      </c>
      <c r="B394" s="5"/>
      <c r="C394" s="5"/>
      <c r="D394" s="5"/>
      <c r="E394" s="5"/>
      <c r="F394" s="5">
        <v>5</v>
      </c>
      <c r="G394" s="5" t="s">
        <v>417</v>
      </c>
      <c r="H394" s="5" t="s">
        <v>416</v>
      </c>
    </row>
    <row r="395" spans="1:23" x14ac:dyDescent="0.2">
      <c r="A395" s="5">
        <v>61</v>
      </c>
      <c r="B395" s="5"/>
      <c r="C395" s="5"/>
      <c r="D395" s="5"/>
      <c r="E395" s="5"/>
      <c r="F395" s="5">
        <v>2</v>
      </c>
      <c r="G395" s="5" t="s">
        <v>418</v>
      </c>
      <c r="H395" s="5" t="s">
        <v>416</v>
      </c>
    </row>
    <row r="396" spans="1:23" x14ac:dyDescent="0.2">
      <c r="A396" s="5">
        <v>61</v>
      </c>
      <c r="B396" s="5"/>
      <c r="C396" s="5"/>
      <c r="D396" s="5"/>
      <c r="E396" s="5"/>
      <c r="F396" s="5">
        <v>23</v>
      </c>
      <c r="G396" s="5" t="s">
        <v>419</v>
      </c>
      <c r="H396" s="5" t="s">
        <v>416</v>
      </c>
    </row>
    <row r="397" spans="1:23" x14ac:dyDescent="0.2">
      <c r="A397" s="5">
        <v>61</v>
      </c>
      <c r="B397" s="5"/>
      <c r="C397" s="5"/>
      <c r="D397" s="5"/>
      <c r="E397" s="5"/>
      <c r="F397" s="5">
        <v>0</v>
      </c>
      <c r="G397" s="5" t="s">
        <v>420</v>
      </c>
      <c r="H397" s="5" t="s">
        <v>416</v>
      </c>
    </row>
    <row r="398" spans="1:23" x14ac:dyDescent="0.2">
      <c r="A398" s="5">
        <v>61</v>
      </c>
      <c r="B398" s="5"/>
      <c r="C398" s="5"/>
      <c r="D398" s="5"/>
      <c r="E398" s="5"/>
      <c r="F398" s="5">
        <v>0</v>
      </c>
      <c r="G398" s="5" t="s">
        <v>421</v>
      </c>
      <c r="H398" s="5" t="s">
        <v>416</v>
      </c>
    </row>
    <row r="401" spans="1:14" x14ac:dyDescent="0.2">
      <c r="A401">
        <v>70</v>
      </c>
      <c r="B401">
        <v>1</v>
      </c>
      <c r="D401">
        <v>1</v>
      </c>
      <c r="E401" t="s">
        <v>422</v>
      </c>
      <c r="F401" t="s">
        <v>423</v>
      </c>
      <c r="G401">
        <v>0</v>
      </c>
      <c r="H401">
        <v>0</v>
      </c>
      <c r="I401" t="s">
        <v>3</v>
      </c>
      <c r="J401">
        <v>1</v>
      </c>
      <c r="K401">
        <v>0</v>
      </c>
      <c r="L401" t="s">
        <v>3</v>
      </c>
      <c r="M401" t="s">
        <v>3</v>
      </c>
      <c r="N401">
        <v>0</v>
      </c>
    </row>
    <row r="402" spans="1:14" x14ac:dyDescent="0.2">
      <c r="A402">
        <v>70</v>
      </c>
      <c r="B402">
        <v>1</v>
      </c>
      <c r="D402">
        <v>2</v>
      </c>
      <c r="E402" t="s">
        <v>424</v>
      </c>
      <c r="F402" t="s">
        <v>425</v>
      </c>
      <c r="G402">
        <v>1</v>
      </c>
      <c r="H402">
        <v>0</v>
      </c>
      <c r="I402" t="s">
        <v>3</v>
      </c>
      <c r="J402">
        <v>1</v>
      </c>
      <c r="K402">
        <v>0</v>
      </c>
      <c r="L402" t="s">
        <v>3</v>
      </c>
      <c r="M402" t="s">
        <v>3</v>
      </c>
      <c r="N402">
        <v>0</v>
      </c>
    </row>
    <row r="403" spans="1:14" x14ac:dyDescent="0.2">
      <c r="A403">
        <v>70</v>
      </c>
      <c r="B403">
        <v>1</v>
      </c>
      <c r="D403">
        <v>3</v>
      </c>
      <c r="E403" t="s">
        <v>426</v>
      </c>
      <c r="F403" t="s">
        <v>427</v>
      </c>
      <c r="G403">
        <v>0</v>
      </c>
      <c r="H403">
        <v>0</v>
      </c>
      <c r="I403" t="s">
        <v>3</v>
      </c>
      <c r="J403">
        <v>1</v>
      </c>
      <c r="K403">
        <v>0</v>
      </c>
      <c r="L403" t="s">
        <v>3</v>
      </c>
      <c r="M403" t="s">
        <v>3</v>
      </c>
      <c r="N403">
        <v>0</v>
      </c>
    </row>
    <row r="404" spans="1:14" x14ac:dyDescent="0.2">
      <c r="A404">
        <v>70</v>
      </c>
      <c r="B404">
        <v>1</v>
      </c>
      <c r="D404">
        <v>4</v>
      </c>
      <c r="E404" t="s">
        <v>428</v>
      </c>
      <c r="F404" t="s">
        <v>429</v>
      </c>
      <c r="G404">
        <v>0</v>
      </c>
      <c r="H404">
        <v>0</v>
      </c>
      <c r="I404" t="s">
        <v>430</v>
      </c>
      <c r="J404">
        <v>0</v>
      </c>
      <c r="K404">
        <v>0</v>
      </c>
      <c r="L404" t="s">
        <v>3</v>
      </c>
      <c r="M404" t="s">
        <v>3</v>
      </c>
      <c r="N404">
        <v>0</v>
      </c>
    </row>
    <row r="405" spans="1:14" x14ac:dyDescent="0.2">
      <c r="A405">
        <v>70</v>
      </c>
      <c r="B405">
        <v>1</v>
      </c>
      <c r="D405">
        <v>5</v>
      </c>
      <c r="E405" t="s">
        <v>431</v>
      </c>
      <c r="F405" t="s">
        <v>432</v>
      </c>
      <c r="G405">
        <v>0</v>
      </c>
      <c r="H405">
        <v>0</v>
      </c>
      <c r="I405" t="s">
        <v>433</v>
      </c>
      <c r="J405">
        <v>0</v>
      </c>
      <c r="K405">
        <v>0</v>
      </c>
      <c r="L405" t="s">
        <v>3</v>
      </c>
      <c r="M405" t="s">
        <v>3</v>
      </c>
      <c r="N405">
        <v>0</v>
      </c>
    </row>
    <row r="406" spans="1:14" x14ac:dyDescent="0.2">
      <c r="A406">
        <v>70</v>
      </c>
      <c r="B406">
        <v>1</v>
      </c>
      <c r="D406">
        <v>6</v>
      </c>
      <c r="E406" t="s">
        <v>434</v>
      </c>
      <c r="F406" t="s">
        <v>435</v>
      </c>
      <c r="G406">
        <v>0</v>
      </c>
      <c r="H406">
        <v>0</v>
      </c>
      <c r="I406" t="s">
        <v>436</v>
      </c>
      <c r="J406">
        <v>0</v>
      </c>
      <c r="K406">
        <v>0</v>
      </c>
      <c r="L406" t="s">
        <v>3</v>
      </c>
      <c r="M406" t="s">
        <v>3</v>
      </c>
      <c r="N406">
        <v>0</v>
      </c>
    </row>
    <row r="407" spans="1:14" x14ac:dyDescent="0.2">
      <c r="A407">
        <v>70</v>
      </c>
      <c r="B407">
        <v>1</v>
      </c>
      <c r="D407">
        <v>7</v>
      </c>
      <c r="E407" t="s">
        <v>437</v>
      </c>
      <c r="F407" t="s">
        <v>438</v>
      </c>
      <c r="G407">
        <v>1</v>
      </c>
      <c r="H407">
        <v>0</v>
      </c>
      <c r="I407" t="s">
        <v>3</v>
      </c>
      <c r="J407">
        <v>0</v>
      </c>
      <c r="K407">
        <v>0</v>
      </c>
      <c r="L407" t="s">
        <v>3</v>
      </c>
      <c r="M407" t="s">
        <v>3</v>
      </c>
      <c r="N407">
        <v>0</v>
      </c>
    </row>
    <row r="408" spans="1:14" x14ac:dyDescent="0.2">
      <c r="A408">
        <v>70</v>
      </c>
      <c r="B408">
        <v>1</v>
      </c>
      <c r="D408">
        <v>8</v>
      </c>
      <c r="E408" t="s">
        <v>439</v>
      </c>
      <c r="F408" t="s">
        <v>440</v>
      </c>
      <c r="G408">
        <v>0</v>
      </c>
      <c r="H408">
        <v>0</v>
      </c>
      <c r="I408" t="s">
        <v>441</v>
      </c>
      <c r="J408">
        <v>0</v>
      </c>
      <c r="K408">
        <v>0</v>
      </c>
      <c r="L408" t="s">
        <v>3</v>
      </c>
      <c r="M408" t="s">
        <v>3</v>
      </c>
      <c r="N408">
        <v>0</v>
      </c>
    </row>
    <row r="409" spans="1:14" x14ac:dyDescent="0.2">
      <c r="A409">
        <v>70</v>
      </c>
      <c r="B409">
        <v>1</v>
      </c>
      <c r="D409">
        <v>9</v>
      </c>
      <c r="E409" t="s">
        <v>442</v>
      </c>
      <c r="F409" t="s">
        <v>443</v>
      </c>
      <c r="G409">
        <v>0</v>
      </c>
      <c r="H409">
        <v>0</v>
      </c>
      <c r="I409" t="s">
        <v>444</v>
      </c>
      <c r="J409">
        <v>0</v>
      </c>
      <c r="K409">
        <v>0</v>
      </c>
      <c r="L409" t="s">
        <v>3</v>
      </c>
      <c r="M409" t="s">
        <v>3</v>
      </c>
      <c r="N409">
        <v>0</v>
      </c>
    </row>
    <row r="410" spans="1:14" x14ac:dyDescent="0.2">
      <c r="A410">
        <v>70</v>
      </c>
      <c r="B410">
        <v>1</v>
      </c>
      <c r="D410">
        <v>10</v>
      </c>
      <c r="E410" t="s">
        <v>445</v>
      </c>
      <c r="F410" t="s">
        <v>446</v>
      </c>
      <c r="G410">
        <v>0</v>
      </c>
      <c r="H410">
        <v>0</v>
      </c>
      <c r="I410" t="s">
        <v>447</v>
      </c>
      <c r="J410">
        <v>0</v>
      </c>
      <c r="K410">
        <v>0</v>
      </c>
      <c r="L410" t="s">
        <v>3</v>
      </c>
      <c r="M410" t="s">
        <v>3</v>
      </c>
      <c r="N410">
        <v>0</v>
      </c>
    </row>
    <row r="411" spans="1:14" x14ac:dyDescent="0.2">
      <c r="A411">
        <v>70</v>
      </c>
      <c r="B411">
        <v>1</v>
      </c>
      <c r="D411">
        <v>11</v>
      </c>
      <c r="E411" t="s">
        <v>448</v>
      </c>
      <c r="F411" t="s">
        <v>449</v>
      </c>
      <c r="G411">
        <v>0</v>
      </c>
      <c r="H411">
        <v>0</v>
      </c>
      <c r="I411" t="s">
        <v>450</v>
      </c>
      <c r="J411">
        <v>0</v>
      </c>
      <c r="K411">
        <v>0</v>
      </c>
      <c r="L411" t="s">
        <v>3</v>
      </c>
      <c r="M411" t="s">
        <v>3</v>
      </c>
      <c r="N411">
        <v>0</v>
      </c>
    </row>
    <row r="412" spans="1:14" x14ac:dyDescent="0.2">
      <c r="A412">
        <v>70</v>
      </c>
      <c r="B412">
        <v>1</v>
      </c>
      <c r="D412">
        <v>12</v>
      </c>
      <c r="E412" t="s">
        <v>451</v>
      </c>
      <c r="F412" t="s">
        <v>452</v>
      </c>
      <c r="G412">
        <v>0</v>
      </c>
      <c r="H412">
        <v>0</v>
      </c>
      <c r="I412" t="s">
        <v>3</v>
      </c>
      <c r="J412">
        <v>0</v>
      </c>
      <c r="K412">
        <v>0</v>
      </c>
      <c r="L412" t="s">
        <v>3</v>
      </c>
      <c r="M412" t="s">
        <v>3</v>
      </c>
      <c r="N412">
        <v>0</v>
      </c>
    </row>
    <row r="413" spans="1:14" x14ac:dyDescent="0.2">
      <c r="A413">
        <v>70</v>
      </c>
      <c r="B413">
        <v>1</v>
      </c>
      <c r="D413">
        <v>1</v>
      </c>
      <c r="E413" t="s">
        <v>453</v>
      </c>
      <c r="F413" t="s">
        <v>454</v>
      </c>
      <c r="G413">
        <v>0.9</v>
      </c>
      <c r="H413">
        <v>1</v>
      </c>
      <c r="I413" t="s">
        <v>455</v>
      </c>
      <c r="J413">
        <v>0</v>
      </c>
      <c r="K413">
        <v>0</v>
      </c>
      <c r="L413" t="s">
        <v>3</v>
      </c>
      <c r="M413" t="s">
        <v>3</v>
      </c>
      <c r="N413">
        <v>0</v>
      </c>
    </row>
    <row r="414" spans="1:14" x14ac:dyDescent="0.2">
      <c r="A414">
        <v>70</v>
      </c>
      <c r="B414">
        <v>1</v>
      </c>
      <c r="D414">
        <v>2</v>
      </c>
      <c r="E414" t="s">
        <v>456</v>
      </c>
      <c r="F414" t="s">
        <v>457</v>
      </c>
      <c r="G414">
        <v>0.85</v>
      </c>
      <c r="H414">
        <v>1</v>
      </c>
      <c r="I414" t="s">
        <v>458</v>
      </c>
      <c r="J414">
        <v>0</v>
      </c>
      <c r="K414">
        <v>0</v>
      </c>
      <c r="L414" t="s">
        <v>3</v>
      </c>
      <c r="M414" t="s">
        <v>3</v>
      </c>
      <c r="N414">
        <v>0</v>
      </c>
    </row>
    <row r="415" spans="1:14" x14ac:dyDescent="0.2">
      <c r="A415">
        <v>70</v>
      </c>
      <c r="B415">
        <v>1</v>
      </c>
      <c r="D415">
        <v>3</v>
      </c>
      <c r="E415" t="s">
        <v>459</v>
      </c>
      <c r="F415" t="s">
        <v>460</v>
      </c>
      <c r="G415">
        <v>1</v>
      </c>
      <c r="H415">
        <v>0.85</v>
      </c>
      <c r="I415" t="s">
        <v>461</v>
      </c>
      <c r="J415">
        <v>0</v>
      </c>
      <c r="K415">
        <v>0</v>
      </c>
      <c r="L415" t="s">
        <v>3</v>
      </c>
      <c r="M415" t="s">
        <v>3</v>
      </c>
      <c r="N415">
        <v>0</v>
      </c>
    </row>
    <row r="416" spans="1:14" x14ac:dyDescent="0.2">
      <c r="A416">
        <v>70</v>
      </c>
      <c r="B416">
        <v>1</v>
      </c>
      <c r="D416">
        <v>4</v>
      </c>
      <c r="E416" t="s">
        <v>462</v>
      </c>
      <c r="F416" t="s">
        <v>463</v>
      </c>
      <c r="G416">
        <v>1</v>
      </c>
      <c r="H416">
        <v>0</v>
      </c>
      <c r="I416" t="s">
        <v>3</v>
      </c>
      <c r="J416">
        <v>0</v>
      </c>
      <c r="K416">
        <v>0</v>
      </c>
      <c r="L416" t="s">
        <v>3</v>
      </c>
      <c r="M416" t="s">
        <v>3</v>
      </c>
      <c r="N416">
        <v>0</v>
      </c>
    </row>
    <row r="417" spans="1:15" x14ac:dyDescent="0.2">
      <c r="A417">
        <v>70</v>
      </c>
      <c r="B417">
        <v>1</v>
      </c>
      <c r="D417">
        <v>5</v>
      </c>
      <c r="E417" t="s">
        <v>464</v>
      </c>
      <c r="F417" t="s">
        <v>465</v>
      </c>
      <c r="G417">
        <v>1</v>
      </c>
      <c r="H417">
        <v>0.8</v>
      </c>
      <c r="I417" t="s">
        <v>466</v>
      </c>
      <c r="J417">
        <v>0</v>
      </c>
      <c r="K417">
        <v>0</v>
      </c>
      <c r="L417" t="s">
        <v>3</v>
      </c>
      <c r="M417" t="s">
        <v>3</v>
      </c>
      <c r="N417">
        <v>0</v>
      </c>
    </row>
    <row r="418" spans="1:15" x14ac:dyDescent="0.2">
      <c r="A418">
        <v>70</v>
      </c>
      <c r="B418">
        <v>1</v>
      </c>
      <c r="D418">
        <v>6</v>
      </c>
      <c r="E418" t="s">
        <v>467</v>
      </c>
      <c r="F418" t="s">
        <v>468</v>
      </c>
      <c r="G418">
        <v>1</v>
      </c>
      <c r="H418">
        <v>0</v>
      </c>
      <c r="I418" t="s">
        <v>3</v>
      </c>
      <c r="J418">
        <v>0</v>
      </c>
      <c r="K418">
        <v>0</v>
      </c>
      <c r="L418" t="s">
        <v>3</v>
      </c>
      <c r="M418" t="s">
        <v>3</v>
      </c>
      <c r="N418">
        <v>0</v>
      </c>
    </row>
    <row r="419" spans="1:15" x14ac:dyDescent="0.2">
      <c r="A419">
        <v>70</v>
      </c>
      <c r="B419">
        <v>1</v>
      </c>
      <c r="D419">
        <v>7</v>
      </c>
      <c r="E419" t="s">
        <v>469</v>
      </c>
      <c r="F419" t="s">
        <v>470</v>
      </c>
      <c r="G419">
        <v>1</v>
      </c>
      <c r="H419">
        <v>0</v>
      </c>
      <c r="I419" t="s">
        <v>3</v>
      </c>
      <c r="J419">
        <v>0</v>
      </c>
      <c r="K419">
        <v>0</v>
      </c>
      <c r="L419" t="s">
        <v>3</v>
      </c>
      <c r="M419" t="s">
        <v>3</v>
      </c>
      <c r="N419">
        <v>0</v>
      </c>
    </row>
    <row r="420" spans="1:15" x14ac:dyDescent="0.2">
      <c r="A420">
        <v>70</v>
      </c>
      <c r="B420">
        <v>1</v>
      </c>
      <c r="D420">
        <v>8</v>
      </c>
      <c r="E420" t="s">
        <v>471</v>
      </c>
      <c r="F420" t="s">
        <v>472</v>
      </c>
      <c r="G420">
        <v>0.7</v>
      </c>
      <c r="H420">
        <v>0</v>
      </c>
      <c r="I420" t="s">
        <v>3</v>
      </c>
      <c r="J420">
        <v>0</v>
      </c>
      <c r="K420">
        <v>0</v>
      </c>
      <c r="L420" t="s">
        <v>3</v>
      </c>
      <c r="M420" t="s">
        <v>3</v>
      </c>
      <c r="N420">
        <v>0</v>
      </c>
    </row>
    <row r="421" spans="1:15" x14ac:dyDescent="0.2">
      <c r="A421">
        <v>70</v>
      </c>
      <c r="B421">
        <v>1</v>
      </c>
      <c r="D421">
        <v>9</v>
      </c>
      <c r="E421" t="s">
        <v>473</v>
      </c>
      <c r="F421" t="s">
        <v>474</v>
      </c>
      <c r="G421">
        <v>0.9</v>
      </c>
      <c r="H421">
        <v>0</v>
      </c>
      <c r="I421" t="s">
        <v>3</v>
      </c>
      <c r="J421">
        <v>0</v>
      </c>
      <c r="K421">
        <v>0</v>
      </c>
      <c r="L421" t="s">
        <v>3</v>
      </c>
      <c r="M421" t="s">
        <v>3</v>
      </c>
      <c r="N421">
        <v>0</v>
      </c>
    </row>
    <row r="422" spans="1:15" x14ac:dyDescent="0.2">
      <c r="A422">
        <v>70</v>
      </c>
      <c r="B422">
        <v>1</v>
      </c>
      <c r="D422">
        <v>10</v>
      </c>
      <c r="E422" t="s">
        <v>475</v>
      </c>
      <c r="F422" t="s">
        <v>476</v>
      </c>
      <c r="G422">
        <v>0.6</v>
      </c>
      <c r="H422">
        <v>0</v>
      </c>
      <c r="I422" t="s">
        <v>3</v>
      </c>
      <c r="J422">
        <v>0</v>
      </c>
      <c r="K422">
        <v>0</v>
      </c>
      <c r="L422" t="s">
        <v>3</v>
      </c>
      <c r="M422" t="s">
        <v>3</v>
      </c>
      <c r="N422">
        <v>0</v>
      </c>
    </row>
    <row r="423" spans="1:15" x14ac:dyDescent="0.2">
      <c r="A423">
        <v>70</v>
      </c>
      <c r="B423">
        <v>1</v>
      </c>
      <c r="D423">
        <v>11</v>
      </c>
      <c r="E423" t="s">
        <v>477</v>
      </c>
      <c r="F423" t="s">
        <v>478</v>
      </c>
      <c r="G423">
        <v>1.2</v>
      </c>
      <c r="H423">
        <v>0</v>
      </c>
      <c r="I423" t="s">
        <v>3</v>
      </c>
      <c r="J423">
        <v>0</v>
      </c>
      <c r="K423">
        <v>0</v>
      </c>
      <c r="L423" t="s">
        <v>3</v>
      </c>
      <c r="M423" t="s">
        <v>3</v>
      </c>
      <c r="N423">
        <v>0</v>
      </c>
    </row>
    <row r="424" spans="1:15" x14ac:dyDescent="0.2">
      <c r="A424">
        <v>70</v>
      </c>
      <c r="B424">
        <v>1</v>
      </c>
      <c r="D424">
        <v>12</v>
      </c>
      <c r="E424" t="s">
        <v>479</v>
      </c>
      <c r="F424" t="s">
        <v>480</v>
      </c>
      <c r="G424">
        <v>0</v>
      </c>
      <c r="H424">
        <v>0</v>
      </c>
      <c r="I424" t="s">
        <v>3</v>
      </c>
      <c r="J424">
        <v>0</v>
      </c>
      <c r="K424">
        <v>0</v>
      </c>
      <c r="L424" t="s">
        <v>3</v>
      </c>
      <c r="M424" t="s">
        <v>3</v>
      </c>
      <c r="N424">
        <v>0</v>
      </c>
    </row>
    <row r="425" spans="1:15" x14ac:dyDescent="0.2">
      <c r="A425">
        <v>70</v>
      </c>
      <c r="B425">
        <v>1</v>
      </c>
      <c r="D425">
        <v>13</v>
      </c>
      <c r="E425" t="s">
        <v>481</v>
      </c>
      <c r="F425" t="s">
        <v>482</v>
      </c>
      <c r="G425">
        <v>1</v>
      </c>
      <c r="H425">
        <v>0</v>
      </c>
      <c r="I425" t="s">
        <v>3</v>
      </c>
      <c r="J425">
        <v>0</v>
      </c>
      <c r="K425">
        <v>0</v>
      </c>
      <c r="L425" t="s">
        <v>3</v>
      </c>
      <c r="M425" t="s">
        <v>3</v>
      </c>
      <c r="N425">
        <v>0</v>
      </c>
    </row>
    <row r="427" spans="1:15" x14ac:dyDescent="0.2">
      <c r="A427">
        <v>-1</v>
      </c>
    </row>
    <row r="429" spans="1:15" x14ac:dyDescent="0.2">
      <c r="A429" s="3">
        <v>75</v>
      </c>
      <c r="B429" s="3" t="s">
        <v>483</v>
      </c>
      <c r="C429" s="3">
        <v>2000</v>
      </c>
      <c r="D429" s="3">
        <v>0</v>
      </c>
      <c r="E429" s="3">
        <v>1</v>
      </c>
      <c r="F429" s="3"/>
      <c r="G429" s="3">
        <v>0</v>
      </c>
      <c r="H429" s="3">
        <v>1</v>
      </c>
      <c r="I429" s="3">
        <v>0</v>
      </c>
      <c r="J429" s="3">
        <v>1</v>
      </c>
      <c r="K429" s="3">
        <v>0</v>
      </c>
      <c r="L429" s="3">
        <v>0</v>
      </c>
      <c r="M429" s="3">
        <v>0</v>
      </c>
      <c r="N429" s="3">
        <v>47631607</v>
      </c>
      <c r="O429" s="3">
        <v>1</v>
      </c>
    </row>
    <row r="433" spans="1:5" x14ac:dyDescent="0.2">
      <c r="A433">
        <v>65</v>
      </c>
      <c r="C433">
        <v>1</v>
      </c>
      <c r="D433">
        <v>0</v>
      </c>
      <c r="E433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5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484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61305</v>
      </c>
      <c r="M1">
        <v>11</v>
      </c>
      <c r="N1">
        <v>10</v>
      </c>
      <c r="O1">
        <v>1</v>
      </c>
      <c r="P1">
        <v>0</v>
      </c>
      <c r="Q1">
        <v>10</v>
      </c>
    </row>
    <row r="4" spans="1:133" x14ac:dyDescent="0.2">
      <c r="A4" s="1">
        <v>1</v>
      </c>
      <c r="B4" s="1">
        <v>1</v>
      </c>
      <c r="C4" s="1">
        <v>0</v>
      </c>
      <c r="D4" s="1"/>
      <c r="E4" s="1"/>
      <c r="F4" s="1" t="s">
        <v>4</v>
      </c>
      <c r="G4" s="1" t="s">
        <v>5</v>
      </c>
      <c r="H4" s="1" t="s">
        <v>3</v>
      </c>
      <c r="I4" s="1" t="s">
        <v>3</v>
      </c>
      <c r="J4" s="1" t="s">
        <v>3</v>
      </c>
      <c r="K4" s="1" t="s">
        <v>3</v>
      </c>
      <c r="L4" s="1" t="s">
        <v>3</v>
      </c>
      <c r="M4" s="1" t="s">
        <v>3</v>
      </c>
      <c r="N4" s="1" t="s">
        <v>3</v>
      </c>
      <c r="O4" s="1" t="s">
        <v>3</v>
      </c>
      <c r="P4" s="1">
        <v>0</v>
      </c>
      <c r="Q4" s="1" t="s">
        <v>3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</row>
    <row r="12" spans="1:133" x14ac:dyDescent="0.2">
      <c r="A12" s="1">
        <v>1</v>
      </c>
      <c r="B12" s="1">
        <v>55</v>
      </c>
      <c r="C12" s="1">
        <v>0</v>
      </c>
      <c r="D12" s="1"/>
      <c r="E12" s="1">
        <v>0</v>
      </c>
      <c r="F12" s="1" t="s">
        <v>6</v>
      </c>
      <c r="G12" s="1" t="s">
        <v>6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/>
      <c r="U12" s="1" t="s">
        <v>3</v>
      </c>
      <c r="V12" s="1">
        <v>5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7</v>
      </c>
      <c r="BI12" s="1" t="s">
        <v>8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9</v>
      </c>
      <c r="BZ12" s="1" t="s">
        <v>10</v>
      </c>
      <c r="CA12" s="1" t="s">
        <v>11</v>
      </c>
      <c r="CB12" s="1" t="s">
        <v>11</v>
      </c>
      <c r="CC12" s="1" t="s">
        <v>11</v>
      </c>
      <c r="CD12" s="1" t="s">
        <v>11</v>
      </c>
      <c r="CE12" s="1" t="s">
        <v>12</v>
      </c>
      <c r="CF12" s="1">
        <v>0</v>
      </c>
      <c r="CG12" s="1">
        <v>0</v>
      </c>
      <c r="CH12" s="1">
        <v>524296</v>
      </c>
      <c r="CI12" s="1" t="s">
        <v>3</v>
      </c>
      <c r="CJ12" s="1" t="s">
        <v>3</v>
      </c>
      <c r="CK12" s="1">
        <v>4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47631607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13</v>
      </c>
      <c r="D16" s="6" t="s">
        <v>13</v>
      </c>
      <c r="E16" s="7">
        <f>(Source!F347)/1000</f>
        <v>484.84384</v>
      </c>
      <c r="F16" s="7">
        <f>(Source!F348)/1000</f>
        <v>1.1341400000000001</v>
      </c>
      <c r="G16" s="7">
        <f>(Source!F339)/1000</f>
        <v>0</v>
      </c>
      <c r="H16" s="7">
        <f>(Source!F349)/1000+(Source!F350)/1000</f>
        <v>0</v>
      </c>
      <c r="I16" s="7">
        <f>E16+F16+G16+H16</f>
        <v>485.97798</v>
      </c>
      <c r="J16" s="7">
        <f>(Source!F345)/1000</f>
        <v>22.687540000000002</v>
      </c>
      <c r="AI16" s="6">
        <v>5</v>
      </c>
      <c r="AJ16" s="6">
        <v>-1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425120.03</v>
      </c>
      <c r="AU16" s="7">
        <v>365828.51</v>
      </c>
      <c r="AV16" s="7">
        <v>0</v>
      </c>
      <c r="AW16" s="7">
        <v>0</v>
      </c>
      <c r="AX16" s="7">
        <v>0</v>
      </c>
      <c r="AY16" s="7">
        <v>36603.980000000003</v>
      </c>
      <c r="AZ16" s="7">
        <v>3228.98</v>
      </c>
      <c r="BA16" s="7">
        <v>22687.54</v>
      </c>
      <c r="BB16" s="7">
        <v>484843.84</v>
      </c>
      <c r="BC16" s="7">
        <v>1134.1400000000001</v>
      </c>
      <c r="BD16" s="7">
        <v>0</v>
      </c>
      <c r="BE16" s="7">
        <v>0</v>
      </c>
      <c r="BF16" s="7">
        <v>2669.4528021982514</v>
      </c>
      <c r="BG16" s="7">
        <v>258.48574603750001</v>
      </c>
      <c r="BH16" s="7">
        <v>0</v>
      </c>
      <c r="BI16" s="7">
        <v>25477.99</v>
      </c>
      <c r="BJ16" s="7">
        <v>18055</v>
      </c>
      <c r="BK16" s="7">
        <v>485977.98</v>
      </c>
    </row>
    <row r="18" spans="1:19" x14ac:dyDescent="0.2">
      <c r="A18">
        <v>51</v>
      </c>
      <c r="E18" s="5">
        <f>SUMIF(A16:A17,3,E16:E17)</f>
        <v>484.84384</v>
      </c>
      <c r="F18" s="5">
        <f>SUMIF(A16:A17,3,F16:F17)</f>
        <v>1.1341400000000001</v>
      </c>
      <c r="G18" s="5">
        <f>SUMIF(A16:A17,3,G16:G17)</f>
        <v>0</v>
      </c>
      <c r="H18" s="5">
        <f>SUMIF(A16:A17,3,H16:H17)</f>
        <v>0</v>
      </c>
      <c r="I18" s="5">
        <f>SUMIF(A16:A17,3,I16:I17)</f>
        <v>485.97798</v>
      </c>
      <c r="J18" s="5">
        <f>SUMIF(A16:A17,3,J16:J17)</f>
        <v>22.687540000000002</v>
      </c>
      <c r="K18" s="5"/>
      <c r="L18" s="5"/>
      <c r="M18" s="5"/>
      <c r="N18" s="5"/>
      <c r="O18" s="5"/>
      <c r="P18" s="5"/>
      <c r="Q18" s="5"/>
      <c r="R18" s="5"/>
      <c r="S18" s="5"/>
    </row>
    <row r="20" spans="1:19" x14ac:dyDescent="0.2">
      <c r="A20" s="4">
        <v>50</v>
      </c>
      <c r="B20" s="4">
        <v>1</v>
      </c>
      <c r="C20" s="4">
        <v>0</v>
      </c>
      <c r="D20" s="4">
        <v>1</v>
      </c>
      <c r="E20" s="4">
        <v>201</v>
      </c>
      <c r="F20" s="4">
        <v>425120.03</v>
      </c>
      <c r="G20" s="4" t="s">
        <v>206</v>
      </c>
      <c r="H20" s="4" t="s">
        <v>207</v>
      </c>
      <c r="I20" s="4"/>
      <c r="J20" s="4"/>
      <c r="K20" s="4">
        <v>201</v>
      </c>
      <c r="L20" s="4">
        <v>1</v>
      </c>
      <c r="M20" s="4">
        <v>0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v>1</v>
      </c>
      <c r="C21" s="4">
        <v>0</v>
      </c>
      <c r="D21" s="4">
        <v>1</v>
      </c>
      <c r="E21" s="4">
        <v>202</v>
      </c>
      <c r="F21" s="4">
        <v>365828.51</v>
      </c>
      <c r="G21" s="4" t="s">
        <v>208</v>
      </c>
      <c r="H21" s="4" t="s">
        <v>209</v>
      </c>
      <c r="I21" s="4"/>
      <c r="J21" s="4"/>
      <c r="K21" s="4">
        <v>202</v>
      </c>
      <c r="L21" s="4">
        <v>2</v>
      </c>
      <c r="M21" s="4">
        <v>0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210</v>
      </c>
      <c r="H22" s="4" t="s">
        <v>211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365828.51</v>
      </c>
      <c r="G23" s="4" t="s">
        <v>212</v>
      </c>
      <c r="H23" s="4" t="s">
        <v>213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365828.51</v>
      </c>
      <c r="G24" s="4" t="s">
        <v>214</v>
      </c>
      <c r="H24" s="4" t="s">
        <v>215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216</v>
      </c>
      <c r="H25" s="4" t="s">
        <v>217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365828.51</v>
      </c>
      <c r="G26" s="4" t="s">
        <v>218</v>
      </c>
      <c r="H26" s="4" t="s">
        <v>219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220</v>
      </c>
      <c r="H27" s="4" t="s">
        <v>221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222</v>
      </c>
      <c r="H28" s="4" t="s">
        <v>223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224</v>
      </c>
      <c r="H29" s="4" t="s">
        <v>225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v>1</v>
      </c>
      <c r="C30" s="4">
        <v>0</v>
      </c>
      <c r="D30" s="4">
        <v>1</v>
      </c>
      <c r="E30" s="4">
        <v>203</v>
      </c>
      <c r="F30" s="4">
        <v>36603.980000000003</v>
      </c>
      <c r="G30" s="4" t="s">
        <v>226</v>
      </c>
      <c r="H30" s="4" t="s">
        <v>227</v>
      </c>
      <c r="I30" s="4"/>
      <c r="J30" s="4"/>
      <c r="K30" s="4">
        <v>203</v>
      </c>
      <c r="L30" s="4">
        <v>11</v>
      </c>
      <c r="M30" s="4">
        <v>0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228</v>
      </c>
      <c r="H31" s="4" t="s">
        <v>229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v>1</v>
      </c>
      <c r="C32" s="4">
        <v>0</v>
      </c>
      <c r="D32" s="4">
        <v>1</v>
      </c>
      <c r="E32" s="4">
        <v>204</v>
      </c>
      <c r="F32" s="4">
        <v>3228.98</v>
      </c>
      <c r="G32" s="4" t="s">
        <v>230</v>
      </c>
      <c r="H32" s="4" t="s">
        <v>231</v>
      </c>
      <c r="I32" s="4"/>
      <c r="J32" s="4"/>
      <c r="K32" s="4">
        <v>204</v>
      </c>
      <c r="L32" s="4">
        <v>13</v>
      </c>
      <c r="M32" s="4">
        <v>0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v>1</v>
      </c>
      <c r="C33" s="4">
        <v>0</v>
      </c>
      <c r="D33" s="4">
        <v>1</v>
      </c>
      <c r="E33" s="4">
        <v>205</v>
      </c>
      <c r="F33" s="4">
        <v>22687.54</v>
      </c>
      <c r="G33" s="4" t="s">
        <v>232</v>
      </c>
      <c r="H33" s="4" t="s">
        <v>233</v>
      </c>
      <c r="I33" s="4"/>
      <c r="J33" s="4"/>
      <c r="K33" s="4">
        <v>205</v>
      </c>
      <c r="L33" s="4">
        <v>14</v>
      </c>
      <c r="M33" s="4">
        <v>0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234</v>
      </c>
      <c r="H34" s="4" t="s">
        <v>235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484843.84</v>
      </c>
      <c r="G35" s="4" t="s">
        <v>236</v>
      </c>
      <c r="H35" s="4" t="s">
        <v>237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1134.1400000000001</v>
      </c>
      <c r="G36" s="4" t="s">
        <v>238</v>
      </c>
      <c r="H36" s="4" t="s">
        <v>239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240</v>
      </c>
      <c r="H37" s="4" t="s">
        <v>241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242</v>
      </c>
      <c r="H38" s="4" t="s">
        <v>243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244</v>
      </c>
      <c r="H39" s="4" t="s">
        <v>245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2669.4528021982514</v>
      </c>
      <c r="G40" s="4" t="s">
        <v>246</v>
      </c>
      <c r="H40" s="4" t="s">
        <v>247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 x14ac:dyDescent="0.2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258.48574603750001</v>
      </c>
      <c r="G41" s="4" t="s">
        <v>248</v>
      </c>
      <c r="H41" s="4" t="s">
        <v>249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250</v>
      </c>
      <c r="H42" s="4" t="s">
        <v>251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1</v>
      </c>
      <c r="C43" s="4">
        <v>0</v>
      </c>
      <c r="D43" s="4">
        <v>1</v>
      </c>
      <c r="E43" s="4">
        <v>210</v>
      </c>
      <c r="F43" s="4">
        <v>25477.99</v>
      </c>
      <c r="G43" s="4" t="s">
        <v>252</v>
      </c>
      <c r="H43" s="4" t="s">
        <v>253</v>
      </c>
      <c r="I43" s="4"/>
      <c r="J43" s="4"/>
      <c r="K43" s="4">
        <v>210</v>
      </c>
      <c r="L43" s="4">
        <v>24</v>
      </c>
      <c r="M43" s="4">
        <v>0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v>1</v>
      </c>
      <c r="C44" s="4">
        <v>0</v>
      </c>
      <c r="D44" s="4">
        <v>1</v>
      </c>
      <c r="E44" s="4">
        <v>211</v>
      </c>
      <c r="F44" s="4">
        <v>18055</v>
      </c>
      <c r="G44" s="4" t="s">
        <v>254</v>
      </c>
      <c r="H44" s="4" t="s">
        <v>255</v>
      </c>
      <c r="I44" s="4"/>
      <c r="J44" s="4"/>
      <c r="K44" s="4">
        <v>211</v>
      </c>
      <c r="L44" s="4">
        <v>25</v>
      </c>
      <c r="M44" s="4">
        <v>0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v>0</v>
      </c>
      <c r="C45" s="4">
        <v>0</v>
      </c>
      <c r="D45" s="4">
        <v>1</v>
      </c>
      <c r="E45" s="4">
        <v>224</v>
      </c>
      <c r="F45" s="4">
        <v>485977.98</v>
      </c>
      <c r="G45" s="4" t="s">
        <v>256</v>
      </c>
      <c r="H45" s="4" t="s">
        <v>257</v>
      </c>
      <c r="I45" s="4"/>
      <c r="J45" s="4"/>
      <c r="K45" s="4">
        <v>224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v>1</v>
      </c>
      <c r="C46" s="4">
        <v>0</v>
      </c>
      <c r="D46" s="4">
        <v>2</v>
      </c>
      <c r="E46" s="4">
        <v>0</v>
      </c>
      <c r="F46" s="4">
        <v>485977.98</v>
      </c>
      <c r="G46" s="4" t="s">
        <v>406</v>
      </c>
      <c r="H46" s="4" t="s">
        <v>407</v>
      </c>
      <c r="I46" s="4"/>
      <c r="J46" s="4"/>
      <c r="K46" s="4">
        <v>212</v>
      </c>
      <c r="L46" s="4">
        <v>27</v>
      </c>
      <c r="M46" s="4">
        <v>0</v>
      </c>
      <c r="N46" s="4" t="s">
        <v>3</v>
      </c>
      <c r="O46" s="4">
        <v>2</v>
      </c>
      <c r="P46" s="4"/>
    </row>
    <row r="47" spans="1:16" x14ac:dyDescent="0.2">
      <c r="A47" s="4">
        <v>50</v>
      </c>
      <c r="B47" s="4">
        <v>0</v>
      </c>
      <c r="C47" s="4">
        <v>0</v>
      </c>
      <c r="D47" s="4">
        <v>2</v>
      </c>
      <c r="E47" s="4">
        <v>0</v>
      </c>
      <c r="F47" s="4">
        <v>502423.47</v>
      </c>
      <c r="G47" s="4" t="s">
        <v>408</v>
      </c>
      <c r="H47" s="4" t="s">
        <v>409</v>
      </c>
      <c r="I47" s="4"/>
      <c r="J47" s="4"/>
      <c r="K47" s="4">
        <v>212</v>
      </c>
      <c r="L47" s="4">
        <v>28</v>
      </c>
      <c r="M47" s="4">
        <v>3</v>
      </c>
      <c r="N47" s="4" t="s">
        <v>3</v>
      </c>
      <c r="O47" s="4">
        <v>2</v>
      </c>
      <c r="P47" s="4"/>
    </row>
    <row r="48" spans="1:16" x14ac:dyDescent="0.2">
      <c r="A48" s="4">
        <v>50</v>
      </c>
      <c r="B48" s="4">
        <v>0</v>
      </c>
      <c r="C48" s="4">
        <v>0</v>
      </c>
      <c r="D48" s="4">
        <v>2</v>
      </c>
      <c r="E48" s="4">
        <v>0</v>
      </c>
      <c r="F48" s="4">
        <v>537643.36</v>
      </c>
      <c r="G48" s="4" t="s">
        <v>410</v>
      </c>
      <c r="H48" s="4" t="s">
        <v>411</v>
      </c>
      <c r="I48" s="4"/>
      <c r="J48" s="4"/>
      <c r="K48" s="4">
        <v>212</v>
      </c>
      <c r="L48" s="4">
        <v>29</v>
      </c>
      <c r="M48" s="4">
        <v>3</v>
      </c>
      <c r="N48" s="4" t="s">
        <v>3</v>
      </c>
      <c r="O48" s="4">
        <v>2</v>
      </c>
      <c r="P48" s="4"/>
    </row>
    <row r="49" spans="1:16" x14ac:dyDescent="0.2">
      <c r="A49" s="4">
        <v>50</v>
      </c>
      <c r="B49" s="4">
        <v>0</v>
      </c>
      <c r="C49" s="4">
        <v>0</v>
      </c>
      <c r="D49" s="4">
        <v>2</v>
      </c>
      <c r="E49" s="4">
        <v>0</v>
      </c>
      <c r="F49" s="4">
        <v>107528.67</v>
      </c>
      <c r="G49" s="4" t="s">
        <v>412</v>
      </c>
      <c r="H49" s="4" t="s">
        <v>413</v>
      </c>
      <c r="I49" s="4"/>
      <c r="J49" s="4"/>
      <c r="K49" s="4">
        <v>212</v>
      </c>
      <c r="L49" s="4">
        <v>30</v>
      </c>
      <c r="M49" s="4">
        <v>3</v>
      </c>
      <c r="N49" s="4" t="s">
        <v>3</v>
      </c>
      <c r="O49" s="4">
        <v>2</v>
      </c>
      <c r="P49" s="4"/>
    </row>
    <row r="50" spans="1:16" x14ac:dyDescent="0.2">
      <c r="A50" s="4">
        <v>50</v>
      </c>
      <c r="B50" s="4">
        <v>0</v>
      </c>
      <c r="C50" s="4">
        <v>0</v>
      </c>
      <c r="D50" s="4">
        <v>2</v>
      </c>
      <c r="E50" s="4">
        <v>213</v>
      </c>
      <c r="F50" s="4">
        <v>645172.03</v>
      </c>
      <c r="G50" s="4" t="s">
        <v>414</v>
      </c>
      <c r="H50" s="4" t="s">
        <v>256</v>
      </c>
      <c r="I50" s="4"/>
      <c r="J50" s="4"/>
      <c r="K50" s="4">
        <v>212</v>
      </c>
      <c r="L50" s="4">
        <v>32</v>
      </c>
      <c r="M50" s="4">
        <v>3</v>
      </c>
      <c r="N50" s="4" t="s">
        <v>3</v>
      </c>
      <c r="O50" s="4">
        <v>2</v>
      </c>
      <c r="P50" s="4"/>
    </row>
    <row r="52" spans="1:16" x14ac:dyDescent="0.2">
      <c r="A52">
        <v>-1</v>
      </c>
    </row>
    <row r="55" spans="1:16" x14ac:dyDescent="0.2">
      <c r="A55" s="3">
        <v>75</v>
      </c>
      <c r="B55" s="3" t="s">
        <v>483</v>
      </c>
      <c r="C55" s="3">
        <v>2000</v>
      </c>
      <c r="D55" s="3">
        <v>0</v>
      </c>
      <c r="E55" s="3">
        <v>1</v>
      </c>
      <c r="F55" s="3"/>
      <c r="G55" s="3">
        <v>0</v>
      </c>
      <c r="H55" s="3">
        <v>1</v>
      </c>
      <c r="I55" s="3">
        <v>0</v>
      </c>
      <c r="J55" s="3">
        <v>1</v>
      </c>
      <c r="K55" s="3">
        <v>0</v>
      </c>
      <c r="L55" s="3">
        <v>0</v>
      </c>
      <c r="M55" s="3">
        <v>0</v>
      </c>
      <c r="N55" s="3">
        <v>47631607</v>
      </c>
      <c r="O55" s="3">
        <v>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0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ROW(Source!A29)</f>
        <v>29</v>
      </c>
      <c r="B1">
        <v>47631607</v>
      </c>
      <c r="C1">
        <v>47635619</v>
      </c>
      <c r="D1">
        <v>37066717</v>
      </c>
      <c r="E1">
        <v>1</v>
      </c>
      <c r="F1">
        <v>1</v>
      </c>
      <c r="G1">
        <v>1</v>
      </c>
      <c r="H1">
        <v>1</v>
      </c>
      <c r="I1" t="s">
        <v>485</v>
      </c>
      <c r="J1" t="s">
        <v>3</v>
      </c>
      <c r="K1" t="s">
        <v>486</v>
      </c>
      <c r="L1">
        <v>1191</v>
      </c>
      <c r="N1">
        <v>1013</v>
      </c>
      <c r="O1" t="s">
        <v>487</v>
      </c>
      <c r="P1" t="s">
        <v>487</v>
      </c>
      <c r="Q1">
        <v>1</v>
      </c>
      <c r="W1">
        <v>0</v>
      </c>
      <c r="X1">
        <v>-509590494</v>
      </c>
      <c r="Y1">
        <v>61.363999999999997</v>
      </c>
      <c r="AA1">
        <v>0</v>
      </c>
      <c r="AB1">
        <v>0</v>
      </c>
      <c r="AC1">
        <v>0</v>
      </c>
      <c r="AD1">
        <v>8.17</v>
      </c>
      <c r="AE1">
        <v>0</v>
      </c>
      <c r="AF1">
        <v>0</v>
      </c>
      <c r="AG1">
        <v>0</v>
      </c>
      <c r="AH1">
        <v>8.17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53.36</v>
      </c>
      <c r="AU1" t="s">
        <v>24</v>
      </c>
      <c r="AV1">
        <v>1</v>
      </c>
      <c r="AW1">
        <v>2</v>
      </c>
      <c r="AX1">
        <v>47635620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Y1*Source!I29</f>
        <v>504.41208</v>
      </c>
      <c r="CY1">
        <f>AD1</f>
        <v>8.17</v>
      </c>
      <c r="CZ1">
        <f>AH1</f>
        <v>8.17</v>
      </c>
      <c r="DA1">
        <f>AL1</f>
        <v>1</v>
      </c>
      <c r="DB1">
        <f>ROUND((ROUND(AT1*CZ1,2)*1.15),6)</f>
        <v>501.34249999999997</v>
      </c>
      <c r="DC1">
        <f>ROUND((ROUND(AT1*AG1,2)*1.15),6)</f>
        <v>0</v>
      </c>
    </row>
    <row r="2" spans="1:107" x14ac:dyDescent="0.2">
      <c r="A2">
        <f>ROW(Source!A29)</f>
        <v>29</v>
      </c>
      <c r="B2">
        <v>47631607</v>
      </c>
      <c r="C2">
        <v>47635619</v>
      </c>
      <c r="D2">
        <v>36799072</v>
      </c>
      <c r="E2">
        <v>17</v>
      </c>
      <c r="F2">
        <v>1</v>
      </c>
      <c r="G2">
        <v>1</v>
      </c>
      <c r="H2">
        <v>3</v>
      </c>
      <c r="I2" t="s">
        <v>30</v>
      </c>
      <c r="J2" t="s">
        <v>3</v>
      </c>
      <c r="K2" t="s">
        <v>31</v>
      </c>
      <c r="L2">
        <v>1348</v>
      </c>
      <c r="N2">
        <v>1009</v>
      </c>
      <c r="O2" t="s">
        <v>32</v>
      </c>
      <c r="P2" t="s">
        <v>32</v>
      </c>
      <c r="Q2">
        <v>1000</v>
      </c>
      <c r="W2">
        <v>0</v>
      </c>
      <c r="X2">
        <v>-179832266</v>
      </c>
      <c r="Y2">
        <v>0.47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3</v>
      </c>
      <c r="AT2">
        <v>0.47</v>
      </c>
      <c r="AU2" t="s">
        <v>3</v>
      </c>
      <c r="AV2">
        <v>0</v>
      </c>
      <c r="AW2">
        <v>2</v>
      </c>
      <c r="AX2">
        <v>47635621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Y2*Source!I29</f>
        <v>3.8633999999999999</v>
      </c>
      <c r="CY2">
        <f>AA2</f>
        <v>0</v>
      </c>
      <c r="CZ2">
        <f>AE2</f>
        <v>0</v>
      </c>
      <c r="DA2">
        <f>AI2</f>
        <v>1</v>
      </c>
      <c r="DB2">
        <f>ROUND(ROUND(AT2*CZ2,2),6)</f>
        <v>0</v>
      </c>
      <c r="DC2">
        <f>ROUND(ROUND(AT2*AG2,2),6)</f>
        <v>0</v>
      </c>
    </row>
    <row r="3" spans="1:107" x14ac:dyDescent="0.2">
      <c r="A3">
        <f>ROW(Source!A33)</f>
        <v>33</v>
      </c>
      <c r="B3">
        <v>47631607</v>
      </c>
      <c r="C3">
        <v>47631670</v>
      </c>
      <c r="D3">
        <v>37064978</v>
      </c>
      <c r="E3">
        <v>1</v>
      </c>
      <c r="F3">
        <v>1</v>
      </c>
      <c r="G3">
        <v>1</v>
      </c>
      <c r="H3">
        <v>1</v>
      </c>
      <c r="I3" t="s">
        <v>488</v>
      </c>
      <c r="J3" t="s">
        <v>3</v>
      </c>
      <c r="K3" t="s">
        <v>489</v>
      </c>
      <c r="L3">
        <v>1191</v>
      </c>
      <c r="N3">
        <v>1013</v>
      </c>
      <c r="O3" t="s">
        <v>487</v>
      </c>
      <c r="P3" t="s">
        <v>487</v>
      </c>
      <c r="Q3">
        <v>1</v>
      </c>
      <c r="W3">
        <v>0</v>
      </c>
      <c r="X3">
        <v>-719309759</v>
      </c>
      <c r="Y3">
        <v>10.077449999999999</v>
      </c>
      <c r="AA3">
        <v>0</v>
      </c>
      <c r="AB3">
        <v>0</v>
      </c>
      <c r="AC3">
        <v>0</v>
      </c>
      <c r="AD3">
        <v>8.86</v>
      </c>
      <c r="AE3">
        <v>0</v>
      </c>
      <c r="AF3">
        <v>0</v>
      </c>
      <c r="AG3">
        <v>0</v>
      </c>
      <c r="AH3">
        <v>8.86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7.62</v>
      </c>
      <c r="AU3" t="s">
        <v>53</v>
      </c>
      <c r="AV3">
        <v>1</v>
      </c>
      <c r="AW3">
        <v>2</v>
      </c>
      <c r="AX3">
        <v>47631674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Y3*Source!I33</f>
        <v>11.1255048</v>
      </c>
      <c r="CY3">
        <f>AD3</f>
        <v>8.86</v>
      </c>
      <c r="CZ3">
        <f>AH3</f>
        <v>8.86</v>
      </c>
      <c r="DA3">
        <f>AL3</f>
        <v>1</v>
      </c>
      <c r="DB3">
        <f>ROUND(((ROUND(AT3*CZ3,2)*1.15)*1.15),6)</f>
        <v>89.281975000000003</v>
      </c>
      <c r="DC3">
        <f>ROUND(((ROUND(AT3*AG3,2)*1.15)*1.15),6)</f>
        <v>0</v>
      </c>
    </row>
    <row r="4" spans="1:107" x14ac:dyDescent="0.2">
      <c r="A4">
        <f>ROW(Source!A33)</f>
        <v>33</v>
      </c>
      <c r="B4">
        <v>47631607</v>
      </c>
      <c r="C4">
        <v>47631670</v>
      </c>
      <c r="D4">
        <v>36805515</v>
      </c>
      <c r="E4">
        <v>1</v>
      </c>
      <c r="F4">
        <v>1</v>
      </c>
      <c r="G4">
        <v>1</v>
      </c>
      <c r="H4">
        <v>3</v>
      </c>
      <c r="I4" t="s">
        <v>490</v>
      </c>
      <c r="J4" t="s">
        <v>491</v>
      </c>
      <c r="K4" t="s">
        <v>492</v>
      </c>
      <c r="L4">
        <v>1348</v>
      </c>
      <c r="N4">
        <v>1009</v>
      </c>
      <c r="O4" t="s">
        <v>32</v>
      </c>
      <c r="P4" t="s">
        <v>32</v>
      </c>
      <c r="Q4">
        <v>1000</v>
      </c>
      <c r="W4">
        <v>0</v>
      </c>
      <c r="X4">
        <v>1598981629</v>
      </c>
      <c r="Y4">
        <v>2.0000000000000001E-4</v>
      </c>
      <c r="AA4">
        <v>37600.01</v>
      </c>
      <c r="AB4">
        <v>0</v>
      </c>
      <c r="AC4">
        <v>0</v>
      </c>
      <c r="AD4">
        <v>0</v>
      </c>
      <c r="AE4">
        <v>37600.01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2.0000000000000001E-4</v>
      </c>
      <c r="AU4" t="s">
        <v>3</v>
      </c>
      <c r="AV4">
        <v>0</v>
      </c>
      <c r="AW4">
        <v>2</v>
      </c>
      <c r="AX4">
        <v>47631675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Y4*Source!I33</f>
        <v>2.2080000000000003E-4</v>
      </c>
      <c r="CY4">
        <f>AA4</f>
        <v>37600.01</v>
      </c>
      <c r="CZ4">
        <f>AE4</f>
        <v>37600.01</v>
      </c>
      <c r="DA4">
        <f>AI4</f>
        <v>1</v>
      </c>
      <c r="DB4">
        <f>ROUND(ROUND(AT4*CZ4,2),6)</f>
        <v>7.52</v>
      </c>
      <c r="DC4">
        <f>ROUND(ROUND(AT4*AG4,2),6)</f>
        <v>0</v>
      </c>
    </row>
    <row r="5" spans="1:107" x14ac:dyDescent="0.2">
      <c r="A5">
        <f>ROW(Source!A33)</f>
        <v>33</v>
      </c>
      <c r="B5">
        <v>47631607</v>
      </c>
      <c r="C5">
        <v>47631670</v>
      </c>
      <c r="D5">
        <v>36830431</v>
      </c>
      <c r="E5">
        <v>1</v>
      </c>
      <c r="F5">
        <v>1</v>
      </c>
      <c r="G5">
        <v>1</v>
      </c>
      <c r="H5">
        <v>3</v>
      </c>
      <c r="I5" t="s">
        <v>493</v>
      </c>
      <c r="J5" t="s">
        <v>494</v>
      </c>
      <c r="K5" t="s">
        <v>495</v>
      </c>
      <c r="L5">
        <v>1339</v>
      </c>
      <c r="N5">
        <v>1007</v>
      </c>
      <c r="O5" t="s">
        <v>96</v>
      </c>
      <c r="P5" t="s">
        <v>96</v>
      </c>
      <c r="Q5">
        <v>1</v>
      </c>
      <c r="W5">
        <v>0</v>
      </c>
      <c r="X5">
        <v>-556654331</v>
      </c>
      <c r="Y5">
        <v>1E-3</v>
      </c>
      <c r="AA5">
        <v>802</v>
      </c>
      <c r="AB5">
        <v>0</v>
      </c>
      <c r="AC5">
        <v>0</v>
      </c>
      <c r="AD5">
        <v>0</v>
      </c>
      <c r="AE5">
        <v>802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1E-3</v>
      </c>
      <c r="AU5" t="s">
        <v>3</v>
      </c>
      <c r="AV5">
        <v>0</v>
      </c>
      <c r="AW5">
        <v>2</v>
      </c>
      <c r="AX5">
        <v>47631676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Y5*Source!I33</f>
        <v>1.1040000000000002E-3</v>
      </c>
      <c r="CY5">
        <f>AA5</f>
        <v>802</v>
      </c>
      <c r="CZ5">
        <f>AE5</f>
        <v>802</v>
      </c>
      <c r="DA5">
        <f>AI5</f>
        <v>1</v>
      </c>
      <c r="DB5">
        <f>ROUND(ROUND(AT5*CZ5,2),6)</f>
        <v>0.8</v>
      </c>
      <c r="DC5">
        <f>ROUND(ROUND(AT5*AG5,2),6)</f>
        <v>0</v>
      </c>
    </row>
    <row r="6" spans="1:107" x14ac:dyDescent="0.2">
      <c r="A6">
        <f>ROW(Source!A34)</f>
        <v>34</v>
      </c>
      <c r="B6">
        <v>47631607</v>
      </c>
      <c r="C6">
        <v>47631677</v>
      </c>
      <c r="D6">
        <v>37064998</v>
      </c>
      <c r="E6">
        <v>1</v>
      </c>
      <c r="F6">
        <v>1</v>
      </c>
      <c r="G6">
        <v>1</v>
      </c>
      <c r="H6">
        <v>1</v>
      </c>
      <c r="I6" t="s">
        <v>496</v>
      </c>
      <c r="J6" t="s">
        <v>3</v>
      </c>
      <c r="K6" t="s">
        <v>497</v>
      </c>
      <c r="L6">
        <v>1191</v>
      </c>
      <c r="N6">
        <v>1013</v>
      </c>
      <c r="O6" t="s">
        <v>487</v>
      </c>
      <c r="P6" t="s">
        <v>487</v>
      </c>
      <c r="Q6">
        <v>1</v>
      </c>
      <c r="W6">
        <v>0</v>
      </c>
      <c r="X6">
        <v>735429535</v>
      </c>
      <c r="Y6">
        <v>13.489499999999998</v>
      </c>
      <c r="AA6">
        <v>0</v>
      </c>
      <c r="AB6">
        <v>0</v>
      </c>
      <c r="AC6">
        <v>0</v>
      </c>
      <c r="AD6">
        <v>7.8</v>
      </c>
      <c r="AE6">
        <v>0</v>
      </c>
      <c r="AF6">
        <v>0</v>
      </c>
      <c r="AG6">
        <v>0</v>
      </c>
      <c r="AH6">
        <v>7.8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10.199999999999999</v>
      </c>
      <c r="AU6" t="s">
        <v>53</v>
      </c>
      <c r="AV6">
        <v>1</v>
      </c>
      <c r="AW6">
        <v>2</v>
      </c>
      <c r="AX6">
        <v>47631679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Y6*Source!I34</f>
        <v>14.892408</v>
      </c>
      <c r="CY6">
        <f>AD6</f>
        <v>7.8</v>
      </c>
      <c r="CZ6">
        <f>AH6</f>
        <v>7.8</v>
      </c>
      <c r="DA6">
        <f>AL6</f>
        <v>1</v>
      </c>
      <c r="DB6">
        <f>ROUND(((ROUND(AT6*CZ6,2)*1.15)*1.15),6)</f>
        <v>105.21810000000001</v>
      </c>
      <c r="DC6">
        <f>ROUND(((ROUND(AT6*AG6,2)*1.15)*1.15),6)</f>
        <v>0</v>
      </c>
    </row>
    <row r="7" spans="1:107" x14ac:dyDescent="0.2">
      <c r="A7">
        <f>ROW(Source!A35)</f>
        <v>35</v>
      </c>
      <c r="B7">
        <v>47631607</v>
      </c>
      <c r="C7">
        <v>47631680</v>
      </c>
      <c r="D7">
        <v>37065248</v>
      </c>
      <c r="E7">
        <v>1</v>
      </c>
      <c r="F7">
        <v>1</v>
      </c>
      <c r="G7">
        <v>1</v>
      </c>
      <c r="H7">
        <v>1</v>
      </c>
      <c r="I7" t="s">
        <v>498</v>
      </c>
      <c r="J7" t="s">
        <v>3</v>
      </c>
      <c r="K7" t="s">
        <v>499</v>
      </c>
      <c r="L7">
        <v>1191</v>
      </c>
      <c r="N7">
        <v>1013</v>
      </c>
      <c r="O7" t="s">
        <v>487</v>
      </c>
      <c r="P7" t="s">
        <v>487</v>
      </c>
      <c r="Q7">
        <v>1</v>
      </c>
      <c r="W7">
        <v>0</v>
      </c>
      <c r="X7">
        <v>-400197608</v>
      </c>
      <c r="Y7">
        <v>51.273325</v>
      </c>
      <c r="AA7">
        <v>0</v>
      </c>
      <c r="AB7">
        <v>0</v>
      </c>
      <c r="AC7">
        <v>0</v>
      </c>
      <c r="AD7">
        <v>8.5299999999999994</v>
      </c>
      <c r="AE7">
        <v>0</v>
      </c>
      <c r="AF7">
        <v>0</v>
      </c>
      <c r="AG7">
        <v>0</v>
      </c>
      <c r="AH7">
        <v>8.5299999999999994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38.770000000000003</v>
      </c>
      <c r="AU7" t="s">
        <v>53</v>
      </c>
      <c r="AV7">
        <v>1</v>
      </c>
      <c r="AW7">
        <v>2</v>
      </c>
      <c r="AX7">
        <v>47631687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Y7*Source!I35</f>
        <v>46.145992499999998</v>
      </c>
      <c r="CY7">
        <f>AD7</f>
        <v>8.5299999999999994</v>
      </c>
      <c r="CZ7">
        <f>AH7</f>
        <v>8.5299999999999994</v>
      </c>
      <c r="DA7">
        <f>AL7</f>
        <v>1</v>
      </c>
      <c r="DB7">
        <f>ROUND(((ROUND(AT7*CZ7,2)*1.15)*1.15),6)</f>
        <v>437.36397499999998</v>
      </c>
      <c r="DC7">
        <f>ROUND(((ROUND(AT7*AG7,2)*1.15)*1.15),6)</f>
        <v>0</v>
      </c>
    </row>
    <row r="8" spans="1:107" x14ac:dyDescent="0.2">
      <c r="A8">
        <f>ROW(Source!A35)</f>
        <v>35</v>
      </c>
      <c r="B8">
        <v>47631607</v>
      </c>
      <c r="C8">
        <v>47631680</v>
      </c>
      <c r="D8">
        <v>37064876</v>
      </c>
      <c r="E8">
        <v>1</v>
      </c>
      <c r="F8">
        <v>1</v>
      </c>
      <c r="G8">
        <v>1</v>
      </c>
      <c r="H8">
        <v>1</v>
      </c>
      <c r="I8" t="s">
        <v>500</v>
      </c>
      <c r="J8" t="s">
        <v>3</v>
      </c>
      <c r="K8" t="s">
        <v>501</v>
      </c>
      <c r="L8">
        <v>1191</v>
      </c>
      <c r="N8">
        <v>1013</v>
      </c>
      <c r="O8" t="s">
        <v>487</v>
      </c>
      <c r="P8" t="s">
        <v>487</v>
      </c>
      <c r="Q8">
        <v>1</v>
      </c>
      <c r="W8">
        <v>0</v>
      </c>
      <c r="X8">
        <v>-1417349443</v>
      </c>
      <c r="Y8">
        <v>25.03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25.03</v>
      </c>
      <c r="AU8" t="s">
        <v>3</v>
      </c>
      <c r="AV8">
        <v>2</v>
      </c>
      <c r="AW8">
        <v>2</v>
      </c>
      <c r="AX8">
        <v>47631688</v>
      </c>
      <c r="AY8">
        <v>1</v>
      </c>
      <c r="AZ8">
        <v>2048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Y8*Source!I35</f>
        <v>22.527000000000001</v>
      </c>
      <c r="CY8">
        <f>AD8</f>
        <v>0</v>
      </c>
      <c r="CZ8">
        <f>AH8</f>
        <v>0</v>
      </c>
      <c r="DA8">
        <f>AL8</f>
        <v>1</v>
      </c>
      <c r="DB8">
        <f>ROUND(ROUND(AT8*CZ8,2),6)</f>
        <v>0</v>
      </c>
      <c r="DC8">
        <f>ROUND(ROUND(AT8*AG8,2),6)</f>
        <v>0</v>
      </c>
    </row>
    <row r="9" spans="1:107" x14ac:dyDescent="0.2">
      <c r="A9">
        <f>ROW(Source!A35)</f>
        <v>35</v>
      </c>
      <c r="B9">
        <v>47631607</v>
      </c>
      <c r="C9">
        <v>47631680</v>
      </c>
      <c r="D9">
        <v>36881968</v>
      </c>
      <c r="E9">
        <v>1</v>
      </c>
      <c r="F9">
        <v>1</v>
      </c>
      <c r="G9">
        <v>1</v>
      </c>
      <c r="H9">
        <v>2</v>
      </c>
      <c r="I9" t="s">
        <v>502</v>
      </c>
      <c r="J9" t="s">
        <v>503</v>
      </c>
      <c r="K9" t="s">
        <v>504</v>
      </c>
      <c r="L9">
        <v>1368</v>
      </c>
      <c r="N9">
        <v>1011</v>
      </c>
      <c r="O9" t="s">
        <v>505</v>
      </c>
      <c r="P9" t="s">
        <v>505</v>
      </c>
      <c r="Q9">
        <v>1</v>
      </c>
      <c r="W9">
        <v>0</v>
      </c>
      <c r="X9">
        <v>-742200527</v>
      </c>
      <c r="Y9">
        <v>18.543749999999999</v>
      </c>
      <c r="AA9">
        <v>0</v>
      </c>
      <c r="AB9">
        <v>138.54</v>
      </c>
      <c r="AC9">
        <v>11.6</v>
      </c>
      <c r="AD9">
        <v>0</v>
      </c>
      <c r="AE9">
        <v>0</v>
      </c>
      <c r="AF9">
        <v>138.54</v>
      </c>
      <c r="AG9">
        <v>11.6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12.9</v>
      </c>
      <c r="AU9" t="s">
        <v>52</v>
      </c>
      <c r="AV9">
        <v>0</v>
      </c>
      <c r="AW9">
        <v>2</v>
      </c>
      <c r="AX9">
        <v>47631689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Y9*Source!I35</f>
        <v>16.689374999999998</v>
      </c>
      <c r="CY9">
        <f>AB9</f>
        <v>138.54</v>
      </c>
      <c r="CZ9">
        <f>AF9</f>
        <v>138.54</v>
      </c>
      <c r="DA9">
        <f>AJ9</f>
        <v>1</v>
      </c>
      <c r="DB9">
        <f>ROUND(((ROUND(AT9*CZ9,2)*1.25)*1.15),6)</f>
        <v>2569.0568750000002</v>
      </c>
      <c r="DC9">
        <f>ROUND(((ROUND(AT9*AG9,2)*1.25)*1.15),6)</f>
        <v>215.10749999999999</v>
      </c>
    </row>
    <row r="10" spans="1:107" x14ac:dyDescent="0.2">
      <c r="A10">
        <f>ROW(Source!A35)</f>
        <v>35</v>
      </c>
      <c r="B10">
        <v>47631607</v>
      </c>
      <c r="C10">
        <v>47631680</v>
      </c>
      <c r="D10">
        <v>36883545</v>
      </c>
      <c r="E10">
        <v>1</v>
      </c>
      <c r="F10">
        <v>1</v>
      </c>
      <c r="G10">
        <v>1</v>
      </c>
      <c r="H10">
        <v>2</v>
      </c>
      <c r="I10" t="s">
        <v>506</v>
      </c>
      <c r="J10" t="s">
        <v>507</v>
      </c>
      <c r="K10" t="s">
        <v>508</v>
      </c>
      <c r="L10">
        <v>1368</v>
      </c>
      <c r="N10">
        <v>1011</v>
      </c>
      <c r="O10" t="s">
        <v>505</v>
      </c>
      <c r="P10" t="s">
        <v>505</v>
      </c>
      <c r="Q10">
        <v>1</v>
      </c>
      <c r="W10">
        <v>0</v>
      </c>
      <c r="X10">
        <v>651530509</v>
      </c>
      <c r="Y10">
        <v>16.056874999999998</v>
      </c>
      <c r="AA10">
        <v>0</v>
      </c>
      <c r="AB10">
        <v>173.51</v>
      </c>
      <c r="AC10">
        <v>13.5</v>
      </c>
      <c r="AD10">
        <v>0</v>
      </c>
      <c r="AE10">
        <v>0</v>
      </c>
      <c r="AF10">
        <v>173.51</v>
      </c>
      <c r="AG10">
        <v>13.5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11.17</v>
      </c>
      <c r="AU10" t="s">
        <v>52</v>
      </c>
      <c r="AV10">
        <v>0</v>
      </c>
      <c r="AW10">
        <v>2</v>
      </c>
      <c r="AX10">
        <v>47631690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Y10*Source!I35</f>
        <v>14.451187499999998</v>
      </c>
      <c r="CY10">
        <f>AB10</f>
        <v>173.51</v>
      </c>
      <c r="CZ10">
        <f>AF10</f>
        <v>173.51</v>
      </c>
      <c r="DA10">
        <f>AJ10</f>
        <v>1</v>
      </c>
      <c r="DB10">
        <f>ROUND(((ROUND(AT10*CZ10,2)*1.25)*1.15),6)</f>
        <v>2786.0331249999999</v>
      </c>
      <c r="DC10">
        <f>ROUND(((ROUND(AT10*AG10,2)*1.25)*1.15),6)</f>
        <v>216.77500000000001</v>
      </c>
    </row>
    <row r="11" spans="1:107" x14ac:dyDescent="0.2">
      <c r="A11">
        <f>ROW(Source!A35)</f>
        <v>35</v>
      </c>
      <c r="B11">
        <v>47631607</v>
      </c>
      <c r="C11">
        <v>47631680</v>
      </c>
      <c r="D11">
        <v>36883554</v>
      </c>
      <c r="E11">
        <v>1</v>
      </c>
      <c r="F11">
        <v>1</v>
      </c>
      <c r="G11">
        <v>1</v>
      </c>
      <c r="H11">
        <v>2</v>
      </c>
      <c r="I11" t="s">
        <v>509</v>
      </c>
      <c r="J11" t="s">
        <v>510</v>
      </c>
      <c r="K11" t="s">
        <v>511</v>
      </c>
      <c r="L11">
        <v>1368</v>
      </c>
      <c r="N11">
        <v>1011</v>
      </c>
      <c r="O11" t="s">
        <v>505</v>
      </c>
      <c r="P11" t="s">
        <v>505</v>
      </c>
      <c r="Q11">
        <v>1</v>
      </c>
      <c r="W11">
        <v>0</v>
      </c>
      <c r="X11">
        <v>1372534845</v>
      </c>
      <c r="Y11">
        <v>1.38</v>
      </c>
      <c r="AA11">
        <v>0</v>
      </c>
      <c r="AB11">
        <v>65.709999999999994</v>
      </c>
      <c r="AC11">
        <v>11.6</v>
      </c>
      <c r="AD11">
        <v>0</v>
      </c>
      <c r="AE11">
        <v>0</v>
      </c>
      <c r="AF11">
        <v>65.709999999999994</v>
      </c>
      <c r="AG11">
        <v>11.6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0.96</v>
      </c>
      <c r="AU11" t="s">
        <v>52</v>
      </c>
      <c r="AV11">
        <v>0</v>
      </c>
      <c r="AW11">
        <v>2</v>
      </c>
      <c r="AX11">
        <v>47631691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Y11*Source!I35</f>
        <v>1.242</v>
      </c>
      <c r="CY11">
        <f>AB11</f>
        <v>65.709999999999994</v>
      </c>
      <c r="CZ11">
        <f>AF11</f>
        <v>65.709999999999994</v>
      </c>
      <c r="DA11">
        <f>AJ11</f>
        <v>1</v>
      </c>
      <c r="DB11">
        <f>ROUND(((ROUND(AT11*CZ11,2)*1.25)*1.15),6)</f>
        <v>90.677499999999995</v>
      </c>
      <c r="DC11">
        <f>ROUND(((ROUND(AT11*AG11,2)*1.25)*1.15),6)</f>
        <v>16.013750000000002</v>
      </c>
    </row>
    <row r="12" spans="1:107" x14ac:dyDescent="0.2">
      <c r="A12">
        <f>ROW(Source!A35)</f>
        <v>35</v>
      </c>
      <c r="B12">
        <v>47631607</v>
      </c>
      <c r="C12">
        <v>47631680</v>
      </c>
      <c r="D12">
        <v>36830269</v>
      </c>
      <c r="E12">
        <v>1</v>
      </c>
      <c r="F12">
        <v>1</v>
      </c>
      <c r="G12">
        <v>1</v>
      </c>
      <c r="H12">
        <v>3</v>
      </c>
      <c r="I12" t="s">
        <v>512</v>
      </c>
      <c r="J12" t="s">
        <v>513</v>
      </c>
      <c r="K12" t="s">
        <v>514</v>
      </c>
      <c r="L12">
        <v>1301</v>
      </c>
      <c r="N12">
        <v>1003</v>
      </c>
      <c r="O12" t="s">
        <v>515</v>
      </c>
      <c r="P12" t="s">
        <v>515</v>
      </c>
      <c r="Q12">
        <v>1</v>
      </c>
      <c r="W12">
        <v>0</v>
      </c>
      <c r="X12">
        <v>1321173899</v>
      </c>
      <c r="Y12">
        <v>55.9</v>
      </c>
      <c r="AA12">
        <v>4.17</v>
      </c>
      <c r="AB12">
        <v>0</v>
      </c>
      <c r="AC12">
        <v>0</v>
      </c>
      <c r="AD12">
        <v>0</v>
      </c>
      <c r="AE12">
        <v>4.17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55.9</v>
      </c>
      <c r="AU12" t="s">
        <v>3</v>
      </c>
      <c r="AV12">
        <v>0</v>
      </c>
      <c r="AW12">
        <v>2</v>
      </c>
      <c r="AX12">
        <v>47631694</v>
      </c>
      <c r="AY12">
        <v>1</v>
      </c>
      <c r="AZ12">
        <v>0</v>
      </c>
      <c r="BA12">
        <v>14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Y12*Source!I35</f>
        <v>50.31</v>
      </c>
      <c r="CY12">
        <f>AA12</f>
        <v>4.17</v>
      </c>
      <c r="CZ12">
        <f>AE12</f>
        <v>4.17</v>
      </c>
      <c r="DA12">
        <f>AI12</f>
        <v>1</v>
      </c>
      <c r="DB12">
        <f>ROUND(ROUND(AT12*CZ12,2),6)</f>
        <v>233.1</v>
      </c>
      <c r="DC12">
        <f>ROUND(ROUND(AT12*AG12,2),6)</f>
        <v>0</v>
      </c>
    </row>
    <row r="13" spans="1:107" x14ac:dyDescent="0.2">
      <c r="A13">
        <f>ROW(Source!A36)</f>
        <v>36</v>
      </c>
      <c r="B13">
        <v>47631607</v>
      </c>
      <c r="C13">
        <v>47631695</v>
      </c>
      <c r="D13">
        <v>37064878</v>
      </c>
      <c r="E13">
        <v>1</v>
      </c>
      <c r="F13">
        <v>1</v>
      </c>
      <c r="G13">
        <v>1</v>
      </c>
      <c r="H13">
        <v>1</v>
      </c>
      <c r="I13" t="s">
        <v>516</v>
      </c>
      <c r="J13" t="s">
        <v>3</v>
      </c>
      <c r="K13" t="s">
        <v>517</v>
      </c>
      <c r="L13">
        <v>1191</v>
      </c>
      <c r="N13">
        <v>1013</v>
      </c>
      <c r="O13" t="s">
        <v>487</v>
      </c>
      <c r="P13" t="s">
        <v>487</v>
      </c>
      <c r="Q13">
        <v>1</v>
      </c>
      <c r="W13">
        <v>0</v>
      </c>
      <c r="X13">
        <v>-1081351934</v>
      </c>
      <c r="Y13">
        <v>256.565</v>
      </c>
      <c r="AA13">
        <v>0</v>
      </c>
      <c r="AB13">
        <v>0</v>
      </c>
      <c r="AC13">
        <v>0</v>
      </c>
      <c r="AD13">
        <v>9.4</v>
      </c>
      <c r="AE13">
        <v>0</v>
      </c>
      <c r="AF13">
        <v>0</v>
      </c>
      <c r="AG13">
        <v>0</v>
      </c>
      <c r="AH13">
        <v>9.4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194</v>
      </c>
      <c r="AU13" t="s">
        <v>53</v>
      </c>
      <c r="AV13">
        <v>1</v>
      </c>
      <c r="AW13">
        <v>2</v>
      </c>
      <c r="AX13">
        <v>47631710</v>
      </c>
      <c r="AY13">
        <v>1</v>
      </c>
      <c r="AZ13">
        <v>0</v>
      </c>
      <c r="BA13">
        <v>15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Y13*Source!I36</f>
        <v>29.24841</v>
      </c>
      <c r="CY13">
        <f>AD13</f>
        <v>9.4</v>
      </c>
      <c r="CZ13">
        <f>AH13</f>
        <v>9.4</v>
      </c>
      <c r="DA13">
        <f>AL13</f>
        <v>1</v>
      </c>
      <c r="DB13">
        <f>ROUND(((ROUND(AT13*CZ13,2)*1.15)*1.15),6)</f>
        <v>2411.7109999999998</v>
      </c>
      <c r="DC13">
        <f>ROUND(((ROUND(AT13*AG13,2)*1.15)*1.15),6)</f>
        <v>0</v>
      </c>
    </row>
    <row r="14" spans="1:107" x14ac:dyDescent="0.2">
      <c r="A14">
        <f>ROW(Source!A36)</f>
        <v>36</v>
      </c>
      <c r="B14">
        <v>47631607</v>
      </c>
      <c r="C14">
        <v>47631695</v>
      </c>
      <c r="D14">
        <v>37064876</v>
      </c>
      <c r="E14">
        <v>1</v>
      </c>
      <c r="F14">
        <v>1</v>
      </c>
      <c r="G14">
        <v>1</v>
      </c>
      <c r="H14">
        <v>1</v>
      </c>
      <c r="I14" t="s">
        <v>500</v>
      </c>
      <c r="J14" t="s">
        <v>3</v>
      </c>
      <c r="K14" t="s">
        <v>501</v>
      </c>
      <c r="L14">
        <v>1191</v>
      </c>
      <c r="N14">
        <v>1013</v>
      </c>
      <c r="O14" t="s">
        <v>487</v>
      </c>
      <c r="P14" t="s">
        <v>487</v>
      </c>
      <c r="Q14">
        <v>1</v>
      </c>
      <c r="W14">
        <v>0</v>
      </c>
      <c r="X14">
        <v>-1417349443</v>
      </c>
      <c r="Y14">
        <v>4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4</v>
      </c>
      <c r="AU14" t="s">
        <v>3</v>
      </c>
      <c r="AV14">
        <v>2</v>
      </c>
      <c r="AW14">
        <v>2</v>
      </c>
      <c r="AX14">
        <v>47631711</v>
      </c>
      <c r="AY14">
        <v>1</v>
      </c>
      <c r="AZ14">
        <v>2048</v>
      </c>
      <c r="BA14">
        <v>16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Y14*Source!I36</f>
        <v>0.45600000000000002</v>
      </c>
      <c r="CY14">
        <f>AD14</f>
        <v>0</v>
      </c>
      <c r="CZ14">
        <f>AH14</f>
        <v>0</v>
      </c>
      <c r="DA14">
        <f>AL14</f>
        <v>1</v>
      </c>
      <c r="DB14">
        <f>ROUND(ROUND(AT14*CZ14,2),6)</f>
        <v>0</v>
      </c>
      <c r="DC14">
        <f>ROUND(ROUND(AT14*AG14,2),6)</f>
        <v>0</v>
      </c>
    </row>
    <row r="15" spans="1:107" x14ac:dyDescent="0.2">
      <c r="A15">
        <f>ROW(Source!A36)</f>
        <v>36</v>
      </c>
      <c r="B15">
        <v>47631607</v>
      </c>
      <c r="C15">
        <v>47631695</v>
      </c>
      <c r="D15">
        <v>36882159</v>
      </c>
      <c r="E15">
        <v>1</v>
      </c>
      <c r="F15">
        <v>1</v>
      </c>
      <c r="G15">
        <v>1</v>
      </c>
      <c r="H15">
        <v>2</v>
      </c>
      <c r="I15" t="s">
        <v>518</v>
      </c>
      <c r="J15" t="s">
        <v>519</v>
      </c>
      <c r="K15" t="s">
        <v>520</v>
      </c>
      <c r="L15">
        <v>1368</v>
      </c>
      <c r="N15">
        <v>1011</v>
      </c>
      <c r="O15" t="s">
        <v>505</v>
      </c>
      <c r="P15" t="s">
        <v>505</v>
      </c>
      <c r="Q15">
        <v>1</v>
      </c>
      <c r="W15">
        <v>0</v>
      </c>
      <c r="X15">
        <v>-1718674368</v>
      </c>
      <c r="Y15">
        <v>0.71875</v>
      </c>
      <c r="AA15">
        <v>0</v>
      </c>
      <c r="AB15">
        <v>111.99</v>
      </c>
      <c r="AC15">
        <v>13.5</v>
      </c>
      <c r="AD15">
        <v>0</v>
      </c>
      <c r="AE15">
        <v>0</v>
      </c>
      <c r="AF15">
        <v>111.99</v>
      </c>
      <c r="AG15">
        <v>13.5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1</v>
      </c>
      <c r="AQ15">
        <v>0</v>
      </c>
      <c r="AR15">
        <v>0</v>
      </c>
      <c r="AS15" t="s">
        <v>3</v>
      </c>
      <c r="AT15">
        <v>0.5</v>
      </c>
      <c r="AU15" t="s">
        <v>52</v>
      </c>
      <c r="AV15">
        <v>0</v>
      </c>
      <c r="AW15">
        <v>2</v>
      </c>
      <c r="AX15">
        <v>47631712</v>
      </c>
      <c r="AY15">
        <v>1</v>
      </c>
      <c r="AZ15">
        <v>0</v>
      </c>
      <c r="BA15">
        <v>17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Y15*Source!I36</f>
        <v>8.1937499999999996E-2</v>
      </c>
      <c r="CY15">
        <f t="shared" ref="CY15:CY22" si="0">AB15</f>
        <v>111.99</v>
      </c>
      <c r="CZ15">
        <f t="shared" ref="CZ15:CZ22" si="1">AF15</f>
        <v>111.99</v>
      </c>
      <c r="DA15">
        <f t="shared" ref="DA15:DA22" si="2">AJ15</f>
        <v>1</v>
      </c>
      <c r="DB15">
        <f t="shared" ref="DB15:DB22" si="3">ROUND(((ROUND(AT15*CZ15,2)*1.25)*1.15),6)</f>
        <v>80.5</v>
      </c>
      <c r="DC15">
        <f t="shared" ref="DC15:DC22" si="4">ROUND(((ROUND(AT15*AG15,2)*1.25)*1.15),6)</f>
        <v>9.703125</v>
      </c>
    </row>
    <row r="16" spans="1:107" x14ac:dyDescent="0.2">
      <c r="A16">
        <f>ROW(Source!A36)</f>
        <v>36</v>
      </c>
      <c r="B16">
        <v>47631607</v>
      </c>
      <c r="C16">
        <v>47631695</v>
      </c>
      <c r="D16">
        <v>36882358</v>
      </c>
      <c r="E16">
        <v>1</v>
      </c>
      <c r="F16">
        <v>1</v>
      </c>
      <c r="G16">
        <v>1</v>
      </c>
      <c r="H16">
        <v>2</v>
      </c>
      <c r="I16" t="s">
        <v>521</v>
      </c>
      <c r="J16" t="s">
        <v>522</v>
      </c>
      <c r="K16" t="s">
        <v>523</v>
      </c>
      <c r="L16">
        <v>1368</v>
      </c>
      <c r="N16">
        <v>1011</v>
      </c>
      <c r="O16" t="s">
        <v>505</v>
      </c>
      <c r="P16" t="s">
        <v>505</v>
      </c>
      <c r="Q16">
        <v>1</v>
      </c>
      <c r="W16">
        <v>0</v>
      </c>
      <c r="X16">
        <v>1544661785</v>
      </c>
      <c r="Y16">
        <v>1.9693750000000001</v>
      </c>
      <c r="AA16">
        <v>0</v>
      </c>
      <c r="AB16">
        <v>6.9</v>
      </c>
      <c r="AC16">
        <v>0</v>
      </c>
      <c r="AD16">
        <v>0</v>
      </c>
      <c r="AE16">
        <v>0</v>
      </c>
      <c r="AF16">
        <v>6.9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1</v>
      </c>
      <c r="AQ16">
        <v>0</v>
      </c>
      <c r="AR16">
        <v>0</v>
      </c>
      <c r="AS16" t="s">
        <v>3</v>
      </c>
      <c r="AT16">
        <v>1.37</v>
      </c>
      <c r="AU16" t="s">
        <v>52</v>
      </c>
      <c r="AV16">
        <v>0</v>
      </c>
      <c r="AW16">
        <v>2</v>
      </c>
      <c r="AX16">
        <v>47631713</v>
      </c>
      <c r="AY16">
        <v>1</v>
      </c>
      <c r="AZ16">
        <v>0</v>
      </c>
      <c r="BA16">
        <v>18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Y16*Source!I36</f>
        <v>0.22450875000000001</v>
      </c>
      <c r="CY16">
        <f t="shared" si="0"/>
        <v>6.9</v>
      </c>
      <c r="CZ16">
        <f t="shared" si="1"/>
        <v>6.9</v>
      </c>
      <c r="DA16">
        <f t="shared" si="2"/>
        <v>1</v>
      </c>
      <c r="DB16">
        <f t="shared" si="3"/>
        <v>13.584375</v>
      </c>
      <c r="DC16">
        <f t="shared" si="4"/>
        <v>0</v>
      </c>
    </row>
    <row r="17" spans="1:107" x14ac:dyDescent="0.2">
      <c r="A17">
        <f>ROW(Source!A36)</f>
        <v>36</v>
      </c>
      <c r="B17">
        <v>47631607</v>
      </c>
      <c r="C17">
        <v>47631695</v>
      </c>
      <c r="D17">
        <v>36883555</v>
      </c>
      <c r="E17">
        <v>1</v>
      </c>
      <c r="F17">
        <v>1</v>
      </c>
      <c r="G17">
        <v>1</v>
      </c>
      <c r="H17">
        <v>2</v>
      </c>
      <c r="I17" t="s">
        <v>524</v>
      </c>
      <c r="J17" t="s">
        <v>525</v>
      </c>
      <c r="K17" t="s">
        <v>526</v>
      </c>
      <c r="L17">
        <v>1368</v>
      </c>
      <c r="N17">
        <v>1011</v>
      </c>
      <c r="O17" t="s">
        <v>505</v>
      </c>
      <c r="P17" t="s">
        <v>505</v>
      </c>
      <c r="Q17">
        <v>1</v>
      </c>
      <c r="W17">
        <v>0</v>
      </c>
      <c r="X17">
        <v>-1498239011</v>
      </c>
      <c r="Y17">
        <v>0.71875</v>
      </c>
      <c r="AA17">
        <v>0</v>
      </c>
      <c r="AB17">
        <v>85.84</v>
      </c>
      <c r="AC17">
        <v>11.6</v>
      </c>
      <c r="AD17">
        <v>0</v>
      </c>
      <c r="AE17">
        <v>0</v>
      </c>
      <c r="AF17">
        <v>85.84</v>
      </c>
      <c r="AG17">
        <v>11.6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0.5</v>
      </c>
      <c r="AU17" t="s">
        <v>52</v>
      </c>
      <c r="AV17">
        <v>0</v>
      </c>
      <c r="AW17">
        <v>2</v>
      </c>
      <c r="AX17">
        <v>47631714</v>
      </c>
      <c r="AY17">
        <v>1</v>
      </c>
      <c r="AZ17">
        <v>0</v>
      </c>
      <c r="BA17">
        <v>19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Y17*Source!I36</f>
        <v>8.1937499999999996E-2</v>
      </c>
      <c r="CY17">
        <f t="shared" si="0"/>
        <v>85.84</v>
      </c>
      <c r="CZ17">
        <f t="shared" si="1"/>
        <v>85.84</v>
      </c>
      <c r="DA17">
        <f t="shared" si="2"/>
        <v>1</v>
      </c>
      <c r="DB17">
        <f t="shared" si="3"/>
        <v>61.697499999999998</v>
      </c>
      <c r="DC17">
        <f t="shared" si="4"/>
        <v>8.3375000000000004</v>
      </c>
    </row>
    <row r="18" spans="1:107" x14ac:dyDescent="0.2">
      <c r="A18">
        <f>ROW(Source!A36)</f>
        <v>36</v>
      </c>
      <c r="B18">
        <v>47631607</v>
      </c>
      <c r="C18">
        <v>47631695</v>
      </c>
      <c r="D18">
        <v>36883768</v>
      </c>
      <c r="E18">
        <v>1</v>
      </c>
      <c r="F18">
        <v>1</v>
      </c>
      <c r="G18">
        <v>1</v>
      </c>
      <c r="H18">
        <v>2</v>
      </c>
      <c r="I18" t="s">
        <v>527</v>
      </c>
      <c r="J18" t="s">
        <v>528</v>
      </c>
      <c r="K18" t="s">
        <v>529</v>
      </c>
      <c r="L18">
        <v>1368</v>
      </c>
      <c r="N18">
        <v>1011</v>
      </c>
      <c r="O18" t="s">
        <v>505</v>
      </c>
      <c r="P18" t="s">
        <v>505</v>
      </c>
      <c r="Q18">
        <v>1</v>
      </c>
      <c r="W18">
        <v>0</v>
      </c>
      <c r="X18">
        <v>-1877361553</v>
      </c>
      <c r="Y18">
        <v>95.306249999999991</v>
      </c>
      <c r="AA18">
        <v>0</v>
      </c>
      <c r="AB18">
        <v>39.49</v>
      </c>
      <c r="AC18">
        <v>0</v>
      </c>
      <c r="AD18">
        <v>0</v>
      </c>
      <c r="AE18">
        <v>0</v>
      </c>
      <c r="AF18">
        <v>39.49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66.3</v>
      </c>
      <c r="AU18" t="s">
        <v>52</v>
      </c>
      <c r="AV18">
        <v>0</v>
      </c>
      <c r="AW18">
        <v>2</v>
      </c>
      <c r="AX18">
        <v>47631715</v>
      </c>
      <c r="AY18">
        <v>1</v>
      </c>
      <c r="AZ18">
        <v>0</v>
      </c>
      <c r="BA18">
        <v>20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Y18*Source!I36</f>
        <v>10.864912499999999</v>
      </c>
      <c r="CY18">
        <f t="shared" si="0"/>
        <v>39.49</v>
      </c>
      <c r="CZ18">
        <f t="shared" si="1"/>
        <v>39.49</v>
      </c>
      <c r="DA18">
        <f t="shared" si="2"/>
        <v>1</v>
      </c>
      <c r="DB18">
        <f t="shared" si="3"/>
        <v>3763.6481250000002</v>
      </c>
      <c r="DC18">
        <f t="shared" si="4"/>
        <v>0</v>
      </c>
    </row>
    <row r="19" spans="1:107" x14ac:dyDescent="0.2">
      <c r="A19">
        <f>ROW(Source!A36)</f>
        <v>36</v>
      </c>
      <c r="B19">
        <v>47631607</v>
      </c>
      <c r="C19">
        <v>47631695</v>
      </c>
      <c r="D19">
        <v>36883789</v>
      </c>
      <c r="E19">
        <v>1</v>
      </c>
      <c r="F19">
        <v>1</v>
      </c>
      <c r="G19">
        <v>1</v>
      </c>
      <c r="H19">
        <v>2</v>
      </c>
      <c r="I19" t="s">
        <v>530</v>
      </c>
      <c r="J19" t="s">
        <v>531</v>
      </c>
      <c r="K19" t="s">
        <v>532</v>
      </c>
      <c r="L19">
        <v>1368</v>
      </c>
      <c r="N19">
        <v>1011</v>
      </c>
      <c r="O19" t="s">
        <v>505</v>
      </c>
      <c r="P19" t="s">
        <v>505</v>
      </c>
      <c r="Q19">
        <v>1</v>
      </c>
      <c r="W19">
        <v>0</v>
      </c>
      <c r="X19">
        <v>792402865</v>
      </c>
      <c r="Y19">
        <v>2.5874999999999999</v>
      </c>
      <c r="AA19">
        <v>0</v>
      </c>
      <c r="AB19">
        <v>1.2</v>
      </c>
      <c r="AC19">
        <v>0</v>
      </c>
      <c r="AD19">
        <v>0</v>
      </c>
      <c r="AE19">
        <v>0</v>
      </c>
      <c r="AF19">
        <v>1.2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1.8</v>
      </c>
      <c r="AU19" t="s">
        <v>52</v>
      </c>
      <c r="AV19">
        <v>0</v>
      </c>
      <c r="AW19">
        <v>2</v>
      </c>
      <c r="AX19">
        <v>47631716</v>
      </c>
      <c r="AY19">
        <v>1</v>
      </c>
      <c r="AZ19">
        <v>0</v>
      </c>
      <c r="BA19">
        <v>21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Y19*Source!I36</f>
        <v>0.29497499999999999</v>
      </c>
      <c r="CY19">
        <f t="shared" si="0"/>
        <v>1.2</v>
      </c>
      <c r="CZ19">
        <f t="shared" si="1"/>
        <v>1.2</v>
      </c>
      <c r="DA19">
        <f t="shared" si="2"/>
        <v>1</v>
      </c>
      <c r="DB19">
        <f t="shared" si="3"/>
        <v>3.105</v>
      </c>
      <c r="DC19">
        <f t="shared" si="4"/>
        <v>0</v>
      </c>
    </row>
    <row r="20" spans="1:107" x14ac:dyDescent="0.2">
      <c r="A20">
        <f>ROW(Source!A36)</f>
        <v>36</v>
      </c>
      <c r="B20">
        <v>47631607</v>
      </c>
      <c r="C20">
        <v>47631695</v>
      </c>
      <c r="D20">
        <v>36884498</v>
      </c>
      <c r="E20">
        <v>1</v>
      </c>
      <c r="F20">
        <v>1</v>
      </c>
      <c r="G20">
        <v>1</v>
      </c>
      <c r="H20">
        <v>2</v>
      </c>
      <c r="I20" t="s">
        <v>533</v>
      </c>
      <c r="J20" t="s">
        <v>534</v>
      </c>
      <c r="K20" t="s">
        <v>535</v>
      </c>
      <c r="L20">
        <v>1368</v>
      </c>
      <c r="N20">
        <v>1011</v>
      </c>
      <c r="O20" t="s">
        <v>505</v>
      </c>
      <c r="P20" t="s">
        <v>505</v>
      </c>
      <c r="Q20">
        <v>1</v>
      </c>
      <c r="W20">
        <v>0</v>
      </c>
      <c r="X20">
        <v>884266781</v>
      </c>
      <c r="Y20">
        <v>3.0187499999999998</v>
      </c>
      <c r="AA20">
        <v>0</v>
      </c>
      <c r="AB20">
        <v>70</v>
      </c>
      <c r="AC20">
        <v>0</v>
      </c>
      <c r="AD20">
        <v>0</v>
      </c>
      <c r="AE20">
        <v>0</v>
      </c>
      <c r="AF20">
        <v>70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2.1</v>
      </c>
      <c r="AU20" t="s">
        <v>52</v>
      </c>
      <c r="AV20">
        <v>0</v>
      </c>
      <c r="AW20">
        <v>2</v>
      </c>
      <c r="AX20">
        <v>47631717</v>
      </c>
      <c r="AY20">
        <v>1</v>
      </c>
      <c r="AZ20">
        <v>0</v>
      </c>
      <c r="BA20">
        <v>22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Y20*Source!I36</f>
        <v>0.34413749999999999</v>
      </c>
      <c r="CY20">
        <f t="shared" si="0"/>
        <v>70</v>
      </c>
      <c r="CZ20">
        <f t="shared" si="1"/>
        <v>70</v>
      </c>
      <c r="DA20">
        <f t="shared" si="2"/>
        <v>1</v>
      </c>
      <c r="DB20">
        <f t="shared" si="3"/>
        <v>211.3125</v>
      </c>
      <c r="DC20">
        <f t="shared" si="4"/>
        <v>0</v>
      </c>
    </row>
    <row r="21" spans="1:107" x14ac:dyDescent="0.2">
      <c r="A21">
        <f>ROW(Source!A36)</f>
        <v>36</v>
      </c>
      <c r="B21">
        <v>47631607</v>
      </c>
      <c r="C21">
        <v>47631695</v>
      </c>
      <c r="D21">
        <v>36884528</v>
      </c>
      <c r="E21">
        <v>1</v>
      </c>
      <c r="F21">
        <v>1</v>
      </c>
      <c r="G21">
        <v>1</v>
      </c>
      <c r="H21">
        <v>2</v>
      </c>
      <c r="I21" t="s">
        <v>536</v>
      </c>
      <c r="J21" t="s">
        <v>537</v>
      </c>
      <c r="K21" t="s">
        <v>538</v>
      </c>
      <c r="L21">
        <v>1368</v>
      </c>
      <c r="N21">
        <v>1011</v>
      </c>
      <c r="O21" t="s">
        <v>505</v>
      </c>
      <c r="P21" t="s">
        <v>505</v>
      </c>
      <c r="Q21">
        <v>1</v>
      </c>
      <c r="W21">
        <v>0</v>
      </c>
      <c r="X21">
        <v>1168077914</v>
      </c>
      <c r="Y21">
        <v>4.3125</v>
      </c>
      <c r="AA21">
        <v>0</v>
      </c>
      <c r="AB21">
        <v>56.24</v>
      </c>
      <c r="AC21">
        <v>10.06</v>
      </c>
      <c r="AD21">
        <v>0</v>
      </c>
      <c r="AE21">
        <v>0</v>
      </c>
      <c r="AF21">
        <v>56.24</v>
      </c>
      <c r="AG21">
        <v>10.06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3</v>
      </c>
      <c r="AU21" t="s">
        <v>52</v>
      </c>
      <c r="AV21">
        <v>0</v>
      </c>
      <c r="AW21">
        <v>2</v>
      </c>
      <c r="AX21">
        <v>47631718</v>
      </c>
      <c r="AY21">
        <v>1</v>
      </c>
      <c r="AZ21">
        <v>0</v>
      </c>
      <c r="BA21">
        <v>23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Y21*Source!I36</f>
        <v>0.49162500000000003</v>
      </c>
      <c r="CY21">
        <f t="shared" si="0"/>
        <v>56.24</v>
      </c>
      <c r="CZ21">
        <f t="shared" si="1"/>
        <v>56.24</v>
      </c>
      <c r="DA21">
        <f t="shared" si="2"/>
        <v>1</v>
      </c>
      <c r="DB21">
        <f t="shared" si="3"/>
        <v>242.535</v>
      </c>
      <c r="DC21">
        <f t="shared" si="4"/>
        <v>43.383749999999999</v>
      </c>
    </row>
    <row r="22" spans="1:107" x14ac:dyDescent="0.2">
      <c r="A22">
        <f>ROW(Source!A36)</f>
        <v>36</v>
      </c>
      <c r="B22">
        <v>47631607</v>
      </c>
      <c r="C22">
        <v>47631695</v>
      </c>
      <c r="D22">
        <v>36884663</v>
      </c>
      <c r="E22">
        <v>1</v>
      </c>
      <c r="F22">
        <v>1</v>
      </c>
      <c r="G22">
        <v>1</v>
      </c>
      <c r="H22">
        <v>2</v>
      </c>
      <c r="I22" t="s">
        <v>539</v>
      </c>
      <c r="J22" t="s">
        <v>540</v>
      </c>
      <c r="K22" t="s">
        <v>541</v>
      </c>
      <c r="L22">
        <v>1368</v>
      </c>
      <c r="N22">
        <v>1011</v>
      </c>
      <c r="O22" t="s">
        <v>505</v>
      </c>
      <c r="P22" t="s">
        <v>505</v>
      </c>
      <c r="Q22">
        <v>1</v>
      </c>
      <c r="W22">
        <v>0</v>
      </c>
      <c r="X22">
        <v>1281777121</v>
      </c>
      <c r="Y22">
        <v>2.0124999999999997</v>
      </c>
      <c r="AA22">
        <v>0</v>
      </c>
      <c r="AB22">
        <v>14.38</v>
      </c>
      <c r="AC22">
        <v>0</v>
      </c>
      <c r="AD22">
        <v>0</v>
      </c>
      <c r="AE22">
        <v>0</v>
      </c>
      <c r="AF22">
        <v>14.38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1.4</v>
      </c>
      <c r="AU22" t="s">
        <v>52</v>
      </c>
      <c r="AV22">
        <v>0</v>
      </c>
      <c r="AW22">
        <v>2</v>
      </c>
      <c r="AX22">
        <v>47631719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Y22*Source!I36</f>
        <v>0.22942499999999999</v>
      </c>
      <c r="CY22">
        <f t="shared" si="0"/>
        <v>14.38</v>
      </c>
      <c r="CZ22">
        <f t="shared" si="1"/>
        <v>14.38</v>
      </c>
      <c r="DA22">
        <f t="shared" si="2"/>
        <v>1</v>
      </c>
      <c r="DB22">
        <f t="shared" si="3"/>
        <v>28.936875000000001</v>
      </c>
      <c r="DC22">
        <f t="shared" si="4"/>
        <v>0</v>
      </c>
    </row>
    <row r="23" spans="1:107" x14ac:dyDescent="0.2">
      <c r="A23">
        <f>ROW(Source!A36)</f>
        <v>36</v>
      </c>
      <c r="B23">
        <v>47631607</v>
      </c>
      <c r="C23">
        <v>47631695</v>
      </c>
      <c r="D23">
        <v>36800159</v>
      </c>
      <c r="E23">
        <v>1</v>
      </c>
      <c r="F23">
        <v>1</v>
      </c>
      <c r="G23">
        <v>1</v>
      </c>
      <c r="H23">
        <v>3</v>
      </c>
      <c r="I23" t="s">
        <v>542</v>
      </c>
      <c r="J23" t="s">
        <v>543</v>
      </c>
      <c r="K23" t="s">
        <v>544</v>
      </c>
      <c r="L23">
        <v>1339</v>
      </c>
      <c r="N23">
        <v>1007</v>
      </c>
      <c r="O23" t="s">
        <v>96</v>
      </c>
      <c r="P23" t="s">
        <v>96</v>
      </c>
      <c r="Q23">
        <v>1</v>
      </c>
      <c r="W23">
        <v>0</v>
      </c>
      <c r="X23">
        <v>1262771840</v>
      </c>
      <c r="Y23">
        <v>1.1000000000000001</v>
      </c>
      <c r="AA23">
        <v>6.22</v>
      </c>
      <c r="AB23">
        <v>0</v>
      </c>
      <c r="AC23">
        <v>0</v>
      </c>
      <c r="AD23">
        <v>0</v>
      </c>
      <c r="AE23">
        <v>6.22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1.1000000000000001</v>
      </c>
      <c r="AU23" t="s">
        <v>3</v>
      </c>
      <c r="AV23">
        <v>0</v>
      </c>
      <c r="AW23">
        <v>2</v>
      </c>
      <c r="AX23">
        <v>47631720</v>
      </c>
      <c r="AY23">
        <v>1</v>
      </c>
      <c r="AZ23">
        <v>0</v>
      </c>
      <c r="BA23">
        <v>25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Y23*Source!I36</f>
        <v>0.12540000000000001</v>
      </c>
      <c r="CY23">
        <f>AA23</f>
        <v>6.22</v>
      </c>
      <c r="CZ23">
        <f>AE23</f>
        <v>6.22</v>
      </c>
      <c r="DA23">
        <f>AI23</f>
        <v>1</v>
      </c>
      <c r="DB23">
        <f>ROUND(ROUND(AT23*CZ23,2),6)</f>
        <v>6.84</v>
      </c>
      <c r="DC23">
        <f>ROUND(ROUND(AT23*AG23,2),6)</f>
        <v>0</v>
      </c>
    </row>
    <row r="24" spans="1:107" x14ac:dyDescent="0.2">
      <c r="A24">
        <f>ROW(Source!A36)</f>
        <v>36</v>
      </c>
      <c r="B24">
        <v>47631607</v>
      </c>
      <c r="C24">
        <v>47631695</v>
      </c>
      <c r="D24">
        <v>36800166</v>
      </c>
      <c r="E24">
        <v>1</v>
      </c>
      <c r="F24">
        <v>1</v>
      </c>
      <c r="G24">
        <v>1</v>
      </c>
      <c r="H24">
        <v>3</v>
      </c>
      <c r="I24" t="s">
        <v>545</v>
      </c>
      <c r="J24" t="s">
        <v>546</v>
      </c>
      <c r="K24" t="s">
        <v>547</v>
      </c>
      <c r="L24">
        <v>1346</v>
      </c>
      <c r="N24">
        <v>1009</v>
      </c>
      <c r="O24" t="s">
        <v>400</v>
      </c>
      <c r="P24" t="s">
        <v>400</v>
      </c>
      <c r="Q24">
        <v>1</v>
      </c>
      <c r="W24">
        <v>0</v>
      </c>
      <c r="X24">
        <v>1721895514</v>
      </c>
      <c r="Y24">
        <v>0.3</v>
      </c>
      <c r="AA24">
        <v>6.09</v>
      </c>
      <c r="AB24">
        <v>0</v>
      </c>
      <c r="AC24">
        <v>0</v>
      </c>
      <c r="AD24">
        <v>0</v>
      </c>
      <c r="AE24">
        <v>6.09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0.3</v>
      </c>
      <c r="AU24" t="s">
        <v>3</v>
      </c>
      <c r="AV24">
        <v>0</v>
      </c>
      <c r="AW24">
        <v>2</v>
      </c>
      <c r="AX24">
        <v>47631721</v>
      </c>
      <c r="AY24">
        <v>1</v>
      </c>
      <c r="AZ24">
        <v>0</v>
      </c>
      <c r="BA24">
        <v>26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Y24*Source!I36</f>
        <v>3.4200000000000001E-2</v>
      </c>
      <c r="CY24">
        <f>AA24</f>
        <v>6.09</v>
      </c>
      <c r="CZ24">
        <f>AE24</f>
        <v>6.09</v>
      </c>
      <c r="DA24">
        <f>AI24</f>
        <v>1</v>
      </c>
      <c r="DB24">
        <f>ROUND(ROUND(AT24*CZ24,2),6)</f>
        <v>1.83</v>
      </c>
      <c r="DC24">
        <f>ROUND(ROUND(AT24*AG24,2),6)</f>
        <v>0</v>
      </c>
    </row>
    <row r="25" spans="1:107" x14ac:dyDescent="0.2">
      <c r="A25">
        <f>ROW(Source!A36)</f>
        <v>36</v>
      </c>
      <c r="B25">
        <v>47631607</v>
      </c>
      <c r="C25">
        <v>47631695</v>
      </c>
      <c r="D25">
        <v>36803268</v>
      </c>
      <c r="E25">
        <v>1</v>
      </c>
      <c r="F25">
        <v>1</v>
      </c>
      <c r="G25">
        <v>1</v>
      </c>
      <c r="H25">
        <v>3</v>
      </c>
      <c r="I25" t="s">
        <v>548</v>
      </c>
      <c r="J25" t="s">
        <v>549</v>
      </c>
      <c r="K25" t="s">
        <v>550</v>
      </c>
      <c r="L25">
        <v>1348</v>
      </c>
      <c r="N25">
        <v>1009</v>
      </c>
      <c r="O25" t="s">
        <v>32</v>
      </c>
      <c r="P25" t="s">
        <v>32</v>
      </c>
      <c r="Q25">
        <v>1000</v>
      </c>
      <c r="W25">
        <v>0</v>
      </c>
      <c r="X25">
        <v>1334874479</v>
      </c>
      <c r="Y25">
        <v>4.7600000000000003E-2</v>
      </c>
      <c r="AA25">
        <v>9765</v>
      </c>
      <c r="AB25">
        <v>0</v>
      </c>
      <c r="AC25">
        <v>0</v>
      </c>
      <c r="AD25">
        <v>0</v>
      </c>
      <c r="AE25">
        <v>9765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4.7600000000000003E-2</v>
      </c>
      <c r="AU25" t="s">
        <v>3</v>
      </c>
      <c r="AV25">
        <v>0</v>
      </c>
      <c r="AW25">
        <v>2</v>
      </c>
      <c r="AX25">
        <v>47631722</v>
      </c>
      <c r="AY25">
        <v>1</v>
      </c>
      <c r="AZ25">
        <v>0</v>
      </c>
      <c r="BA25">
        <v>27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Y25*Source!I36</f>
        <v>5.4264000000000005E-3</v>
      </c>
      <c r="CY25">
        <f>AA25</f>
        <v>9765</v>
      </c>
      <c r="CZ25">
        <f>AE25</f>
        <v>9765</v>
      </c>
      <c r="DA25">
        <f>AI25</f>
        <v>1</v>
      </c>
      <c r="DB25">
        <f>ROUND(ROUND(AT25*CZ25,2),6)</f>
        <v>464.81</v>
      </c>
      <c r="DC25">
        <f>ROUND(ROUND(AT25*AG25,2),6)</f>
        <v>0</v>
      </c>
    </row>
    <row r="26" spans="1:107" x14ac:dyDescent="0.2">
      <c r="A26">
        <f>ROW(Source!A36)</f>
        <v>36</v>
      </c>
      <c r="B26">
        <v>47631607</v>
      </c>
      <c r="C26">
        <v>47631695</v>
      </c>
      <c r="D26">
        <v>36799065</v>
      </c>
      <c r="E26">
        <v>17</v>
      </c>
      <c r="F26">
        <v>1</v>
      </c>
      <c r="G26">
        <v>1</v>
      </c>
      <c r="H26">
        <v>3</v>
      </c>
      <c r="I26" t="s">
        <v>551</v>
      </c>
      <c r="J26" t="s">
        <v>3</v>
      </c>
      <c r="K26" t="s">
        <v>552</v>
      </c>
      <c r="L26">
        <v>1374</v>
      </c>
      <c r="N26">
        <v>1013</v>
      </c>
      <c r="O26" t="s">
        <v>553</v>
      </c>
      <c r="P26" t="s">
        <v>553</v>
      </c>
      <c r="Q26">
        <v>1</v>
      </c>
      <c r="W26">
        <v>0</v>
      </c>
      <c r="X26">
        <v>-1731369543</v>
      </c>
      <c r="Y26">
        <v>36.47</v>
      </c>
      <c r="AA26">
        <v>1</v>
      </c>
      <c r="AB26">
        <v>0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36.47</v>
      </c>
      <c r="AU26" t="s">
        <v>3</v>
      </c>
      <c r="AV26">
        <v>0</v>
      </c>
      <c r="AW26">
        <v>2</v>
      </c>
      <c r="AX26">
        <v>47631723</v>
      </c>
      <c r="AY26">
        <v>1</v>
      </c>
      <c r="AZ26">
        <v>0</v>
      </c>
      <c r="BA26">
        <v>28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Y26*Source!I36</f>
        <v>4.1575800000000003</v>
      </c>
      <c r="CY26">
        <f>AA26</f>
        <v>1</v>
      </c>
      <c r="CZ26">
        <f>AE26</f>
        <v>1</v>
      </c>
      <c r="DA26">
        <f>AI26</f>
        <v>1</v>
      </c>
      <c r="DB26">
        <f>ROUND(ROUND(AT26*CZ26,2),6)</f>
        <v>36.47</v>
      </c>
      <c r="DC26">
        <f>ROUND(ROUND(AT26*AG26,2),6)</f>
        <v>0</v>
      </c>
    </row>
    <row r="27" spans="1:107" x14ac:dyDescent="0.2">
      <c r="A27">
        <f>ROW(Source!A37)</f>
        <v>37</v>
      </c>
      <c r="B27">
        <v>47631607</v>
      </c>
      <c r="C27">
        <v>47631724</v>
      </c>
      <c r="D27">
        <v>37065248</v>
      </c>
      <c r="E27">
        <v>1</v>
      </c>
      <c r="F27">
        <v>1</v>
      </c>
      <c r="G27">
        <v>1</v>
      </c>
      <c r="H27">
        <v>1</v>
      </c>
      <c r="I27" t="s">
        <v>498</v>
      </c>
      <c r="J27" t="s">
        <v>3</v>
      </c>
      <c r="K27" t="s">
        <v>499</v>
      </c>
      <c r="L27">
        <v>1191</v>
      </c>
      <c r="N27">
        <v>1013</v>
      </c>
      <c r="O27" t="s">
        <v>487</v>
      </c>
      <c r="P27" t="s">
        <v>487</v>
      </c>
      <c r="Q27">
        <v>1</v>
      </c>
      <c r="W27">
        <v>0</v>
      </c>
      <c r="X27">
        <v>-400197608</v>
      </c>
      <c r="Y27">
        <v>67.169774999999987</v>
      </c>
      <c r="AA27">
        <v>0</v>
      </c>
      <c r="AB27">
        <v>0</v>
      </c>
      <c r="AC27">
        <v>0</v>
      </c>
      <c r="AD27">
        <v>8.5299999999999994</v>
      </c>
      <c r="AE27">
        <v>0</v>
      </c>
      <c r="AF27">
        <v>0</v>
      </c>
      <c r="AG27">
        <v>0</v>
      </c>
      <c r="AH27">
        <v>8.5299999999999994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50.79</v>
      </c>
      <c r="AU27" t="s">
        <v>53</v>
      </c>
      <c r="AV27">
        <v>1</v>
      </c>
      <c r="AW27">
        <v>2</v>
      </c>
      <c r="AX27">
        <v>47631743</v>
      </c>
      <c r="AY27">
        <v>1</v>
      </c>
      <c r="AZ27">
        <v>0</v>
      </c>
      <c r="BA27">
        <v>29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Y27*Source!I37</f>
        <v>1040.9991880432499</v>
      </c>
      <c r="CY27">
        <f>AD27</f>
        <v>8.5299999999999994</v>
      </c>
      <c r="CZ27">
        <f>AH27</f>
        <v>8.5299999999999994</v>
      </c>
      <c r="DA27">
        <f>AL27</f>
        <v>1</v>
      </c>
      <c r="DB27">
        <f>ROUND(((ROUND(AT27*CZ27,2)*1.15)*1.15),6)</f>
        <v>572.95989999999995</v>
      </c>
      <c r="DC27">
        <f>ROUND(((ROUND(AT27*AG27,2)*1.15)*1.15),6)</f>
        <v>0</v>
      </c>
    </row>
    <row r="28" spans="1:107" x14ac:dyDescent="0.2">
      <c r="A28">
        <f>ROW(Source!A37)</f>
        <v>37</v>
      </c>
      <c r="B28">
        <v>47631607</v>
      </c>
      <c r="C28">
        <v>47631724</v>
      </c>
      <c r="D28">
        <v>37064876</v>
      </c>
      <c r="E28">
        <v>1</v>
      </c>
      <c r="F28">
        <v>1</v>
      </c>
      <c r="G28">
        <v>1</v>
      </c>
      <c r="H28">
        <v>1</v>
      </c>
      <c r="I28" t="s">
        <v>500</v>
      </c>
      <c r="J28" t="s">
        <v>3</v>
      </c>
      <c r="K28" t="s">
        <v>501</v>
      </c>
      <c r="L28">
        <v>1191</v>
      </c>
      <c r="N28">
        <v>1013</v>
      </c>
      <c r="O28" t="s">
        <v>487</v>
      </c>
      <c r="P28" t="s">
        <v>487</v>
      </c>
      <c r="Q28">
        <v>1</v>
      </c>
      <c r="W28">
        <v>0</v>
      </c>
      <c r="X28">
        <v>-1417349443</v>
      </c>
      <c r="Y28">
        <v>0.31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0.31</v>
      </c>
      <c r="AU28" t="s">
        <v>3</v>
      </c>
      <c r="AV28">
        <v>2</v>
      </c>
      <c r="AW28">
        <v>2</v>
      </c>
      <c r="AX28">
        <v>47631744</v>
      </c>
      <c r="AY28">
        <v>1</v>
      </c>
      <c r="AZ28">
        <v>2048</v>
      </c>
      <c r="BA28">
        <v>30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Y28*Source!I37</f>
        <v>4.8043892999999995</v>
      </c>
      <c r="CY28">
        <f>AD28</f>
        <v>0</v>
      </c>
      <c r="CZ28">
        <f>AH28</f>
        <v>0</v>
      </c>
      <c r="DA28">
        <f>AL28</f>
        <v>1</v>
      </c>
      <c r="DB28">
        <f>ROUND(ROUND(AT28*CZ28,2),6)</f>
        <v>0</v>
      </c>
      <c r="DC28">
        <f>ROUND(ROUND(AT28*AG28,2),6)</f>
        <v>0</v>
      </c>
    </row>
    <row r="29" spans="1:107" x14ac:dyDescent="0.2">
      <c r="A29">
        <f>ROW(Source!A37)</f>
        <v>37</v>
      </c>
      <c r="B29">
        <v>47631607</v>
      </c>
      <c r="C29">
        <v>47631724</v>
      </c>
      <c r="D29">
        <v>36882159</v>
      </c>
      <c r="E29">
        <v>1</v>
      </c>
      <c r="F29">
        <v>1</v>
      </c>
      <c r="G29">
        <v>1</v>
      </c>
      <c r="H29">
        <v>2</v>
      </c>
      <c r="I29" t="s">
        <v>518</v>
      </c>
      <c r="J29" t="s">
        <v>519</v>
      </c>
      <c r="K29" t="s">
        <v>520</v>
      </c>
      <c r="L29">
        <v>1368</v>
      </c>
      <c r="N29">
        <v>1011</v>
      </c>
      <c r="O29" t="s">
        <v>505</v>
      </c>
      <c r="P29" t="s">
        <v>505</v>
      </c>
      <c r="Q29">
        <v>1</v>
      </c>
      <c r="W29">
        <v>0</v>
      </c>
      <c r="X29">
        <v>-1718674368</v>
      </c>
      <c r="Y29">
        <v>0.17249999999999999</v>
      </c>
      <c r="AA29">
        <v>0</v>
      </c>
      <c r="AB29">
        <v>111.99</v>
      </c>
      <c r="AC29">
        <v>13.5</v>
      </c>
      <c r="AD29">
        <v>0</v>
      </c>
      <c r="AE29">
        <v>0</v>
      </c>
      <c r="AF29">
        <v>111.99</v>
      </c>
      <c r="AG29">
        <v>13.5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0.12</v>
      </c>
      <c r="AU29" t="s">
        <v>52</v>
      </c>
      <c r="AV29">
        <v>0</v>
      </c>
      <c r="AW29">
        <v>2</v>
      </c>
      <c r="AX29">
        <v>47631745</v>
      </c>
      <c r="AY29">
        <v>1</v>
      </c>
      <c r="AZ29">
        <v>0</v>
      </c>
      <c r="BA29">
        <v>31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Y29*Source!I37</f>
        <v>2.6734101749999999</v>
      </c>
      <c r="CY29">
        <f>AB29</f>
        <v>111.99</v>
      </c>
      <c r="CZ29">
        <f>AF29</f>
        <v>111.99</v>
      </c>
      <c r="DA29">
        <f>AJ29</f>
        <v>1</v>
      </c>
      <c r="DB29">
        <f>ROUND(((ROUND(AT29*CZ29,2)*1.25)*1.15),6)</f>
        <v>19.32</v>
      </c>
      <c r="DC29">
        <f>ROUND(((ROUND(AT29*AG29,2)*1.25)*1.15),6)</f>
        <v>2.3287499999999999</v>
      </c>
    </row>
    <row r="30" spans="1:107" x14ac:dyDescent="0.2">
      <c r="A30">
        <f>ROW(Source!A37)</f>
        <v>37</v>
      </c>
      <c r="B30">
        <v>47631607</v>
      </c>
      <c r="C30">
        <v>47631724</v>
      </c>
      <c r="D30">
        <v>36882358</v>
      </c>
      <c r="E30">
        <v>1</v>
      </c>
      <c r="F30">
        <v>1</v>
      </c>
      <c r="G30">
        <v>1</v>
      </c>
      <c r="H30">
        <v>2</v>
      </c>
      <c r="I30" t="s">
        <v>521</v>
      </c>
      <c r="J30" t="s">
        <v>522</v>
      </c>
      <c r="K30" t="s">
        <v>523</v>
      </c>
      <c r="L30">
        <v>1368</v>
      </c>
      <c r="N30">
        <v>1011</v>
      </c>
      <c r="O30" t="s">
        <v>505</v>
      </c>
      <c r="P30" t="s">
        <v>505</v>
      </c>
      <c r="Q30">
        <v>1</v>
      </c>
      <c r="W30">
        <v>0</v>
      </c>
      <c r="X30">
        <v>1544661785</v>
      </c>
      <c r="Y30">
        <v>15.136874999999998</v>
      </c>
      <c r="AA30">
        <v>0</v>
      </c>
      <c r="AB30">
        <v>6.9</v>
      </c>
      <c r="AC30">
        <v>0</v>
      </c>
      <c r="AD30">
        <v>0</v>
      </c>
      <c r="AE30">
        <v>0</v>
      </c>
      <c r="AF30">
        <v>6.9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10.53</v>
      </c>
      <c r="AU30" t="s">
        <v>52</v>
      </c>
      <c r="AV30">
        <v>0</v>
      </c>
      <c r="AW30">
        <v>2</v>
      </c>
      <c r="AX30">
        <v>47631746</v>
      </c>
      <c r="AY30">
        <v>1</v>
      </c>
      <c r="AZ30">
        <v>0</v>
      </c>
      <c r="BA30">
        <v>32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Y30*Source!I37</f>
        <v>234.59174285624997</v>
      </c>
      <c r="CY30">
        <f>AB30</f>
        <v>6.9</v>
      </c>
      <c r="CZ30">
        <f>AF30</f>
        <v>6.9</v>
      </c>
      <c r="DA30">
        <f>AJ30</f>
        <v>1</v>
      </c>
      <c r="DB30">
        <f>ROUND(((ROUND(AT30*CZ30,2)*1.25)*1.15),6)</f>
        <v>104.44875</v>
      </c>
      <c r="DC30">
        <f>ROUND(((ROUND(AT30*AG30,2)*1.25)*1.15),6)</f>
        <v>0</v>
      </c>
    </row>
    <row r="31" spans="1:107" x14ac:dyDescent="0.2">
      <c r="A31">
        <f>ROW(Source!A37)</f>
        <v>37</v>
      </c>
      <c r="B31">
        <v>47631607</v>
      </c>
      <c r="C31">
        <v>47631724</v>
      </c>
      <c r="D31">
        <v>36883554</v>
      </c>
      <c r="E31">
        <v>1</v>
      </c>
      <c r="F31">
        <v>1</v>
      </c>
      <c r="G31">
        <v>1</v>
      </c>
      <c r="H31">
        <v>2</v>
      </c>
      <c r="I31" t="s">
        <v>509</v>
      </c>
      <c r="J31" t="s">
        <v>510</v>
      </c>
      <c r="K31" t="s">
        <v>511</v>
      </c>
      <c r="L31">
        <v>1368</v>
      </c>
      <c r="N31">
        <v>1011</v>
      </c>
      <c r="O31" t="s">
        <v>505</v>
      </c>
      <c r="P31" t="s">
        <v>505</v>
      </c>
      <c r="Q31">
        <v>1</v>
      </c>
      <c r="W31">
        <v>0</v>
      </c>
      <c r="X31">
        <v>1372534845</v>
      </c>
      <c r="Y31">
        <v>0.27312499999999995</v>
      </c>
      <c r="AA31">
        <v>0</v>
      </c>
      <c r="AB31">
        <v>65.709999999999994</v>
      </c>
      <c r="AC31">
        <v>11.6</v>
      </c>
      <c r="AD31">
        <v>0</v>
      </c>
      <c r="AE31">
        <v>0</v>
      </c>
      <c r="AF31">
        <v>65.709999999999994</v>
      </c>
      <c r="AG31">
        <v>11.6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0.19</v>
      </c>
      <c r="AU31" t="s">
        <v>52</v>
      </c>
      <c r="AV31">
        <v>0</v>
      </c>
      <c r="AW31">
        <v>2</v>
      </c>
      <c r="AX31">
        <v>47631747</v>
      </c>
      <c r="AY31">
        <v>1</v>
      </c>
      <c r="AZ31">
        <v>0</v>
      </c>
      <c r="BA31">
        <v>33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Y31*Source!I37</f>
        <v>4.2328994437499992</v>
      </c>
      <c r="CY31">
        <f>AB31</f>
        <v>65.709999999999994</v>
      </c>
      <c r="CZ31">
        <f>AF31</f>
        <v>65.709999999999994</v>
      </c>
      <c r="DA31">
        <f>AJ31</f>
        <v>1</v>
      </c>
      <c r="DB31">
        <f>ROUND(((ROUND(AT31*CZ31,2)*1.25)*1.15),6)</f>
        <v>17.940000000000001</v>
      </c>
      <c r="DC31">
        <f>ROUND(((ROUND(AT31*AG31,2)*1.25)*1.15),6)</f>
        <v>3.1625000000000001</v>
      </c>
    </row>
    <row r="32" spans="1:107" x14ac:dyDescent="0.2">
      <c r="A32">
        <f>ROW(Source!A37)</f>
        <v>37</v>
      </c>
      <c r="B32">
        <v>47631607</v>
      </c>
      <c r="C32">
        <v>47631724</v>
      </c>
      <c r="D32">
        <v>36883789</v>
      </c>
      <c r="E32">
        <v>1</v>
      </c>
      <c r="F32">
        <v>1</v>
      </c>
      <c r="G32">
        <v>1</v>
      </c>
      <c r="H32">
        <v>2</v>
      </c>
      <c r="I32" t="s">
        <v>530</v>
      </c>
      <c r="J32" t="s">
        <v>531</v>
      </c>
      <c r="K32" t="s">
        <v>532</v>
      </c>
      <c r="L32">
        <v>1368</v>
      </c>
      <c r="N32">
        <v>1011</v>
      </c>
      <c r="O32" t="s">
        <v>505</v>
      </c>
      <c r="P32" t="s">
        <v>505</v>
      </c>
      <c r="Q32">
        <v>1</v>
      </c>
      <c r="W32">
        <v>0</v>
      </c>
      <c r="X32">
        <v>792402865</v>
      </c>
      <c r="Y32">
        <v>2.6737500000000001</v>
      </c>
      <c r="AA32">
        <v>0</v>
      </c>
      <c r="AB32">
        <v>1.2</v>
      </c>
      <c r="AC32">
        <v>0</v>
      </c>
      <c r="AD32">
        <v>0</v>
      </c>
      <c r="AE32">
        <v>0</v>
      </c>
      <c r="AF32">
        <v>1.2</v>
      </c>
      <c r="AG32">
        <v>0</v>
      </c>
      <c r="AH32">
        <v>0</v>
      </c>
      <c r="AI32">
        <v>1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1.86</v>
      </c>
      <c r="AU32" t="s">
        <v>52</v>
      </c>
      <c r="AV32">
        <v>0</v>
      </c>
      <c r="AW32">
        <v>2</v>
      </c>
      <c r="AX32">
        <v>47631748</v>
      </c>
      <c r="AY32">
        <v>1</v>
      </c>
      <c r="AZ32">
        <v>0</v>
      </c>
      <c r="BA32">
        <v>34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Y32*Source!I37</f>
        <v>41.437857712499998</v>
      </c>
      <c r="CY32">
        <f>AB32</f>
        <v>1.2</v>
      </c>
      <c r="CZ32">
        <f>AF32</f>
        <v>1.2</v>
      </c>
      <c r="DA32">
        <f>AJ32</f>
        <v>1</v>
      </c>
      <c r="DB32">
        <f>ROUND(((ROUND(AT32*CZ32,2)*1.25)*1.15),6)</f>
        <v>3.2056249999999999</v>
      </c>
      <c r="DC32">
        <f>ROUND(((ROUND(AT32*AG32,2)*1.25)*1.15),6)</f>
        <v>0</v>
      </c>
    </row>
    <row r="33" spans="1:107" x14ac:dyDescent="0.2">
      <c r="A33">
        <f>ROW(Source!A37)</f>
        <v>37</v>
      </c>
      <c r="B33">
        <v>47631607</v>
      </c>
      <c r="C33">
        <v>47631724</v>
      </c>
      <c r="D33">
        <v>36883836</v>
      </c>
      <c r="E33">
        <v>1</v>
      </c>
      <c r="F33">
        <v>1</v>
      </c>
      <c r="G33">
        <v>1</v>
      </c>
      <c r="H33">
        <v>2</v>
      </c>
      <c r="I33" t="s">
        <v>554</v>
      </c>
      <c r="J33" t="s">
        <v>555</v>
      </c>
      <c r="K33" t="s">
        <v>556</v>
      </c>
      <c r="L33">
        <v>1368</v>
      </c>
      <c r="N33">
        <v>1011</v>
      </c>
      <c r="O33" t="s">
        <v>505</v>
      </c>
      <c r="P33" t="s">
        <v>505</v>
      </c>
      <c r="Q33">
        <v>1</v>
      </c>
      <c r="W33">
        <v>0</v>
      </c>
      <c r="X33">
        <v>1323835807</v>
      </c>
      <c r="Y33">
        <v>2.9181249999999994</v>
      </c>
      <c r="AA33">
        <v>0</v>
      </c>
      <c r="AB33">
        <v>12.31</v>
      </c>
      <c r="AC33">
        <v>0</v>
      </c>
      <c r="AD33">
        <v>0</v>
      </c>
      <c r="AE33">
        <v>0</v>
      </c>
      <c r="AF33">
        <v>12.31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2.0299999999999998</v>
      </c>
      <c r="AU33" t="s">
        <v>52</v>
      </c>
      <c r="AV33">
        <v>0</v>
      </c>
      <c r="AW33">
        <v>2</v>
      </c>
      <c r="AX33">
        <v>47631749</v>
      </c>
      <c r="AY33">
        <v>1</v>
      </c>
      <c r="AZ33">
        <v>0</v>
      </c>
      <c r="BA33">
        <v>35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45.225188793749993</v>
      </c>
      <c r="CY33">
        <f>AB33</f>
        <v>12.31</v>
      </c>
      <c r="CZ33">
        <f>AF33</f>
        <v>12.31</v>
      </c>
      <c r="DA33">
        <f>AJ33</f>
        <v>1</v>
      </c>
      <c r="DB33">
        <f>ROUND(((ROUND(AT33*CZ33,2)*1.25)*1.15),6)</f>
        <v>35.923124999999999</v>
      </c>
      <c r="DC33">
        <f>ROUND(((ROUND(AT33*AG33,2)*1.25)*1.15),6)</f>
        <v>0</v>
      </c>
    </row>
    <row r="34" spans="1:107" x14ac:dyDescent="0.2">
      <c r="A34">
        <f>ROW(Source!A37)</f>
        <v>37</v>
      </c>
      <c r="B34">
        <v>47631607</v>
      </c>
      <c r="C34">
        <v>47631724</v>
      </c>
      <c r="D34">
        <v>36800159</v>
      </c>
      <c r="E34">
        <v>1</v>
      </c>
      <c r="F34">
        <v>1</v>
      </c>
      <c r="G34">
        <v>1</v>
      </c>
      <c r="H34">
        <v>3</v>
      </c>
      <c r="I34" t="s">
        <v>542</v>
      </c>
      <c r="J34" t="s">
        <v>543</v>
      </c>
      <c r="K34" t="s">
        <v>544</v>
      </c>
      <c r="L34">
        <v>1339</v>
      </c>
      <c r="N34">
        <v>1007</v>
      </c>
      <c r="O34" t="s">
        <v>96</v>
      </c>
      <c r="P34" t="s">
        <v>96</v>
      </c>
      <c r="Q34">
        <v>1</v>
      </c>
      <c r="W34">
        <v>0</v>
      </c>
      <c r="X34">
        <v>1262771840</v>
      </c>
      <c r="Y34">
        <v>1.5</v>
      </c>
      <c r="AA34">
        <v>6.22</v>
      </c>
      <c r="AB34">
        <v>0</v>
      </c>
      <c r="AC34">
        <v>0</v>
      </c>
      <c r="AD34">
        <v>0</v>
      </c>
      <c r="AE34">
        <v>6.22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1.5</v>
      </c>
      <c r="AU34" t="s">
        <v>3</v>
      </c>
      <c r="AV34">
        <v>0</v>
      </c>
      <c r="AW34">
        <v>2</v>
      </c>
      <c r="AX34">
        <v>47631750</v>
      </c>
      <c r="AY34">
        <v>1</v>
      </c>
      <c r="AZ34">
        <v>0</v>
      </c>
      <c r="BA34">
        <v>36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23.247045</v>
      </c>
      <c r="CY34">
        <f t="shared" ref="CY34:CY44" si="5">AA34</f>
        <v>6.22</v>
      </c>
      <c r="CZ34">
        <f t="shared" ref="CZ34:CZ44" si="6">AE34</f>
        <v>6.22</v>
      </c>
      <c r="DA34">
        <f t="shared" ref="DA34:DA44" si="7">AI34</f>
        <v>1</v>
      </c>
      <c r="DB34">
        <f t="shared" ref="DB34:DB44" si="8">ROUND(ROUND(AT34*CZ34,2),6)</f>
        <v>9.33</v>
      </c>
      <c r="DC34">
        <f t="shared" ref="DC34:DC44" si="9">ROUND(ROUND(AT34*AG34,2),6)</f>
        <v>0</v>
      </c>
    </row>
    <row r="35" spans="1:107" x14ac:dyDescent="0.2">
      <c r="A35">
        <f>ROW(Source!A37)</f>
        <v>37</v>
      </c>
      <c r="B35">
        <v>47631607</v>
      </c>
      <c r="C35">
        <v>47631724</v>
      </c>
      <c r="D35">
        <v>36800166</v>
      </c>
      <c r="E35">
        <v>1</v>
      </c>
      <c r="F35">
        <v>1</v>
      </c>
      <c r="G35">
        <v>1</v>
      </c>
      <c r="H35">
        <v>3</v>
      </c>
      <c r="I35" t="s">
        <v>545</v>
      </c>
      <c r="J35" t="s">
        <v>546</v>
      </c>
      <c r="K35" t="s">
        <v>547</v>
      </c>
      <c r="L35">
        <v>1346</v>
      </c>
      <c r="N35">
        <v>1009</v>
      </c>
      <c r="O35" t="s">
        <v>400</v>
      </c>
      <c r="P35" t="s">
        <v>400</v>
      </c>
      <c r="Q35">
        <v>1</v>
      </c>
      <c r="W35">
        <v>0</v>
      </c>
      <c r="X35">
        <v>1721895514</v>
      </c>
      <c r="Y35">
        <v>0.45</v>
      </c>
      <c r="AA35">
        <v>6.09</v>
      </c>
      <c r="AB35">
        <v>0</v>
      </c>
      <c r="AC35">
        <v>0</v>
      </c>
      <c r="AD35">
        <v>0</v>
      </c>
      <c r="AE35">
        <v>6.09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0.45</v>
      </c>
      <c r="AU35" t="s">
        <v>3</v>
      </c>
      <c r="AV35">
        <v>0</v>
      </c>
      <c r="AW35">
        <v>2</v>
      </c>
      <c r="AX35">
        <v>47631751</v>
      </c>
      <c r="AY35">
        <v>1</v>
      </c>
      <c r="AZ35">
        <v>0</v>
      </c>
      <c r="BA35">
        <v>37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6.9741135000000005</v>
      </c>
      <c r="CY35">
        <f t="shared" si="5"/>
        <v>6.09</v>
      </c>
      <c r="CZ35">
        <f t="shared" si="6"/>
        <v>6.09</v>
      </c>
      <c r="DA35">
        <f t="shared" si="7"/>
        <v>1</v>
      </c>
      <c r="DB35">
        <f t="shared" si="8"/>
        <v>2.74</v>
      </c>
      <c r="DC35">
        <f t="shared" si="9"/>
        <v>0</v>
      </c>
    </row>
    <row r="36" spans="1:107" x14ac:dyDescent="0.2">
      <c r="A36">
        <f>ROW(Source!A37)</f>
        <v>37</v>
      </c>
      <c r="B36">
        <v>47631607</v>
      </c>
      <c r="C36">
        <v>47631724</v>
      </c>
      <c r="D36">
        <v>36803259</v>
      </c>
      <c r="E36">
        <v>1</v>
      </c>
      <c r="F36">
        <v>1</v>
      </c>
      <c r="G36">
        <v>1</v>
      </c>
      <c r="H36">
        <v>3</v>
      </c>
      <c r="I36" t="s">
        <v>557</v>
      </c>
      <c r="J36" t="s">
        <v>558</v>
      </c>
      <c r="K36" t="s">
        <v>559</v>
      </c>
      <c r="L36">
        <v>1348</v>
      </c>
      <c r="N36">
        <v>1009</v>
      </c>
      <c r="O36" t="s">
        <v>32</v>
      </c>
      <c r="P36" t="s">
        <v>32</v>
      </c>
      <c r="Q36">
        <v>1000</v>
      </c>
      <c r="W36">
        <v>0</v>
      </c>
      <c r="X36">
        <v>1225357214</v>
      </c>
      <c r="Y36">
        <v>1.4E-3</v>
      </c>
      <c r="AA36">
        <v>10749</v>
      </c>
      <c r="AB36">
        <v>0</v>
      </c>
      <c r="AC36">
        <v>0</v>
      </c>
      <c r="AD36">
        <v>0</v>
      </c>
      <c r="AE36">
        <v>10749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1.4E-3</v>
      </c>
      <c r="AU36" t="s">
        <v>3</v>
      </c>
      <c r="AV36">
        <v>0</v>
      </c>
      <c r="AW36">
        <v>2</v>
      </c>
      <c r="AX36">
        <v>47631752</v>
      </c>
      <c r="AY36">
        <v>1</v>
      </c>
      <c r="AZ36">
        <v>0</v>
      </c>
      <c r="BA36">
        <v>38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2.1697241999999999E-2</v>
      </c>
      <c r="CY36">
        <f t="shared" si="5"/>
        <v>10749</v>
      </c>
      <c r="CZ36">
        <f t="shared" si="6"/>
        <v>10749</v>
      </c>
      <c r="DA36">
        <f t="shared" si="7"/>
        <v>1</v>
      </c>
      <c r="DB36">
        <f t="shared" si="8"/>
        <v>15.05</v>
      </c>
      <c r="DC36">
        <f t="shared" si="9"/>
        <v>0</v>
      </c>
    </row>
    <row r="37" spans="1:107" x14ac:dyDescent="0.2">
      <c r="A37">
        <f>ROW(Source!A37)</f>
        <v>37</v>
      </c>
      <c r="B37">
        <v>47631607</v>
      </c>
      <c r="C37">
        <v>47631724</v>
      </c>
      <c r="D37">
        <v>36804447</v>
      </c>
      <c r="E37">
        <v>1</v>
      </c>
      <c r="F37">
        <v>1</v>
      </c>
      <c r="G37">
        <v>1</v>
      </c>
      <c r="H37">
        <v>3</v>
      </c>
      <c r="I37" t="s">
        <v>560</v>
      </c>
      <c r="J37" t="s">
        <v>561</v>
      </c>
      <c r="K37" t="s">
        <v>562</v>
      </c>
      <c r="L37">
        <v>1348</v>
      </c>
      <c r="N37">
        <v>1009</v>
      </c>
      <c r="O37" t="s">
        <v>32</v>
      </c>
      <c r="P37" t="s">
        <v>32</v>
      </c>
      <c r="Q37">
        <v>1000</v>
      </c>
      <c r="W37">
        <v>0</v>
      </c>
      <c r="X37">
        <v>-437906794</v>
      </c>
      <c r="Y37">
        <v>3.3E-3</v>
      </c>
      <c r="AA37">
        <v>9040.01</v>
      </c>
      <c r="AB37">
        <v>0</v>
      </c>
      <c r="AC37">
        <v>0</v>
      </c>
      <c r="AD37">
        <v>0</v>
      </c>
      <c r="AE37">
        <v>9040.01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3.3E-3</v>
      </c>
      <c r="AU37" t="s">
        <v>3</v>
      </c>
      <c r="AV37">
        <v>0</v>
      </c>
      <c r="AW37">
        <v>2</v>
      </c>
      <c r="AX37">
        <v>47631753</v>
      </c>
      <c r="AY37">
        <v>1</v>
      </c>
      <c r="AZ37">
        <v>0</v>
      </c>
      <c r="BA37">
        <v>39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Y37*Source!I37</f>
        <v>5.1143499000000002E-2</v>
      </c>
      <c r="CY37">
        <f t="shared" si="5"/>
        <v>9040.01</v>
      </c>
      <c r="CZ37">
        <f t="shared" si="6"/>
        <v>9040.01</v>
      </c>
      <c r="DA37">
        <f t="shared" si="7"/>
        <v>1</v>
      </c>
      <c r="DB37">
        <f t="shared" si="8"/>
        <v>29.83</v>
      </c>
      <c r="DC37">
        <f t="shared" si="9"/>
        <v>0</v>
      </c>
    </row>
    <row r="38" spans="1:107" x14ac:dyDescent="0.2">
      <c r="A38">
        <f>ROW(Source!A37)</f>
        <v>37</v>
      </c>
      <c r="B38">
        <v>47631607</v>
      </c>
      <c r="C38">
        <v>47631724</v>
      </c>
      <c r="D38">
        <v>36804545</v>
      </c>
      <c r="E38">
        <v>1</v>
      </c>
      <c r="F38">
        <v>1</v>
      </c>
      <c r="G38">
        <v>1</v>
      </c>
      <c r="H38">
        <v>3</v>
      </c>
      <c r="I38" t="s">
        <v>563</v>
      </c>
      <c r="J38" t="s">
        <v>564</v>
      </c>
      <c r="K38" t="s">
        <v>565</v>
      </c>
      <c r="L38">
        <v>1348</v>
      </c>
      <c r="N38">
        <v>1009</v>
      </c>
      <c r="O38" t="s">
        <v>32</v>
      </c>
      <c r="P38" t="s">
        <v>32</v>
      </c>
      <c r="Q38">
        <v>1000</v>
      </c>
      <c r="W38">
        <v>0</v>
      </c>
      <c r="X38">
        <v>1174701286</v>
      </c>
      <c r="Y38">
        <v>1.0000000000000001E-5</v>
      </c>
      <c r="AA38">
        <v>11978</v>
      </c>
      <c r="AB38">
        <v>0</v>
      </c>
      <c r="AC38">
        <v>0</v>
      </c>
      <c r="AD38">
        <v>0</v>
      </c>
      <c r="AE38">
        <v>11978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1.0000000000000001E-5</v>
      </c>
      <c r="AU38" t="s">
        <v>3</v>
      </c>
      <c r="AV38">
        <v>0</v>
      </c>
      <c r="AW38">
        <v>2</v>
      </c>
      <c r="AX38">
        <v>47631754</v>
      </c>
      <c r="AY38">
        <v>1</v>
      </c>
      <c r="AZ38">
        <v>0</v>
      </c>
      <c r="BA38">
        <v>40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Y38*Source!I37</f>
        <v>1.549803E-4</v>
      </c>
      <c r="CY38">
        <f t="shared" si="5"/>
        <v>11978</v>
      </c>
      <c r="CZ38">
        <f t="shared" si="6"/>
        <v>11978</v>
      </c>
      <c r="DA38">
        <f t="shared" si="7"/>
        <v>1</v>
      </c>
      <c r="DB38">
        <f t="shared" si="8"/>
        <v>0.12</v>
      </c>
      <c r="DC38">
        <f t="shared" si="9"/>
        <v>0</v>
      </c>
    </row>
    <row r="39" spans="1:107" x14ac:dyDescent="0.2">
      <c r="A39">
        <f>ROW(Source!A37)</f>
        <v>37</v>
      </c>
      <c r="B39">
        <v>47631607</v>
      </c>
      <c r="C39">
        <v>47631724</v>
      </c>
      <c r="D39">
        <v>36805527</v>
      </c>
      <c r="E39">
        <v>1</v>
      </c>
      <c r="F39">
        <v>1</v>
      </c>
      <c r="G39">
        <v>1</v>
      </c>
      <c r="H39">
        <v>3</v>
      </c>
      <c r="I39" t="s">
        <v>566</v>
      </c>
      <c r="J39" t="s">
        <v>567</v>
      </c>
      <c r="K39" t="s">
        <v>568</v>
      </c>
      <c r="L39">
        <v>1348</v>
      </c>
      <c r="N39">
        <v>1009</v>
      </c>
      <c r="O39" t="s">
        <v>32</v>
      </c>
      <c r="P39" t="s">
        <v>32</v>
      </c>
      <c r="Q39">
        <v>1000</v>
      </c>
      <c r="W39">
        <v>0</v>
      </c>
      <c r="X39">
        <v>-2116243625</v>
      </c>
      <c r="Y39">
        <v>1E-4</v>
      </c>
      <c r="AA39">
        <v>37900</v>
      </c>
      <c r="AB39">
        <v>0</v>
      </c>
      <c r="AC39">
        <v>0</v>
      </c>
      <c r="AD39">
        <v>0</v>
      </c>
      <c r="AE39">
        <v>37900</v>
      </c>
      <c r="AF39">
        <v>0</v>
      </c>
      <c r="AG39">
        <v>0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1E-4</v>
      </c>
      <c r="AU39" t="s">
        <v>3</v>
      </c>
      <c r="AV39">
        <v>0</v>
      </c>
      <c r="AW39">
        <v>2</v>
      </c>
      <c r="AX39">
        <v>47631755</v>
      </c>
      <c r="AY39">
        <v>1</v>
      </c>
      <c r="AZ39">
        <v>0</v>
      </c>
      <c r="BA39">
        <v>41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Y39*Source!I37</f>
        <v>1.549803E-3</v>
      </c>
      <c r="CY39">
        <f t="shared" si="5"/>
        <v>37900</v>
      </c>
      <c r="CZ39">
        <f t="shared" si="6"/>
        <v>37900</v>
      </c>
      <c r="DA39">
        <f t="shared" si="7"/>
        <v>1</v>
      </c>
      <c r="DB39">
        <f t="shared" si="8"/>
        <v>3.79</v>
      </c>
      <c r="DC39">
        <f t="shared" si="9"/>
        <v>0</v>
      </c>
    </row>
    <row r="40" spans="1:107" x14ac:dyDescent="0.2">
      <c r="A40">
        <f>ROW(Source!A37)</f>
        <v>37</v>
      </c>
      <c r="B40">
        <v>47631607</v>
      </c>
      <c r="C40">
        <v>47631724</v>
      </c>
      <c r="D40">
        <v>36825287</v>
      </c>
      <c r="E40">
        <v>1</v>
      </c>
      <c r="F40">
        <v>1</v>
      </c>
      <c r="G40">
        <v>1</v>
      </c>
      <c r="H40">
        <v>3</v>
      </c>
      <c r="I40" t="s">
        <v>569</v>
      </c>
      <c r="J40" t="s">
        <v>570</v>
      </c>
      <c r="K40" t="s">
        <v>571</v>
      </c>
      <c r="L40">
        <v>1302</v>
      </c>
      <c r="N40">
        <v>1003</v>
      </c>
      <c r="O40" t="s">
        <v>572</v>
      </c>
      <c r="P40" t="s">
        <v>572</v>
      </c>
      <c r="Q40">
        <v>10</v>
      </c>
      <c r="W40">
        <v>0</v>
      </c>
      <c r="X40">
        <v>-1640127157</v>
      </c>
      <c r="Y40">
        <v>1.8700000000000001E-2</v>
      </c>
      <c r="AA40">
        <v>50.24</v>
      </c>
      <c r="AB40">
        <v>0</v>
      </c>
      <c r="AC40">
        <v>0</v>
      </c>
      <c r="AD40">
        <v>0</v>
      </c>
      <c r="AE40">
        <v>50.24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1.8700000000000001E-2</v>
      </c>
      <c r="AU40" t="s">
        <v>3</v>
      </c>
      <c r="AV40">
        <v>0</v>
      </c>
      <c r="AW40">
        <v>2</v>
      </c>
      <c r="AX40">
        <v>47631757</v>
      </c>
      <c r="AY40">
        <v>1</v>
      </c>
      <c r="AZ40">
        <v>0</v>
      </c>
      <c r="BA40">
        <v>43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Y40*Source!I37</f>
        <v>0.28981316100000004</v>
      </c>
      <c r="CY40">
        <f t="shared" si="5"/>
        <v>50.24</v>
      </c>
      <c r="CZ40">
        <f t="shared" si="6"/>
        <v>50.24</v>
      </c>
      <c r="DA40">
        <f t="shared" si="7"/>
        <v>1</v>
      </c>
      <c r="DB40">
        <f t="shared" si="8"/>
        <v>0.94</v>
      </c>
      <c r="DC40">
        <f t="shared" si="9"/>
        <v>0</v>
      </c>
    </row>
    <row r="41" spans="1:107" x14ac:dyDescent="0.2">
      <c r="A41">
        <f>ROW(Source!A37)</f>
        <v>37</v>
      </c>
      <c r="B41">
        <v>47631607</v>
      </c>
      <c r="C41">
        <v>47631724</v>
      </c>
      <c r="D41">
        <v>36825646</v>
      </c>
      <c r="E41">
        <v>1</v>
      </c>
      <c r="F41">
        <v>1</v>
      </c>
      <c r="G41">
        <v>1</v>
      </c>
      <c r="H41">
        <v>3</v>
      </c>
      <c r="I41" t="s">
        <v>573</v>
      </c>
      <c r="J41" t="s">
        <v>574</v>
      </c>
      <c r="K41" t="s">
        <v>575</v>
      </c>
      <c r="L41">
        <v>1348</v>
      </c>
      <c r="N41">
        <v>1009</v>
      </c>
      <c r="O41" t="s">
        <v>32</v>
      </c>
      <c r="P41" t="s">
        <v>32</v>
      </c>
      <c r="Q41">
        <v>1000</v>
      </c>
      <c r="W41">
        <v>0</v>
      </c>
      <c r="X41">
        <v>-1396314973</v>
      </c>
      <c r="Y41">
        <v>3.0000000000000001E-5</v>
      </c>
      <c r="AA41">
        <v>4455.2</v>
      </c>
      <c r="AB41">
        <v>0</v>
      </c>
      <c r="AC41">
        <v>0</v>
      </c>
      <c r="AD41">
        <v>0</v>
      </c>
      <c r="AE41">
        <v>4455.2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3.0000000000000001E-5</v>
      </c>
      <c r="AU41" t="s">
        <v>3</v>
      </c>
      <c r="AV41">
        <v>0</v>
      </c>
      <c r="AW41">
        <v>2</v>
      </c>
      <c r="AX41">
        <v>47631758</v>
      </c>
      <c r="AY41">
        <v>1</v>
      </c>
      <c r="AZ41">
        <v>0</v>
      </c>
      <c r="BA41">
        <v>44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Y41*Source!I37</f>
        <v>4.6494089999999999E-4</v>
      </c>
      <c r="CY41">
        <f t="shared" si="5"/>
        <v>4455.2</v>
      </c>
      <c r="CZ41">
        <f t="shared" si="6"/>
        <v>4455.2</v>
      </c>
      <c r="DA41">
        <f t="shared" si="7"/>
        <v>1</v>
      </c>
      <c r="DB41">
        <f t="shared" si="8"/>
        <v>0.13</v>
      </c>
      <c r="DC41">
        <f t="shared" si="9"/>
        <v>0</v>
      </c>
    </row>
    <row r="42" spans="1:107" x14ac:dyDescent="0.2">
      <c r="A42">
        <f>ROW(Source!A37)</f>
        <v>37</v>
      </c>
      <c r="B42">
        <v>47631607</v>
      </c>
      <c r="C42">
        <v>47631724</v>
      </c>
      <c r="D42">
        <v>36826406</v>
      </c>
      <c r="E42">
        <v>1</v>
      </c>
      <c r="F42">
        <v>1</v>
      </c>
      <c r="G42">
        <v>1</v>
      </c>
      <c r="H42">
        <v>3</v>
      </c>
      <c r="I42" t="s">
        <v>576</v>
      </c>
      <c r="J42" t="s">
        <v>577</v>
      </c>
      <c r="K42" t="s">
        <v>578</v>
      </c>
      <c r="L42">
        <v>1348</v>
      </c>
      <c r="N42">
        <v>1009</v>
      </c>
      <c r="O42" t="s">
        <v>32</v>
      </c>
      <c r="P42" t="s">
        <v>32</v>
      </c>
      <c r="Q42">
        <v>1000</v>
      </c>
      <c r="W42">
        <v>0</v>
      </c>
      <c r="X42">
        <v>900832145</v>
      </c>
      <c r="Y42">
        <v>1.9400000000000001E-3</v>
      </c>
      <c r="AA42">
        <v>4920</v>
      </c>
      <c r="AB42">
        <v>0</v>
      </c>
      <c r="AC42">
        <v>0</v>
      </c>
      <c r="AD42">
        <v>0</v>
      </c>
      <c r="AE42">
        <v>4920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1.9400000000000001E-3</v>
      </c>
      <c r="AU42" t="s">
        <v>3</v>
      </c>
      <c r="AV42">
        <v>0</v>
      </c>
      <c r="AW42">
        <v>2</v>
      </c>
      <c r="AX42">
        <v>47631759</v>
      </c>
      <c r="AY42">
        <v>1</v>
      </c>
      <c r="AZ42">
        <v>0</v>
      </c>
      <c r="BA42">
        <v>45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Y42*Source!I37</f>
        <v>3.0066178200000002E-2</v>
      </c>
      <c r="CY42">
        <f t="shared" si="5"/>
        <v>4920</v>
      </c>
      <c r="CZ42">
        <f t="shared" si="6"/>
        <v>4920</v>
      </c>
      <c r="DA42">
        <f t="shared" si="7"/>
        <v>1</v>
      </c>
      <c r="DB42">
        <f t="shared" si="8"/>
        <v>9.5399999999999991</v>
      </c>
      <c r="DC42">
        <f t="shared" si="9"/>
        <v>0</v>
      </c>
    </row>
    <row r="43" spans="1:107" x14ac:dyDescent="0.2">
      <c r="A43">
        <f>ROW(Source!A37)</f>
        <v>37</v>
      </c>
      <c r="B43">
        <v>47631607</v>
      </c>
      <c r="C43">
        <v>47631724</v>
      </c>
      <c r="D43">
        <v>36837948</v>
      </c>
      <c r="E43">
        <v>1</v>
      </c>
      <c r="F43">
        <v>1</v>
      </c>
      <c r="G43">
        <v>1</v>
      </c>
      <c r="H43">
        <v>3</v>
      </c>
      <c r="I43" t="s">
        <v>579</v>
      </c>
      <c r="J43" t="s">
        <v>580</v>
      </c>
      <c r="K43" t="s">
        <v>581</v>
      </c>
      <c r="L43">
        <v>1348</v>
      </c>
      <c r="N43">
        <v>1009</v>
      </c>
      <c r="O43" t="s">
        <v>32</v>
      </c>
      <c r="P43" t="s">
        <v>32</v>
      </c>
      <c r="Q43">
        <v>1000</v>
      </c>
      <c r="W43">
        <v>0</v>
      </c>
      <c r="X43">
        <v>-1655298345</v>
      </c>
      <c r="Y43">
        <v>3.1E-4</v>
      </c>
      <c r="AA43">
        <v>15620</v>
      </c>
      <c r="AB43">
        <v>0</v>
      </c>
      <c r="AC43">
        <v>0</v>
      </c>
      <c r="AD43">
        <v>0</v>
      </c>
      <c r="AE43">
        <v>15620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3.1E-4</v>
      </c>
      <c r="AU43" t="s">
        <v>3</v>
      </c>
      <c r="AV43">
        <v>0</v>
      </c>
      <c r="AW43">
        <v>2</v>
      </c>
      <c r="AX43">
        <v>47631760</v>
      </c>
      <c r="AY43">
        <v>1</v>
      </c>
      <c r="AZ43">
        <v>0</v>
      </c>
      <c r="BA43">
        <v>46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Y43*Source!I37</f>
        <v>4.8043892999999997E-3</v>
      </c>
      <c r="CY43">
        <f t="shared" si="5"/>
        <v>15620</v>
      </c>
      <c r="CZ43">
        <f t="shared" si="6"/>
        <v>15620</v>
      </c>
      <c r="DA43">
        <f t="shared" si="7"/>
        <v>1</v>
      </c>
      <c r="DB43">
        <f t="shared" si="8"/>
        <v>4.84</v>
      </c>
      <c r="DC43">
        <f t="shared" si="9"/>
        <v>0</v>
      </c>
    </row>
    <row r="44" spans="1:107" x14ac:dyDescent="0.2">
      <c r="A44">
        <f>ROW(Source!A37)</f>
        <v>37</v>
      </c>
      <c r="B44">
        <v>47631607</v>
      </c>
      <c r="C44">
        <v>47631724</v>
      </c>
      <c r="D44">
        <v>36839146</v>
      </c>
      <c r="E44">
        <v>1</v>
      </c>
      <c r="F44">
        <v>1</v>
      </c>
      <c r="G44">
        <v>1</v>
      </c>
      <c r="H44">
        <v>3</v>
      </c>
      <c r="I44" t="s">
        <v>582</v>
      </c>
      <c r="J44" t="s">
        <v>583</v>
      </c>
      <c r="K44" t="s">
        <v>584</v>
      </c>
      <c r="L44">
        <v>1348</v>
      </c>
      <c r="N44">
        <v>1009</v>
      </c>
      <c r="O44" t="s">
        <v>32</v>
      </c>
      <c r="P44" t="s">
        <v>32</v>
      </c>
      <c r="Q44">
        <v>1000</v>
      </c>
      <c r="W44">
        <v>0</v>
      </c>
      <c r="X44">
        <v>-639604785</v>
      </c>
      <c r="Y44">
        <v>5.9999999999999995E-4</v>
      </c>
      <c r="AA44">
        <v>9420</v>
      </c>
      <c r="AB44">
        <v>0</v>
      </c>
      <c r="AC44">
        <v>0</v>
      </c>
      <c r="AD44">
        <v>0</v>
      </c>
      <c r="AE44">
        <v>9420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5.9999999999999995E-4</v>
      </c>
      <c r="AU44" t="s">
        <v>3</v>
      </c>
      <c r="AV44">
        <v>0</v>
      </c>
      <c r="AW44">
        <v>2</v>
      </c>
      <c r="AX44">
        <v>47631761</v>
      </c>
      <c r="AY44">
        <v>1</v>
      </c>
      <c r="AZ44">
        <v>0</v>
      </c>
      <c r="BA44">
        <v>47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Y44*Source!I37</f>
        <v>9.2988179999999986E-3</v>
      </c>
      <c r="CY44">
        <f t="shared" si="5"/>
        <v>9420</v>
      </c>
      <c r="CZ44">
        <f t="shared" si="6"/>
        <v>9420</v>
      </c>
      <c r="DA44">
        <f t="shared" si="7"/>
        <v>1</v>
      </c>
      <c r="DB44">
        <f t="shared" si="8"/>
        <v>5.65</v>
      </c>
      <c r="DC44">
        <f t="shared" si="9"/>
        <v>0</v>
      </c>
    </row>
    <row r="45" spans="1:107" x14ac:dyDescent="0.2">
      <c r="A45">
        <f>ROW(Source!A38)</f>
        <v>38</v>
      </c>
      <c r="B45">
        <v>47631607</v>
      </c>
      <c r="C45">
        <v>47631762</v>
      </c>
      <c r="D45">
        <v>37065248</v>
      </c>
      <c r="E45">
        <v>1</v>
      </c>
      <c r="F45">
        <v>1</v>
      </c>
      <c r="G45">
        <v>1</v>
      </c>
      <c r="H45">
        <v>1</v>
      </c>
      <c r="I45" t="s">
        <v>498</v>
      </c>
      <c r="J45" t="s">
        <v>3</v>
      </c>
      <c r="K45" t="s">
        <v>499</v>
      </c>
      <c r="L45">
        <v>1191</v>
      </c>
      <c r="N45">
        <v>1013</v>
      </c>
      <c r="O45" t="s">
        <v>487</v>
      </c>
      <c r="P45" t="s">
        <v>487</v>
      </c>
      <c r="Q45">
        <v>1</v>
      </c>
      <c r="W45">
        <v>0</v>
      </c>
      <c r="X45">
        <v>-400197608</v>
      </c>
      <c r="Y45">
        <v>141.24299999999999</v>
      </c>
      <c r="AA45">
        <v>0</v>
      </c>
      <c r="AB45">
        <v>0</v>
      </c>
      <c r="AC45">
        <v>0</v>
      </c>
      <c r="AD45">
        <v>8.5299999999999994</v>
      </c>
      <c r="AE45">
        <v>0</v>
      </c>
      <c r="AF45">
        <v>0</v>
      </c>
      <c r="AG45">
        <v>0</v>
      </c>
      <c r="AH45">
        <v>8.5299999999999994</v>
      </c>
      <c r="AI45">
        <v>1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</v>
      </c>
      <c r="AT45">
        <v>106.8</v>
      </c>
      <c r="AU45" t="s">
        <v>53</v>
      </c>
      <c r="AV45">
        <v>1</v>
      </c>
      <c r="AW45">
        <v>2</v>
      </c>
      <c r="AX45">
        <v>47631766</v>
      </c>
      <c r="AY45">
        <v>1</v>
      </c>
      <c r="AZ45">
        <v>0</v>
      </c>
      <c r="BA45">
        <v>48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Y45*Source!I38</f>
        <v>2.8248600000000001</v>
      </c>
      <c r="CY45">
        <f>AD45</f>
        <v>8.5299999999999994</v>
      </c>
      <c r="CZ45">
        <f>AH45</f>
        <v>8.5299999999999994</v>
      </c>
      <c r="DA45">
        <f>AL45</f>
        <v>1</v>
      </c>
      <c r="DB45">
        <f>ROUND(((ROUND(AT45*CZ45,2)*1.15)*1.15),6)</f>
        <v>1204.7974999999999</v>
      </c>
      <c r="DC45">
        <f>ROUND(((ROUND(AT45*AG45,2)*1.15)*1.15),6)</f>
        <v>0</v>
      </c>
    </row>
    <row r="46" spans="1:107" x14ac:dyDescent="0.2">
      <c r="A46">
        <f>ROW(Source!A38)</f>
        <v>38</v>
      </c>
      <c r="B46">
        <v>47631607</v>
      </c>
      <c r="C46">
        <v>47631762</v>
      </c>
      <c r="D46">
        <v>36801826</v>
      </c>
      <c r="E46">
        <v>1</v>
      </c>
      <c r="F46">
        <v>1</v>
      </c>
      <c r="G46">
        <v>1</v>
      </c>
      <c r="H46">
        <v>3</v>
      </c>
      <c r="I46" t="s">
        <v>89</v>
      </c>
      <c r="J46" t="s">
        <v>92</v>
      </c>
      <c r="K46" t="s">
        <v>90</v>
      </c>
      <c r="L46">
        <v>1035</v>
      </c>
      <c r="N46">
        <v>1013</v>
      </c>
      <c r="O46" t="s">
        <v>91</v>
      </c>
      <c r="P46" t="s">
        <v>91</v>
      </c>
      <c r="Q46">
        <v>1</v>
      </c>
      <c r="W46">
        <v>0</v>
      </c>
      <c r="X46">
        <v>1764963212</v>
      </c>
      <c r="Y46">
        <v>100</v>
      </c>
      <c r="AA46">
        <v>99.1</v>
      </c>
      <c r="AB46">
        <v>0</v>
      </c>
      <c r="AC46">
        <v>0</v>
      </c>
      <c r="AD46">
        <v>0</v>
      </c>
      <c r="AE46">
        <v>99.1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N46">
        <v>0</v>
      </c>
      <c r="AO46">
        <v>0</v>
      </c>
      <c r="AP46">
        <v>0</v>
      </c>
      <c r="AQ46">
        <v>0</v>
      </c>
      <c r="AR46">
        <v>0</v>
      </c>
      <c r="AS46" t="s">
        <v>3</v>
      </c>
      <c r="AT46">
        <v>100</v>
      </c>
      <c r="AU46" t="s">
        <v>3</v>
      </c>
      <c r="AV46">
        <v>0</v>
      </c>
      <c r="AW46">
        <v>1</v>
      </c>
      <c r="AX46">
        <v>-1</v>
      </c>
      <c r="AY46">
        <v>0</v>
      </c>
      <c r="AZ46">
        <v>0</v>
      </c>
      <c r="BA46" t="s">
        <v>3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Y46*Source!I38</f>
        <v>2</v>
      </c>
      <c r="CY46">
        <f>AA46</f>
        <v>99.1</v>
      </c>
      <c r="CZ46">
        <f>AE46</f>
        <v>99.1</v>
      </c>
      <c r="DA46">
        <f>AI46</f>
        <v>1</v>
      </c>
      <c r="DB46">
        <f>ROUND(ROUND(AT46*CZ46,2),6)</f>
        <v>9910</v>
      </c>
      <c r="DC46">
        <f>ROUND(ROUND(AT46*AG46,2),6)</f>
        <v>0</v>
      </c>
    </row>
    <row r="47" spans="1:107" x14ac:dyDescent="0.2">
      <c r="A47">
        <f>ROW(Source!A38)</f>
        <v>38</v>
      </c>
      <c r="B47">
        <v>47631607</v>
      </c>
      <c r="C47">
        <v>47631762</v>
      </c>
      <c r="D47">
        <v>36804943</v>
      </c>
      <c r="E47">
        <v>1</v>
      </c>
      <c r="F47">
        <v>1</v>
      </c>
      <c r="G47">
        <v>1</v>
      </c>
      <c r="H47">
        <v>3</v>
      </c>
      <c r="I47" t="s">
        <v>585</v>
      </c>
      <c r="J47" t="s">
        <v>586</v>
      </c>
      <c r="K47" t="s">
        <v>587</v>
      </c>
      <c r="L47">
        <v>1348</v>
      </c>
      <c r="N47">
        <v>1009</v>
      </c>
      <c r="O47" t="s">
        <v>32</v>
      </c>
      <c r="P47" t="s">
        <v>32</v>
      </c>
      <c r="Q47">
        <v>1000</v>
      </c>
      <c r="W47">
        <v>0</v>
      </c>
      <c r="X47">
        <v>2128740752</v>
      </c>
      <c r="Y47">
        <v>8.0000000000000002E-3</v>
      </c>
      <c r="AA47">
        <v>16974</v>
      </c>
      <c r="AB47">
        <v>0</v>
      </c>
      <c r="AC47">
        <v>0</v>
      </c>
      <c r="AD47">
        <v>0</v>
      </c>
      <c r="AE47">
        <v>16974</v>
      </c>
      <c r="AF47">
        <v>0</v>
      </c>
      <c r="AG47">
        <v>0</v>
      </c>
      <c r="AH47">
        <v>0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8.0000000000000002E-3</v>
      </c>
      <c r="AU47" t="s">
        <v>3</v>
      </c>
      <c r="AV47">
        <v>0</v>
      </c>
      <c r="AW47">
        <v>2</v>
      </c>
      <c r="AX47">
        <v>47631768</v>
      </c>
      <c r="AY47">
        <v>1</v>
      </c>
      <c r="AZ47">
        <v>0</v>
      </c>
      <c r="BA47">
        <v>50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Y47*Source!I38</f>
        <v>1.6000000000000001E-4</v>
      </c>
      <c r="CY47">
        <f>AA47</f>
        <v>16974</v>
      </c>
      <c r="CZ47">
        <f>AE47</f>
        <v>16974</v>
      </c>
      <c r="DA47">
        <f>AI47</f>
        <v>1</v>
      </c>
      <c r="DB47">
        <f>ROUND(ROUND(AT47*CZ47,2),6)</f>
        <v>135.79</v>
      </c>
      <c r="DC47">
        <f>ROUND(ROUND(AT47*AG47,2),6)</f>
        <v>0</v>
      </c>
    </row>
    <row r="48" spans="1:107" x14ac:dyDescent="0.2">
      <c r="A48">
        <f>ROW(Source!A40)</f>
        <v>40</v>
      </c>
      <c r="B48">
        <v>47631607</v>
      </c>
      <c r="C48">
        <v>47631770</v>
      </c>
      <c r="D48">
        <v>37066717</v>
      </c>
      <c r="E48">
        <v>1</v>
      </c>
      <c r="F48">
        <v>1</v>
      </c>
      <c r="G48">
        <v>1</v>
      </c>
      <c r="H48">
        <v>1</v>
      </c>
      <c r="I48" t="s">
        <v>485</v>
      </c>
      <c r="J48" t="s">
        <v>3</v>
      </c>
      <c r="K48" t="s">
        <v>486</v>
      </c>
      <c r="L48">
        <v>1191</v>
      </c>
      <c r="N48">
        <v>1013</v>
      </c>
      <c r="O48" t="s">
        <v>487</v>
      </c>
      <c r="P48" t="s">
        <v>487</v>
      </c>
      <c r="Q48">
        <v>1</v>
      </c>
      <c r="W48">
        <v>0</v>
      </c>
      <c r="X48">
        <v>-509590494</v>
      </c>
      <c r="Y48">
        <v>3.0417499999999991</v>
      </c>
      <c r="AA48">
        <v>0</v>
      </c>
      <c r="AB48">
        <v>0</v>
      </c>
      <c r="AC48">
        <v>0</v>
      </c>
      <c r="AD48">
        <v>8.17</v>
      </c>
      <c r="AE48">
        <v>0</v>
      </c>
      <c r="AF48">
        <v>0</v>
      </c>
      <c r="AG48">
        <v>0</v>
      </c>
      <c r="AH48">
        <v>8.17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2.2999999999999998</v>
      </c>
      <c r="AU48" t="s">
        <v>53</v>
      </c>
      <c r="AV48">
        <v>1</v>
      </c>
      <c r="AW48">
        <v>2</v>
      </c>
      <c r="AX48">
        <v>47631778</v>
      </c>
      <c r="AY48">
        <v>1</v>
      </c>
      <c r="AZ48">
        <v>0</v>
      </c>
      <c r="BA48">
        <v>51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Y48*Source!I40</f>
        <v>0.36500999999999989</v>
      </c>
      <c r="CY48">
        <f>AD48</f>
        <v>8.17</v>
      </c>
      <c r="CZ48">
        <f>AH48</f>
        <v>8.17</v>
      </c>
      <c r="DA48">
        <f>AL48</f>
        <v>1</v>
      </c>
      <c r="DB48">
        <f>ROUND(((ROUND(AT48*CZ48,2)*1.15)*1.15),6)</f>
        <v>24.849775000000001</v>
      </c>
      <c r="DC48">
        <f>ROUND(((ROUND(AT48*AG48,2)*1.15)*1.15),6)</f>
        <v>0</v>
      </c>
    </row>
    <row r="49" spans="1:107" x14ac:dyDescent="0.2">
      <c r="A49">
        <f>ROW(Source!A40)</f>
        <v>40</v>
      </c>
      <c r="B49">
        <v>47631607</v>
      </c>
      <c r="C49">
        <v>47631770</v>
      </c>
      <c r="D49">
        <v>37064876</v>
      </c>
      <c r="E49">
        <v>1</v>
      </c>
      <c r="F49">
        <v>1</v>
      </c>
      <c r="G49">
        <v>1</v>
      </c>
      <c r="H49">
        <v>1</v>
      </c>
      <c r="I49" t="s">
        <v>500</v>
      </c>
      <c r="J49" t="s">
        <v>3</v>
      </c>
      <c r="K49" t="s">
        <v>501</v>
      </c>
      <c r="L49">
        <v>1191</v>
      </c>
      <c r="N49">
        <v>1013</v>
      </c>
      <c r="O49" t="s">
        <v>487</v>
      </c>
      <c r="P49" t="s">
        <v>487</v>
      </c>
      <c r="Q49">
        <v>1</v>
      </c>
      <c r="W49">
        <v>0</v>
      </c>
      <c r="X49">
        <v>-1417349443</v>
      </c>
      <c r="Y49">
        <v>0.28999999999999998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0.28999999999999998</v>
      </c>
      <c r="AU49" t="s">
        <v>3</v>
      </c>
      <c r="AV49">
        <v>2</v>
      </c>
      <c r="AW49">
        <v>2</v>
      </c>
      <c r="AX49">
        <v>47631779</v>
      </c>
      <c r="AY49">
        <v>1</v>
      </c>
      <c r="AZ49">
        <v>2048</v>
      </c>
      <c r="BA49">
        <v>52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Y49*Source!I40</f>
        <v>3.4799999999999998E-2</v>
      </c>
      <c r="CY49">
        <f>AD49</f>
        <v>0</v>
      </c>
      <c r="CZ49">
        <f>AH49</f>
        <v>0</v>
      </c>
      <c r="DA49">
        <f>AL49</f>
        <v>1</v>
      </c>
      <c r="DB49">
        <f>ROUND(ROUND(AT49*CZ49,2),6)</f>
        <v>0</v>
      </c>
      <c r="DC49">
        <f>ROUND(ROUND(AT49*AG49,2),6)</f>
        <v>0</v>
      </c>
    </row>
    <row r="50" spans="1:107" x14ac:dyDescent="0.2">
      <c r="A50">
        <f>ROW(Source!A40)</f>
        <v>40</v>
      </c>
      <c r="B50">
        <v>47631607</v>
      </c>
      <c r="C50">
        <v>47631770</v>
      </c>
      <c r="D50">
        <v>36882421</v>
      </c>
      <c r="E50">
        <v>1</v>
      </c>
      <c r="F50">
        <v>1</v>
      </c>
      <c r="G50">
        <v>1</v>
      </c>
      <c r="H50">
        <v>2</v>
      </c>
      <c r="I50" t="s">
        <v>588</v>
      </c>
      <c r="J50" t="s">
        <v>589</v>
      </c>
      <c r="K50" t="s">
        <v>590</v>
      </c>
      <c r="L50">
        <v>1368</v>
      </c>
      <c r="N50">
        <v>1011</v>
      </c>
      <c r="O50" t="s">
        <v>505</v>
      </c>
      <c r="P50" t="s">
        <v>505</v>
      </c>
      <c r="Q50">
        <v>1</v>
      </c>
      <c r="W50">
        <v>0</v>
      </c>
      <c r="X50">
        <v>721845866</v>
      </c>
      <c r="Y50">
        <v>0.11499999999999999</v>
      </c>
      <c r="AA50">
        <v>0</v>
      </c>
      <c r="AB50">
        <v>90.4</v>
      </c>
      <c r="AC50">
        <v>11.6</v>
      </c>
      <c r="AD50">
        <v>0</v>
      </c>
      <c r="AE50">
        <v>0</v>
      </c>
      <c r="AF50">
        <v>90.4</v>
      </c>
      <c r="AG50">
        <v>11.6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0.08</v>
      </c>
      <c r="AU50" t="s">
        <v>52</v>
      </c>
      <c r="AV50">
        <v>0</v>
      </c>
      <c r="AW50">
        <v>2</v>
      </c>
      <c r="AX50">
        <v>47631780</v>
      </c>
      <c r="AY50">
        <v>1</v>
      </c>
      <c r="AZ50">
        <v>0</v>
      </c>
      <c r="BA50">
        <v>53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Y50*Source!I40</f>
        <v>1.3799999999999998E-2</v>
      </c>
      <c r="CY50">
        <f>AB50</f>
        <v>90.4</v>
      </c>
      <c r="CZ50">
        <f>AF50</f>
        <v>90.4</v>
      </c>
      <c r="DA50">
        <f>AJ50</f>
        <v>1</v>
      </c>
      <c r="DB50">
        <f>ROUND(((ROUND(AT50*CZ50,2)*1.25)*1.15),6)</f>
        <v>10.393125</v>
      </c>
      <c r="DC50">
        <f>ROUND(((ROUND(AT50*AG50,2)*1.25)*1.15),6)</f>
        <v>1.336875</v>
      </c>
    </row>
    <row r="51" spans="1:107" x14ac:dyDescent="0.2">
      <c r="A51">
        <f>ROW(Source!A40)</f>
        <v>40</v>
      </c>
      <c r="B51">
        <v>47631607</v>
      </c>
      <c r="C51">
        <v>47631770</v>
      </c>
      <c r="D51">
        <v>36882890</v>
      </c>
      <c r="E51">
        <v>1</v>
      </c>
      <c r="F51">
        <v>1</v>
      </c>
      <c r="G51">
        <v>1</v>
      </c>
      <c r="H51">
        <v>2</v>
      </c>
      <c r="I51" t="s">
        <v>591</v>
      </c>
      <c r="J51" t="s">
        <v>592</v>
      </c>
      <c r="K51" t="s">
        <v>593</v>
      </c>
      <c r="L51">
        <v>1368</v>
      </c>
      <c r="N51">
        <v>1011</v>
      </c>
      <c r="O51" t="s">
        <v>505</v>
      </c>
      <c r="P51" t="s">
        <v>505</v>
      </c>
      <c r="Q51">
        <v>1</v>
      </c>
      <c r="W51">
        <v>0</v>
      </c>
      <c r="X51">
        <v>-1806095485</v>
      </c>
      <c r="Y51">
        <v>0.60375000000000001</v>
      </c>
      <c r="AA51">
        <v>0</v>
      </c>
      <c r="AB51">
        <v>0.55000000000000004</v>
      </c>
      <c r="AC51">
        <v>0</v>
      </c>
      <c r="AD51">
        <v>0</v>
      </c>
      <c r="AE51">
        <v>0</v>
      </c>
      <c r="AF51">
        <v>0.55000000000000004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0.42</v>
      </c>
      <c r="AU51" t="s">
        <v>52</v>
      </c>
      <c r="AV51">
        <v>0</v>
      </c>
      <c r="AW51">
        <v>2</v>
      </c>
      <c r="AX51">
        <v>47631781</v>
      </c>
      <c r="AY51">
        <v>1</v>
      </c>
      <c r="AZ51">
        <v>0</v>
      </c>
      <c r="BA51">
        <v>54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Y51*Source!I40</f>
        <v>7.2450000000000001E-2</v>
      </c>
      <c r="CY51">
        <f>AB51</f>
        <v>0.55000000000000004</v>
      </c>
      <c r="CZ51">
        <f>AF51</f>
        <v>0.55000000000000004</v>
      </c>
      <c r="DA51">
        <f>AJ51</f>
        <v>1</v>
      </c>
      <c r="DB51">
        <f>ROUND(((ROUND(AT51*CZ51,2)*1.25)*1.15),6)</f>
        <v>0.330625</v>
      </c>
      <c r="DC51">
        <f>ROUND(((ROUND(AT51*AG51,2)*1.25)*1.15),6)</f>
        <v>0</v>
      </c>
    </row>
    <row r="52" spans="1:107" x14ac:dyDescent="0.2">
      <c r="A52">
        <f>ROW(Source!A40)</f>
        <v>40</v>
      </c>
      <c r="B52">
        <v>47631607</v>
      </c>
      <c r="C52">
        <v>47631770</v>
      </c>
      <c r="D52">
        <v>36883878</v>
      </c>
      <c r="E52">
        <v>1</v>
      </c>
      <c r="F52">
        <v>1</v>
      </c>
      <c r="G52">
        <v>1</v>
      </c>
      <c r="H52">
        <v>2</v>
      </c>
      <c r="I52" t="s">
        <v>594</v>
      </c>
      <c r="J52" t="s">
        <v>595</v>
      </c>
      <c r="K52" t="s">
        <v>596</v>
      </c>
      <c r="L52">
        <v>1368</v>
      </c>
      <c r="N52">
        <v>1011</v>
      </c>
      <c r="O52" t="s">
        <v>505</v>
      </c>
      <c r="P52" t="s">
        <v>505</v>
      </c>
      <c r="Q52">
        <v>1</v>
      </c>
      <c r="W52">
        <v>0</v>
      </c>
      <c r="X52">
        <v>-1589061407</v>
      </c>
      <c r="Y52">
        <v>0.301875</v>
      </c>
      <c r="AA52">
        <v>0</v>
      </c>
      <c r="AB52">
        <v>90</v>
      </c>
      <c r="AC52">
        <v>10.06</v>
      </c>
      <c r="AD52">
        <v>0</v>
      </c>
      <c r="AE52">
        <v>0</v>
      </c>
      <c r="AF52">
        <v>90</v>
      </c>
      <c r="AG52">
        <v>10.06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0.21</v>
      </c>
      <c r="AU52" t="s">
        <v>52</v>
      </c>
      <c r="AV52">
        <v>0</v>
      </c>
      <c r="AW52">
        <v>2</v>
      </c>
      <c r="AX52">
        <v>47631782</v>
      </c>
      <c r="AY52">
        <v>1</v>
      </c>
      <c r="AZ52">
        <v>0</v>
      </c>
      <c r="BA52">
        <v>55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Y52*Source!I40</f>
        <v>3.6225E-2</v>
      </c>
      <c r="CY52">
        <f>AB52</f>
        <v>90</v>
      </c>
      <c r="CZ52">
        <f>AF52</f>
        <v>90</v>
      </c>
      <c r="DA52">
        <f>AJ52</f>
        <v>1</v>
      </c>
      <c r="DB52">
        <f>ROUND(((ROUND(AT52*CZ52,2)*1.25)*1.15),6)</f>
        <v>27.168749999999999</v>
      </c>
      <c r="DC52">
        <f>ROUND(((ROUND(AT52*AG52,2)*1.25)*1.15),6)</f>
        <v>3.0331250000000001</v>
      </c>
    </row>
    <row r="53" spans="1:107" x14ac:dyDescent="0.2">
      <c r="A53">
        <f>ROW(Source!A40)</f>
        <v>40</v>
      </c>
      <c r="B53">
        <v>47631607</v>
      </c>
      <c r="C53">
        <v>47631770</v>
      </c>
      <c r="D53">
        <v>36801792</v>
      </c>
      <c r="E53">
        <v>1</v>
      </c>
      <c r="F53">
        <v>1</v>
      </c>
      <c r="G53">
        <v>1</v>
      </c>
      <c r="H53">
        <v>3</v>
      </c>
      <c r="I53" t="s">
        <v>597</v>
      </c>
      <c r="J53" t="s">
        <v>598</v>
      </c>
      <c r="K53" t="s">
        <v>599</v>
      </c>
      <c r="L53">
        <v>1339</v>
      </c>
      <c r="N53">
        <v>1007</v>
      </c>
      <c r="O53" t="s">
        <v>96</v>
      </c>
      <c r="P53" t="s">
        <v>96</v>
      </c>
      <c r="Q53">
        <v>1</v>
      </c>
      <c r="W53">
        <v>0</v>
      </c>
      <c r="X53">
        <v>-1660354250</v>
      </c>
      <c r="Y53">
        <v>0.15</v>
      </c>
      <c r="AA53">
        <v>2.44</v>
      </c>
      <c r="AB53">
        <v>0</v>
      </c>
      <c r="AC53">
        <v>0</v>
      </c>
      <c r="AD53">
        <v>0</v>
      </c>
      <c r="AE53">
        <v>2.44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0.15</v>
      </c>
      <c r="AU53" t="s">
        <v>3</v>
      </c>
      <c r="AV53">
        <v>0</v>
      </c>
      <c r="AW53">
        <v>2</v>
      </c>
      <c r="AX53">
        <v>47631783</v>
      </c>
      <c r="AY53">
        <v>1</v>
      </c>
      <c r="AZ53">
        <v>0</v>
      </c>
      <c r="BA53">
        <v>56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Y53*Source!I40</f>
        <v>1.7999999999999999E-2</v>
      </c>
      <c r="CY53">
        <f>AA53</f>
        <v>2.44</v>
      </c>
      <c r="CZ53">
        <f>AE53</f>
        <v>2.44</v>
      </c>
      <c r="DA53">
        <f>AI53</f>
        <v>1</v>
      </c>
      <c r="DB53">
        <f>ROUND(ROUND(AT53*CZ53,2),6)</f>
        <v>0.37</v>
      </c>
      <c r="DC53">
        <f>ROUND(ROUND(AT53*AG53,2),6)</f>
        <v>0</v>
      </c>
    </row>
    <row r="54" spans="1:107" x14ac:dyDescent="0.2">
      <c r="A54">
        <f>ROW(Source!A40)</f>
        <v>40</v>
      </c>
      <c r="B54">
        <v>47631607</v>
      </c>
      <c r="C54">
        <v>47631770</v>
      </c>
      <c r="D54">
        <v>36806289</v>
      </c>
      <c r="E54">
        <v>1</v>
      </c>
      <c r="F54">
        <v>1</v>
      </c>
      <c r="G54">
        <v>1</v>
      </c>
      <c r="H54">
        <v>3</v>
      </c>
      <c r="I54" t="s">
        <v>101</v>
      </c>
      <c r="J54" t="s">
        <v>103</v>
      </c>
      <c r="K54" t="s">
        <v>102</v>
      </c>
      <c r="L54">
        <v>1339</v>
      </c>
      <c r="N54">
        <v>1007</v>
      </c>
      <c r="O54" t="s">
        <v>96</v>
      </c>
      <c r="P54" t="s">
        <v>96</v>
      </c>
      <c r="Q54">
        <v>1</v>
      </c>
      <c r="W54">
        <v>0</v>
      </c>
      <c r="X54">
        <v>-35545874</v>
      </c>
      <c r="Y54">
        <v>1.2</v>
      </c>
      <c r="AA54">
        <v>55.26</v>
      </c>
      <c r="AB54">
        <v>0</v>
      </c>
      <c r="AC54">
        <v>0</v>
      </c>
      <c r="AD54">
        <v>0</v>
      </c>
      <c r="AE54">
        <v>55.26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0</v>
      </c>
      <c r="AP54">
        <v>0</v>
      </c>
      <c r="AQ54">
        <v>0</v>
      </c>
      <c r="AR54">
        <v>0</v>
      </c>
      <c r="AS54" t="s">
        <v>3</v>
      </c>
      <c r="AT54">
        <v>1.2</v>
      </c>
      <c r="AU54" t="s">
        <v>3</v>
      </c>
      <c r="AV54">
        <v>0</v>
      </c>
      <c r="AW54">
        <v>1</v>
      </c>
      <c r="AX54">
        <v>-1</v>
      </c>
      <c r="AY54">
        <v>0</v>
      </c>
      <c r="AZ54">
        <v>0</v>
      </c>
      <c r="BA54" t="s">
        <v>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Y54*Source!I40</f>
        <v>0.14399999999999999</v>
      </c>
      <c r="CY54">
        <f>AA54</f>
        <v>55.26</v>
      </c>
      <c r="CZ54">
        <f>AE54</f>
        <v>55.26</v>
      </c>
      <c r="DA54">
        <f>AI54</f>
        <v>1</v>
      </c>
      <c r="DB54">
        <f>ROUND(ROUND(AT54*CZ54,2),6)</f>
        <v>66.31</v>
      </c>
      <c r="DC54">
        <f>ROUND(ROUND(AT54*AG54,2),6)</f>
        <v>0</v>
      </c>
    </row>
    <row r="55" spans="1:107" x14ac:dyDescent="0.2">
      <c r="A55">
        <f>ROW(Source!A42)</f>
        <v>42</v>
      </c>
      <c r="B55">
        <v>47631607</v>
      </c>
      <c r="C55">
        <v>47631786</v>
      </c>
      <c r="D55">
        <v>37065248</v>
      </c>
      <c r="E55">
        <v>1</v>
      </c>
      <c r="F55">
        <v>1</v>
      </c>
      <c r="G55">
        <v>1</v>
      </c>
      <c r="H55">
        <v>1</v>
      </c>
      <c r="I55" t="s">
        <v>498</v>
      </c>
      <c r="J55" t="s">
        <v>3</v>
      </c>
      <c r="K55" t="s">
        <v>499</v>
      </c>
      <c r="L55">
        <v>1191</v>
      </c>
      <c r="N55">
        <v>1013</v>
      </c>
      <c r="O55" t="s">
        <v>487</v>
      </c>
      <c r="P55" t="s">
        <v>487</v>
      </c>
      <c r="Q55">
        <v>1</v>
      </c>
      <c r="W55">
        <v>0</v>
      </c>
      <c r="X55">
        <v>-400197608</v>
      </c>
      <c r="Y55">
        <v>4.5626249999999997</v>
      </c>
      <c r="AA55">
        <v>0</v>
      </c>
      <c r="AB55">
        <v>0</v>
      </c>
      <c r="AC55">
        <v>0</v>
      </c>
      <c r="AD55">
        <v>8.5299999999999994</v>
      </c>
      <c r="AE55">
        <v>0</v>
      </c>
      <c r="AF55">
        <v>0</v>
      </c>
      <c r="AG55">
        <v>0</v>
      </c>
      <c r="AH55">
        <v>8.5299999999999994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3.45</v>
      </c>
      <c r="AU55" t="s">
        <v>53</v>
      </c>
      <c r="AV55">
        <v>1</v>
      </c>
      <c r="AW55">
        <v>2</v>
      </c>
      <c r="AX55">
        <v>47631791</v>
      </c>
      <c r="AY55">
        <v>1</v>
      </c>
      <c r="AZ55">
        <v>0</v>
      </c>
      <c r="BA55">
        <v>58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Y55*Source!I42</f>
        <v>3.4219687499999998E-2</v>
      </c>
      <c r="CY55">
        <f>AD55</f>
        <v>8.5299999999999994</v>
      </c>
      <c r="CZ55">
        <f>AH55</f>
        <v>8.5299999999999994</v>
      </c>
      <c r="DA55">
        <f>AL55</f>
        <v>1</v>
      </c>
      <c r="DB55">
        <f>ROUND(((ROUND(AT55*CZ55,2)*1.15)*1.15),6)</f>
        <v>38.921174999999998</v>
      </c>
      <c r="DC55">
        <f>ROUND(((ROUND(AT55*AG55,2)*1.15)*1.15),6)</f>
        <v>0</v>
      </c>
    </row>
    <row r="56" spans="1:107" x14ac:dyDescent="0.2">
      <c r="A56">
        <f>ROW(Source!A42)</f>
        <v>42</v>
      </c>
      <c r="B56">
        <v>47631607</v>
      </c>
      <c r="C56">
        <v>47631786</v>
      </c>
      <c r="D56">
        <v>37064876</v>
      </c>
      <c r="E56">
        <v>1</v>
      </c>
      <c r="F56">
        <v>1</v>
      </c>
      <c r="G56">
        <v>1</v>
      </c>
      <c r="H56">
        <v>1</v>
      </c>
      <c r="I56" t="s">
        <v>500</v>
      </c>
      <c r="J56" t="s">
        <v>3</v>
      </c>
      <c r="K56" t="s">
        <v>501</v>
      </c>
      <c r="L56">
        <v>1191</v>
      </c>
      <c r="N56">
        <v>1013</v>
      </c>
      <c r="O56" t="s">
        <v>487</v>
      </c>
      <c r="P56" t="s">
        <v>487</v>
      </c>
      <c r="Q56">
        <v>1</v>
      </c>
      <c r="W56">
        <v>0</v>
      </c>
      <c r="X56">
        <v>-1417349443</v>
      </c>
      <c r="Y56">
        <v>0.02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0</v>
      </c>
      <c r="AQ56">
        <v>0</v>
      </c>
      <c r="AR56">
        <v>0</v>
      </c>
      <c r="AS56" t="s">
        <v>3</v>
      </c>
      <c r="AT56">
        <v>0.02</v>
      </c>
      <c r="AU56" t="s">
        <v>3</v>
      </c>
      <c r="AV56">
        <v>2</v>
      </c>
      <c r="AW56">
        <v>2</v>
      </c>
      <c r="AX56">
        <v>47631792</v>
      </c>
      <c r="AY56">
        <v>1</v>
      </c>
      <c r="AZ56">
        <v>2048</v>
      </c>
      <c r="BA56">
        <v>59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Y56*Source!I42</f>
        <v>1.4999999999999999E-4</v>
      </c>
      <c r="CY56">
        <f>AD56</f>
        <v>0</v>
      </c>
      <c r="CZ56">
        <f>AH56</f>
        <v>0</v>
      </c>
      <c r="DA56">
        <f>AL56</f>
        <v>1</v>
      </c>
      <c r="DB56">
        <f>ROUND(ROUND(AT56*CZ56,2),6)</f>
        <v>0</v>
      </c>
      <c r="DC56">
        <f>ROUND(ROUND(AT56*AG56,2),6)</f>
        <v>0</v>
      </c>
    </row>
    <row r="57" spans="1:107" x14ac:dyDescent="0.2">
      <c r="A57">
        <f>ROW(Source!A42)</f>
        <v>42</v>
      </c>
      <c r="B57">
        <v>47631607</v>
      </c>
      <c r="C57">
        <v>47631786</v>
      </c>
      <c r="D57">
        <v>36883554</v>
      </c>
      <c r="E57">
        <v>1</v>
      </c>
      <c r="F57">
        <v>1</v>
      </c>
      <c r="G57">
        <v>1</v>
      </c>
      <c r="H57">
        <v>2</v>
      </c>
      <c r="I57" t="s">
        <v>509</v>
      </c>
      <c r="J57" t="s">
        <v>510</v>
      </c>
      <c r="K57" t="s">
        <v>511</v>
      </c>
      <c r="L57">
        <v>1368</v>
      </c>
      <c r="N57">
        <v>1011</v>
      </c>
      <c r="O57" t="s">
        <v>505</v>
      </c>
      <c r="P57" t="s">
        <v>505</v>
      </c>
      <c r="Q57">
        <v>1</v>
      </c>
      <c r="W57">
        <v>0</v>
      </c>
      <c r="X57">
        <v>1372534845</v>
      </c>
      <c r="Y57">
        <v>2.8749999999999998E-2</v>
      </c>
      <c r="AA57">
        <v>0</v>
      </c>
      <c r="AB57">
        <v>65.709999999999994</v>
      </c>
      <c r="AC57">
        <v>11.6</v>
      </c>
      <c r="AD57">
        <v>0</v>
      </c>
      <c r="AE57">
        <v>0</v>
      </c>
      <c r="AF57">
        <v>65.709999999999994</v>
      </c>
      <c r="AG57">
        <v>11.6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0.02</v>
      </c>
      <c r="AU57" t="s">
        <v>52</v>
      </c>
      <c r="AV57">
        <v>0</v>
      </c>
      <c r="AW57">
        <v>2</v>
      </c>
      <c r="AX57">
        <v>47631793</v>
      </c>
      <c r="AY57">
        <v>1</v>
      </c>
      <c r="AZ57">
        <v>0</v>
      </c>
      <c r="BA57">
        <v>60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Y57*Source!I42</f>
        <v>2.1562499999999997E-4</v>
      </c>
      <c r="CY57">
        <f>AB57</f>
        <v>65.709999999999994</v>
      </c>
      <c r="CZ57">
        <f>AF57</f>
        <v>65.709999999999994</v>
      </c>
      <c r="DA57">
        <f>AJ57</f>
        <v>1</v>
      </c>
      <c r="DB57">
        <f>ROUND(((ROUND(AT57*CZ57,2)*1.25)*1.15),6)</f>
        <v>1.8831249999999999</v>
      </c>
      <c r="DC57">
        <f>ROUND(((ROUND(AT57*AG57,2)*1.25)*1.15),6)</f>
        <v>0.330625</v>
      </c>
    </row>
    <row r="58" spans="1:107" x14ac:dyDescent="0.2">
      <c r="A58">
        <f>ROW(Source!A42)</f>
        <v>42</v>
      </c>
      <c r="B58">
        <v>47631607</v>
      </c>
      <c r="C58">
        <v>47631786</v>
      </c>
      <c r="D58">
        <v>36802302</v>
      </c>
      <c r="E58">
        <v>1</v>
      </c>
      <c r="F58">
        <v>1</v>
      </c>
      <c r="G58">
        <v>1</v>
      </c>
      <c r="H58">
        <v>3</v>
      </c>
      <c r="I58" t="s">
        <v>600</v>
      </c>
      <c r="J58" t="s">
        <v>601</v>
      </c>
      <c r="K58" t="s">
        <v>602</v>
      </c>
      <c r="L58">
        <v>1327</v>
      </c>
      <c r="N58">
        <v>1005</v>
      </c>
      <c r="O58" t="s">
        <v>603</v>
      </c>
      <c r="P58" t="s">
        <v>603</v>
      </c>
      <c r="Q58">
        <v>1</v>
      </c>
      <c r="W58">
        <v>0</v>
      </c>
      <c r="X58">
        <v>-543550502</v>
      </c>
      <c r="Y58">
        <v>122.4</v>
      </c>
      <c r="AA58">
        <v>12.19</v>
      </c>
      <c r="AB58">
        <v>0</v>
      </c>
      <c r="AC58">
        <v>0</v>
      </c>
      <c r="AD58">
        <v>0</v>
      </c>
      <c r="AE58">
        <v>12.19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0</v>
      </c>
      <c r="AQ58">
        <v>0</v>
      </c>
      <c r="AR58">
        <v>0</v>
      </c>
      <c r="AS58" t="s">
        <v>3</v>
      </c>
      <c r="AT58">
        <v>122.4</v>
      </c>
      <c r="AU58" t="s">
        <v>3</v>
      </c>
      <c r="AV58">
        <v>0</v>
      </c>
      <c r="AW58">
        <v>2</v>
      </c>
      <c r="AX58">
        <v>47631794</v>
      </c>
      <c r="AY58">
        <v>1</v>
      </c>
      <c r="AZ58">
        <v>0</v>
      </c>
      <c r="BA58">
        <v>61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Y58*Source!I42</f>
        <v>0.91800000000000004</v>
      </c>
      <c r="CY58">
        <f>AA58</f>
        <v>12.19</v>
      </c>
      <c r="CZ58">
        <f>AE58</f>
        <v>12.19</v>
      </c>
      <c r="DA58">
        <f>AI58</f>
        <v>1</v>
      </c>
      <c r="DB58">
        <f>ROUND(ROUND(AT58*CZ58,2),6)</f>
        <v>1492.06</v>
      </c>
      <c r="DC58">
        <f>ROUND(ROUND(AT58*AG58,2),6)</f>
        <v>0</v>
      </c>
    </row>
    <row r="59" spans="1:107" x14ac:dyDescent="0.2">
      <c r="A59">
        <f>ROW(Source!A43)</f>
        <v>43</v>
      </c>
      <c r="B59">
        <v>47631607</v>
      </c>
      <c r="C59">
        <v>47631795</v>
      </c>
      <c r="D59">
        <v>37065248</v>
      </c>
      <c r="E59">
        <v>1</v>
      </c>
      <c r="F59">
        <v>1</v>
      </c>
      <c r="G59">
        <v>1</v>
      </c>
      <c r="H59">
        <v>1</v>
      </c>
      <c r="I59" t="s">
        <v>498</v>
      </c>
      <c r="J59" t="s">
        <v>3</v>
      </c>
      <c r="K59" t="s">
        <v>499</v>
      </c>
      <c r="L59">
        <v>1191</v>
      </c>
      <c r="N59">
        <v>1013</v>
      </c>
      <c r="O59" t="s">
        <v>487</v>
      </c>
      <c r="P59" t="s">
        <v>487</v>
      </c>
      <c r="Q59">
        <v>1</v>
      </c>
      <c r="W59">
        <v>0</v>
      </c>
      <c r="X59">
        <v>-400197608</v>
      </c>
      <c r="Y59">
        <v>102.34827499999999</v>
      </c>
      <c r="AA59">
        <v>0</v>
      </c>
      <c r="AB59">
        <v>0</v>
      </c>
      <c r="AC59">
        <v>0</v>
      </c>
      <c r="AD59">
        <v>8.5299999999999994</v>
      </c>
      <c r="AE59">
        <v>0</v>
      </c>
      <c r="AF59">
        <v>0</v>
      </c>
      <c r="AG59">
        <v>0</v>
      </c>
      <c r="AH59">
        <v>8.5299999999999994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77.39</v>
      </c>
      <c r="AU59" t="s">
        <v>53</v>
      </c>
      <c r="AV59">
        <v>1</v>
      </c>
      <c r="AW59">
        <v>2</v>
      </c>
      <c r="AX59">
        <v>47631801</v>
      </c>
      <c r="AY59">
        <v>1</v>
      </c>
      <c r="AZ59">
        <v>0</v>
      </c>
      <c r="BA59">
        <v>62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Y59*Source!I43</f>
        <v>1.0234827499999999</v>
      </c>
      <c r="CY59">
        <f>AD59</f>
        <v>8.5299999999999994</v>
      </c>
      <c r="CZ59">
        <f>AH59</f>
        <v>8.5299999999999994</v>
      </c>
      <c r="DA59">
        <f>AL59</f>
        <v>1</v>
      </c>
      <c r="DB59">
        <f>ROUND(((ROUND(AT59*CZ59,2)*1.15)*1.15),6)</f>
        <v>873.03515000000004</v>
      </c>
      <c r="DC59">
        <f>ROUND(((ROUND(AT59*AG59,2)*1.15)*1.15),6)</f>
        <v>0</v>
      </c>
    </row>
    <row r="60" spans="1:107" x14ac:dyDescent="0.2">
      <c r="A60">
        <f>ROW(Source!A43)</f>
        <v>43</v>
      </c>
      <c r="B60">
        <v>47631607</v>
      </c>
      <c r="C60">
        <v>47631795</v>
      </c>
      <c r="D60">
        <v>37064876</v>
      </c>
      <c r="E60">
        <v>1</v>
      </c>
      <c r="F60">
        <v>1</v>
      </c>
      <c r="G60">
        <v>1</v>
      </c>
      <c r="H60">
        <v>1</v>
      </c>
      <c r="I60" t="s">
        <v>500</v>
      </c>
      <c r="J60" t="s">
        <v>3</v>
      </c>
      <c r="K60" t="s">
        <v>501</v>
      </c>
      <c r="L60">
        <v>1191</v>
      </c>
      <c r="N60">
        <v>1013</v>
      </c>
      <c r="O60" t="s">
        <v>487</v>
      </c>
      <c r="P60" t="s">
        <v>487</v>
      </c>
      <c r="Q60">
        <v>1</v>
      </c>
      <c r="W60">
        <v>0</v>
      </c>
      <c r="X60">
        <v>-1417349443</v>
      </c>
      <c r="Y60">
        <v>0.34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0.34</v>
      </c>
      <c r="AU60" t="s">
        <v>3</v>
      </c>
      <c r="AV60">
        <v>2</v>
      </c>
      <c r="AW60">
        <v>2</v>
      </c>
      <c r="AX60">
        <v>47631802</v>
      </c>
      <c r="AY60">
        <v>1</v>
      </c>
      <c r="AZ60">
        <v>2048</v>
      </c>
      <c r="BA60">
        <v>63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Y60*Source!I43</f>
        <v>3.4000000000000002E-3</v>
      </c>
      <c r="CY60">
        <f>AD60</f>
        <v>0</v>
      </c>
      <c r="CZ60">
        <f>AH60</f>
        <v>0</v>
      </c>
      <c r="DA60">
        <f>AL60</f>
        <v>1</v>
      </c>
      <c r="DB60">
        <f>ROUND(ROUND(AT60*CZ60,2),6)</f>
        <v>0</v>
      </c>
      <c r="DC60">
        <f>ROUND(ROUND(AT60*AG60,2),6)</f>
        <v>0</v>
      </c>
    </row>
    <row r="61" spans="1:107" x14ac:dyDescent="0.2">
      <c r="A61">
        <f>ROW(Source!A43)</f>
        <v>43</v>
      </c>
      <c r="B61">
        <v>47631607</v>
      </c>
      <c r="C61">
        <v>47631795</v>
      </c>
      <c r="D61">
        <v>36883554</v>
      </c>
      <c r="E61">
        <v>1</v>
      </c>
      <c r="F61">
        <v>1</v>
      </c>
      <c r="G61">
        <v>1</v>
      </c>
      <c r="H61">
        <v>2</v>
      </c>
      <c r="I61" t="s">
        <v>509</v>
      </c>
      <c r="J61" t="s">
        <v>510</v>
      </c>
      <c r="K61" t="s">
        <v>511</v>
      </c>
      <c r="L61">
        <v>1368</v>
      </c>
      <c r="N61">
        <v>1011</v>
      </c>
      <c r="O61" t="s">
        <v>505</v>
      </c>
      <c r="P61" t="s">
        <v>505</v>
      </c>
      <c r="Q61">
        <v>1</v>
      </c>
      <c r="W61">
        <v>0</v>
      </c>
      <c r="X61">
        <v>1372534845</v>
      </c>
      <c r="Y61">
        <v>0.48875000000000002</v>
      </c>
      <c r="AA61">
        <v>0</v>
      </c>
      <c r="AB61">
        <v>65.709999999999994</v>
      </c>
      <c r="AC61">
        <v>11.6</v>
      </c>
      <c r="AD61">
        <v>0</v>
      </c>
      <c r="AE61">
        <v>0</v>
      </c>
      <c r="AF61">
        <v>65.709999999999994</v>
      </c>
      <c r="AG61">
        <v>11.6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0.34</v>
      </c>
      <c r="AU61" t="s">
        <v>52</v>
      </c>
      <c r="AV61">
        <v>0</v>
      </c>
      <c r="AW61">
        <v>2</v>
      </c>
      <c r="AX61">
        <v>47631803</v>
      </c>
      <c r="AY61">
        <v>1</v>
      </c>
      <c r="AZ61">
        <v>0</v>
      </c>
      <c r="BA61">
        <v>64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Y61*Source!I43</f>
        <v>4.8875000000000004E-3</v>
      </c>
      <c r="CY61">
        <f>AB61</f>
        <v>65.709999999999994</v>
      </c>
      <c r="CZ61">
        <f>AF61</f>
        <v>65.709999999999994</v>
      </c>
      <c r="DA61">
        <f>AJ61</f>
        <v>1</v>
      </c>
      <c r="DB61">
        <f>ROUND(((ROUND(AT61*CZ61,2)*1.25)*1.15),6)</f>
        <v>32.113750000000003</v>
      </c>
      <c r="DC61">
        <f>ROUND(((ROUND(AT61*AG61,2)*1.25)*1.15),6)</f>
        <v>5.6637500000000003</v>
      </c>
    </row>
    <row r="62" spans="1:107" x14ac:dyDescent="0.2">
      <c r="A62">
        <f>ROW(Source!A43)</f>
        <v>43</v>
      </c>
      <c r="B62">
        <v>47631607</v>
      </c>
      <c r="C62">
        <v>47631795</v>
      </c>
      <c r="D62">
        <v>36883858</v>
      </c>
      <c r="E62">
        <v>1</v>
      </c>
      <c r="F62">
        <v>1</v>
      </c>
      <c r="G62">
        <v>1</v>
      </c>
      <c r="H62">
        <v>2</v>
      </c>
      <c r="I62" t="s">
        <v>604</v>
      </c>
      <c r="J62" t="s">
        <v>605</v>
      </c>
      <c r="K62" t="s">
        <v>606</v>
      </c>
      <c r="L62">
        <v>1368</v>
      </c>
      <c r="N62">
        <v>1011</v>
      </c>
      <c r="O62" t="s">
        <v>505</v>
      </c>
      <c r="P62" t="s">
        <v>505</v>
      </c>
      <c r="Q62">
        <v>1</v>
      </c>
      <c r="W62">
        <v>0</v>
      </c>
      <c r="X62">
        <v>-353815937</v>
      </c>
      <c r="Y62">
        <v>16.674999999999997</v>
      </c>
      <c r="AA62">
        <v>0</v>
      </c>
      <c r="AB62">
        <v>8.1</v>
      </c>
      <c r="AC62">
        <v>0</v>
      </c>
      <c r="AD62">
        <v>0</v>
      </c>
      <c r="AE62">
        <v>0</v>
      </c>
      <c r="AF62">
        <v>8.1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11.6</v>
      </c>
      <c r="AU62" t="s">
        <v>52</v>
      </c>
      <c r="AV62">
        <v>0</v>
      </c>
      <c r="AW62">
        <v>2</v>
      </c>
      <c r="AX62">
        <v>47631804</v>
      </c>
      <c r="AY62">
        <v>1</v>
      </c>
      <c r="AZ62">
        <v>0</v>
      </c>
      <c r="BA62">
        <v>65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Y62*Source!I43</f>
        <v>0.16674999999999998</v>
      </c>
      <c r="CY62">
        <f>AB62</f>
        <v>8.1</v>
      </c>
      <c r="CZ62">
        <f>AF62</f>
        <v>8.1</v>
      </c>
      <c r="DA62">
        <f>AJ62</f>
        <v>1</v>
      </c>
      <c r="DB62">
        <f>ROUND(((ROUND(AT62*CZ62,2)*1.25)*1.15),6)</f>
        <v>135.0675</v>
      </c>
      <c r="DC62">
        <f>ROUND(((ROUND(AT62*AG62,2)*1.25)*1.15),6)</f>
        <v>0</v>
      </c>
    </row>
    <row r="63" spans="1:107" x14ac:dyDescent="0.2">
      <c r="A63">
        <f>ROW(Source!A43)</f>
        <v>43</v>
      </c>
      <c r="B63">
        <v>47631607</v>
      </c>
      <c r="C63">
        <v>47631795</v>
      </c>
      <c r="D63">
        <v>36803278</v>
      </c>
      <c r="E63">
        <v>1</v>
      </c>
      <c r="F63">
        <v>1</v>
      </c>
      <c r="G63">
        <v>1</v>
      </c>
      <c r="H63">
        <v>3</v>
      </c>
      <c r="I63" t="s">
        <v>607</v>
      </c>
      <c r="J63" t="s">
        <v>608</v>
      </c>
      <c r="K63" t="s">
        <v>609</v>
      </c>
      <c r="L63">
        <v>1348</v>
      </c>
      <c r="N63">
        <v>1009</v>
      </c>
      <c r="O63" t="s">
        <v>32</v>
      </c>
      <c r="P63" t="s">
        <v>32</v>
      </c>
      <c r="Q63">
        <v>1000</v>
      </c>
      <c r="W63">
        <v>0</v>
      </c>
      <c r="X63">
        <v>-1506867946</v>
      </c>
      <c r="Y63">
        <v>0.02</v>
      </c>
      <c r="AA63">
        <v>9424</v>
      </c>
      <c r="AB63">
        <v>0</v>
      </c>
      <c r="AC63">
        <v>0</v>
      </c>
      <c r="AD63">
        <v>0</v>
      </c>
      <c r="AE63">
        <v>9424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0.02</v>
      </c>
      <c r="AU63" t="s">
        <v>3</v>
      </c>
      <c r="AV63">
        <v>0</v>
      </c>
      <c r="AW63">
        <v>2</v>
      </c>
      <c r="AX63">
        <v>47631805</v>
      </c>
      <c r="AY63">
        <v>1</v>
      </c>
      <c r="AZ63">
        <v>0</v>
      </c>
      <c r="BA63">
        <v>66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Y63*Source!I43</f>
        <v>2.0000000000000001E-4</v>
      </c>
      <c r="CY63">
        <f>AA63</f>
        <v>9424</v>
      </c>
      <c r="CZ63">
        <f>AE63</f>
        <v>9424</v>
      </c>
      <c r="DA63">
        <f>AI63</f>
        <v>1</v>
      </c>
      <c r="DB63">
        <f>ROUND(ROUND(AT63*CZ63,2),6)</f>
        <v>188.48</v>
      </c>
      <c r="DC63">
        <f>ROUND(ROUND(AT63*AG63,2),6)</f>
        <v>0</v>
      </c>
    </row>
    <row r="64" spans="1:107" x14ac:dyDescent="0.2">
      <c r="A64">
        <f>ROW(Source!A44)</f>
        <v>44</v>
      </c>
      <c r="B64">
        <v>47631607</v>
      </c>
      <c r="C64">
        <v>47631807</v>
      </c>
      <c r="D64">
        <v>37082223</v>
      </c>
      <c r="E64">
        <v>1</v>
      </c>
      <c r="F64">
        <v>1</v>
      </c>
      <c r="G64">
        <v>1</v>
      </c>
      <c r="H64">
        <v>1</v>
      </c>
      <c r="I64" t="s">
        <v>610</v>
      </c>
      <c r="J64" t="s">
        <v>3</v>
      </c>
      <c r="K64" t="s">
        <v>611</v>
      </c>
      <c r="L64">
        <v>1191</v>
      </c>
      <c r="N64">
        <v>1013</v>
      </c>
      <c r="O64" t="s">
        <v>487</v>
      </c>
      <c r="P64" t="s">
        <v>487</v>
      </c>
      <c r="Q64">
        <v>1</v>
      </c>
      <c r="W64">
        <v>0</v>
      </c>
      <c r="X64">
        <v>-2143564933</v>
      </c>
      <c r="Y64">
        <v>2565.9144999999999</v>
      </c>
      <c r="AA64">
        <v>0</v>
      </c>
      <c r="AB64">
        <v>0</v>
      </c>
      <c r="AC64">
        <v>0</v>
      </c>
      <c r="AD64">
        <v>9.76</v>
      </c>
      <c r="AE64">
        <v>0</v>
      </c>
      <c r="AF64">
        <v>0</v>
      </c>
      <c r="AG64">
        <v>0</v>
      </c>
      <c r="AH64">
        <v>9.76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1940.2</v>
      </c>
      <c r="AU64" t="s">
        <v>53</v>
      </c>
      <c r="AV64">
        <v>1</v>
      </c>
      <c r="AW64">
        <v>2</v>
      </c>
      <c r="AX64">
        <v>47631818</v>
      </c>
      <c r="AY64">
        <v>1</v>
      </c>
      <c r="AZ64">
        <v>0</v>
      </c>
      <c r="BA64">
        <v>68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Y64*Source!I44</f>
        <v>25.659144999999999</v>
      </c>
      <c r="CY64">
        <f>AD64</f>
        <v>9.76</v>
      </c>
      <c r="CZ64">
        <f>AH64</f>
        <v>9.76</v>
      </c>
      <c r="DA64">
        <f>AL64</f>
        <v>1</v>
      </c>
      <c r="DB64">
        <f>ROUND(((ROUND(AT64*CZ64,2)*1.15)*1.15),6)</f>
        <v>25043.322875000002</v>
      </c>
      <c r="DC64">
        <f>ROUND(((ROUND(AT64*AG64,2)*1.15)*1.15),6)</f>
        <v>0</v>
      </c>
    </row>
    <row r="65" spans="1:107" x14ac:dyDescent="0.2">
      <c r="A65">
        <f>ROW(Source!A44)</f>
        <v>44</v>
      </c>
      <c r="B65">
        <v>47631607</v>
      </c>
      <c r="C65">
        <v>47631807</v>
      </c>
      <c r="D65">
        <v>37064876</v>
      </c>
      <c r="E65">
        <v>1</v>
      </c>
      <c r="F65">
        <v>1</v>
      </c>
      <c r="G65">
        <v>1</v>
      </c>
      <c r="H65">
        <v>1</v>
      </c>
      <c r="I65" t="s">
        <v>500</v>
      </c>
      <c r="J65" t="s">
        <v>3</v>
      </c>
      <c r="K65" t="s">
        <v>501</v>
      </c>
      <c r="L65">
        <v>1191</v>
      </c>
      <c r="N65">
        <v>1013</v>
      </c>
      <c r="O65" t="s">
        <v>487</v>
      </c>
      <c r="P65" t="s">
        <v>487</v>
      </c>
      <c r="Q65">
        <v>1</v>
      </c>
      <c r="W65">
        <v>0</v>
      </c>
      <c r="X65">
        <v>-1417349443</v>
      </c>
      <c r="Y65">
        <v>117.88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117.88</v>
      </c>
      <c r="AU65" t="s">
        <v>3</v>
      </c>
      <c r="AV65">
        <v>2</v>
      </c>
      <c r="AW65">
        <v>2</v>
      </c>
      <c r="AX65">
        <v>47631819</v>
      </c>
      <c r="AY65">
        <v>1</v>
      </c>
      <c r="AZ65">
        <v>2048</v>
      </c>
      <c r="BA65">
        <v>69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Y65*Source!I44</f>
        <v>1.1788000000000001</v>
      </c>
      <c r="CY65">
        <f>AD65</f>
        <v>0</v>
      </c>
      <c r="CZ65">
        <f>AH65</f>
        <v>0</v>
      </c>
      <c r="DA65">
        <f>AL65</f>
        <v>1</v>
      </c>
      <c r="DB65">
        <f>ROUND(ROUND(AT65*CZ65,2),6)</f>
        <v>0</v>
      </c>
      <c r="DC65">
        <f>ROUND(ROUND(AT65*AG65,2),6)</f>
        <v>0</v>
      </c>
    </row>
    <row r="66" spans="1:107" x14ac:dyDescent="0.2">
      <c r="A66">
        <f>ROW(Source!A44)</f>
        <v>44</v>
      </c>
      <c r="B66">
        <v>47631607</v>
      </c>
      <c r="C66">
        <v>47631807</v>
      </c>
      <c r="D66">
        <v>36881483</v>
      </c>
      <c r="E66">
        <v>1</v>
      </c>
      <c r="F66">
        <v>1</v>
      </c>
      <c r="G66">
        <v>1</v>
      </c>
      <c r="H66">
        <v>2</v>
      </c>
      <c r="I66" t="s">
        <v>612</v>
      </c>
      <c r="J66" t="s">
        <v>613</v>
      </c>
      <c r="K66" t="s">
        <v>614</v>
      </c>
      <c r="L66">
        <v>1368</v>
      </c>
      <c r="N66">
        <v>1011</v>
      </c>
      <c r="O66" t="s">
        <v>505</v>
      </c>
      <c r="P66" t="s">
        <v>505</v>
      </c>
      <c r="Q66">
        <v>1</v>
      </c>
      <c r="W66">
        <v>0</v>
      </c>
      <c r="X66">
        <v>312278592</v>
      </c>
      <c r="Y66">
        <v>9.5306249999999988</v>
      </c>
      <c r="AA66">
        <v>0</v>
      </c>
      <c r="AB66">
        <v>70.010000000000005</v>
      </c>
      <c r="AC66">
        <v>11.6</v>
      </c>
      <c r="AD66">
        <v>0</v>
      </c>
      <c r="AE66">
        <v>0</v>
      </c>
      <c r="AF66">
        <v>70.010000000000005</v>
      </c>
      <c r="AG66">
        <v>11.6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6.63</v>
      </c>
      <c r="AU66" t="s">
        <v>52</v>
      </c>
      <c r="AV66">
        <v>0</v>
      </c>
      <c r="AW66">
        <v>2</v>
      </c>
      <c r="AX66">
        <v>47631820</v>
      </c>
      <c r="AY66">
        <v>1</v>
      </c>
      <c r="AZ66">
        <v>0</v>
      </c>
      <c r="BA66">
        <v>70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Y66*Source!I44</f>
        <v>9.5306249999999995E-2</v>
      </c>
      <c r="CY66">
        <f>AB66</f>
        <v>70.010000000000005</v>
      </c>
      <c r="CZ66">
        <f>AF66</f>
        <v>70.010000000000005</v>
      </c>
      <c r="DA66">
        <f>AJ66</f>
        <v>1</v>
      </c>
      <c r="DB66">
        <f>ROUND(((ROUND(AT66*CZ66,2)*1.25)*1.15),6)</f>
        <v>667.24437499999999</v>
      </c>
      <c r="DC66">
        <f>ROUND(((ROUND(AT66*AG66,2)*1.25)*1.15),6)</f>
        <v>110.558125</v>
      </c>
    </row>
    <row r="67" spans="1:107" x14ac:dyDescent="0.2">
      <c r="A67">
        <f>ROW(Source!A44)</f>
        <v>44</v>
      </c>
      <c r="B67">
        <v>47631607</v>
      </c>
      <c r="C67">
        <v>47631807</v>
      </c>
      <c r="D67">
        <v>36882159</v>
      </c>
      <c r="E67">
        <v>1</v>
      </c>
      <c r="F67">
        <v>1</v>
      </c>
      <c r="G67">
        <v>1</v>
      </c>
      <c r="H67">
        <v>2</v>
      </c>
      <c r="I67" t="s">
        <v>518</v>
      </c>
      <c r="J67" t="s">
        <v>519</v>
      </c>
      <c r="K67" t="s">
        <v>520</v>
      </c>
      <c r="L67">
        <v>1368</v>
      </c>
      <c r="N67">
        <v>1011</v>
      </c>
      <c r="O67" t="s">
        <v>505</v>
      </c>
      <c r="P67" t="s">
        <v>505</v>
      </c>
      <c r="Q67">
        <v>1</v>
      </c>
      <c r="W67">
        <v>0</v>
      </c>
      <c r="X67">
        <v>-1718674368</v>
      </c>
      <c r="Y67">
        <v>146.97</v>
      </c>
      <c r="AA67">
        <v>0</v>
      </c>
      <c r="AB67">
        <v>111.99</v>
      </c>
      <c r="AC67">
        <v>13.5</v>
      </c>
      <c r="AD67">
        <v>0</v>
      </c>
      <c r="AE67">
        <v>0</v>
      </c>
      <c r="AF67">
        <v>111.99</v>
      </c>
      <c r="AG67">
        <v>13.5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102.24</v>
      </c>
      <c r="AU67" t="s">
        <v>52</v>
      </c>
      <c r="AV67">
        <v>0</v>
      </c>
      <c r="AW67">
        <v>2</v>
      </c>
      <c r="AX67">
        <v>47631821</v>
      </c>
      <c r="AY67">
        <v>1</v>
      </c>
      <c r="AZ67">
        <v>0</v>
      </c>
      <c r="BA67">
        <v>71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Y67*Source!I44</f>
        <v>1.4697</v>
      </c>
      <c r="CY67">
        <f>AB67</f>
        <v>111.99</v>
      </c>
      <c r="CZ67">
        <f>AF67</f>
        <v>111.99</v>
      </c>
      <c r="DA67">
        <f>AJ67</f>
        <v>1</v>
      </c>
      <c r="DB67">
        <f>ROUND(((ROUND(AT67*CZ67,2)*1.25)*1.15),6)</f>
        <v>16459.173750000002</v>
      </c>
      <c r="DC67">
        <f>ROUND(((ROUND(AT67*AG67,2)*1.25)*1.15),6)</f>
        <v>1984.095</v>
      </c>
    </row>
    <row r="68" spans="1:107" x14ac:dyDescent="0.2">
      <c r="A68">
        <f>ROW(Source!A44)</f>
        <v>44</v>
      </c>
      <c r="B68">
        <v>47631607</v>
      </c>
      <c r="C68">
        <v>47631807</v>
      </c>
      <c r="D68">
        <v>36882567</v>
      </c>
      <c r="E68">
        <v>1</v>
      </c>
      <c r="F68">
        <v>1</v>
      </c>
      <c r="G68">
        <v>1</v>
      </c>
      <c r="H68">
        <v>2</v>
      </c>
      <c r="I68" t="s">
        <v>615</v>
      </c>
      <c r="J68" t="s">
        <v>616</v>
      </c>
      <c r="K68" t="s">
        <v>617</v>
      </c>
      <c r="L68">
        <v>1368</v>
      </c>
      <c r="N68">
        <v>1011</v>
      </c>
      <c r="O68" t="s">
        <v>505</v>
      </c>
      <c r="P68" t="s">
        <v>505</v>
      </c>
      <c r="Q68">
        <v>1</v>
      </c>
      <c r="W68">
        <v>0</v>
      </c>
      <c r="X68">
        <v>1468674927</v>
      </c>
      <c r="Y68">
        <v>34.198124999999997</v>
      </c>
      <c r="AA68">
        <v>0</v>
      </c>
      <c r="AB68">
        <v>1.9</v>
      </c>
      <c r="AC68">
        <v>0</v>
      </c>
      <c r="AD68">
        <v>0</v>
      </c>
      <c r="AE68">
        <v>0</v>
      </c>
      <c r="AF68">
        <v>1.9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23.79</v>
      </c>
      <c r="AU68" t="s">
        <v>52</v>
      </c>
      <c r="AV68">
        <v>0</v>
      </c>
      <c r="AW68">
        <v>2</v>
      </c>
      <c r="AX68">
        <v>47631822</v>
      </c>
      <c r="AY68">
        <v>1</v>
      </c>
      <c r="AZ68">
        <v>0</v>
      </c>
      <c r="BA68">
        <v>72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Y68*Source!I44</f>
        <v>0.34198124999999996</v>
      </c>
      <c r="CY68">
        <f>AB68</f>
        <v>1.9</v>
      </c>
      <c r="CZ68">
        <f>AF68</f>
        <v>1.9</v>
      </c>
      <c r="DA68">
        <f>AJ68</f>
        <v>1</v>
      </c>
      <c r="DB68">
        <f>ROUND(((ROUND(AT68*CZ68,2)*1.25)*1.15),6)</f>
        <v>64.974999999999994</v>
      </c>
      <c r="DC68">
        <f>ROUND(((ROUND(AT68*AG68,2)*1.25)*1.15),6)</f>
        <v>0</v>
      </c>
    </row>
    <row r="69" spans="1:107" x14ac:dyDescent="0.2">
      <c r="A69">
        <f>ROW(Source!A44)</f>
        <v>44</v>
      </c>
      <c r="B69">
        <v>47631607</v>
      </c>
      <c r="C69">
        <v>47631807</v>
      </c>
      <c r="D69">
        <v>36883554</v>
      </c>
      <c r="E69">
        <v>1</v>
      </c>
      <c r="F69">
        <v>1</v>
      </c>
      <c r="G69">
        <v>1</v>
      </c>
      <c r="H69">
        <v>2</v>
      </c>
      <c r="I69" t="s">
        <v>509</v>
      </c>
      <c r="J69" t="s">
        <v>510</v>
      </c>
      <c r="K69" t="s">
        <v>511</v>
      </c>
      <c r="L69">
        <v>1368</v>
      </c>
      <c r="N69">
        <v>1011</v>
      </c>
      <c r="O69" t="s">
        <v>505</v>
      </c>
      <c r="P69" t="s">
        <v>505</v>
      </c>
      <c r="Q69">
        <v>1</v>
      </c>
      <c r="W69">
        <v>0</v>
      </c>
      <c r="X69">
        <v>1372534845</v>
      </c>
      <c r="Y69">
        <v>12.951874999999998</v>
      </c>
      <c r="AA69">
        <v>0</v>
      </c>
      <c r="AB69">
        <v>65.709999999999994</v>
      </c>
      <c r="AC69">
        <v>11.6</v>
      </c>
      <c r="AD69">
        <v>0</v>
      </c>
      <c r="AE69">
        <v>0</v>
      </c>
      <c r="AF69">
        <v>65.709999999999994</v>
      </c>
      <c r="AG69">
        <v>11.6</v>
      </c>
      <c r="AH69">
        <v>0</v>
      </c>
      <c r="AI69">
        <v>1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9.01</v>
      </c>
      <c r="AU69" t="s">
        <v>52</v>
      </c>
      <c r="AV69">
        <v>0</v>
      </c>
      <c r="AW69">
        <v>2</v>
      </c>
      <c r="AX69">
        <v>47631823</v>
      </c>
      <c r="AY69">
        <v>1</v>
      </c>
      <c r="AZ69">
        <v>0</v>
      </c>
      <c r="BA69">
        <v>73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Y69*Source!I44</f>
        <v>0.12951874999999999</v>
      </c>
      <c r="CY69">
        <f>AB69</f>
        <v>65.709999999999994</v>
      </c>
      <c r="CZ69">
        <f>AF69</f>
        <v>65.709999999999994</v>
      </c>
      <c r="DA69">
        <f>AJ69</f>
        <v>1</v>
      </c>
      <c r="DB69">
        <f>ROUND(((ROUND(AT69*CZ69,2)*1.25)*1.15),6)</f>
        <v>851.07187499999998</v>
      </c>
      <c r="DC69">
        <f>ROUND(((ROUND(AT69*AG69,2)*1.25)*1.15),6)</f>
        <v>150.2475</v>
      </c>
    </row>
    <row r="70" spans="1:107" x14ac:dyDescent="0.2">
      <c r="A70">
        <f>ROW(Source!A44)</f>
        <v>44</v>
      </c>
      <c r="B70">
        <v>47631607</v>
      </c>
      <c r="C70">
        <v>47631807</v>
      </c>
      <c r="D70">
        <v>36883858</v>
      </c>
      <c r="E70">
        <v>1</v>
      </c>
      <c r="F70">
        <v>1</v>
      </c>
      <c r="G70">
        <v>1</v>
      </c>
      <c r="H70">
        <v>2</v>
      </c>
      <c r="I70" t="s">
        <v>604</v>
      </c>
      <c r="J70" t="s">
        <v>605</v>
      </c>
      <c r="K70" t="s">
        <v>606</v>
      </c>
      <c r="L70">
        <v>1368</v>
      </c>
      <c r="N70">
        <v>1011</v>
      </c>
      <c r="O70" t="s">
        <v>505</v>
      </c>
      <c r="P70" t="s">
        <v>505</v>
      </c>
      <c r="Q70">
        <v>1</v>
      </c>
      <c r="W70">
        <v>0</v>
      </c>
      <c r="X70">
        <v>-353815937</v>
      </c>
      <c r="Y70">
        <v>57.974374999999988</v>
      </c>
      <c r="AA70">
        <v>0</v>
      </c>
      <c r="AB70">
        <v>8.1</v>
      </c>
      <c r="AC70">
        <v>0</v>
      </c>
      <c r="AD70">
        <v>0</v>
      </c>
      <c r="AE70">
        <v>0</v>
      </c>
      <c r="AF70">
        <v>8.1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40.33</v>
      </c>
      <c r="AU70" t="s">
        <v>52</v>
      </c>
      <c r="AV70">
        <v>0</v>
      </c>
      <c r="AW70">
        <v>2</v>
      </c>
      <c r="AX70">
        <v>47631824</v>
      </c>
      <c r="AY70">
        <v>1</v>
      </c>
      <c r="AZ70">
        <v>0</v>
      </c>
      <c r="BA70">
        <v>74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Y70*Source!I44</f>
        <v>0.57974374999999989</v>
      </c>
      <c r="CY70">
        <f>AB70</f>
        <v>8.1</v>
      </c>
      <c r="CZ70">
        <f>AF70</f>
        <v>8.1</v>
      </c>
      <c r="DA70">
        <f>AJ70</f>
        <v>1</v>
      </c>
      <c r="DB70">
        <f>ROUND(((ROUND(AT70*CZ70,2)*1.25)*1.15),6)</f>
        <v>469.58812499999999</v>
      </c>
      <c r="DC70">
        <f>ROUND(((ROUND(AT70*AG70,2)*1.25)*1.15),6)</f>
        <v>0</v>
      </c>
    </row>
    <row r="71" spans="1:107" x14ac:dyDescent="0.2">
      <c r="A71">
        <f>ROW(Source!A44)</f>
        <v>44</v>
      </c>
      <c r="B71">
        <v>47631607</v>
      </c>
      <c r="C71">
        <v>47631807</v>
      </c>
      <c r="D71">
        <v>36803278</v>
      </c>
      <c r="E71">
        <v>1</v>
      </c>
      <c r="F71">
        <v>1</v>
      </c>
      <c r="G71">
        <v>1</v>
      </c>
      <c r="H71">
        <v>3</v>
      </c>
      <c r="I71" t="s">
        <v>607</v>
      </c>
      <c r="J71" t="s">
        <v>608</v>
      </c>
      <c r="K71" t="s">
        <v>609</v>
      </c>
      <c r="L71">
        <v>1348</v>
      </c>
      <c r="N71">
        <v>1009</v>
      </c>
      <c r="O71" t="s">
        <v>32</v>
      </c>
      <c r="P71" t="s">
        <v>32</v>
      </c>
      <c r="Q71">
        <v>1000</v>
      </c>
      <c r="W71">
        <v>0</v>
      </c>
      <c r="X71">
        <v>-1506867946</v>
      </c>
      <c r="Y71">
        <v>0.03</v>
      </c>
      <c r="AA71">
        <v>9424</v>
      </c>
      <c r="AB71">
        <v>0</v>
      </c>
      <c r="AC71">
        <v>0</v>
      </c>
      <c r="AD71">
        <v>0</v>
      </c>
      <c r="AE71">
        <v>9424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0.03</v>
      </c>
      <c r="AU71" t="s">
        <v>3</v>
      </c>
      <c r="AV71">
        <v>0</v>
      </c>
      <c r="AW71">
        <v>2</v>
      </c>
      <c r="AX71">
        <v>47631825</v>
      </c>
      <c r="AY71">
        <v>1</v>
      </c>
      <c r="AZ71">
        <v>0</v>
      </c>
      <c r="BA71">
        <v>75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Y71*Source!I44</f>
        <v>2.9999999999999997E-4</v>
      </c>
      <c r="CY71">
        <f>AA71</f>
        <v>9424</v>
      </c>
      <c r="CZ71">
        <f>AE71</f>
        <v>9424</v>
      </c>
      <c r="DA71">
        <f>AI71</f>
        <v>1</v>
      </c>
      <c r="DB71">
        <f>ROUND(ROUND(AT71*CZ71,2),6)</f>
        <v>282.72000000000003</v>
      </c>
      <c r="DC71">
        <f>ROUND(ROUND(AT71*AG71,2),6)</f>
        <v>0</v>
      </c>
    </row>
    <row r="72" spans="1:107" x14ac:dyDescent="0.2">
      <c r="A72">
        <f>ROW(Source!A44)</f>
        <v>44</v>
      </c>
      <c r="B72">
        <v>47631607</v>
      </c>
      <c r="C72">
        <v>47631807</v>
      </c>
      <c r="D72">
        <v>36804447</v>
      </c>
      <c r="E72">
        <v>1</v>
      </c>
      <c r="F72">
        <v>1</v>
      </c>
      <c r="G72">
        <v>1</v>
      </c>
      <c r="H72">
        <v>3</v>
      </c>
      <c r="I72" t="s">
        <v>560</v>
      </c>
      <c r="J72" t="s">
        <v>561</v>
      </c>
      <c r="K72" t="s">
        <v>562</v>
      </c>
      <c r="L72">
        <v>1348</v>
      </c>
      <c r="N72">
        <v>1009</v>
      </c>
      <c r="O72" t="s">
        <v>32</v>
      </c>
      <c r="P72" t="s">
        <v>32</v>
      </c>
      <c r="Q72">
        <v>1000</v>
      </c>
      <c r="W72">
        <v>0</v>
      </c>
      <c r="X72">
        <v>-437906794</v>
      </c>
      <c r="Y72">
        <v>0.16</v>
      </c>
      <c r="AA72">
        <v>9040.01</v>
      </c>
      <c r="AB72">
        <v>0</v>
      </c>
      <c r="AC72">
        <v>0</v>
      </c>
      <c r="AD72">
        <v>0</v>
      </c>
      <c r="AE72">
        <v>9040.01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0.16</v>
      </c>
      <c r="AU72" t="s">
        <v>3</v>
      </c>
      <c r="AV72">
        <v>0</v>
      </c>
      <c r="AW72">
        <v>2</v>
      </c>
      <c r="AX72">
        <v>47631826</v>
      </c>
      <c r="AY72">
        <v>1</v>
      </c>
      <c r="AZ72">
        <v>0</v>
      </c>
      <c r="BA72">
        <v>76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Y72*Source!I44</f>
        <v>1.6000000000000001E-3</v>
      </c>
      <c r="CY72">
        <f>AA72</f>
        <v>9040.01</v>
      </c>
      <c r="CZ72">
        <f>AE72</f>
        <v>9040.01</v>
      </c>
      <c r="DA72">
        <f>AI72</f>
        <v>1</v>
      </c>
      <c r="DB72">
        <f>ROUND(ROUND(AT72*CZ72,2),6)</f>
        <v>1446.4</v>
      </c>
      <c r="DC72">
        <f>ROUND(ROUND(AT72*AG72,2),6)</f>
        <v>0</v>
      </c>
    </row>
    <row r="73" spans="1:107" x14ac:dyDescent="0.2">
      <c r="A73">
        <f>ROW(Source!A44)</f>
        <v>44</v>
      </c>
      <c r="B73">
        <v>47631607</v>
      </c>
      <c r="C73">
        <v>47631807</v>
      </c>
      <c r="D73">
        <v>36807339</v>
      </c>
      <c r="E73">
        <v>1</v>
      </c>
      <c r="F73">
        <v>1</v>
      </c>
      <c r="G73">
        <v>1</v>
      </c>
      <c r="H73">
        <v>3</v>
      </c>
      <c r="I73" t="s">
        <v>618</v>
      </c>
      <c r="J73" t="s">
        <v>619</v>
      </c>
      <c r="K73" t="s">
        <v>620</v>
      </c>
      <c r="L73">
        <v>1339</v>
      </c>
      <c r="N73">
        <v>1007</v>
      </c>
      <c r="O73" t="s">
        <v>96</v>
      </c>
      <c r="P73" t="s">
        <v>96</v>
      </c>
      <c r="Q73">
        <v>1</v>
      </c>
      <c r="W73">
        <v>0</v>
      </c>
      <c r="X73">
        <v>-418395353</v>
      </c>
      <c r="Y73">
        <v>3.1E-2</v>
      </c>
      <c r="AA73">
        <v>463.3</v>
      </c>
      <c r="AB73">
        <v>0</v>
      </c>
      <c r="AC73">
        <v>0</v>
      </c>
      <c r="AD73">
        <v>0</v>
      </c>
      <c r="AE73">
        <v>463.3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0</v>
      </c>
      <c r="AQ73">
        <v>0</v>
      </c>
      <c r="AR73">
        <v>0</v>
      </c>
      <c r="AS73" t="s">
        <v>3</v>
      </c>
      <c r="AT73">
        <v>3.1E-2</v>
      </c>
      <c r="AU73" t="s">
        <v>3</v>
      </c>
      <c r="AV73">
        <v>0</v>
      </c>
      <c r="AW73">
        <v>2</v>
      </c>
      <c r="AX73">
        <v>47631828</v>
      </c>
      <c r="AY73">
        <v>1</v>
      </c>
      <c r="AZ73">
        <v>0</v>
      </c>
      <c r="BA73">
        <v>78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Y73*Source!I44</f>
        <v>3.1E-4</v>
      </c>
      <c r="CY73">
        <f>AA73</f>
        <v>463.3</v>
      </c>
      <c r="CZ73">
        <f>AE73</f>
        <v>463.3</v>
      </c>
      <c r="DA73">
        <f>AI73</f>
        <v>1</v>
      </c>
      <c r="DB73">
        <f>ROUND(ROUND(AT73*CZ73,2),6)</f>
        <v>14.36</v>
      </c>
      <c r="DC73">
        <f>ROUND(ROUND(AT73*AG73,2),6)</f>
        <v>0</v>
      </c>
    </row>
    <row r="74" spans="1:107" x14ac:dyDescent="0.2">
      <c r="A74">
        <f>ROW(Source!A45)</f>
        <v>45</v>
      </c>
      <c r="B74">
        <v>47631607</v>
      </c>
      <c r="C74">
        <v>47631832</v>
      </c>
      <c r="D74">
        <v>37064978</v>
      </c>
      <c r="E74">
        <v>1</v>
      </c>
      <c r="F74">
        <v>1</v>
      </c>
      <c r="G74">
        <v>1</v>
      </c>
      <c r="H74">
        <v>1</v>
      </c>
      <c r="I74" t="s">
        <v>488</v>
      </c>
      <c r="J74" t="s">
        <v>3</v>
      </c>
      <c r="K74" t="s">
        <v>489</v>
      </c>
      <c r="L74">
        <v>1191</v>
      </c>
      <c r="N74">
        <v>1013</v>
      </c>
      <c r="O74" t="s">
        <v>487</v>
      </c>
      <c r="P74" t="s">
        <v>487</v>
      </c>
      <c r="Q74">
        <v>1</v>
      </c>
      <c r="W74">
        <v>0</v>
      </c>
      <c r="X74">
        <v>-719309759</v>
      </c>
      <c r="Y74">
        <v>1397.6708999999996</v>
      </c>
      <c r="AA74">
        <v>0</v>
      </c>
      <c r="AB74">
        <v>0</v>
      </c>
      <c r="AC74">
        <v>0</v>
      </c>
      <c r="AD74">
        <v>8.86</v>
      </c>
      <c r="AE74">
        <v>0</v>
      </c>
      <c r="AF74">
        <v>0</v>
      </c>
      <c r="AG74">
        <v>0</v>
      </c>
      <c r="AH74">
        <v>8.86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1056.8399999999999</v>
      </c>
      <c r="AU74" t="s">
        <v>53</v>
      </c>
      <c r="AV74">
        <v>1</v>
      </c>
      <c r="AW74">
        <v>2</v>
      </c>
      <c r="AX74">
        <v>47631839</v>
      </c>
      <c r="AY74">
        <v>1</v>
      </c>
      <c r="AZ74">
        <v>0</v>
      </c>
      <c r="BA74">
        <v>82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Y74*Source!I45</f>
        <v>13.976708999999996</v>
      </c>
      <c r="CY74">
        <f>AD74</f>
        <v>8.86</v>
      </c>
      <c r="CZ74">
        <f>AH74</f>
        <v>8.86</v>
      </c>
      <c r="DA74">
        <f>AL74</f>
        <v>1</v>
      </c>
      <c r="DB74">
        <f>ROUND(((ROUND(AT74*CZ74,2)*1.15)*1.15),6)</f>
        <v>12383.361000000001</v>
      </c>
      <c r="DC74">
        <f>ROUND(((ROUND(AT74*AG74,2)*1.15)*1.15),6)</f>
        <v>0</v>
      </c>
    </row>
    <row r="75" spans="1:107" x14ac:dyDescent="0.2">
      <c r="A75">
        <f>ROW(Source!A45)</f>
        <v>45</v>
      </c>
      <c r="B75">
        <v>47631607</v>
      </c>
      <c r="C75">
        <v>47631832</v>
      </c>
      <c r="D75">
        <v>37064876</v>
      </c>
      <c r="E75">
        <v>1</v>
      </c>
      <c r="F75">
        <v>1</v>
      </c>
      <c r="G75">
        <v>1</v>
      </c>
      <c r="H75">
        <v>1</v>
      </c>
      <c r="I75" t="s">
        <v>500</v>
      </c>
      <c r="J75" t="s">
        <v>3</v>
      </c>
      <c r="K75" t="s">
        <v>501</v>
      </c>
      <c r="L75">
        <v>1191</v>
      </c>
      <c r="N75">
        <v>1013</v>
      </c>
      <c r="O75" t="s">
        <v>487</v>
      </c>
      <c r="P75" t="s">
        <v>487</v>
      </c>
      <c r="Q75">
        <v>1</v>
      </c>
      <c r="W75">
        <v>0</v>
      </c>
      <c r="X75">
        <v>-1417349443</v>
      </c>
      <c r="Y75">
        <v>10.49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10.49</v>
      </c>
      <c r="AU75" t="s">
        <v>3</v>
      </c>
      <c r="AV75">
        <v>2</v>
      </c>
      <c r="AW75">
        <v>2</v>
      </c>
      <c r="AX75">
        <v>47631840</v>
      </c>
      <c r="AY75">
        <v>1</v>
      </c>
      <c r="AZ75">
        <v>2048</v>
      </c>
      <c r="BA75">
        <v>83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Y75*Source!I45</f>
        <v>0.10490000000000001</v>
      </c>
      <c r="CY75">
        <f>AD75</f>
        <v>0</v>
      </c>
      <c r="CZ75">
        <f>AH75</f>
        <v>0</v>
      </c>
      <c r="DA75">
        <f>AL75</f>
        <v>1</v>
      </c>
      <c r="DB75">
        <f>ROUND(ROUND(AT75*CZ75,2),6)</f>
        <v>0</v>
      </c>
      <c r="DC75">
        <f>ROUND(ROUND(AT75*AG75,2),6)</f>
        <v>0</v>
      </c>
    </row>
    <row r="76" spans="1:107" x14ac:dyDescent="0.2">
      <c r="A76">
        <f>ROW(Source!A45)</f>
        <v>45</v>
      </c>
      <c r="B76">
        <v>47631607</v>
      </c>
      <c r="C76">
        <v>47631832</v>
      </c>
      <c r="D76">
        <v>36881483</v>
      </c>
      <c r="E76">
        <v>1</v>
      </c>
      <c r="F76">
        <v>1</v>
      </c>
      <c r="G76">
        <v>1</v>
      </c>
      <c r="H76">
        <v>2</v>
      </c>
      <c r="I76" t="s">
        <v>612</v>
      </c>
      <c r="J76" t="s">
        <v>613</v>
      </c>
      <c r="K76" t="s">
        <v>614</v>
      </c>
      <c r="L76">
        <v>1368</v>
      </c>
      <c r="N76">
        <v>1011</v>
      </c>
      <c r="O76" t="s">
        <v>505</v>
      </c>
      <c r="P76" t="s">
        <v>505</v>
      </c>
      <c r="Q76">
        <v>1</v>
      </c>
      <c r="W76">
        <v>0</v>
      </c>
      <c r="X76">
        <v>312278592</v>
      </c>
      <c r="Y76">
        <v>14.849374999999998</v>
      </c>
      <c r="AA76">
        <v>0</v>
      </c>
      <c r="AB76">
        <v>70.010000000000005</v>
      </c>
      <c r="AC76">
        <v>11.6</v>
      </c>
      <c r="AD76">
        <v>0</v>
      </c>
      <c r="AE76">
        <v>0</v>
      </c>
      <c r="AF76">
        <v>70.010000000000005</v>
      </c>
      <c r="AG76">
        <v>11.6</v>
      </c>
      <c r="AH76">
        <v>0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10.33</v>
      </c>
      <c r="AU76" t="s">
        <v>52</v>
      </c>
      <c r="AV76">
        <v>0</v>
      </c>
      <c r="AW76">
        <v>2</v>
      </c>
      <c r="AX76">
        <v>47631841</v>
      </c>
      <c r="AY76">
        <v>1</v>
      </c>
      <c r="AZ76">
        <v>0</v>
      </c>
      <c r="BA76">
        <v>84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Y76*Source!I45</f>
        <v>0.14849374999999998</v>
      </c>
      <c r="CY76">
        <f>AB76</f>
        <v>70.010000000000005</v>
      </c>
      <c r="CZ76">
        <f>AF76</f>
        <v>70.010000000000005</v>
      </c>
      <c r="DA76">
        <f>AJ76</f>
        <v>1</v>
      </c>
      <c r="DB76">
        <f>ROUND(((ROUND(AT76*CZ76,2)*1.25)*1.15),6)</f>
        <v>1039.5999999999999</v>
      </c>
      <c r="DC76">
        <f>ROUND(((ROUND(AT76*AG76,2)*1.25)*1.15),6)</f>
        <v>172.25562500000001</v>
      </c>
    </row>
    <row r="77" spans="1:107" x14ac:dyDescent="0.2">
      <c r="A77">
        <f>ROW(Source!A45)</f>
        <v>45</v>
      </c>
      <c r="B77">
        <v>47631607</v>
      </c>
      <c r="C77">
        <v>47631832</v>
      </c>
      <c r="D77">
        <v>36882157</v>
      </c>
      <c r="E77">
        <v>1</v>
      </c>
      <c r="F77">
        <v>1</v>
      </c>
      <c r="G77">
        <v>1</v>
      </c>
      <c r="H77">
        <v>2</v>
      </c>
      <c r="I77" t="s">
        <v>621</v>
      </c>
      <c r="J77" t="s">
        <v>622</v>
      </c>
      <c r="K77" t="s">
        <v>623</v>
      </c>
      <c r="L77">
        <v>1368</v>
      </c>
      <c r="N77">
        <v>1011</v>
      </c>
      <c r="O77" t="s">
        <v>505</v>
      </c>
      <c r="P77" t="s">
        <v>505</v>
      </c>
      <c r="Q77">
        <v>1</v>
      </c>
      <c r="W77">
        <v>0</v>
      </c>
      <c r="X77">
        <v>1330025190</v>
      </c>
      <c r="Y77">
        <v>0.22999999999999998</v>
      </c>
      <c r="AA77">
        <v>0</v>
      </c>
      <c r="AB77">
        <v>88.01</v>
      </c>
      <c r="AC77">
        <v>11.6</v>
      </c>
      <c r="AD77">
        <v>0</v>
      </c>
      <c r="AE77">
        <v>0</v>
      </c>
      <c r="AF77">
        <v>88.01</v>
      </c>
      <c r="AG77">
        <v>11.6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0.16</v>
      </c>
      <c r="AU77" t="s">
        <v>52</v>
      </c>
      <c r="AV77">
        <v>0</v>
      </c>
      <c r="AW77">
        <v>2</v>
      </c>
      <c r="AX77">
        <v>47631842</v>
      </c>
      <c r="AY77">
        <v>1</v>
      </c>
      <c r="AZ77">
        <v>0</v>
      </c>
      <c r="BA77">
        <v>85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Y77*Source!I45</f>
        <v>2.3E-3</v>
      </c>
      <c r="CY77">
        <f>AB77</f>
        <v>88.01</v>
      </c>
      <c r="CZ77">
        <f>AF77</f>
        <v>88.01</v>
      </c>
      <c r="DA77">
        <f>AJ77</f>
        <v>1</v>
      </c>
      <c r="DB77">
        <f>ROUND(((ROUND(AT77*CZ77,2)*1.25)*1.15),6)</f>
        <v>20.239999999999998</v>
      </c>
      <c r="DC77">
        <f>ROUND(((ROUND(AT77*AG77,2)*1.25)*1.15),6)</f>
        <v>2.6737500000000001</v>
      </c>
    </row>
    <row r="78" spans="1:107" x14ac:dyDescent="0.2">
      <c r="A78">
        <f>ROW(Source!A45)</f>
        <v>45</v>
      </c>
      <c r="B78">
        <v>47631607</v>
      </c>
      <c r="C78">
        <v>47631832</v>
      </c>
      <c r="D78">
        <v>36883858</v>
      </c>
      <c r="E78">
        <v>1</v>
      </c>
      <c r="F78">
        <v>1</v>
      </c>
      <c r="G78">
        <v>1</v>
      </c>
      <c r="H78">
        <v>2</v>
      </c>
      <c r="I78" t="s">
        <v>604</v>
      </c>
      <c r="J78" t="s">
        <v>605</v>
      </c>
      <c r="K78" t="s">
        <v>606</v>
      </c>
      <c r="L78">
        <v>1368</v>
      </c>
      <c r="N78">
        <v>1011</v>
      </c>
      <c r="O78" t="s">
        <v>505</v>
      </c>
      <c r="P78" t="s">
        <v>505</v>
      </c>
      <c r="Q78">
        <v>1</v>
      </c>
      <c r="W78">
        <v>0</v>
      </c>
      <c r="X78">
        <v>-353815937</v>
      </c>
      <c r="Y78">
        <v>109.88249999999999</v>
      </c>
      <c r="AA78">
        <v>0</v>
      </c>
      <c r="AB78">
        <v>8.1</v>
      </c>
      <c r="AC78">
        <v>0</v>
      </c>
      <c r="AD78">
        <v>0</v>
      </c>
      <c r="AE78">
        <v>0</v>
      </c>
      <c r="AF78">
        <v>8.1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76.44</v>
      </c>
      <c r="AU78" t="s">
        <v>52</v>
      </c>
      <c r="AV78">
        <v>0</v>
      </c>
      <c r="AW78">
        <v>2</v>
      </c>
      <c r="AX78">
        <v>47631843</v>
      </c>
      <c r="AY78">
        <v>1</v>
      </c>
      <c r="AZ78">
        <v>0</v>
      </c>
      <c r="BA78">
        <v>86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Y78*Source!I45</f>
        <v>1.0988249999999999</v>
      </c>
      <c r="CY78">
        <f>AB78</f>
        <v>8.1</v>
      </c>
      <c r="CZ78">
        <f>AF78</f>
        <v>8.1</v>
      </c>
      <c r="DA78">
        <f>AJ78</f>
        <v>1</v>
      </c>
      <c r="DB78">
        <f>ROUND(((ROUND(AT78*CZ78,2)*1.25)*1.15),6)</f>
        <v>890.04250000000002</v>
      </c>
      <c r="DC78">
        <f>ROUND(((ROUND(AT78*AG78,2)*1.25)*1.15),6)</f>
        <v>0</v>
      </c>
    </row>
    <row r="79" spans="1:107" x14ac:dyDescent="0.2">
      <c r="A79">
        <f>ROW(Source!A45)</f>
        <v>45</v>
      </c>
      <c r="B79">
        <v>47631607</v>
      </c>
      <c r="C79">
        <v>47631832</v>
      </c>
      <c r="D79">
        <v>36803278</v>
      </c>
      <c r="E79">
        <v>1</v>
      </c>
      <c r="F79">
        <v>1</v>
      </c>
      <c r="G79">
        <v>1</v>
      </c>
      <c r="H79">
        <v>3</v>
      </c>
      <c r="I79" t="s">
        <v>607</v>
      </c>
      <c r="J79" t="s">
        <v>608</v>
      </c>
      <c r="K79" t="s">
        <v>609</v>
      </c>
      <c r="L79">
        <v>1348</v>
      </c>
      <c r="N79">
        <v>1009</v>
      </c>
      <c r="O79" t="s">
        <v>32</v>
      </c>
      <c r="P79" t="s">
        <v>32</v>
      </c>
      <c r="Q79">
        <v>1000</v>
      </c>
      <c r="W79">
        <v>0</v>
      </c>
      <c r="X79">
        <v>-1506867946</v>
      </c>
      <c r="Y79">
        <v>0.03</v>
      </c>
      <c r="AA79">
        <v>9424</v>
      </c>
      <c r="AB79">
        <v>0</v>
      </c>
      <c r="AC79">
        <v>0</v>
      </c>
      <c r="AD79">
        <v>0</v>
      </c>
      <c r="AE79">
        <v>9424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0.03</v>
      </c>
      <c r="AU79" t="s">
        <v>3</v>
      </c>
      <c r="AV79">
        <v>0</v>
      </c>
      <c r="AW79">
        <v>2</v>
      </c>
      <c r="AX79">
        <v>47631844</v>
      </c>
      <c r="AY79">
        <v>1</v>
      </c>
      <c r="AZ79">
        <v>0</v>
      </c>
      <c r="BA79">
        <v>87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Y79*Source!I45</f>
        <v>2.9999999999999997E-4</v>
      </c>
      <c r="CY79">
        <f>AA79</f>
        <v>9424</v>
      </c>
      <c r="CZ79">
        <f>AE79</f>
        <v>9424</v>
      </c>
      <c r="DA79">
        <f>AI79</f>
        <v>1</v>
      </c>
      <c r="DB79">
        <f>ROUND(ROUND(AT79*CZ79,2),6)</f>
        <v>282.72000000000003</v>
      </c>
      <c r="DC79">
        <f>ROUND(ROUND(AT79*AG79,2),6)</f>
        <v>0</v>
      </c>
    </row>
    <row r="80" spans="1:107" x14ac:dyDescent="0.2">
      <c r="A80">
        <f>ROW(Source!A46)</f>
        <v>46</v>
      </c>
      <c r="B80">
        <v>47631607</v>
      </c>
      <c r="C80">
        <v>47631849</v>
      </c>
      <c r="D80">
        <v>37072442</v>
      </c>
      <c r="E80">
        <v>1</v>
      </c>
      <c r="F80">
        <v>1</v>
      </c>
      <c r="G80">
        <v>1</v>
      </c>
      <c r="H80">
        <v>1</v>
      </c>
      <c r="I80" t="s">
        <v>624</v>
      </c>
      <c r="J80" t="s">
        <v>3</v>
      </c>
      <c r="K80" t="s">
        <v>625</v>
      </c>
      <c r="L80">
        <v>1191</v>
      </c>
      <c r="N80">
        <v>1013</v>
      </c>
      <c r="O80" t="s">
        <v>487</v>
      </c>
      <c r="P80" t="s">
        <v>487</v>
      </c>
      <c r="Q80">
        <v>1</v>
      </c>
      <c r="W80">
        <v>0</v>
      </c>
      <c r="X80">
        <v>1145761654</v>
      </c>
      <c r="Y80">
        <v>7.7247224999999986</v>
      </c>
      <c r="AA80">
        <v>0</v>
      </c>
      <c r="AB80">
        <v>0</v>
      </c>
      <c r="AC80">
        <v>0</v>
      </c>
      <c r="AD80">
        <v>10.65</v>
      </c>
      <c r="AE80">
        <v>0</v>
      </c>
      <c r="AF80">
        <v>0</v>
      </c>
      <c r="AG80">
        <v>0</v>
      </c>
      <c r="AH80">
        <v>10.65</v>
      </c>
      <c r="AI80">
        <v>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5.31</v>
      </c>
      <c r="AU80" t="s">
        <v>131</v>
      </c>
      <c r="AV80">
        <v>1</v>
      </c>
      <c r="AW80">
        <v>2</v>
      </c>
      <c r="AX80">
        <v>47631858</v>
      </c>
      <c r="AY80">
        <v>1</v>
      </c>
      <c r="AZ80">
        <v>0</v>
      </c>
      <c r="BA80">
        <v>92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Y80*Source!I46</f>
        <v>57.147497054999988</v>
      </c>
      <c r="CY80">
        <f>AD80</f>
        <v>10.65</v>
      </c>
      <c r="CZ80">
        <f>AH80</f>
        <v>10.65</v>
      </c>
      <c r="DA80">
        <f>AL80</f>
        <v>1</v>
      </c>
      <c r="DB80">
        <f>ROUND((((ROUND(AT80*CZ80,2)*1.1)*1.15)*1.15),6)</f>
        <v>82.266113000000004</v>
      </c>
      <c r="DC80">
        <f>ROUND((((ROUND(AT80*AG80,2)*1.1)*1.15)*1.15),6)</f>
        <v>0</v>
      </c>
    </row>
    <row r="81" spans="1:107" x14ac:dyDescent="0.2">
      <c r="A81">
        <f>ROW(Source!A46)</f>
        <v>46</v>
      </c>
      <c r="B81">
        <v>47631607</v>
      </c>
      <c r="C81">
        <v>47631849</v>
      </c>
      <c r="D81">
        <v>37064876</v>
      </c>
      <c r="E81">
        <v>1</v>
      </c>
      <c r="F81">
        <v>1</v>
      </c>
      <c r="G81">
        <v>1</v>
      </c>
      <c r="H81">
        <v>1</v>
      </c>
      <c r="I81" t="s">
        <v>500</v>
      </c>
      <c r="J81" t="s">
        <v>3</v>
      </c>
      <c r="K81" t="s">
        <v>501</v>
      </c>
      <c r="L81">
        <v>1191</v>
      </c>
      <c r="N81">
        <v>1013</v>
      </c>
      <c r="O81" t="s">
        <v>487</v>
      </c>
      <c r="P81" t="s">
        <v>487</v>
      </c>
      <c r="Q81">
        <v>1</v>
      </c>
      <c r="W81">
        <v>0</v>
      </c>
      <c r="X81">
        <v>-1417349443</v>
      </c>
      <c r="Y81">
        <v>0.02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0.02</v>
      </c>
      <c r="AU81" t="s">
        <v>3</v>
      </c>
      <c r="AV81">
        <v>2</v>
      </c>
      <c r="AW81">
        <v>2</v>
      </c>
      <c r="AX81">
        <v>47631859</v>
      </c>
      <c r="AY81">
        <v>1</v>
      </c>
      <c r="AZ81">
        <v>2048</v>
      </c>
      <c r="BA81">
        <v>93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Y81*Source!I46</f>
        <v>0.14796000000000001</v>
      </c>
      <c r="CY81">
        <f>AD81</f>
        <v>0</v>
      </c>
      <c r="CZ81">
        <f>AH81</f>
        <v>0</v>
      </c>
      <c r="DA81">
        <f>AL81</f>
        <v>1</v>
      </c>
      <c r="DB81">
        <f>ROUND(ROUND(AT81*CZ81,2),6)</f>
        <v>0</v>
      </c>
      <c r="DC81">
        <f>ROUND(ROUND(AT81*AG81,2),6)</f>
        <v>0</v>
      </c>
    </row>
    <row r="82" spans="1:107" x14ac:dyDescent="0.2">
      <c r="A82">
        <f>ROW(Source!A46)</f>
        <v>46</v>
      </c>
      <c r="B82">
        <v>47631607</v>
      </c>
      <c r="C82">
        <v>47631849</v>
      </c>
      <c r="D82">
        <v>36882356</v>
      </c>
      <c r="E82">
        <v>1</v>
      </c>
      <c r="F82">
        <v>1</v>
      </c>
      <c r="G82">
        <v>1</v>
      </c>
      <c r="H82">
        <v>2</v>
      </c>
      <c r="I82" t="s">
        <v>626</v>
      </c>
      <c r="J82" t="s">
        <v>627</v>
      </c>
      <c r="K82" t="s">
        <v>628</v>
      </c>
      <c r="L82">
        <v>1368</v>
      </c>
      <c r="N82">
        <v>1011</v>
      </c>
      <c r="O82" t="s">
        <v>505</v>
      </c>
      <c r="P82" t="s">
        <v>505</v>
      </c>
      <c r="Q82">
        <v>1</v>
      </c>
      <c r="W82">
        <v>0</v>
      </c>
      <c r="X82">
        <v>1047452784</v>
      </c>
      <c r="Y82">
        <v>1.58125E-2</v>
      </c>
      <c r="AA82">
        <v>0</v>
      </c>
      <c r="AB82">
        <v>1.7</v>
      </c>
      <c r="AC82">
        <v>0</v>
      </c>
      <c r="AD82">
        <v>0</v>
      </c>
      <c r="AE82">
        <v>0</v>
      </c>
      <c r="AF82">
        <v>1.7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0.01</v>
      </c>
      <c r="AU82" t="s">
        <v>130</v>
      </c>
      <c r="AV82">
        <v>0</v>
      </c>
      <c r="AW82">
        <v>2</v>
      </c>
      <c r="AX82">
        <v>47631860</v>
      </c>
      <c r="AY82">
        <v>1</v>
      </c>
      <c r="AZ82">
        <v>0</v>
      </c>
      <c r="BA82">
        <v>94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Y82*Source!I46</f>
        <v>0.116980875</v>
      </c>
      <c r="CY82">
        <f>AB82</f>
        <v>1.7</v>
      </c>
      <c r="CZ82">
        <f>AF82</f>
        <v>1.7</v>
      </c>
      <c r="DA82">
        <f>AJ82</f>
        <v>1</v>
      </c>
      <c r="DB82">
        <f>ROUND((((ROUND(AT82*CZ82,2)*1.1)*1.25)*1.15),6)</f>
        <v>3.1625E-2</v>
      </c>
      <c r="DC82">
        <f>ROUND((((ROUND(AT82*AG82,2)*1.1)*1.25)*1.15),6)</f>
        <v>0</v>
      </c>
    </row>
    <row r="83" spans="1:107" x14ac:dyDescent="0.2">
      <c r="A83">
        <f>ROW(Source!A46)</f>
        <v>46</v>
      </c>
      <c r="B83">
        <v>47631607</v>
      </c>
      <c r="C83">
        <v>47631849</v>
      </c>
      <c r="D83">
        <v>36882383</v>
      </c>
      <c r="E83">
        <v>1</v>
      </c>
      <c r="F83">
        <v>1</v>
      </c>
      <c r="G83">
        <v>1</v>
      </c>
      <c r="H83">
        <v>2</v>
      </c>
      <c r="I83" t="s">
        <v>629</v>
      </c>
      <c r="J83" t="s">
        <v>630</v>
      </c>
      <c r="K83" t="s">
        <v>631</v>
      </c>
      <c r="L83">
        <v>1368</v>
      </c>
      <c r="N83">
        <v>1011</v>
      </c>
      <c r="O83" t="s">
        <v>505</v>
      </c>
      <c r="P83" t="s">
        <v>505</v>
      </c>
      <c r="Q83">
        <v>1</v>
      </c>
      <c r="W83">
        <v>0</v>
      </c>
      <c r="X83">
        <v>1225731627</v>
      </c>
      <c r="Y83">
        <v>1.58125E-2</v>
      </c>
      <c r="AA83">
        <v>0</v>
      </c>
      <c r="AB83">
        <v>89.99</v>
      </c>
      <c r="AC83">
        <v>10.06</v>
      </c>
      <c r="AD83">
        <v>0</v>
      </c>
      <c r="AE83">
        <v>0</v>
      </c>
      <c r="AF83">
        <v>89.99</v>
      </c>
      <c r="AG83">
        <v>10.06</v>
      </c>
      <c r="AH83">
        <v>0</v>
      </c>
      <c r="AI83">
        <v>1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0.01</v>
      </c>
      <c r="AU83" t="s">
        <v>130</v>
      </c>
      <c r="AV83">
        <v>0</v>
      </c>
      <c r="AW83">
        <v>2</v>
      </c>
      <c r="AX83">
        <v>47631861</v>
      </c>
      <c r="AY83">
        <v>1</v>
      </c>
      <c r="AZ83">
        <v>0</v>
      </c>
      <c r="BA83">
        <v>95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Y83*Source!I46</f>
        <v>0.116980875</v>
      </c>
      <c r="CY83">
        <f>AB83</f>
        <v>89.99</v>
      </c>
      <c r="CZ83">
        <f>AF83</f>
        <v>89.99</v>
      </c>
      <c r="DA83">
        <f>AJ83</f>
        <v>1</v>
      </c>
      <c r="DB83">
        <f>ROUND((((ROUND(AT83*CZ83,2)*1.1)*1.25)*1.15),6)</f>
        <v>1.423125</v>
      </c>
      <c r="DC83">
        <f>ROUND((((ROUND(AT83*AG83,2)*1.1)*1.25)*1.15),6)</f>
        <v>0.15812499999999999</v>
      </c>
    </row>
    <row r="84" spans="1:107" x14ac:dyDescent="0.2">
      <c r="A84">
        <f>ROW(Source!A46)</f>
        <v>46</v>
      </c>
      <c r="B84">
        <v>47631607</v>
      </c>
      <c r="C84">
        <v>47631849</v>
      </c>
      <c r="D84">
        <v>36883554</v>
      </c>
      <c r="E84">
        <v>1</v>
      </c>
      <c r="F84">
        <v>1</v>
      </c>
      <c r="G84">
        <v>1</v>
      </c>
      <c r="H84">
        <v>2</v>
      </c>
      <c r="I84" t="s">
        <v>509</v>
      </c>
      <c r="J84" t="s">
        <v>510</v>
      </c>
      <c r="K84" t="s">
        <v>511</v>
      </c>
      <c r="L84">
        <v>1368</v>
      </c>
      <c r="N84">
        <v>1011</v>
      </c>
      <c r="O84" t="s">
        <v>505</v>
      </c>
      <c r="P84" t="s">
        <v>505</v>
      </c>
      <c r="Q84">
        <v>1</v>
      </c>
      <c r="W84">
        <v>0</v>
      </c>
      <c r="X84">
        <v>1372534845</v>
      </c>
      <c r="Y84">
        <v>1.58125E-2</v>
      </c>
      <c r="AA84">
        <v>0</v>
      </c>
      <c r="AB84">
        <v>65.709999999999994</v>
      </c>
      <c r="AC84">
        <v>11.6</v>
      </c>
      <c r="AD84">
        <v>0</v>
      </c>
      <c r="AE84">
        <v>0</v>
      </c>
      <c r="AF84">
        <v>65.709999999999994</v>
      </c>
      <c r="AG84">
        <v>11.6</v>
      </c>
      <c r="AH84">
        <v>0</v>
      </c>
      <c r="AI84">
        <v>1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0.01</v>
      </c>
      <c r="AU84" t="s">
        <v>130</v>
      </c>
      <c r="AV84">
        <v>0</v>
      </c>
      <c r="AW84">
        <v>2</v>
      </c>
      <c r="AX84">
        <v>47631862</v>
      </c>
      <c r="AY84">
        <v>1</v>
      </c>
      <c r="AZ84">
        <v>0</v>
      </c>
      <c r="BA84">
        <v>96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Y84*Source!I46</f>
        <v>0.116980875</v>
      </c>
      <c r="CY84">
        <f>AB84</f>
        <v>65.709999999999994</v>
      </c>
      <c r="CZ84">
        <f>AF84</f>
        <v>65.709999999999994</v>
      </c>
      <c r="DA84">
        <f>AJ84</f>
        <v>1</v>
      </c>
      <c r="DB84">
        <f>ROUND((((ROUND(AT84*CZ84,2)*1.1)*1.25)*1.15),6)</f>
        <v>1.043625</v>
      </c>
      <c r="DC84">
        <f>ROUND((((ROUND(AT84*AG84,2)*1.1)*1.25)*1.15),6)</f>
        <v>0.18975</v>
      </c>
    </row>
    <row r="85" spans="1:107" x14ac:dyDescent="0.2">
      <c r="A85">
        <f>ROW(Source!A46)</f>
        <v>46</v>
      </c>
      <c r="B85">
        <v>47631607</v>
      </c>
      <c r="C85">
        <v>47631849</v>
      </c>
      <c r="D85">
        <v>36884416</v>
      </c>
      <c r="E85">
        <v>1</v>
      </c>
      <c r="F85">
        <v>1</v>
      </c>
      <c r="G85">
        <v>1</v>
      </c>
      <c r="H85">
        <v>2</v>
      </c>
      <c r="I85" t="s">
        <v>632</v>
      </c>
      <c r="J85" t="s">
        <v>633</v>
      </c>
      <c r="K85" t="s">
        <v>634</v>
      </c>
      <c r="L85">
        <v>1368</v>
      </c>
      <c r="N85">
        <v>1011</v>
      </c>
      <c r="O85" t="s">
        <v>505</v>
      </c>
      <c r="P85" t="s">
        <v>505</v>
      </c>
      <c r="Q85">
        <v>1</v>
      </c>
      <c r="W85">
        <v>0</v>
      </c>
      <c r="X85">
        <v>271748449</v>
      </c>
      <c r="Y85">
        <v>1.7710000000000001</v>
      </c>
      <c r="AA85">
        <v>0</v>
      </c>
      <c r="AB85">
        <v>6.82</v>
      </c>
      <c r="AC85">
        <v>0</v>
      </c>
      <c r="AD85">
        <v>0</v>
      </c>
      <c r="AE85">
        <v>0</v>
      </c>
      <c r="AF85">
        <v>6.82</v>
      </c>
      <c r="AG85">
        <v>0</v>
      </c>
      <c r="AH85">
        <v>0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1.1200000000000001</v>
      </c>
      <c r="AU85" t="s">
        <v>130</v>
      </c>
      <c r="AV85">
        <v>0</v>
      </c>
      <c r="AW85">
        <v>2</v>
      </c>
      <c r="AX85">
        <v>47631863</v>
      </c>
      <c r="AY85">
        <v>1</v>
      </c>
      <c r="AZ85">
        <v>0</v>
      </c>
      <c r="BA85">
        <v>97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Y85*Source!I46</f>
        <v>13.101858</v>
      </c>
      <c r="CY85">
        <f>AB85</f>
        <v>6.82</v>
      </c>
      <c r="CZ85">
        <f>AF85</f>
        <v>6.82</v>
      </c>
      <c r="DA85">
        <f>AJ85</f>
        <v>1</v>
      </c>
      <c r="DB85">
        <f>ROUND((((ROUND(AT85*CZ85,2)*1.1)*1.25)*1.15),6)</f>
        <v>12.08075</v>
      </c>
      <c r="DC85">
        <f>ROUND((((ROUND(AT85*AG85,2)*1.1)*1.25)*1.15),6)</f>
        <v>0</v>
      </c>
    </row>
    <row r="86" spans="1:107" x14ac:dyDescent="0.2">
      <c r="A86">
        <f>ROW(Source!A46)</f>
        <v>46</v>
      </c>
      <c r="B86">
        <v>47631607</v>
      </c>
      <c r="C86">
        <v>47631849</v>
      </c>
      <c r="D86">
        <v>36837948</v>
      </c>
      <c r="E86">
        <v>1</v>
      </c>
      <c r="F86">
        <v>1</v>
      </c>
      <c r="G86">
        <v>1</v>
      </c>
      <c r="H86">
        <v>3</v>
      </c>
      <c r="I86" t="s">
        <v>579</v>
      </c>
      <c r="J86" t="s">
        <v>580</v>
      </c>
      <c r="K86" t="s">
        <v>581</v>
      </c>
      <c r="L86">
        <v>1348</v>
      </c>
      <c r="N86">
        <v>1009</v>
      </c>
      <c r="O86" t="s">
        <v>32</v>
      </c>
      <c r="P86" t="s">
        <v>32</v>
      </c>
      <c r="Q86">
        <v>1000</v>
      </c>
      <c r="W86">
        <v>0</v>
      </c>
      <c r="X86">
        <v>-1655298345</v>
      </c>
      <c r="Y86">
        <v>1.3200000000000002E-2</v>
      </c>
      <c r="AA86">
        <v>15620</v>
      </c>
      <c r="AB86">
        <v>0</v>
      </c>
      <c r="AC86">
        <v>0</v>
      </c>
      <c r="AD86">
        <v>0</v>
      </c>
      <c r="AE86">
        <v>15620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1.2E-2</v>
      </c>
      <c r="AU86" t="s">
        <v>129</v>
      </c>
      <c r="AV86">
        <v>0</v>
      </c>
      <c r="AW86">
        <v>2</v>
      </c>
      <c r="AX86">
        <v>47631864</v>
      </c>
      <c r="AY86">
        <v>1</v>
      </c>
      <c r="AZ86">
        <v>0</v>
      </c>
      <c r="BA86">
        <v>98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Y86*Source!I46</f>
        <v>9.7653600000000007E-2</v>
      </c>
      <c r="CY86">
        <f>AA86</f>
        <v>15620</v>
      </c>
      <c r="CZ86">
        <f>AE86</f>
        <v>15620</v>
      </c>
      <c r="DA86">
        <f>AI86</f>
        <v>1</v>
      </c>
      <c r="DB86">
        <f>ROUND((ROUND(AT86*CZ86,2)*1.1),6)</f>
        <v>206.184</v>
      </c>
      <c r="DC86">
        <f>ROUND((ROUND(AT86*AG86,2)*1.1),6)</f>
        <v>0</v>
      </c>
    </row>
    <row r="87" spans="1:107" x14ac:dyDescent="0.2">
      <c r="A87">
        <f>ROW(Source!A46)</f>
        <v>46</v>
      </c>
      <c r="B87">
        <v>47631607</v>
      </c>
      <c r="C87">
        <v>47631849</v>
      </c>
      <c r="D87">
        <v>36839083</v>
      </c>
      <c r="E87">
        <v>1</v>
      </c>
      <c r="F87">
        <v>1</v>
      </c>
      <c r="G87">
        <v>1</v>
      </c>
      <c r="H87">
        <v>3</v>
      </c>
      <c r="I87" t="s">
        <v>635</v>
      </c>
      <c r="J87" t="s">
        <v>636</v>
      </c>
      <c r="K87" t="s">
        <v>637</v>
      </c>
      <c r="L87">
        <v>1348</v>
      </c>
      <c r="N87">
        <v>1009</v>
      </c>
      <c r="O87" t="s">
        <v>32</v>
      </c>
      <c r="P87" t="s">
        <v>32</v>
      </c>
      <c r="Q87">
        <v>1000</v>
      </c>
      <c r="W87">
        <v>0</v>
      </c>
      <c r="X87">
        <v>1262170789</v>
      </c>
      <c r="Y87">
        <v>2.2000000000000001E-3</v>
      </c>
      <c r="AA87">
        <v>7640</v>
      </c>
      <c r="AB87">
        <v>0</v>
      </c>
      <c r="AC87">
        <v>0</v>
      </c>
      <c r="AD87">
        <v>0</v>
      </c>
      <c r="AE87">
        <v>7640</v>
      </c>
      <c r="AF87">
        <v>0</v>
      </c>
      <c r="AG87">
        <v>0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2E-3</v>
      </c>
      <c r="AU87" t="s">
        <v>129</v>
      </c>
      <c r="AV87">
        <v>0</v>
      </c>
      <c r="AW87">
        <v>2</v>
      </c>
      <c r="AX87">
        <v>47631865</v>
      </c>
      <c r="AY87">
        <v>1</v>
      </c>
      <c r="AZ87">
        <v>0</v>
      </c>
      <c r="BA87">
        <v>99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Y87*Source!I46</f>
        <v>1.6275600000000001E-2</v>
      </c>
      <c r="CY87">
        <f>AA87</f>
        <v>7640</v>
      </c>
      <c r="CZ87">
        <f>AE87</f>
        <v>7640</v>
      </c>
      <c r="DA87">
        <f>AI87</f>
        <v>1</v>
      </c>
      <c r="DB87">
        <f>ROUND((ROUND(AT87*CZ87,2)*1.1),6)</f>
        <v>16.808</v>
      </c>
      <c r="DC87">
        <f>ROUND((ROUND(AT87*AG87,2)*1.1),6)</f>
        <v>0</v>
      </c>
    </row>
    <row r="88" spans="1:107" x14ac:dyDescent="0.2">
      <c r="A88">
        <f>ROW(Source!A47)</f>
        <v>47</v>
      </c>
      <c r="B88">
        <v>47631607</v>
      </c>
      <c r="C88">
        <v>47631866</v>
      </c>
      <c r="D88">
        <v>37064928</v>
      </c>
      <c r="E88">
        <v>1</v>
      </c>
      <c r="F88">
        <v>1</v>
      </c>
      <c r="G88">
        <v>1</v>
      </c>
      <c r="H88">
        <v>1</v>
      </c>
      <c r="I88" t="s">
        <v>638</v>
      </c>
      <c r="J88" t="s">
        <v>3</v>
      </c>
      <c r="K88" t="s">
        <v>639</v>
      </c>
      <c r="L88">
        <v>1191</v>
      </c>
      <c r="N88">
        <v>1013</v>
      </c>
      <c r="O88" t="s">
        <v>487</v>
      </c>
      <c r="P88" t="s">
        <v>487</v>
      </c>
      <c r="Q88">
        <v>1</v>
      </c>
      <c r="W88">
        <v>0</v>
      </c>
      <c r="X88">
        <v>145020957</v>
      </c>
      <c r="Y88">
        <v>11.143384999999999</v>
      </c>
      <c r="AA88">
        <v>0</v>
      </c>
      <c r="AB88">
        <v>0</v>
      </c>
      <c r="AC88">
        <v>0</v>
      </c>
      <c r="AD88">
        <v>9.07</v>
      </c>
      <c r="AE88">
        <v>0</v>
      </c>
      <c r="AF88">
        <v>0</v>
      </c>
      <c r="AG88">
        <v>0</v>
      </c>
      <c r="AH88">
        <v>9.07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3.83</v>
      </c>
      <c r="AU88" t="s">
        <v>141</v>
      </c>
      <c r="AV88">
        <v>1</v>
      </c>
      <c r="AW88">
        <v>2</v>
      </c>
      <c r="AX88">
        <v>47631876</v>
      </c>
      <c r="AY88">
        <v>1</v>
      </c>
      <c r="AZ88">
        <v>0</v>
      </c>
      <c r="BA88">
        <v>100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Y88*Source!I47</f>
        <v>82.43876222999998</v>
      </c>
      <c r="CY88">
        <f>AD88</f>
        <v>9.07</v>
      </c>
      <c r="CZ88">
        <f>AH88</f>
        <v>9.07</v>
      </c>
      <c r="DA88">
        <f>AL88</f>
        <v>1</v>
      </c>
      <c r="DB88">
        <f>ROUND(((((ROUND(AT88*CZ88,2)*1.1)*2)*1.15)*1.15),6)</f>
        <v>101.07603</v>
      </c>
      <c r="DC88">
        <f>ROUND(((((ROUND(AT88*AG88,2)*1.1)*2)*1.15)*1.15),6)</f>
        <v>0</v>
      </c>
    </row>
    <row r="89" spans="1:107" x14ac:dyDescent="0.2">
      <c r="A89">
        <f>ROW(Source!A47)</f>
        <v>47</v>
      </c>
      <c r="B89">
        <v>47631607</v>
      </c>
      <c r="C89">
        <v>47631866</v>
      </c>
      <c r="D89">
        <v>37064876</v>
      </c>
      <c r="E89">
        <v>1</v>
      </c>
      <c r="F89">
        <v>1</v>
      </c>
      <c r="G89">
        <v>1</v>
      </c>
      <c r="H89">
        <v>1</v>
      </c>
      <c r="I89" t="s">
        <v>500</v>
      </c>
      <c r="J89" t="s">
        <v>3</v>
      </c>
      <c r="K89" t="s">
        <v>501</v>
      </c>
      <c r="L89">
        <v>1191</v>
      </c>
      <c r="N89">
        <v>1013</v>
      </c>
      <c r="O89" t="s">
        <v>487</v>
      </c>
      <c r="P89" t="s">
        <v>487</v>
      </c>
      <c r="Q89">
        <v>1</v>
      </c>
      <c r="W89">
        <v>0</v>
      </c>
      <c r="X89">
        <v>-1417349443</v>
      </c>
      <c r="Y89">
        <v>0.02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0.02</v>
      </c>
      <c r="AU89" t="s">
        <v>3</v>
      </c>
      <c r="AV89">
        <v>2</v>
      </c>
      <c r="AW89">
        <v>2</v>
      </c>
      <c r="AX89">
        <v>47631877</v>
      </c>
      <c r="AY89">
        <v>1</v>
      </c>
      <c r="AZ89">
        <v>2048</v>
      </c>
      <c r="BA89">
        <v>101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Y89*Source!I47</f>
        <v>0.14796000000000001</v>
      </c>
      <c r="CY89">
        <f>AD89</f>
        <v>0</v>
      </c>
      <c r="CZ89">
        <f>AH89</f>
        <v>0</v>
      </c>
      <c r="DA89">
        <f>AL89</f>
        <v>1</v>
      </c>
      <c r="DB89">
        <f>ROUND(ROUND(AT89*CZ89,2),6)</f>
        <v>0</v>
      </c>
      <c r="DC89">
        <f>ROUND(ROUND(AT89*AG89,2),6)</f>
        <v>0</v>
      </c>
    </row>
    <row r="90" spans="1:107" x14ac:dyDescent="0.2">
      <c r="A90">
        <f>ROW(Source!A47)</f>
        <v>47</v>
      </c>
      <c r="B90">
        <v>47631607</v>
      </c>
      <c r="C90">
        <v>47631866</v>
      </c>
      <c r="D90">
        <v>36882356</v>
      </c>
      <c r="E90">
        <v>1</v>
      </c>
      <c r="F90">
        <v>1</v>
      </c>
      <c r="G90">
        <v>1</v>
      </c>
      <c r="H90">
        <v>2</v>
      </c>
      <c r="I90" t="s">
        <v>626</v>
      </c>
      <c r="J90" t="s">
        <v>627</v>
      </c>
      <c r="K90" t="s">
        <v>628</v>
      </c>
      <c r="L90">
        <v>1368</v>
      </c>
      <c r="N90">
        <v>1011</v>
      </c>
      <c r="O90" t="s">
        <v>505</v>
      </c>
      <c r="P90" t="s">
        <v>505</v>
      </c>
      <c r="Q90">
        <v>1</v>
      </c>
      <c r="W90">
        <v>0</v>
      </c>
      <c r="X90">
        <v>1047452784</v>
      </c>
      <c r="Y90">
        <v>3.1625E-2</v>
      </c>
      <c r="AA90">
        <v>0</v>
      </c>
      <c r="AB90">
        <v>1.7</v>
      </c>
      <c r="AC90">
        <v>0</v>
      </c>
      <c r="AD90">
        <v>0</v>
      </c>
      <c r="AE90">
        <v>0</v>
      </c>
      <c r="AF90">
        <v>1.7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0.01</v>
      </c>
      <c r="AU90" t="s">
        <v>140</v>
      </c>
      <c r="AV90">
        <v>0</v>
      </c>
      <c r="AW90">
        <v>2</v>
      </c>
      <c r="AX90">
        <v>47631878</v>
      </c>
      <c r="AY90">
        <v>1</v>
      </c>
      <c r="AZ90">
        <v>0</v>
      </c>
      <c r="BA90">
        <v>102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Y90*Source!I47</f>
        <v>0.23396175</v>
      </c>
      <c r="CY90">
        <f>AB90</f>
        <v>1.7</v>
      </c>
      <c r="CZ90">
        <f>AF90</f>
        <v>1.7</v>
      </c>
      <c r="DA90">
        <f>AJ90</f>
        <v>1</v>
      </c>
      <c r="DB90">
        <f>ROUND((((ROUND(AT90*CZ90,2)*1.1*2)*1.25)*1.15),6)</f>
        <v>6.3250000000000001E-2</v>
      </c>
      <c r="DC90">
        <f>ROUND((((ROUND(AT90*AG90,2)*1.1*2)*1.25)*1.15),6)</f>
        <v>0</v>
      </c>
    </row>
    <row r="91" spans="1:107" x14ac:dyDescent="0.2">
      <c r="A91">
        <f>ROW(Source!A47)</f>
        <v>47</v>
      </c>
      <c r="B91">
        <v>47631607</v>
      </c>
      <c r="C91">
        <v>47631866</v>
      </c>
      <c r="D91">
        <v>36882383</v>
      </c>
      <c r="E91">
        <v>1</v>
      </c>
      <c r="F91">
        <v>1</v>
      </c>
      <c r="G91">
        <v>1</v>
      </c>
      <c r="H91">
        <v>2</v>
      </c>
      <c r="I91" t="s">
        <v>629</v>
      </c>
      <c r="J91" t="s">
        <v>630</v>
      </c>
      <c r="K91" t="s">
        <v>631</v>
      </c>
      <c r="L91">
        <v>1368</v>
      </c>
      <c r="N91">
        <v>1011</v>
      </c>
      <c r="O91" t="s">
        <v>505</v>
      </c>
      <c r="P91" t="s">
        <v>505</v>
      </c>
      <c r="Q91">
        <v>1</v>
      </c>
      <c r="W91">
        <v>0</v>
      </c>
      <c r="X91">
        <v>1225731627</v>
      </c>
      <c r="Y91">
        <v>3.1625E-2</v>
      </c>
      <c r="AA91">
        <v>0</v>
      </c>
      <c r="AB91">
        <v>89.99</v>
      </c>
      <c r="AC91">
        <v>10.06</v>
      </c>
      <c r="AD91">
        <v>0</v>
      </c>
      <c r="AE91">
        <v>0</v>
      </c>
      <c r="AF91">
        <v>89.99</v>
      </c>
      <c r="AG91">
        <v>10.06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0.01</v>
      </c>
      <c r="AU91" t="s">
        <v>140</v>
      </c>
      <c r="AV91">
        <v>0</v>
      </c>
      <c r="AW91">
        <v>2</v>
      </c>
      <c r="AX91">
        <v>47631879</v>
      </c>
      <c r="AY91">
        <v>1</v>
      </c>
      <c r="AZ91">
        <v>0</v>
      </c>
      <c r="BA91">
        <v>103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Y91*Source!I47</f>
        <v>0.23396175</v>
      </c>
      <c r="CY91">
        <f>AB91</f>
        <v>89.99</v>
      </c>
      <c r="CZ91">
        <f>AF91</f>
        <v>89.99</v>
      </c>
      <c r="DA91">
        <f>AJ91</f>
        <v>1</v>
      </c>
      <c r="DB91">
        <f>ROUND((((ROUND(AT91*CZ91,2)*1.1*2)*1.25)*1.15),6)</f>
        <v>2.8462499999999999</v>
      </c>
      <c r="DC91">
        <f>ROUND((((ROUND(AT91*AG91,2)*1.1*2)*1.25)*1.15),6)</f>
        <v>0.31624999999999998</v>
      </c>
    </row>
    <row r="92" spans="1:107" x14ac:dyDescent="0.2">
      <c r="A92">
        <f>ROW(Source!A47)</f>
        <v>47</v>
      </c>
      <c r="B92">
        <v>47631607</v>
      </c>
      <c r="C92">
        <v>47631866</v>
      </c>
      <c r="D92">
        <v>36883554</v>
      </c>
      <c r="E92">
        <v>1</v>
      </c>
      <c r="F92">
        <v>1</v>
      </c>
      <c r="G92">
        <v>1</v>
      </c>
      <c r="H92">
        <v>2</v>
      </c>
      <c r="I92" t="s">
        <v>509</v>
      </c>
      <c r="J92" t="s">
        <v>510</v>
      </c>
      <c r="K92" t="s">
        <v>511</v>
      </c>
      <c r="L92">
        <v>1368</v>
      </c>
      <c r="N92">
        <v>1011</v>
      </c>
      <c r="O92" t="s">
        <v>505</v>
      </c>
      <c r="P92" t="s">
        <v>505</v>
      </c>
      <c r="Q92">
        <v>1</v>
      </c>
      <c r="W92">
        <v>0</v>
      </c>
      <c r="X92">
        <v>1372534845</v>
      </c>
      <c r="Y92">
        <v>3.1625E-2</v>
      </c>
      <c r="AA92">
        <v>0</v>
      </c>
      <c r="AB92">
        <v>65.709999999999994</v>
      </c>
      <c r="AC92">
        <v>11.6</v>
      </c>
      <c r="AD92">
        <v>0</v>
      </c>
      <c r="AE92">
        <v>0</v>
      </c>
      <c r="AF92">
        <v>65.709999999999994</v>
      </c>
      <c r="AG92">
        <v>11.6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0.01</v>
      </c>
      <c r="AU92" t="s">
        <v>140</v>
      </c>
      <c r="AV92">
        <v>0</v>
      </c>
      <c r="AW92">
        <v>2</v>
      </c>
      <c r="AX92">
        <v>47631880</v>
      </c>
      <c r="AY92">
        <v>1</v>
      </c>
      <c r="AZ92">
        <v>0</v>
      </c>
      <c r="BA92">
        <v>104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Y92*Source!I47</f>
        <v>0.23396175</v>
      </c>
      <c r="CY92">
        <f>AB92</f>
        <v>65.709999999999994</v>
      </c>
      <c r="CZ92">
        <f>AF92</f>
        <v>65.709999999999994</v>
      </c>
      <c r="DA92">
        <f>AJ92</f>
        <v>1</v>
      </c>
      <c r="DB92">
        <f>ROUND((((ROUND(AT92*CZ92,2)*1.1*2)*1.25)*1.15),6)</f>
        <v>2.08725</v>
      </c>
      <c r="DC92">
        <f>ROUND((((ROUND(AT92*AG92,2)*1.1*2)*1.25)*1.15),6)</f>
        <v>0.3795</v>
      </c>
    </row>
    <row r="93" spans="1:107" x14ac:dyDescent="0.2">
      <c r="A93">
        <f>ROW(Source!A47)</f>
        <v>47</v>
      </c>
      <c r="B93">
        <v>47631607</v>
      </c>
      <c r="C93">
        <v>47631866</v>
      </c>
      <c r="D93">
        <v>36884416</v>
      </c>
      <c r="E93">
        <v>1</v>
      </c>
      <c r="F93">
        <v>1</v>
      </c>
      <c r="G93">
        <v>1</v>
      </c>
      <c r="H93">
        <v>2</v>
      </c>
      <c r="I93" t="s">
        <v>632</v>
      </c>
      <c r="J93" t="s">
        <v>633</v>
      </c>
      <c r="K93" t="s">
        <v>634</v>
      </c>
      <c r="L93">
        <v>1368</v>
      </c>
      <c r="N93">
        <v>1011</v>
      </c>
      <c r="O93" t="s">
        <v>505</v>
      </c>
      <c r="P93" t="s">
        <v>505</v>
      </c>
      <c r="Q93">
        <v>1</v>
      </c>
      <c r="W93">
        <v>0</v>
      </c>
      <c r="X93">
        <v>271748449</v>
      </c>
      <c r="Y93">
        <v>2.055625</v>
      </c>
      <c r="AA93">
        <v>0</v>
      </c>
      <c r="AB93">
        <v>6.82</v>
      </c>
      <c r="AC93">
        <v>0</v>
      </c>
      <c r="AD93">
        <v>0</v>
      </c>
      <c r="AE93">
        <v>0</v>
      </c>
      <c r="AF93">
        <v>6.82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0.65</v>
      </c>
      <c r="AU93" t="s">
        <v>140</v>
      </c>
      <c r="AV93">
        <v>0</v>
      </c>
      <c r="AW93">
        <v>2</v>
      </c>
      <c r="AX93">
        <v>47631881</v>
      </c>
      <c r="AY93">
        <v>1</v>
      </c>
      <c r="AZ93">
        <v>0</v>
      </c>
      <c r="BA93">
        <v>105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Y93*Source!I47</f>
        <v>15.20751375</v>
      </c>
      <c r="CY93">
        <f>AB93</f>
        <v>6.82</v>
      </c>
      <c r="CZ93">
        <f>AF93</f>
        <v>6.82</v>
      </c>
      <c r="DA93">
        <f>AJ93</f>
        <v>1</v>
      </c>
      <c r="DB93">
        <f>ROUND((((ROUND(AT93*CZ93,2)*1.1*2)*1.25)*1.15),6)</f>
        <v>14.009874999999999</v>
      </c>
      <c r="DC93">
        <f>ROUND((((ROUND(AT93*AG93,2)*1.1*2)*1.25)*1.15),6)</f>
        <v>0</v>
      </c>
    </row>
    <row r="94" spans="1:107" x14ac:dyDescent="0.2">
      <c r="A94">
        <f>ROW(Source!A47)</f>
        <v>47</v>
      </c>
      <c r="B94">
        <v>47631607</v>
      </c>
      <c r="C94">
        <v>47631866</v>
      </c>
      <c r="D94">
        <v>36838546</v>
      </c>
      <c r="E94">
        <v>1</v>
      </c>
      <c r="F94">
        <v>1</v>
      </c>
      <c r="G94">
        <v>1</v>
      </c>
      <c r="H94">
        <v>3</v>
      </c>
      <c r="I94" t="s">
        <v>148</v>
      </c>
      <c r="J94" t="s">
        <v>150</v>
      </c>
      <c r="K94" t="s">
        <v>149</v>
      </c>
      <c r="L94">
        <v>1348</v>
      </c>
      <c r="N94">
        <v>1009</v>
      </c>
      <c r="O94" t="s">
        <v>32</v>
      </c>
      <c r="P94" t="s">
        <v>32</v>
      </c>
      <c r="Q94">
        <v>1000</v>
      </c>
      <c r="W94">
        <v>1</v>
      </c>
      <c r="X94">
        <v>314961973</v>
      </c>
      <c r="Y94">
        <v>-4.1800000000000004E-2</v>
      </c>
      <c r="AA94">
        <v>14312.87</v>
      </c>
      <c r="AB94">
        <v>0</v>
      </c>
      <c r="AC94">
        <v>0</v>
      </c>
      <c r="AD94">
        <v>0</v>
      </c>
      <c r="AE94">
        <v>14312.87</v>
      </c>
      <c r="AF94">
        <v>0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-1.9E-2</v>
      </c>
      <c r="AU94" t="s">
        <v>139</v>
      </c>
      <c r="AV94">
        <v>0</v>
      </c>
      <c r="AW94">
        <v>2</v>
      </c>
      <c r="AX94">
        <v>47631882</v>
      </c>
      <c r="AY94">
        <v>1</v>
      </c>
      <c r="AZ94">
        <v>6144</v>
      </c>
      <c r="BA94">
        <v>106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Y94*Source!I47</f>
        <v>-0.30923640000000002</v>
      </c>
      <c r="CY94">
        <f>AA94</f>
        <v>14312.87</v>
      </c>
      <c r="CZ94">
        <f>AE94</f>
        <v>14312.87</v>
      </c>
      <c r="DA94">
        <f>AI94</f>
        <v>1</v>
      </c>
      <c r="DB94">
        <f>ROUND((ROUND(AT94*CZ94,2)*1.1*2),6)</f>
        <v>-598.26800000000003</v>
      </c>
      <c r="DC94">
        <f>ROUND((ROUND(AT94*AG94,2)*1.1*2),6)</f>
        <v>0</v>
      </c>
    </row>
    <row r="95" spans="1:107" x14ac:dyDescent="0.2">
      <c r="A95">
        <f>ROW(Source!A47)</f>
        <v>47</v>
      </c>
      <c r="B95">
        <v>47631607</v>
      </c>
      <c r="C95">
        <v>47631866</v>
      </c>
      <c r="D95">
        <v>36838551</v>
      </c>
      <c r="E95">
        <v>1</v>
      </c>
      <c r="F95">
        <v>1</v>
      </c>
      <c r="G95">
        <v>1</v>
      </c>
      <c r="H95">
        <v>3</v>
      </c>
      <c r="I95" t="s">
        <v>143</v>
      </c>
      <c r="J95" t="s">
        <v>145</v>
      </c>
      <c r="K95" t="s">
        <v>144</v>
      </c>
      <c r="L95">
        <v>1348</v>
      </c>
      <c r="N95">
        <v>1009</v>
      </c>
      <c r="O95" t="s">
        <v>32</v>
      </c>
      <c r="P95" t="s">
        <v>32</v>
      </c>
      <c r="Q95">
        <v>1000</v>
      </c>
      <c r="W95">
        <v>0</v>
      </c>
      <c r="X95">
        <v>-1644319245</v>
      </c>
      <c r="Y95">
        <v>4.1800000000000004E-2</v>
      </c>
      <c r="AA95">
        <v>16303</v>
      </c>
      <c r="AB95">
        <v>0</v>
      </c>
      <c r="AC95">
        <v>0</v>
      </c>
      <c r="AD95">
        <v>0</v>
      </c>
      <c r="AE95">
        <v>16303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0</v>
      </c>
      <c r="AP95">
        <v>1</v>
      </c>
      <c r="AQ95">
        <v>0</v>
      </c>
      <c r="AR95">
        <v>0</v>
      </c>
      <c r="AS95" t="s">
        <v>3</v>
      </c>
      <c r="AT95">
        <v>1.9E-2</v>
      </c>
      <c r="AU95" t="s">
        <v>139</v>
      </c>
      <c r="AV95">
        <v>0</v>
      </c>
      <c r="AW95">
        <v>1</v>
      </c>
      <c r="AX95">
        <v>-1</v>
      </c>
      <c r="AY95">
        <v>0</v>
      </c>
      <c r="AZ95">
        <v>0</v>
      </c>
      <c r="BA95" t="s">
        <v>3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Y95*Source!I47</f>
        <v>0.30923640000000002</v>
      </c>
      <c r="CY95">
        <f>AA95</f>
        <v>16303</v>
      </c>
      <c r="CZ95">
        <f>AE95</f>
        <v>16303</v>
      </c>
      <c r="DA95">
        <f>AI95</f>
        <v>1</v>
      </c>
      <c r="DB95">
        <f>ROUND((ROUND(AT95*CZ95,2)*1.1*2),6)</f>
        <v>681.47199999999998</v>
      </c>
      <c r="DC95">
        <f>ROUND((ROUND(AT95*AG95,2)*1.1*2),6)</f>
        <v>0</v>
      </c>
    </row>
    <row r="96" spans="1:107" x14ac:dyDescent="0.2">
      <c r="A96">
        <f>ROW(Source!A47)</f>
        <v>47</v>
      </c>
      <c r="B96">
        <v>47631607</v>
      </c>
      <c r="C96">
        <v>47631866</v>
      </c>
      <c r="D96">
        <v>36839186</v>
      </c>
      <c r="E96">
        <v>1</v>
      </c>
      <c r="F96">
        <v>1</v>
      </c>
      <c r="G96">
        <v>1</v>
      </c>
      <c r="H96">
        <v>3</v>
      </c>
      <c r="I96" t="s">
        <v>640</v>
      </c>
      <c r="J96" t="s">
        <v>641</v>
      </c>
      <c r="K96" t="s">
        <v>642</v>
      </c>
      <c r="L96">
        <v>1348</v>
      </c>
      <c r="N96">
        <v>1009</v>
      </c>
      <c r="O96" t="s">
        <v>32</v>
      </c>
      <c r="P96" t="s">
        <v>32</v>
      </c>
      <c r="Q96">
        <v>1000</v>
      </c>
      <c r="W96">
        <v>0</v>
      </c>
      <c r="X96">
        <v>-2124557522</v>
      </c>
      <c r="Y96">
        <v>3.0800000000000003E-3</v>
      </c>
      <c r="AA96">
        <v>6667</v>
      </c>
      <c r="AB96">
        <v>0</v>
      </c>
      <c r="AC96">
        <v>0</v>
      </c>
      <c r="AD96">
        <v>0</v>
      </c>
      <c r="AE96">
        <v>6667</v>
      </c>
      <c r="AF96">
        <v>0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1.4E-3</v>
      </c>
      <c r="AU96" t="s">
        <v>139</v>
      </c>
      <c r="AV96">
        <v>0</v>
      </c>
      <c r="AW96">
        <v>2</v>
      </c>
      <c r="AX96">
        <v>47631883</v>
      </c>
      <c r="AY96">
        <v>1</v>
      </c>
      <c r="AZ96">
        <v>0</v>
      </c>
      <c r="BA96">
        <v>107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Y96*Source!I47</f>
        <v>2.2785840000000002E-2</v>
      </c>
      <c r="CY96">
        <f>AA96</f>
        <v>6667</v>
      </c>
      <c r="CZ96">
        <f>AE96</f>
        <v>6667</v>
      </c>
      <c r="DA96">
        <f>AI96</f>
        <v>1</v>
      </c>
      <c r="DB96">
        <f>ROUND((ROUND(AT96*CZ96,2)*1.1*2),6)</f>
        <v>20.526</v>
      </c>
      <c r="DC96">
        <f>ROUND((ROUND(AT96*AG96,2)*1.1*2),6)</f>
        <v>0</v>
      </c>
    </row>
    <row r="97" spans="1:107" x14ac:dyDescent="0.2">
      <c r="A97">
        <f>ROW(Source!A50)</f>
        <v>50</v>
      </c>
      <c r="B97">
        <v>47631607</v>
      </c>
      <c r="C97">
        <v>47631886</v>
      </c>
      <c r="D97">
        <v>37064998</v>
      </c>
      <c r="E97">
        <v>1</v>
      </c>
      <c r="F97">
        <v>1</v>
      </c>
      <c r="G97">
        <v>1</v>
      </c>
      <c r="H97">
        <v>1</v>
      </c>
      <c r="I97" t="s">
        <v>496</v>
      </c>
      <c r="J97" t="s">
        <v>3</v>
      </c>
      <c r="K97" t="s">
        <v>497</v>
      </c>
      <c r="L97">
        <v>1191</v>
      </c>
      <c r="N97">
        <v>1013</v>
      </c>
      <c r="O97" t="s">
        <v>487</v>
      </c>
      <c r="P97" t="s">
        <v>487</v>
      </c>
      <c r="Q97">
        <v>1</v>
      </c>
      <c r="W97">
        <v>0</v>
      </c>
      <c r="X97">
        <v>735429535</v>
      </c>
      <c r="Y97">
        <v>327.97999999999996</v>
      </c>
      <c r="AA97">
        <v>0</v>
      </c>
      <c r="AB97">
        <v>0</v>
      </c>
      <c r="AC97">
        <v>0</v>
      </c>
      <c r="AD97">
        <v>7.8</v>
      </c>
      <c r="AE97">
        <v>0</v>
      </c>
      <c r="AF97">
        <v>0</v>
      </c>
      <c r="AG97">
        <v>0</v>
      </c>
      <c r="AH97">
        <v>7.8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248</v>
      </c>
      <c r="AU97" t="s">
        <v>53</v>
      </c>
      <c r="AV97">
        <v>1</v>
      </c>
      <c r="AW97">
        <v>2</v>
      </c>
      <c r="AX97">
        <v>47631888</v>
      </c>
      <c r="AY97">
        <v>1</v>
      </c>
      <c r="AZ97">
        <v>0</v>
      </c>
      <c r="BA97">
        <v>108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Y97*Source!I50</f>
        <v>33.234213399999994</v>
      </c>
      <c r="CY97">
        <f>AD97</f>
        <v>7.8</v>
      </c>
      <c r="CZ97">
        <f>AH97</f>
        <v>7.8</v>
      </c>
      <c r="DA97">
        <f>AL97</f>
        <v>1</v>
      </c>
      <c r="DB97">
        <f>ROUND(((ROUND(AT97*CZ97,2)*1.15)*1.15),6)</f>
        <v>2558.2440000000001</v>
      </c>
      <c r="DC97">
        <f>ROUND(((ROUND(AT97*AG97,2)*1.15)*1.15),6)</f>
        <v>0</v>
      </c>
    </row>
    <row r="98" spans="1:107" x14ac:dyDescent="0.2">
      <c r="A98">
        <f>ROW(Source!A51)</f>
        <v>51</v>
      </c>
      <c r="B98">
        <v>47631607</v>
      </c>
      <c r="C98">
        <v>47631889</v>
      </c>
      <c r="D98">
        <v>37064998</v>
      </c>
      <c r="E98">
        <v>1</v>
      </c>
      <c r="F98">
        <v>1</v>
      </c>
      <c r="G98">
        <v>1</v>
      </c>
      <c r="H98">
        <v>1</v>
      </c>
      <c r="I98" t="s">
        <v>496</v>
      </c>
      <c r="J98" t="s">
        <v>3</v>
      </c>
      <c r="K98" t="s">
        <v>497</v>
      </c>
      <c r="L98">
        <v>1191</v>
      </c>
      <c r="N98">
        <v>1013</v>
      </c>
      <c r="O98" t="s">
        <v>487</v>
      </c>
      <c r="P98" t="s">
        <v>487</v>
      </c>
      <c r="Q98">
        <v>1</v>
      </c>
      <c r="W98">
        <v>0</v>
      </c>
      <c r="X98">
        <v>735429535</v>
      </c>
      <c r="Y98">
        <v>238.04999999999995</v>
      </c>
      <c r="AA98">
        <v>0</v>
      </c>
      <c r="AB98">
        <v>0</v>
      </c>
      <c r="AC98">
        <v>0</v>
      </c>
      <c r="AD98">
        <v>7.8</v>
      </c>
      <c r="AE98">
        <v>0</v>
      </c>
      <c r="AF98">
        <v>0</v>
      </c>
      <c r="AG98">
        <v>0</v>
      </c>
      <c r="AH98">
        <v>7.8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180</v>
      </c>
      <c r="AU98" t="s">
        <v>53</v>
      </c>
      <c r="AV98">
        <v>1</v>
      </c>
      <c r="AW98">
        <v>2</v>
      </c>
      <c r="AX98">
        <v>47631897</v>
      </c>
      <c r="AY98">
        <v>1</v>
      </c>
      <c r="AZ98">
        <v>0</v>
      </c>
      <c r="BA98">
        <v>109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Y98*Source!I51</f>
        <v>23.835946499999995</v>
      </c>
      <c r="CY98">
        <f>AD98</f>
        <v>7.8</v>
      </c>
      <c r="CZ98">
        <f>AH98</f>
        <v>7.8</v>
      </c>
      <c r="DA98">
        <f>AL98</f>
        <v>1</v>
      </c>
      <c r="DB98">
        <f>ROUND(((ROUND(AT98*CZ98,2)*1.15)*1.15),6)</f>
        <v>1856.79</v>
      </c>
      <c r="DC98">
        <f>ROUND(((ROUND(AT98*AG98,2)*1.15)*1.15),6)</f>
        <v>0</v>
      </c>
    </row>
    <row r="99" spans="1:107" x14ac:dyDescent="0.2">
      <c r="A99">
        <f>ROW(Source!A51)</f>
        <v>51</v>
      </c>
      <c r="B99">
        <v>47631607</v>
      </c>
      <c r="C99">
        <v>47631889</v>
      </c>
      <c r="D99">
        <v>37064876</v>
      </c>
      <c r="E99">
        <v>1</v>
      </c>
      <c r="F99">
        <v>1</v>
      </c>
      <c r="G99">
        <v>1</v>
      </c>
      <c r="H99">
        <v>1</v>
      </c>
      <c r="I99" t="s">
        <v>500</v>
      </c>
      <c r="J99" t="s">
        <v>3</v>
      </c>
      <c r="K99" t="s">
        <v>501</v>
      </c>
      <c r="L99">
        <v>1191</v>
      </c>
      <c r="N99">
        <v>1013</v>
      </c>
      <c r="O99" t="s">
        <v>487</v>
      </c>
      <c r="P99" t="s">
        <v>487</v>
      </c>
      <c r="Q99">
        <v>1</v>
      </c>
      <c r="W99">
        <v>0</v>
      </c>
      <c r="X99">
        <v>-1417349443</v>
      </c>
      <c r="Y99">
        <v>18.13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18.13</v>
      </c>
      <c r="AU99" t="s">
        <v>3</v>
      </c>
      <c r="AV99">
        <v>2</v>
      </c>
      <c r="AW99">
        <v>2</v>
      </c>
      <c r="AX99">
        <v>47631898</v>
      </c>
      <c r="AY99">
        <v>1</v>
      </c>
      <c r="AZ99">
        <v>2048</v>
      </c>
      <c r="BA99">
        <v>110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Y99*Source!I51</f>
        <v>1.8153568999999998</v>
      </c>
      <c r="CY99">
        <f>AD99</f>
        <v>0</v>
      </c>
      <c r="CZ99">
        <f>AH99</f>
        <v>0</v>
      </c>
      <c r="DA99">
        <f>AL99</f>
        <v>1</v>
      </c>
      <c r="DB99">
        <f>ROUND(ROUND(AT99*CZ99,2),6)</f>
        <v>0</v>
      </c>
      <c r="DC99">
        <f>ROUND(ROUND(AT99*AG99,2),6)</f>
        <v>0</v>
      </c>
    </row>
    <row r="100" spans="1:107" x14ac:dyDescent="0.2">
      <c r="A100">
        <f>ROW(Source!A51)</f>
        <v>51</v>
      </c>
      <c r="B100">
        <v>47631607</v>
      </c>
      <c r="C100">
        <v>47631889</v>
      </c>
      <c r="D100">
        <v>36882057</v>
      </c>
      <c r="E100">
        <v>1</v>
      </c>
      <c r="F100">
        <v>1</v>
      </c>
      <c r="G100">
        <v>1</v>
      </c>
      <c r="H100">
        <v>2</v>
      </c>
      <c r="I100" t="s">
        <v>643</v>
      </c>
      <c r="J100" t="s">
        <v>644</v>
      </c>
      <c r="K100" t="s">
        <v>645</v>
      </c>
      <c r="L100">
        <v>1368</v>
      </c>
      <c r="N100">
        <v>1011</v>
      </c>
      <c r="O100" t="s">
        <v>505</v>
      </c>
      <c r="P100" t="s">
        <v>505</v>
      </c>
      <c r="Q100">
        <v>1</v>
      </c>
      <c r="W100">
        <v>0</v>
      </c>
      <c r="X100">
        <v>-1460065968</v>
      </c>
      <c r="Y100">
        <v>25.874999999999996</v>
      </c>
      <c r="AA100">
        <v>0</v>
      </c>
      <c r="AB100">
        <v>86.4</v>
      </c>
      <c r="AC100">
        <v>13.5</v>
      </c>
      <c r="AD100">
        <v>0</v>
      </c>
      <c r="AE100">
        <v>0</v>
      </c>
      <c r="AF100">
        <v>86.4</v>
      </c>
      <c r="AG100">
        <v>13.5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</v>
      </c>
      <c r="AT100">
        <v>18</v>
      </c>
      <c r="AU100" t="s">
        <v>52</v>
      </c>
      <c r="AV100">
        <v>0</v>
      </c>
      <c r="AW100">
        <v>2</v>
      </c>
      <c r="AX100">
        <v>47631899</v>
      </c>
      <c r="AY100">
        <v>1</v>
      </c>
      <c r="AZ100">
        <v>0</v>
      </c>
      <c r="BA100">
        <v>111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Y100*Source!I51</f>
        <v>2.5908637499999996</v>
      </c>
      <c r="CY100">
        <f>AB100</f>
        <v>86.4</v>
      </c>
      <c r="CZ100">
        <f>AF100</f>
        <v>86.4</v>
      </c>
      <c r="DA100">
        <f>AJ100</f>
        <v>1</v>
      </c>
      <c r="DB100">
        <f>ROUND(((ROUND(AT100*CZ100,2)*1.25)*1.15),6)</f>
        <v>2235.6</v>
      </c>
      <c r="DC100">
        <f>ROUND(((ROUND(AT100*AG100,2)*1.25)*1.15),6)</f>
        <v>349.3125</v>
      </c>
    </row>
    <row r="101" spans="1:107" x14ac:dyDescent="0.2">
      <c r="A101">
        <f>ROW(Source!A51)</f>
        <v>51</v>
      </c>
      <c r="B101">
        <v>47631607</v>
      </c>
      <c r="C101">
        <v>47631889</v>
      </c>
      <c r="D101">
        <v>36882569</v>
      </c>
      <c r="E101">
        <v>1</v>
      </c>
      <c r="F101">
        <v>1</v>
      </c>
      <c r="G101">
        <v>1</v>
      </c>
      <c r="H101">
        <v>2</v>
      </c>
      <c r="I101" t="s">
        <v>646</v>
      </c>
      <c r="J101" t="s">
        <v>647</v>
      </c>
      <c r="K101" t="s">
        <v>648</v>
      </c>
      <c r="L101">
        <v>1368</v>
      </c>
      <c r="N101">
        <v>1011</v>
      </c>
      <c r="O101" t="s">
        <v>505</v>
      </c>
      <c r="P101" t="s">
        <v>505</v>
      </c>
      <c r="Q101">
        <v>1</v>
      </c>
      <c r="W101">
        <v>0</v>
      </c>
      <c r="X101">
        <v>-1750804799</v>
      </c>
      <c r="Y101">
        <v>69</v>
      </c>
      <c r="AA101">
        <v>0</v>
      </c>
      <c r="AB101">
        <v>0.5</v>
      </c>
      <c r="AC101">
        <v>0</v>
      </c>
      <c r="AD101">
        <v>0</v>
      </c>
      <c r="AE101">
        <v>0</v>
      </c>
      <c r="AF101">
        <v>0.5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</v>
      </c>
      <c r="AT101">
        <v>48</v>
      </c>
      <c r="AU101" t="s">
        <v>52</v>
      </c>
      <c r="AV101">
        <v>0</v>
      </c>
      <c r="AW101">
        <v>2</v>
      </c>
      <c r="AX101">
        <v>47631900</v>
      </c>
      <c r="AY101">
        <v>1</v>
      </c>
      <c r="AZ101">
        <v>0</v>
      </c>
      <c r="BA101">
        <v>112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Y101*Source!I51</f>
        <v>6.9089700000000001</v>
      </c>
      <c r="CY101">
        <f>AB101</f>
        <v>0.5</v>
      </c>
      <c r="CZ101">
        <f>AF101</f>
        <v>0.5</v>
      </c>
      <c r="DA101">
        <f>AJ101</f>
        <v>1</v>
      </c>
      <c r="DB101">
        <f>ROUND(((ROUND(AT101*CZ101,2)*1.25)*1.15),6)</f>
        <v>34.5</v>
      </c>
      <c r="DC101">
        <f>ROUND(((ROUND(AT101*AG101,2)*1.25)*1.15),6)</f>
        <v>0</v>
      </c>
    </row>
    <row r="102" spans="1:107" x14ac:dyDescent="0.2">
      <c r="A102">
        <f>ROW(Source!A51)</f>
        <v>51</v>
      </c>
      <c r="B102">
        <v>47631607</v>
      </c>
      <c r="C102">
        <v>47631889</v>
      </c>
      <c r="D102">
        <v>36883554</v>
      </c>
      <c r="E102">
        <v>1</v>
      </c>
      <c r="F102">
        <v>1</v>
      </c>
      <c r="G102">
        <v>1</v>
      </c>
      <c r="H102">
        <v>2</v>
      </c>
      <c r="I102" t="s">
        <v>509</v>
      </c>
      <c r="J102" t="s">
        <v>510</v>
      </c>
      <c r="K102" t="s">
        <v>511</v>
      </c>
      <c r="L102">
        <v>1368</v>
      </c>
      <c r="N102">
        <v>1011</v>
      </c>
      <c r="O102" t="s">
        <v>505</v>
      </c>
      <c r="P102" t="s">
        <v>505</v>
      </c>
      <c r="Q102">
        <v>1</v>
      </c>
      <c r="W102">
        <v>0</v>
      </c>
      <c r="X102">
        <v>1372534845</v>
      </c>
      <c r="Y102">
        <v>0.18687499999999999</v>
      </c>
      <c r="AA102">
        <v>0</v>
      </c>
      <c r="AB102">
        <v>65.709999999999994</v>
      </c>
      <c r="AC102">
        <v>11.6</v>
      </c>
      <c r="AD102">
        <v>0</v>
      </c>
      <c r="AE102">
        <v>0</v>
      </c>
      <c r="AF102">
        <v>65.709999999999994</v>
      </c>
      <c r="AG102">
        <v>11.6</v>
      </c>
      <c r="AH102">
        <v>0</v>
      </c>
      <c r="AI102">
        <v>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</v>
      </c>
      <c r="AT102">
        <v>0.13</v>
      </c>
      <c r="AU102" t="s">
        <v>52</v>
      </c>
      <c r="AV102">
        <v>0</v>
      </c>
      <c r="AW102">
        <v>2</v>
      </c>
      <c r="AX102">
        <v>47631901</v>
      </c>
      <c r="AY102">
        <v>1</v>
      </c>
      <c r="AZ102">
        <v>0</v>
      </c>
      <c r="BA102">
        <v>113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Y102*Source!I51</f>
        <v>1.8711793749999997E-2</v>
      </c>
      <c r="CY102">
        <f>AB102</f>
        <v>65.709999999999994</v>
      </c>
      <c r="CZ102">
        <f>AF102</f>
        <v>65.709999999999994</v>
      </c>
      <c r="DA102">
        <f>AJ102</f>
        <v>1</v>
      </c>
      <c r="DB102">
        <f>ROUND(((ROUND(AT102*CZ102,2)*1.25)*1.15),6)</f>
        <v>12.276249999999999</v>
      </c>
      <c r="DC102">
        <f>ROUND(((ROUND(AT102*AG102,2)*1.25)*1.15),6)</f>
        <v>2.1706249999999998</v>
      </c>
    </row>
    <row r="103" spans="1:107" x14ac:dyDescent="0.2">
      <c r="A103">
        <f>ROW(Source!A51)</f>
        <v>51</v>
      </c>
      <c r="B103">
        <v>47631607</v>
      </c>
      <c r="C103">
        <v>47631889</v>
      </c>
      <c r="D103">
        <v>36801792</v>
      </c>
      <c r="E103">
        <v>1</v>
      </c>
      <c r="F103">
        <v>1</v>
      </c>
      <c r="G103">
        <v>1</v>
      </c>
      <c r="H103">
        <v>3</v>
      </c>
      <c r="I103" t="s">
        <v>597</v>
      </c>
      <c r="J103" t="s">
        <v>598</v>
      </c>
      <c r="K103" t="s">
        <v>599</v>
      </c>
      <c r="L103">
        <v>1339</v>
      </c>
      <c r="N103">
        <v>1007</v>
      </c>
      <c r="O103" t="s">
        <v>96</v>
      </c>
      <c r="P103" t="s">
        <v>96</v>
      </c>
      <c r="Q103">
        <v>1</v>
      </c>
      <c r="W103">
        <v>0</v>
      </c>
      <c r="X103">
        <v>-1660354250</v>
      </c>
      <c r="Y103">
        <v>0.2</v>
      </c>
      <c r="AA103">
        <v>2.44</v>
      </c>
      <c r="AB103">
        <v>0</v>
      </c>
      <c r="AC103">
        <v>0</v>
      </c>
      <c r="AD103">
        <v>0</v>
      </c>
      <c r="AE103">
        <v>2.44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0.2</v>
      </c>
      <c r="AU103" t="s">
        <v>3</v>
      </c>
      <c r="AV103">
        <v>0</v>
      </c>
      <c r="AW103">
        <v>2</v>
      </c>
      <c r="AX103">
        <v>47631902</v>
      </c>
      <c r="AY103">
        <v>1</v>
      </c>
      <c r="AZ103">
        <v>0</v>
      </c>
      <c r="BA103">
        <v>114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Y103*Source!I51</f>
        <v>2.0026000000000002E-2</v>
      </c>
      <c r="CY103">
        <f>AA103</f>
        <v>2.44</v>
      </c>
      <c r="CZ103">
        <f>AE103</f>
        <v>2.44</v>
      </c>
      <c r="DA103">
        <f>AI103</f>
        <v>1</v>
      </c>
      <c r="DB103">
        <f>ROUND(ROUND(AT103*CZ103,2),6)</f>
        <v>0.49</v>
      </c>
      <c r="DC103">
        <f>ROUND(ROUND(AT103*AG103,2),6)</f>
        <v>0</v>
      </c>
    </row>
    <row r="104" spans="1:107" x14ac:dyDescent="0.2">
      <c r="A104">
        <f>ROW(Source!A51)</f>
        <v>51</v>
      </c>
      <c r="B104">
        <v>47631607</v>
      </c>
      <c r="C104">
        <v>47631889</v>
      </c>
      <c r="D104">
        <v>36802304</v>
      </c>
      <c r="E104">
        <v>1</v>
      </c>
      <c r="F104">
        <v>1</v>
      </c>
      <c r="G104">
        <v>1</v>
      </c>
      <c r="H104">
        <v>3</v>
      </c>
      <c r="I104" t="s">
        <v>649</v>
      </c>
      <c r="J104" t="s">
        <v>650</v>
      </c>
      <c r="K104" t="s">
        <v>651</v>
      </c>
      <c r="L104">
        <v>1327</v>
      </c>
      <c r="N104">
        <v>1005</v>
      </c>
      <c r="O104" t="s">
        <v>603</v>
      </c>
      <c r="P104" t="s">
        <v>603</v>
      </c>
      <c r="Q104">
        <v>1</v>
      </c>
      <c r="W104">
        <v>0</v>
      </c>
      <c r="X104">
        <v>440019653</v>
      </c>
      <c r="Y104">
        <v>250</v>
      </c>
      <c r="AA104">
        <v>3.62</v>
      </c>
      <c r="AB104">
        <v>0</v>
      </c>
      <c r="AC104">
        <v>0</v>
      </c>
      <c r="AD104">
        <v>0</v>
      </c>
      <c r="AE104">
        <v>3.62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250</v>
      </c>
      <c r="AU104" t="s">
        <v>3</v>
      </c>
      <c r="AV104">
        <v>0</v>
      </c>
      <c r="AW104">
        <v>2</v>
      </c>
      <c r="AX104">
        <v>47631903</v>
      </c>
      <c r="AY104">
        <v>1</v>
      </c>
      <c r="AZ104">
        <v>0</v>
      </c>
      <c r="BA104">
        <v>115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Y104*Source!I51</f>
        <v>25.032499999999999</v>
      </c>
      <c r="CY104">
        <f>AA104</f>
        <v>3.62</v>
      </c>
      <c r="CZ104">
        <f>AE104</f>
        <v>3.62</v>
      </c>
      <c r="DA104">
        <f>AI104</f>
        <v>1</v>
      </c>
      <c r="DB104">
        <f>ROUND(ROUND(AT104*CZ104,2),6)</f>
        <v>905</v>
      </c>
      <c r="DC104">
        <f>ROUND(ROUND(AT104*AG104,2),6)</f>
        <v>0</v>
      </c>
    </row>
    <row r="105" spans="1:107" x14ac:dyDescent="0.2">
      <c r="A105">
        <f>ROW(Source!A52)</f>
        <v>52</v>
      </c>
      <c r="B105">
        <v>47631607</v>
      </c>
      <c r="C105">
        <v>47631905</v>
      </c>
      <c r="D105">
        <v>37071503</v>
      </c>
      <c r="E105">
        <v>1</v>
      </c>
      <c r="F105">
        <v>1</v>
      </c>
      <c r="G105">
        <v>1</v>
      </c>
      <c r="H105">
        <v>1</v>
      </c>
      <c r="I105" t="s">
        <v>652</v>
      </c>
      <c r="J105" t="s">
        <v>3</v>
      </c>
      <c r="K105" t="s">
        <v>653</v>
      </c>
      <c r="L105">
        <v>1191</v>
      </c>
      <c r="N105">
        <v>1013</v>
      </c>
      <c r="O105" t="s">
        <v>487</v>
      </c>
      <c r="P105" t="s">
        <v>487</v>
      </c>
      <c r="Q105">
        <v>1</v>
      </c>
      <c r="W105">
        <v>0</v>
      </c>
      <c r="X105">
        <v>-1972610816</v>
      </c>
      <c r="Y105">
        <v>110.336175</v>
      </c>
      <c r="AA105">
        <v>0</v>
      </c>
      <c r="AB105">
        <v>0</v>
      </c>
      <c r="AC105">
        <v>0</v>
      </c>
      <c r="AD105">
        <v>7.5</v>
      </c>
      <c r="AE105">
        <v>0</v>
      </c>
      <c r="AF105">
        <v>0</v>
      </c>
      <c r="AG105">
        <v>0</v>
      </c>
      <c r="AH105">
        <v>7.5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83.43</v>
      </c>
      <c r="AU105" t="s">
        <v>53</v>
      </c>
      <c r="AV105">
        <v>1</v>
      </c>
      <c r="AW105">
        <v>2</v>
      </c>
      <c r="AX105">
        <v>47631907</v>
      </c>
      <c r="AY105">
        <v>1</v>
      </c>
      <c r="AZ105">
        <v>0</v>
      </c>
      <c r="BA105">
        <v>117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Y105*Source!I52</f>
        <v>22.497546082499998</v>
      </c>
      <c r="CY105">
        <f>AD105</f>
        <v>7.5</v>
      </c>
      <c r="CZ105">
        <f>AH105</f>
        <v>7.5</v>
      </c>
      <c r="DA105">
        <f>AL105</f>
        <v>1</v>
      </c>
      <c r="DB105">
        <f>ROUND(((ROUND(AT105*CZ105,2)*1.15)*1.15),6)</f>
        <v>827.52792499999998</v>
      </c>
      <c r="DC105">
        <f>ROUND(((ROUND(AT105*AG105,2)*1.15)*1.15),6)</f>
        <v>0</v>
      </c>
    </row>
    <row r="106" spans="1:107" x14ac:dyDescent="0.2">
      <c r="A106">
        <f>ROW(Source!A102)</f>
        <v>102</v>
      </c>
      <c r="B106">
        <v>47631607</v>
      </c>
      <c r="C106">
        <v>47635803</v>
      </c>
      <c r="D106">
        <v>37066837</v>
      </c>
      <c r="E106">
        <v>1</v>
      </c>
      <c r="F106">
        <v>1</v>
      </c>
      <c r="G106">
        <v>1</v>
      </c>
      <c r="H106">
        <v>1</v>
      </c>
      <c r="I106" t="s">
        <v>654</v>
      </c>
      <c r="J106" t="s">
        <v>3</v>
      </c>
      <c r="K106" t="s">
        <v>655</v>
      </c>
      <c r="L106">
        <v>1191</v>
      </c>
      <c r="N106">
        <v>1013</v>
      </c>
      <c r="O106" t="s">
        <v>487</v>
      </c>
      <c r="P106" t="s">
        <v>487</v>
      </c>
      <c r="Q106">
        <v>1</v>
      </c>
      <c r="W106">
        <v>0</v>
      </c>
      <c r="X106">
        <v>1850719656</v>
      </c>
      <c r="Y106">
        <v>66.423999999999992</v>
      </c>
      <c r="AA106">
        <v>0</v>
      </c>
      <c r="AB106">
        <v>0</v>
      </c>
      <c r="AC106">
        <v>0</v>
      </c>
      <c r="AD106">
        <v>8.31</v>
      </c>
      <c r="AE106">
        <v>0</v>
      </c>
      <c r="AF106">
        <v>0</v>
      </c>
      <c r="AG106">
        <v>0</v>
      </c>
      <c r="AH106">
        <v>8.31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57.76</v>
      </c>
      <c r="AU106" t="s">
        <v>24</v>
      </c>
      <c r="AV106">
        <v>1</v>
      </c>
      <c r="AW106">
        <v>2</v>
      </c>
      <c r="AX106">
        <v>47635804</v>
      </c>
      <c r="AY106">
        <v>1</v>
      </c>
      <c r="AZ106">
        <v>0</v>
      </c>
      <c r="BA106">
        <v>118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Y106*Source!I102</f>
        <v>16.141031999999999</v>
      </c>
      <c r="CY106">
        <f>AD106</f>
        <v>8.31</v>
      </c>
      <c r="CZ106">
        <f>AH106</f>
        <v>8.31</v>
      </c>
      <c r="DA106">
        <f>AL106</f>
        <v>1</v>
      </c>
      <c r="DB106">
        <f>ROUND((ROUND(AT106*CZ106,2)*1.15),6)</f>
        <v>551.98850000000004</v>
      </c>
      <c r="DC106">
        <f>ROUND((ROUND(AT106*AG106,2)*1.15),6)</f>
        <v>0</v>
      </c>
    </row>
    <row r="107" spans="1:107" x14ac:dyDescent="0.2">
      <c r="A107">
        <f>ROW(Source!A102)</f>
        <v>102</v>
      </c>
      <c r="B107">
        <v>47631607</v>
      </c>
      <c r="C107">
        <v>47635803</v>
      </c>
      <c r="D107">
        <v>37064876</v>
      </c>
      <c r="E107">
        <v>1</v>
      </c>
      <c r="F107">
        <v>1</v>
      </c>
      <c r="G107">
        <v>1</v>
      </c>
      <c r="H107">
        <v>1</v>
      </c>
      <c r="I107" t="s">
        <v>500</v>
      </c>
      <c r="J107" t="s">
        <v>3</v>
      </c>
      <c r="K107" t="s">
        <v>501</v>
      </c>
      <c r="L107">
        <v>1191</v>
      </c>
      <c r="N107">
        <v>1013</v>
      </c>
      <c r="O107" t="s">
        <v>487</v>
      </c>
      <c r="P107" t="s">
        <v>487</v>
      </c>
      <c r="Q107">
        <v>1</v>
      </c>
      <c r="W107">
        <v>0</v>
      </c>
      <c r="X107">
        <v>-1417349443</v>
      </c>
      <c r="Y107">
        <v>15.7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15.7</v>
      </c>
      <c r="AU107" t="s">
        <v>3</v>
      </c>
      <c r="AV107">
        <v>2</v>
      </c>
      <c r="AW107">
        <v>2</v>
      </c>
      <c r="AX107">
        <v>47635805</v>
      </c>
      <c r="AY107">
        <v>1</v>
      </c>
      <c r="AZ107">
        <v>2048</v>
      </c>
      <c r="BA107">
        <v>119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Y107*Source!I102</f>
        <v>3.8150999999999997</v>
      </c>
      <c r="CY107">
        <f>AD107</f>
        <v>0</v>
      </c>
      <c r="CZ107">
        <f>AH107</f>
        <v>0</v>
      </c>
      <c r="DA107">
        <f>AL107</f>
        <v>1</v>
      </c>
      <c r="DB107">
        <f>ROUND(ROUND(AT107*CZ107,2),6)</f>
        <v>0</v>
      </c>
      <c r="DC107">
        <f>ROUND(ROUND(AT107*AG107,2),6)</f>
        <v>0</v>
      </c>
    </row>
    <row r="108" spans="1:107" x14ac:dyDescent="0.2">
      <c r="A108">
        <f>ROW(Source!A102)</f>
        <v>102</v>
      </c>
      <c r="B108">
        <v>47631607</v>
      </c>
      <c r="C108">
        <v>47635803</v>
      </c>
      <c r="D108">
        <v>36883878</v>
      </c>
      <c r="E108">
        <v>1</v>
      </c>
      <c r="F108">
        <v>1</v>
      </c>
      <c r="G108">
        <v>1</v>
      </c>
      <c r="H108">
        <v>2</v>
      </c>
      <c r="I108" t="s">
        <v>594</v>
      </c>
      <c r="J108" t="s">
        <v>595</v>
      </c>
      <c r="K108" t="s">
        <v>596</v>
      </c>
      <c r="L108">
        <v>1368</v>
      </c>
      <c r="N108">
        <v>1011</v>
      </c>
      <c r="O108" t="s">
        <v>505</v>
      </c>
      <c r="P108" t="s">
        <v>505</v>
      </c>
      <c r="Q108">
        <v>1</v>
      </c>
      <c r="W108">
        <v>0</v>
      </c>
      <c r="X108">
        <v>-1589061407</v>
      </c>
      <c r="Y108">
        <v>18.054999999999996</v>
      </c>
      <c r="AA108">
        <v>0</v>
      </c>
      <c r="AB108">
        <v>90</v>
      </c>
      <c r="AC108">
        <v>10.06</v>
      </c>
      <c r="AD108">
        <v>0</v>
      </c>
      <c r="AE108">
        <v>0</v>
      </c>
      <c r="AF108">
        <v>90</v>
      </c>
      <c r="AG108">
        <v>10.06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15.7</v>
      </c>
      <c r="AU108" t="s">
        <v>24</v>
      </c>
      <c r="AV108">
        <v>0</v>
      </c>
      <c r="AW108">
        <v>2</v>
      </c>
      <c r="AX108">
        <v>47635806</v>
      </c>
      <c r="AY108">
        <v>1</v>
      </c>
      <c r="AZ108">
        <v>0</v>
      </c>
      <c r="BA108">
        <v>120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Y108*Source!I102</f>
        <v>4.3873649999999991</v>
      </c>
      <c r="CY108">
        <f>AB108</f>
        <v>90</v>
      </c>
      <c r="CZ108">
        <f>AF108</f>
        <v>90</v>
      </c>
      <c r="DA108">
        <f>AJ108</f>
        <v>1</v>
      </c>
      <c r="DB108">
        <f>ROUND((ROUND(AT108*CZ108,2)*1.15),6)</f>
        <v>1624.95</v>
      </c>
      <c r="DC108">
        <f>ROUND((ROUND(AT108*AG108,2)*1.15),6)</f>
        <v>181.631</v>
      </c>
    </row>
    <row r="109" spans="1:107" x14ac:dyDescent="0.2">
      <c r="A109">
        <f>ROW(Source!A102)</f>
        <v>102</v>
      </c>
      <c r="B109">
        <v>47631607</v>
      </c>
      <c r="C109">
        <v>47635803</v>
      </c>
      <c r="D109">
        <v>36884481</v>
      </c>
      <c r="E109">
        <v>1</v>
      </c>
      <c r="F109">
        <v>1</v>
      </c>
      <c r="G109">
        <v>1</v>
      </c>
      <c r="H109">
        <v>2</v>
      </c>
      <c r="I109" t="s">
        <v>656</v>
      </c>
      <c r="J109" t="s">
        <v>657</v>
      </c>
      <c r="K109" t="s">
        <v>658</v>
      </c>
      <c r="L109">
        <v>1368</v>
      </c>
      <c r="N109">
        <v>1011</v>
      </c>
      <c r="O109" t="s">
        <v>505</v>
      </c>
      <c r="P109" t="s">
        <v>505</v>
      </c>
      <c r="Q109">
        <v>1</v>
      </c>
      <c r="W109">
        <v>0</v>
      </c>
      <c r="X109">
        <v>1518765163</v>
      </c>
      <c r="Y109">
        <v>54.164999999999999</v>
      </c>
      <c r="AA109">
        <v>0</v>
      </c>
      <c r="AB109">
        <v>1.53</v>
      </c>
      <c r="AC109">
        <v>0</v>
      </c>
      <c r="AD109">
        <v>0</v>
      </c>
      <c r="AE109">
        <v>0</v>
      </c>
      <c r="AF109">
        <v>1.53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47.1</v>
      </c>
      <c r="AU109" t="s">
        <v>24</v>
      </c>
      <c r="AV109">
        <v>0</v>
      </c>
      <c r="AW109">
        <v>2</v>
      </c>
      <c r="AX109">
        <v>47635807</v>
      </c>
      <c r="AY109">
        <v>1</v>
      </c>
      <c r="AZ109">
        <v>0</v>
      </c>
      <c r="BA109">
        <v>121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Y109*Source!I102</f>
        <v>13.162094999999999</v>
      </c>
      <c r="CY109">
        <f>AB109</f>
        <v>1.53</v>
      </c>
      <c r="CZ109">
        <f>AF109</f>
        <v>1.53</v>
      </c>
      <c r="DA109">
        <f>AJ109</f>
        <v>1</v>
      </c>
      <c r="DB109">
        <f>ROUND((ROUND(AT109*CZ109,2)*1.15),6)</f>
        <v>82.869</v>
      </c>
      <c r="DC109">
        <f>ROUND((ROUND(AT109*AG109,2)*1.15),6)</f>
        <v>0</v>
      </c>
    </row>
    <row r="110" spans="1:107" x14ac:dyDescent="0.2">
      <c r="A110">
        <f>ROW(Source!A103)</f>
        <v>103</v>
      </c>
      <c r="B110">
        <v>47631607</v>
      </c>
      <c r="C110">
        <v>47635813</v>
      </c>
      <c r="D110">
        <v>37065946</v>
      </c>
      <c r="E110">
        <v>1</v>
      </c>
      <c r="F110">
        <v>1</v>
      </c>
      <c r="G110">
        <v>1</v>
      </c>
      <c r="H110">
        <v>1</v>
      </c>
      <c r="I110" t="s">
        <v>659</v>
      </c>
      <c r="J110" t="s">
        <v>3</v>
      </c>
      <c r="K110" t="s">
        <v>660</v>
      </c>
      <c r="L110">
        <v>1191</v>
      </c>
      <c r="N110">
        <v>1013</v>
      </c>
      <c r="O110" t="s">
        <v>487</v>
      </c>
      <c r="P110" t="s">
        <v>487</v>
      </c>
      <c r="Q110">
        <v>1</v>
      </c>
      <c r="W110">
        <v>0</v>
      </c>
      <c r="X110">
        <v>152375061</v>
      </c>
      <c r="Y110">
        <v>21.125499999999999</v>
      </c>
      <c r="AA110">
        <v>0</v>
      </c>
      <c r="AB110">
        <v>0</v>
      </c>
      <c r="AC110">
        <v>0</v>
      </c>
      <c r="AD110">
        <v>7.87</v>
      </c>
      <c r="AE110">
        <v>0</v>
      </c>
      <c r="AF110">
        <v>0</v>
      </c>
      <c r="AG110">
        <v>0</v>
      </c>
      <c r="AH110">
        <v>7.87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</v>
      </c>
      <c r="AT110">
        <v>18.37</v>
      </c>
      <c r="AU110" t="s">
        <v>24</v>
      </c>
      <c r="AV110">
        <v>1</v>
      </c>
      <c r="AW110">
        <v>2</v>
      </c>
      <c r="AX110">
        <v>47635814</v>
      </c>
      <c r="AY110">
        <v>1</v>
      </c>
      <c r="AZ110">
        <v>0</v>
      </c>
      <c r="BA110">
        <v>122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Y110*Source!I103</f>
        <v>12.833741250000001</v>
      </c>
      <c r="CY110">
        <f>AD110</f>
        <v>7.87</v>
      </c>
      <c r="CZ110">
        <f>AH110</f>
        <v>7.87</v>
      </c>
      <c r="DA110">
        <f>AL110</f>
        <v>1</v>
      </c>
      <c r="DB110">
        <f>ROUND((ROUND(AT110*CZ110,2)*1.15),6)</f>
        <v>166.25550000000001</v>
      </c>
      <c r="DC110">
        <f>ROUND((ROUND(AT110*AG110,2)*1.15),6)</f>
        <v>0</v>
      </c>
    </row>
    <row r="111" spans="1:107" x14ac:dyDescent="0.2">
      <c r="A111">
        <f>ROW(Source!A103)</f>
        <v>103</v>
      </c>
      <c r="B111">
        <v>47631607</v>
      </c>
      <c r="C111">
        <v>47635813</v>
      </c>
      <c r="D111">
        <v>37064876</v>
      </c>
      <c r="E111">
        <v>1</v>
      </c>
      <c r="F111">
        <v>1</v>
      </c>
      <c r="G111">
        <v>1</v>
      </c>
      <c r="H111">
        <v>1</v>
      </c>
      <c r="I111" t="s">
        <v>500</v>
      </c>
      <c r="J111" t="s">
        <v>3</v>
      </c>
      <c r="K111" t="s">
        <v>501</v>
      </c>
      <c r="L111">
        <v>1191</v>
      </c>
      <c r="N111">
        <v>1013</v>
      </c>
      <c r="O111" t="s">
        <v>487</v>
      </c>
      <c r="P111" t="s">
        <v>487</v>
      </c>
      <c r="Q111">
        <v>1</v>
      </c>
      <c r="W111">
        <v>0</v>
      </c>
      <c r="X111">
        <v>-1417349443</v>
      </c>
      <c r="Y111">
        <v>4.6500000000000004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4.6500000000000004</v>
      </c>
      <c r="AU111" t="s">
        <v>3</v>
      </c>
      <c r="AV111">
        <v>2</v>
      </c>
      <c r="AW111">
        <v>2</v>
      </c>
      <c r="AX111">
        <v>47635815</v>
      </c>
      <c r="AY111">
        <v>1</v>
      </c>
      <c r="AZ111">
        <v>2048</v>
      </c>
      <c r="BA111">
        <v>123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Y111*Source!I103</f>
        <v>2.8248750000000005</v>
      </c>
      <c r="CY111">
        <f>AD111</f>
        <v>0</v>
      </c>
      <c r="CZ111">
        <f>AH111</f>
        <v>0</v>
      </c>
      <c r="DA111">
        <f>AL111</f>
        <v>1</v>
      </c>
      <c r="DB111">
        <f>ROUND(ROUND(AT111*CZ111,2),6)</f>
        <v>0</v>
      </c>
      <c r="DC111">
        <f>ROUND(ROUND(AT111*AG111,2),6)</f>
        <v>0</v>
      </c>
    </row>
    <row r="112" spans="1:107" x14ac:dyDescent="0.2">
      <c r="A112">
        <f>ROW(Source!A103)</f>
        <v>103</v>
      </c>
      <c r="B112">
        <v>47631607</v>
      </c>
      <c r="C112">
        <v>47635813</v>
      </c>
      <c r="D112">
        <v>36881380</v>
      </c>
      <c r="E112">
        <v>1</v>
      </c>
      <c r="F112">
        <v>1</v>
      </c>
      <c r="G112">
        <v>1</v>
      </c>
      <c r="H112">
        <v>2</v>
      </c>
      <c r="I112" t="s">
        <v>661</v>
      </c>
      <c r="J112" t="s">
        <v>662</v>
      </c>
      <c r="K112" t="s">
        <v>663</v>
      </c>
      <c r="L112">
        <v>1368</v>
      </c>
      <c r="N112">
        <v>1011</v>
      </c>
      <c r="O112" t="s">
        <v>505</v>
      </c>
      <c r="P112" t="s">
        <v>505</v>
      </c>
      <c r="Q112">
        <v>1</v>
      </c>
      <c r="W112">
        <v>0</v>
      </c>
      <c r="X112">
        <v>645023554</v>
      </c>
      <c r="Y112">
        <v>3.0704999999999996</v>
      </c>
      <c r="AA112">
        <v>0</v>
      </c>
      <c r="AB112">
        <v>123</v>
      </c>
      <c r="AC112">
        <v>13.5</v>
      </c>
      <c r="AD112">
        <v>0</v>
      </c>
      <c r="AE112">
        <v>0</v>
      </c>
      <c r="AF112">
        <v>123</v>
      </c>
      <c r="AG112">
        <v>13.5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</v>
      </c>
      <c r="AT112">
        <v>2.67</v>
      </c>
      <c r="AU112" t="s">
        <v>24</v>
      </c>
      <c r="AV112">
        <v>0</v>
      </c>
      <c r="AW112">
        <v>2</v>
      </c>
      <c r="AX112">
        <v>47635816</v>
      </c>
      <c r="AY112">
        <v>1</v>
      </c>
      <c r="AZ112">
        <v>0</v>
      </c>
      <c r="BA112">
        <v>124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Y112*Source!I103</f>
        <v>1.8653287499999998</v>
      </c>
      <c r="CY112">
        <f>AB112</f>
        <v>123</v>
      </c>
      <c r="CZ112">
        <f>AF112</f>
        <v>123</v>
      </c>
      <c r="DA112">
        <f>AJ112</f>
        <v>1</v>
      </c>
      <c r="DB112">
        <f>ROUND((ROUND(AT112*CZ112,2)*1.15),6)</f>
        <v>377.67149999999998</v>
      </c>
      <c r="DC112">
        <f>ROUND((ROUND(AT112*AG112,2)*1.15),6)</f>
        <v>41.457500000000003</v>
      </c>
    </row>
    <row r="113" spans="1:107" x14ac:dyDescent="0.2">
      <c r="A113">
        <f>ROW(Source!A103)</f>
        <v>103</v>
      </c>
      <c r="B113">
        <v>47631607</v>
      </c>
      <c r="C113">
        <v>47635813</v>
      </c>
      <c r="D113">
        <v>36883489</v>
      </c>
      <c r="E113">
        <v>1</v>
      </c>
      <c r="F113">
        <v>1</v>
      </c>
      <c r="G113">
        <v>1</v>
      </c>
      <c r="H113">
        <v>2</v>
      </c>
      <c r="I113" t="s">
        <v>664</v>
      </c>
      <c r="J113" t="s">
        <v>665</v>
      </c>
      <c r="K113" t="s">
        <v>666</v>
      </c>
      <c r="L113">
        <v>1368</v>
      </c>
      <c r="N113">
        <v>1011</v>
      </c>
      <c r="O113" t="s">
        <v>505</v>
      </c>
      <c r="P113" t="s">
        <v>505</v>
      </c>
      <c r="Q113">
        <v>1</v>
      </c>
      <c r="W113">
        <v>0</v>
      </c>
      <c r="X113">
        <v>-949431549</v>
      </c>
      <c r="Y113">
        <v>2.2769999999999997</v>
      </c>
      <c r="AA113">
        <v>0</v>
      </c>
      <c r="AB113">
        <v>62.3</v>
      </c>
      <c r="AC113">
        <v>11.6</v>
      </c>
      <c r="AD113">
        <v>0</v>
      </c>
      <c r="AE113">
        <v>0</v>
      </c>
      <c r="AF113">
        <v>62.3</v>
      </c>
      <c r="AG113">
        <v>11.6</v>
      </c>
      <c r="AH113">
        <v>0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1.98</v>
      </c>
      <c r="AU113" t="s">
        <v>24</v>
      </c>
      <c r="AV113">
        <v>0</v>
      </c>
      <c r="AW113">
        <v>2</v>
      </c>
      <c r="AX113">
        <v>47635817</v>
      </c>
      <c r="AY113">
        <v>1</v>
      </c>
      <c r="AZ113">
        <v>0</v>
      </c>
      <c r="BA113">
        <v>125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Y113*Source!I103</f>
        <v>1.3832774999999999</v>
      </c>
      <c r="CY113">
        <f>AB113</f>
        <v>62.3</v>
      </c>
      <c r="CZ113">
        <f>AF113</f>
        <v>62.3</v>
      </c>
      <c r="DA113">
        <f>AJ113</f>
        <v>1</v>
      </c>
      <c r="DB113">
        <f>ROUND((ROUND(AT113*CZ113,2)*1.15),6)</f>
        <v>141.85249999999999</v>
      </c>
      <c r="DC113">
        <f>ROUND((ROUND(AT113*AG113,2)*1.15),6)</f>
        <v>26.415500000000002</v>
      </c>
    </row>
    <row r="114" spans="1:107" x14ac:dyDescent="0.2">
      <c r="A114">
        <f>ROW(Source!A106)</f>
        <v>106</v>
      </c>
      <c r="B114">
        <v>47631607</v>
      </c>
      <c r="C114">
        <v>47635820</v>
      </c>
      <c r="D114">
        <v>37066491</v>
      </c>
      <c r="E114">
        <v>1</v>
      </c>
      <c r="F114">
        <v>1</v>
      </c>
      <c r="G114">
        <v>1</v>
      </c>
      <c r="H114">
        <v>1</v>
      </c>
      <c r="I114" t="s">
        <v>667</v>
      </c>
      <c r="J114" t="s">
        <v>3</v>
      </c>
      <c r="K114" t="s">
        <v>668</v>
      </c>
      <c r="L114">
        <v>1191</v>
      </c>
      <c r="N114">
        <v>1013</v>
      </c>
      <c r="O114" t="s">
        <v>487</v>
      </c>
      <c r="P114" t="s">
        <v>487</v>
      </c>
      <c r="Q114">
        <v>1</v>
      </c>
      <c r="W114">
        <v>0</v>
      </c>
      <c r="X114">
        <v>-228054128</v>
      </c>
      <c r="Y114">
        <v>20.789699999999996</v>
      </c>
      <c r="AA114">
        <v>0</v>
      </c>
      <c r="AB114">
        <v>0</v>
      </c>
      <c r="AC114">
        <v>0</v>
      </c>
      <c r="AD114">
        <v>8.02</v>
      </c>
      <c r="AE114">
        <v>0</v>
      </c>
      <c r="AF114">
        <v>0</v>
      </c>
      <c r="AG114">
        <v>0</v>
      </c>
      <c r="AH114">
        <v>8.02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15.72</v>
      </c>
      <c r="AU114" t="s">
        <v>53</v>
      </c>
      <c r="AV114">
        <v>1</v>
      </c>
      <c r="AW114">
        <v>2</v>
      </c>
      <c r="AX114">
        <v>47635821</v>
      </c>
      <c r="AY114">
        <v>1</v>
      </c>
      <c r="AZ114">
        <v>0</v>
      </c>
      <c r="BA114">
        <v>126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Y114*Source!I106</f>
        <v>5.0518970999999988</v>
      </c>
      <c r="CY114">
        <f>AD114</f>
        <v>8.02</v>
      </c>
      <c r="CZ114">
        <f>AH114</f>
        <v>8.02</v>
      </c>
      <c r="DA114">
        <f>AL114</f>
        <v>1</v>
      </c>
      <c r="DB114">
        <f>ROUND(((ROUND(AT114*CZ114,2)*1.15)*1.15),6)</f>
        <v>166.727575</v>
      </c>
      <c r="DC114">
        <f>ROUND(((ROUND(AT114*AG114,2)*1.15)*1.15),6)</f>
        <v>0</v>
      </c>
    </row>
    <row r="115" spans="1:107" x14ac:dyDescent="0.2">
      <c r="A115">
        <f>ROW(Source!A106)</f>
        <v>106</v>
      </c>
      <c r="B115">
        <v>47631607</v>
      </c>
      <c r="C115">
        <v>47635820</v>
      </c>
      <c r="D115">
        <v>37064876</v>
      </c>
      <c r="E115">
        <v>1</v>
      </c>
      <c r="F115">
        <v>1</v>
      </c>
      <c r="G115">
        <v>1</v>
      </c>
      <c r="H115">
        <v>1</v>
      </c>
      <c r="I115" t="s">
        <v>500</v>
      </c>
      <c r="J115" t="s">
        <v>3</v>
      </c>
      <c r="K115" t="s">
        <v>501</v>
      </c>
      <c r="L115">
        <v>1191</v>
      </c>
      <c r="N115">
        <v>1013</v>
      </c>
      <c r="O115" t="s">
        <v>487</v>
      </c>
      <c r="P115" t="s">
        <v>487</v>
      </c>
      <c r="Q115">
        <v>1</v>
      </c>
      <c r="W115">
        <v>0</v>
      </c>
      <c r="X115">
        <v>-1417349443</v>
      </c>
      <c r="Y115">
        <v>13.88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13.88</v>
      </c>
      <c r="AU115" t="s">
        <v>3</v>
      </c>
      <c r="AV115">
        <v>2</v>
      </c>
      <c r="AW115">
        <v>2</v>
      </c>
      <c r="AX115">
        <v>47635822</v>
      </c>
      <c r="AY115">
        <v>1</v>
      </c>
      <c r="AZ115">
        <v>2048</v>
      </c>
      <c r="BA115">
        <v>127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Y115*Source!I106</f>
        <v>3.3728400000000001</v>
      </c>
      <c r="CY115">
        <f>AD115</f>
        <v>0</v>
      </c>
      <c r="CZ115">
        <f>AH115</f>
        <v>0</v>
      </c>
      <c r="DA115">
        <f>AL115</f>
        <v>1</v>
      </c>
      <c r="DB115">
        <f>ROUND(ROUND(AT115*CZ115,2),6)</f>
        <v>0</v>
      </c>
      <c r="DC115">
        <f>ROUND(ROUND(AT115*AG115,2),6)</f>
        <v>0</v>
      </c>
    </row>
    <row r="116" spans="1:107" x14ac:dyDescent="0.2">
      <c r="A116">
        <f>ROW(Source!A106)</f>
        <v>106</v>
      </c>
      <c r="B116">
        <v>47631607</v>
      </c>
      <c r="C116">
        <v>47635820</v>
      </c>
      <c r="D116">
        <v>36881380</v>
      </c>
      <c r="E116">
        <v>1</v>
      </c>
      <c r="F116">
        <v>1</v>
      </c>
      <c r="G116">
        <v>1</v>
      </c>
      <c r="H116">
        <v>2</v>
      </c>
      <c r="I116" t="s">
        <v>661</v>
      </c>
      <c r="J116" t="s">
        <v>662</v>
      </c>
      <c r="K116" t="s">
        <v>663</v>
      </c>
      <c r="L116">
        <v>1368</v>
      </c>
      <c r="N116">
        <v>1011</v>
      </c>
      <c r="O116" t="s">
        <v>505</v>
      </c>
      <c r="P116" t="s">
        <v>505</v>
      </c>
      <c r="Q116">
        <v>1</v>
      </c>
      <c r="W116">
        <v>0</v>
      </c>
      <c r="X116">
        <v>645023554</v>
      </c>
      <c r="Y116">
        <v>2.5443749999999996</v>
      </c>
      <c r="AA116">
        <v>0</v>
      </c>
      <c r="AB116">
        <v>123</v>
      </c>
      <c r="AC116">
        <v>13.5</v>
      </c>
      <c r="AD116">
        <v>0</v>
      </c>
      <c r="AE116">
        <v>0</v>
      </c>
      <c r="AF116">
        <v>123</v>
      </c>
      <c r="AG116">
        <v>13.5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1.77</v>
      </c>
      <c r="AU116" t="s">
        <v>280</v>
      </c>
      <c r="AV116">
        <v>0</v>
      </c>
      <c r="AW116">
        <v>2</v>
      </c>
      <c r="AX116">
        <v>47635823</v>
      </c>
      <c r="AY116">
        <v>1</v>
      </c>
      <c r="AZ116">
        <v>0</v>
      </c>
      <c r="BA116">
        <v>128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Y116*Source!I106</f>
        <v>0.61828312499999993</v>
      </c>
      <c r="CY116">
        <f>AB116</f>
        <v>123</v>
      </c>
      <c r="CZ116">
        <f>AF116</f>
        <v>123</v>
      </c>
      <c r="DA116">
        <f>AJ116</f>
        <v>1</v>
      </c>
      <c r="DB116">
        <f>ROUND(((ROUND(AT116*CZ116,2)*1.15)*1.25),6)</f>
        <v>312.958125</v>
      </c>
      <c r="DC116">
        <f>ROUND(((ROUND(AT116*AG116,2)*1.15)*1.25),6)</f>
        <v>34.356250000000003</v>
      </c>
    </row>
    <row r="117" spans="1:107" x14ac:dyDescent="0.2">
      <c r="A117">
        <f>ROW(Source!A106)</f>
        <v>106</v>
      </c>
      <c r="B117">
        <v>47631607</v>
      </c>
      <c r="C117">
        <v>47635820</v>
      </c>
      <c r="D117">
        <v>36882383</v>
      </c>
      <c r="E117">
        <v>1</v>
      </c>
      <c r="F117">
        <v>1</v>
      </c>
      <c r="G117">
        <v>1</v>
      </c>
      <c r="H117">
        <v>2</v>
      </c>
      <c r="I117" t="s">
        <v>629</v>
      </c>
      <c r="J117" t="s">
        <v>630</v>
      </c>
      <c r="K117" t="s">
        <v>631</v>
      </c>
      <c r="L117">
        <v>1368</v>
      </c>
      <c r="N117">
        <v>1011</v>
      </c>
      <c r="O117" t="s">
        <v>505</v>
      </c>
      <c r="P117" t="s">
        <v>505</v>
      </c>
      <c r="Q117">
        <v>1</v>
      </c>
      <c r="W117">
        <v>0</v>
      </c>
      <c r="X117">
        <v>1225731627</v>
      </c>
      <c r="Y117">
        <v>6.1668749999999992</v>
      </c>
      <c r="AA117">
        <v>0</v>
      </c>
      <c r="AB117">
        <v>89.99</v>
      </c>
      <c r="AC117">
        <v>10.06</v>
      </c>
      <c r="AD117">
        <v>0</v>
      </c>
      <c r="AE117">
        <v>0</v>
      </c>
      <c r="AF117">
        <v>89.99</v>
      </c>
      <c r="AG117">
        <v>10.06</v>
      </c>
      <c r="AH117">
        <v>0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4.29</v>
      </c>
      <c r="AU117" t="s">
        <v>280</v>
      </c>
      <c r="AV117">
        <v>0</v>
      </c>
      <c r="AW117">
        <v>2</v>
      </c>
      <c r="AX117">
        <v>47635824</v>
      </c>
      <c r="AY117">
        <v>1</v>
      </c>
      <c r="AZ117">
        <v>0</v>
      </c>
      <c r="BA117">
        <v>129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Y117*Source!I106</f>
        <v>1.4985506249999998</v>
      </c>
      <c r="CY117">
        <f>AB117</f>
        <v>89.99</v>
      </c>
      <c r="CZ117">
        <f>AF117</f>
        <v>89.99</v>
      </c>
      <c r="DA117">
        <f>AJ117</f>
        <v>1</v>
      </c>
      <c r="DB117">
        <f>ROUND(((ROUND(AT117*CZ117,2)*1.15)*1.25),6)</f>
        <v>554.96124999999995</v>
      </c>
      <c r="DC117">
        <f>ROUND(((ROUND(AT117*AG117,2)*1.15)*1.25),6)</f>
        <v>62.042499999999997</v>
      </c>
    </row>
    <row r="118" spans="1:107" x14ac:dyDescent="0.2">
      <c r="A118">
        <f>ROW(Source!A106)</f>
        <v>106</v>
      </c>
      <c r="B118">
        <v>47631607</v>
      </c>
      <c r="C118">
        <v>47635820</v>
      </c>
      <c r="D118">
        <v>36882750</v>
      </c>
      <c r="E118">
        <v>1</v>
      </c>
      <c r="F118">
        <v>1</v>
      </c>
      <c r="G118">
        <v>1</v>
      </c>
      <c r="H118">
        <v>2</v>
      </c>
      <c r="I118" t="s">
        <v>669</v>
      </c>
      <c r="J118" t="s">
        <v>670</v>
      </c>
      <c r="K118" t="s">
        <v>671</v>
      </c>
      <c r="L118">
        <v>1368</v>
      </c>
      <c r="N118">
        <v>1011</v>
      </c>
      <c r="O118" t="s">
        <v>505</v>
      </c>
      <c r="P118" t="s">
        <v>505</v>
      </c>
      <c r="Q118">
        <v>1</v>
      </c>
      <c r="W118">
        <v>0</v>
      </c>
      <c r="X118">
        <v>1663826256</v>
      </c>
      <c r="Y118">
        <v>10.177499999999998</v>
      </c>
      <c r="AA118">
        <v>0</v>
      </c>
      <c r="AB118">
        <v>206.01</v>
      </c>
      <c r="AC118">
        <v>14.4</v>
      </c>
      <c r="AD118">
        <v>0</v>
      </c>
      <c r="AE118">
        <v>0</v>
      </c>
      <c r="AF118">
        <v>206.01</v>
      </c>
      <c r="AG118">
        <v>14.4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7.08</v>
      </c>
      <c r="AU118" t="s">
        <v>280</v>
      </c>
      <c r="AV118">
        <v>0</v>
      </c>
      <c r="AW118">
        <v>2</v>
      </c>
      <c r="AX118">
        <v>47635825</v>
      </c>
      <c r="AY118">
        <v>1</v>
      </c>
      <c r="AZ118">
        <v>0</v>
      </c>
      <c r="BA118">
        <v>130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Y118*Source!I106</f>
        <v>2.4731324999999997</v>
      </c>
      <c r="CY118">
        <f>AB118</f>
        <v>206.01</v>
      </c>
      <c r="CZ118">
        <f>AF118</f>
        <v>206.01</v>
      </c>
      <c r="DA118">
        <f>AJ118</f>
        <v>1</v>
      </c>
      <c r="DB118">
        <f>ROUND(((ROUND(AT118*CZ118,2)*1.15)*1.25),6)</f>
        <v>2096.6656250000001</v>
      </c>
      <c r="DC118">
        <f>ROUND(((ROUND(AT118*AG118,2)*1.15)*1.25),6)</f>
        <v>146.55312499999999</v>
      </c>
    </row>
    <row r="119" spans="1:107" x14ac:dyDescent="0.2">
      <c r="A119">
        <f>ROW(Source!A106)</f>
        <v>106</v>
      </c>
      <c r="B119">
        <v>47631607</v>
      </c>
      <c r="C119">
        <v>47635820</v>
      </c>
      <c r="D119">
        <v>36883483</v>
      </c>
      <c r="E119">
        <v>1</v>
      </c>
      <c r="F119">
        <v>1</v>
      </c>
      <c r="G119">
        <v>1</v>
      </c>
      <c r="H119">
        <v>2</v>
      </c>
      <c r="I119" t="s">
        <v>672</v>
      </c>
      <c r="J119" t="s">
        <v>673</v>
      </c>
      <c r="K119" t="s">
        <v>674</v>
      </c>
      <c r="L119">
        <v>1368</v>
      </c>
      <c r="N119">
        <v>1011</v>
      </c>
      <c r="O119" t="s">
        <v>505</v>
      </c>
      <c r="P119" t="s">
        <v>505</v>
      </c>
      <c r="Q119">
        <v>1</v>
      </c>
      <c r="W119">
        <v>0</v>
      </c>
      <c r="X119">
        <v>529073949</v>
      </c>
      <c r="Y119">
        <v>1.06375</v>
      </c>
      <c r="AA119">
        <v>0</v>
      </c>
      <c r="AB119">
        <v>110</v>
      </c>
      <c r="AC119">
        <v>11.6</v>
      </c>
      <c r="AD119">
        <v>0</v>
      </c>
      <c r="AE119">
        <v>0</v>
      </c>
      <c r="AF119">
        <v>110</v>
      </c>
      <c r="AG119">
        <v>11.6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0.74</v>
      </c>
      <c r="AU119" t="s">
        <v>280</v>
      </c>
      <c r="AV119">
        <v>0</v>
      </c>
      <c r="AW119">
        <v>2</v>
      </c>
      <c r="AX119">
        <v>47635826</v>
      </c>
      <c r="AY119">
        <v>1</v>
      </c>
      <c r="AZ119">
        <v>0</v>
      </c>
      <c r="BA119">
        <v>131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Y119*Source!I106</f>
        <v>0.25849125000000001</v>
      </c>
      <c r="CY119">
        <f>AB119</f>
        <v>110</v>
      </c>
      <c r="CZ119">
        <f>AF119</f>
        <v>110</v>
      </c>
      <c r="DA119">
        <f>AJ119</f>
        <v>1</v>
      </c>
      <c r="DB119">
        <f>ROUND(((ROUND(AT119*CZ119,2)*1.15)*1.25),6)</f>
        <v>117.0125</v>
      </c>
      <c r="DC119">
        <f>ROUND(((ROUND(AT119*AG119,2)*1.15)*1.25),6)</f>
        <v>12.33375</v>
      </c>
    </row>
    <row r="120" spans="1:107" x14ac:dyDescent="0.2">
      <c r="A120">
        <f>ROW(Source!A106)</f>
        <v>106</v>
      </c>
      <c r="B120">
        <v>47631607</v>
      </c>
      <c r="C120">
        <v>47635820</v>
      </c>
      <c r="D120">
        <v>36801792</v>
      </c>
      <c r="E120">
        <v>1</v>
      </c>
      <c r="F120">
        <v>1</v>
      </c>
      <c r="G120">
        <v>1</v>
      </c>
      <c r="H120">
        <v>3</v>
      </c>
      <c r="I120" t="s">
        <v>597</v>
      </c>
      <c r="J120" t="s">
        <v>598</v>
      </c>
      <c r="K120" t="s">
        <v>599</v>
      </c>
      <c r="L120">
        <v>1339</v>
      </c>
      <c r="N120">
        <v>1007</v>
      </c>
      <c r="O120" t="s">
        <v>96</v>
      </c>
      <c r="P120" t="s">
        <v>96</v>
      </c>
      <c r="Q120">
        <v>1</v>
      </c>
      <c r="W120">
        <v>0</v>
      </c>
      <c r="X120">
        <v>-1660354250</v>
      </c>
      <c r="Y120">
        <v>5</v>
      </c>
      <c r="AA120">
        <v>2.44</v>
      </c>
      <c r="AB120">
        <v>0</v>
      </c>
      <c r="AC120">
        <v>0</v>
      </c>
      <c r="AD120">
        <v>0</v>
      </c>
      <c r="AE120">
        <v>2.44</v>
      </c>
      <c r="AF120">
        <v>0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5</v>
      </c>
      <c r="AU120" t="s">
        <v>3</v>
      </c>
      <c r="AV120">
        <v>0</v>
      </c>
      <c r="AW120">
        <v>2</v>
      </c>
      <c r="AX120">
        <v>47635827</v>
      </c>
      <c r="AY120">
        <v>1</v>
      </c>
      <c r="AZ120">
        <v>0</v>
      </c>
      <c r="BA120">
        <v>132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Y120*Source!I106</f>
        <v>1.2149999999999999</v>
      </c>
      <c r="CY120">
        <f>AA120</f>
        <v>2.44</v>
      </c>
      <c r="CZ120">
        <f>AE120</f>
        <v>2.44</v>
      </c>
      <c r="DA120">
        <f>AI120</f>
        <v>1</v>
      </c>
      <c r="DB120">
        <f>ROUND(ROUND(AT120*CZ120,2),6)</f>
        <v>12.2</v>
      </c>
      <c r="DC120">
        <f>ROUND(ROUND(AT120*AG120,2),6)</f>
        <v>0</v>
      </c>
    </row>
    <row r="121" spans="1:107" x14ac:dyDescent="0.2">
      <c r="A121">
        <f>ROW(Source!A106)</f>
        <v>106</v>
      </c>
      <c r="B121">
        <v>47631607</v>
      </c>
      <c r="C121">
        <v>47635820</v>
      </c>
      <c r="D121">
        <v>36806289</v>
      </c>
      <c r="E121">
        <v>1</v>
      </c>
      <c r="F121">
        <v>1</v>
      </c>
      <c r="G121">
        <v>1</v>
      </c>
      <c r="H121">
        <v>3</v>
      </c>
      <c r="I121" t="s">
        <v>101</v>
      </c>
      <c r="J121" t="s">
        <v>103</v>
      </c>
      <c r="K121" t="s">
        <v>102</v>
      </c>
      <c r="L121">
        <v>1339</v>
      </c>
      <c r="N121">
        <v>1007</v>
      </c>
      <c r="O121" t="s">
        <v>96</v>
      </c>
      <c r="P121" t="s">
        <v>96</v>
      </c>
      <c r="Q121">
        <v>1</v>
      </c>
      <c r="W121">
        <v>0</v>
      </c>
      <c r="X121">
        <v>-35545874</v>
      </c>
      <c r="Y121">
        <v>102</v>
      </c>
      <c r="AA121">
        <v>55.26</v>
      </c>
      <c r="AB121">
        <v>0</v>
      </c>
      <c r="AC121">
        <v>0</v>
      </c>
      <c r="AD121">
        <v>0</v>
      </c>
      <c r="AE121">
        <v>55.26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1</v>
      </c>
      <c r="AO121">
        <v>0</v>
      </c>
      <c r="AP121">
        <v>0</v>
      </c>
      <c r="AQ121">
        <v>0</v>
      </c>
      <c r="AR121">
        <v>0</v>
      </c>
      <c r="AS121" t="s">
        <v>3</v>
      </c>
      <c r="AT121">
        <v>102</v>
      </c>
      <c r="AU121" t="s">
        <v>3</v>
      </c>
      <c r="AV121">
        <v>0</v>
      </c>
      <c r="AW121">
        <v>1</v>
      </c>
      <c r="AX121">
        <v>-1</v>
      </c>
      <c r="AY121">
        <v>0</v>
      </c>
      <c r="AZ121">
        <v>0</v>
      </c>
      <c r="BA121" t="s">
        <v>3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Y121*Source!I106</f>
        <v>24.785999999999998</v>
      </c>
      <c r="CY121">
        <f>AA121</f>
        <v>55.26</v>
      </c>
      <c r="CZ121">
        <f>AE121</f>
        <v>55.26</v>
      </c>
      <c r="DA121">
        <f>AI121</f>
        <v>1</v>
      </c>
      <c r="DB121">
        <f>ROUND(ROUND(AT121*CZ121,2),6)</f>
        <v>5636.52</v>
      </c>
      <c r="DC121">
        <f>ROUND(ROUND(AT121*AG121,2),6)</f>
        <v>0</v>
      </c>
    </row>
    <row r="122" spans="1:107" x14ac:dyDescent="0.2">
      <c r="A122">
        <f>ROW(Source!A108)</f>
        <v>108</v>
      </c>
      <c r="B122">
        <v>47631607</v>
      </c>
      <c r="C122">
        <v>47635841</v>
      </c>
      <c r="D122">
        <v>37066739</v>
      </c>
      <c r="E122">
        <v>1</v>
      </c>
      <c r="F122">
        <v>1</v>
      </c>
      <c r="G122">
        <v>1</v>
      </c>
      <c r="H122">
        <v>1</v>
      </c>
      <c r="I122" t="s">
        <v>675</v>
      </c>
      <c r="J122" t="s">
        <v>3</v>
      </c>
      <c r="K122" t="s">
        <v>676</v>
      </c>
      <c r="L122">
        <v>1191</v>
      </c>
      <c r="N122">
        <v>1013</v>
      </c>
      <c r="O122" t="s">
        <v>487</v>
      </c>
      <c r="P122" t="s">
        <v>487</v>
      </c>
      <c r="Q122">
        <v>1</v>
      </c>
      <c r="W122">
        <v>0</v>
      </c>
      <c r="X122">
        <v>-608433632</v>
      </c>
      <c r="Y122">
        <v>34.70239999999999</v>
      </c>
      <c r="AA122">
        <v>0</v>
      </c>
      <c r="AB122">
        <v>0</v>
      </c>
      <c r="AC122">
        <v>0</v>
      </c>
      <c r="AD122">
        <v>8.4600000000000009</v>
      </c>
      <c r="AE122">
        <v>0</v>
      </c>
      <c r="AF122">
        <v>0</v>
      </c>
      <c r="AG122">
        <v>0</v>
      </c>
      <c r="AH122">
        <v>8.4600000000000009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26.24</v>
      </c>
      <c r="AU122" t="s">
        <v>53</v>
      </c>
      <c r="AV122">
        <v>1</v>
      </c>
      <c r="AW122">
        <v>2</v>
      </c>
      <c r="AX122">
        <v>47635877</v>
      </c>
      <c r="AY122">
        <v>1</v>
      </c>
      <c r="AZ122">
        <v>0</v>
      </c>
      <c r="BA122">
        <v>134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Y122*Source!I108</f>
        <v>84.326831999999982</v>
      </c>
      <c r="CY122">
        <f>AD122</f>
        <v>8.4600000000000009</v>
      </c>
      <c r="CZ122">
        <f>AH122</f>
        <v>8.4600000000000009</v>
      </c>
      <c r="DA122">
        <f>AL122</f>
        <v>1</v>
      </c>
      <c r="DB122">
        <f>ROUND(((ROUND(AT122*CZ122,2)*1.15)*1.15),6)</f>
        <v>293.58177499999999</v>
      </c>
      <c r="DC122">
        <f>ROUND(((ROUND(AT122*AG122,2)*1.15)*1.15),6)</f>
        <v>0</v>
      </c>
    </row>
    <row r="123" spans="1:107" x14ac:dyDescent="0.2">
      <c r="A123">
        <f>ROW(Source!A108)</f>
        <v>108</v>
      </c>
      <c r="B123">
        <v>47631607</v>
      </c>
      <c r="C123">
        <v>47635841</v>
      </c>
      <c r="D123">
        <v>37064876</v>
      </c>
      <c r="E123">
        <v>1</v>
      </c>
      <c r="F123">
        <v>1</v>
      </c>
      <c r="G123">
        <v>1</v>
      </c>
      <c r="H123">
        <v>1</v>
      </c>
      <c r="I123" t="s">
        <v>500</v>
      </c>
      <c r="J123" t="s">
        <v>3</v>
      </c>
      <c r="K123" t="s">
        <v>501</v>
      </c>
      <c r="L123">
        <v>1191</v>
      </c>
      <c r="N123">
        <v>1013</v>
      </c>
      <c r="O123" t="s">
        <v>487</v>
      </c>
      <c r="P123" t="s">
        <v>487</v>
      </c>
      <c r="Q123">
        <v>1</v>
      </c>
      <c r="W123">
        <v>0</v>
      </c>
      <c r="X123">
        <v>-1417349443</v>
      </c>
      <c r="Y123">
        <v>3.17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3.17</v>
      </c>
      <c r="AU123" t="s">
        <v>3</v>
      </c>
      <c r="AV123">
        <v>2</v>
      </c>
      <c r="AW123">
        <v>2</v>
      </c>
      <c r="AX123">
        <v>47635878</v>
      </c>
      <c r="AY123">
        <v>1</v>
      </c>
      <c r="AZ123">
        <v>2048</v>
      </c>
      <c r="BA123">
        <v>135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Y123*Source!I108</f>
        <v>7.7031000000000001</v>
      </c>
      <c r="CY123">
        <f>AD123</f>
        <v>0</v>
      </c>
      <c r="CZ123">
        <f>AH123</f>
        <v>0</v>
      </c>
      <c r="DA123">
        <f>AL123</f>
        <v>1</v>
      </c>
      <c r="DB123">
        <f>ROUND(ROUND(AT123*CZ123,2),6)</f>
        <v>0</v>
      </c>
      <c r="DC123">
        <f>ROUND(ROUND(AT123*AG123,2),6)</f>
        <v>0</v>
      </c>
    </row>
    <row r="124" spans="1:107" x14ac:dyDescent="0.2">
      <c r="A124">
        <f>ROW(Source!A108)</f>
        <v>108</v>
      </c>
      <c r="B124">
        <v>47631607</v>
      </c>
      <c r="C124">
        <v>47635841</v>
      </c>
      <c r="D124">
        <v>36882383</v>
      </c>
      <c r="E124">
        <v>1</v>
      </c>
      <c r="F124">
        <v>1</v>
      </c>
      <c r="G124">
        <v>1</v>
      </c>
      <c r="H124">
        <v>2</v>
      </c>
      <c r="I124" t="s">
        <v>629</v>
      </c>
      <c r="J124" t="s">
        <v>630</v>
      </c>
      <c r="K124" t="s">
        <v>631</v>
      </c>
      <c r="L124">
        <v>1368</v>
      </c>
      <c r="N124">
        <v>1011</v>
      </c>
      <c r="O124" t="s">
        <v>505</v>
      </c>
      <c r="P124" t="s">
        <v>505</v>
      </c>
      <c r="Q124">
        <v>1</v>
      </c>
      <c r="W124">
        <v>0</v>
      </c>
      <c r="X124">
        <v>1225731627</v>
      </c>
      <c r="Y124">
        <v>1.6531249999999997</v>
      </c>
      <c r="AA124">
        <v>0</v>
      </c>
      <c r="AB124">
        <v>89.99</v>
      </c>
      <c r="AC124">
        <v>10.06</v>
      </c>
      <c r="AD124">
        <v>0</v>
      </c>
      <c r="AE124">
        <v>0</v>
      </c>
      <c r="AF124">
        <v>89.99</v>
      </c>
      <c r="AG124">
        <v>10.06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1.1499999999999999</v>
      </c>
      <c r="AU124" t="s">
        <v>280</v>
      </c>
      <c r="AV124">
        <v>0</v>
      </c>
      <c r="AW124">
        <v>2</v>
      </c>
      <c r="AX124">
        <v>47635879</v>
      </c>
      <c r="AY124">
        <v>1</v>
      </c>
      <c r="AZ124">
        <v>0</v>
      </c>
      <c r="BA124">
        <v>136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Y124*Source!I108</f>
        <v>4.0170937499999999</v>
      </c>
      <c r="CY124">
        <f>AB124</f>
        <v>89.99</v>
      </c>
      <c r="CZ124">
        <f>AF124</f>
        <v>89.99</v>
      </c>
      <c r="DA124">
        <f>AJ124</f>
        <v>1</v>
      </c>
      <c r="DB124">
        <f>ROUND(((ROUND(AT124*CZ124,2)*1.15)*1.25),6)</f>
        <v>148.766875</v>
      </c>
      <c r="DC124">
        <f>ROUND(((ROUND(AT124*AG124,2)*1.15)*1.25),6)</f>
        <v>16.631875000000001</v>
      </c>
    </row>
    <row r="125" spans="1:107" x14ac:dyDescent="0.2">
      <c r="A125">
        <f>ROW(Source!A108)</f>
        <v>108</v>
      </c>
      <c r="B125">
        <v>47631607</v>
      </c>
      <c r="C125">
        <v>47635841</v>
      </c>
      <c r="D125">
        <v>36882722</v>
      </c>
      <c r="E125">
        <v>1</v>
      </c>
      <c r="F125">
        <v>1</v>
      </c>
      <c r="G125">
        <v>1</v>
      </c>
      <c r="H125">
        <v>2</v>
      </c>
      <c r="I125" t="s">
        <v>677</v>
      </c>
      <c r="J125" t="s">
        <v>678</v>
      </c>
      <c r="K125" t="s">
        <v>679</v>
      </c>
      <c r="L125">
        <v>1368</v>
      </c>
      <c r="N125">
        <v>1011</v>
      </c>
      <c r="O125" t="s">
        <v>505</v>
      </c>
      <c r="P125" t="s">
        <v>505</v>
      </c>
      <c r="Q125">
        <v>1</v>
      </c>
      <c r="W125">
        <v>0</v>
      </c>
      <c r="X125">
        <v>-891970060</v>
      </c>
      <c r="Y125">
        <v>2.1274999999999999</v>
      </c>
      <c r="AA125">
        <v>0</v>
      </c>
      <c r="AB125">
        <v>75</v>
      </c>
      <c r="AC125">
        <v>11.6</v>
      </c>
      <c r="AD125">
        <v>0</v>
      </c>
      <c r="AE125">
        <v>0</v>
      </c>
      <c r="AF125">
        <v>75</v>
      </c>
      <c r="AG125">
        <v>11.6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1.48</v>
      </c>
      <c r="AU125" t="s">
        <v>280</v>
      </c>
      <c r="AV125">
        <v>0</v>
      </c>
      <c r="AW125">
        <v>2</v>
      </c>
      <c r="AX125">
        <v>47635880</v>
      </c>
      <c r="AY125">
        <v>1</v>
      </c>
      <c r="AZ125">
        <v>0</v>
      </c>
      <c r="BA125">
        <v>137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Y125*Source!I108</f>
        <v>5.1698250000000003</v>
      </c>
      <c r="CY125">
        <f>AB125</f>
        <v>75</v>
      </c>
      <c r="CZ125">
        <f>AF125</f>
        <v>75</v>
      </c>
      <c r="DA125">
        <f>AJ125</f>
        <v>1</v>
      </c>
      <c r="DB125">
        <f>ROUND(((ROUND(AT125*CZ125,2)*1.15)*1.25),6)</f>
        <v>159.5625</v>
      </c>
      <c r="DC125">
        <f>ROUND(((ROUND(AT125*AG125,2)*1.15)*1.25),6)</f>
        <v>24.681875000000002</v>
      </c>
    </row>
    <row r="126" spans="1:107" x14ac:dyDescent="0.2">
      <c r="A126">
        <f>ROW(Source!A108)</f>
        <v>108</v>
      </c>
      <c r="B126">
        <v>47631607</v>
      </c>
      <c r="C126">
        <v>47635841</v>
      </c>
      <c r="D126">
        <v>36883483</v>
      </c>
      <c r="E126">
        <v>1</v>
      </c>
      <c r="F126">
        <v>1</v>
      </c>
      <c r="G126">
        <v>1</v>
      </c>
      <c r="H126">
        <v>2</v>
      </c>
      <c r="I126" t="s">
        <v>672</v>
      </c>
      <c r="J126" t="s">
        <v>673</v>
      </c>
      <c r="K126" t="s">
        <v>674</v>
      </c>
      <c r="L126">
        <v>1368</v>
      </c>
      <c r="N126">
        <v>1011</v>
      </c>
      <c r="O126" t="s">
        <v>505</v>
      </c>
      <c r="P126" t="s">
        <v>505</v>
      </c>
      <c r="Q126">
        <v>1</v>
      </c>
      <c r="W126">
        <v>0</v>
      </c>
      <c r="X126">
        <v>529073949</v>
      </c>
      <c r="Y126">
        <v>0.77625</v>
      </c>
      <c r="AA126">
        <v>0</v>
      </c>
      <c r="AB126">
        <v>110</v>
      </c>
      <c r="AC126">
        <v>11.6</v>
      </c>
      <c r="AD126">
        <v>0</v>
      </c>
      <c r="AE126">
        <v>0</v>
      </c>
      <c r="AF126">
        <v>110</v>
      </c>
      <c r="AG126">
        <v>11.6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</v>
      </c>
      <c r="AT126">
        <v>0.54</v>
      </c>
      <c r="AU126" t="s">
        <v>280</v>
      </c>
      <c r="AV126">
        <v>0</v>
      </c>
      <c r="AW126">
        <v>2</v>
      </c>
      <c r="AX126">
        <v>47635881</v>
      </c>
      <c r="AY126">
        <v>1</v>
      </c>
      <c r="AZ126">
        <v>0</v>
      </c>
      <c r="BA126">
        <v>138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Y126*Source!I108</f>
        <v>1.8862875000000001</v>
      </c>
      <c r="CY126">
        <f>AB126</f>
        <v>110</v>
      </c>
      <c r="CZ126">
        <f>AF126</f>
        <v>110</v>
      </c>
      <c r="DA126">
        <f>AJ126</f>
        <v>1</v>
      </c>
      <c r="DB126">
        <f>ROUND(((ROUND(AT126*CZ126,2)*1.15)*1.25),6)</f>
        <v>85.387500000000003</v>
      </c>
      <c r="DC126">
        <f>ROUND(((ROUND(AT126*AG126,2)*1.15)*1.25),6)</f>
        <v>8.9987499999999994</v>
      </c>
    </row>
    <row r="127" spans="1:107" x14ac:dyDescent="0.2">
      <c r="A127">
        <f>ROW(Source!A108)</f>
        <v>108</v>
      </c>
      <c r="B127">
        <v>47631607</v>
      </c>
      <c r="C127">
        <v>47635841</v>
      </c>
      <c r="D127">
        <v>36801792</v>
      </c>
      <c r="E127">
        <v>1</v>
      </c>
      <c r="F127">
        <v>1</v>
      </c>
      <c r="G127">
        <v>1</v>
      </c>
      <c r="H127">
        <v>3</v>
      </c>
      <c r="I127" t="s">
        <v>597</v>
      </c>
      <c r="J127" t="s">
        <v>598</v>
      </c>
      <c r="K127" t="s">
        <v>599</v>
      </c>
      <c r="L127">
        <v>1339</v>
      </c>
      <c r="N127">
        <v>1007</v>
      </c>
      <c r="O127" t="s">
        <v>96</v>
      </c>
      <c r="P127" t="s">
        <v>96</v>
      </c>
      <c r="Q127">
        <v>1</v>
      </c>
      <c r="W127">
        <v>0</v>
      </c>
      <c r="X127">
        <v>-1660354250</v>
      </c>
      <c r="Y127">
        <v>2</v>
      </c>
      <c r="AA127">
        <v>2.44</v>
      </c>
      <c r="AB127">
        <v>0</v>
      </c>
      <c r="AC127">
        <v>0</v>
      </c>
      <c r="AD127">
        <v>0</v>
      </c>
      <c r="AE127">
        <v>2.44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2</v>
      </c>
      <c r="AU127" t="s">
        <v>3</v>
      </c>
      <c r="AV127">
        <v>0</v>
      </c>
      <c r="AW127">
        <v>2</v>
      </c>
      <c r="AX127">
        <v>47635882</v>
      </c>
      <c r="AY127">
        <v>1</v>
      </c>
      <c r="AZ127">
        <v>0</v>
      </c>
      <c r="BA127">
        <v>139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Y127*Source!I108</f>
        <v>4.8600000000000003</v>
      </c>
      <c r="CY127">
        <f>AA127</f>
        <v>2.44</v>
      </c>
      <c r="CZ127">
        <f>AE127</f>
        <v>2.44</v>
      </c>
      <c r="DA127">
        <f>AI127</f>
        <v>1</v>
      </c>
      <c r="DB127">
        <f>ROUND(ROUND(AT127*CZ127,2),6)</f>
        <v>4.88</v>
      </c>
      <c r="DC127">
        <f>ROUND(ROUND(AT127*AG127,2),6)</f>
        <v>0</v>
      </c>
    </row>
    <row r="128" spans="1:107" x14ac:dyDescent="0.2">
      <c r="A128">
        <f>ROW(Source!A108)</f>
        <v>108</v>
      </c>
      <c r="B128">
        <v>47631607</v>
      </c>
      <c r="C128">
        <v>47635841</v>
      </c>
      <c r="D128">
        <v>36806177</v>
      </c>
      <c r="E128">
        <v>1</v>
      </c>
      <c r="F128">
        <v>1</v>
      </c>
      <c r="G128">
        <v>1</v>
      </c>
      <c r="H128">
        <v>3</v>
      </c>
      <c r="I128" t="s">
        <v>290</v>
      </c>
      <c r="J128" t="s">
        <v>292</v>
      </c>
      <c r="K128" t="s">
        <v>291</v>
      </c>
      <c r="L128">
        <v>1339</v>
      </c>
      <c r="N128">
        <v>1007</v>
      </c>
      <c r="O128" t="s">
        <v>96</v>
      </c>
      <c r="P128" t="s">
        <v>96</v>
      </c>
      <c r="Q128">
        <v>1</v>
      </c>
      <c r="W128">
        <v>0</v>
      </c>
      <c r="X128">
        <v>992648480</v>
      </c>
      <c r="Y128">
        <v>17.399999999999999</v>
      </c>
      <c r="AA128">
        <v>139.63</v>
      </c>
      <c r="AB128">
        <v>0</v>
      </c>
      <c r="AC128">
        <v>0</v>
      </c>
      <c r="AD128">
        <v>0</v>
      </c>
      <c r="AE128">
        <v>139.63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0</v>
      </c>
      <c r="AP128">
        <v>0</v>
      </c>
      <c r="AQ128">
        <v>0</v>
      </c>
      <c r="AR128">
        <v>0</v>
      </c>
      <c r="AS128" t="s">
        <v>3</v>
      </c>
      <c r="AT128">
        <v>17.399999999999999</v>
      </c>
      <c r="AU128" t="s">
        <v>3</v>
      </c>
      <c r="AV128">
        <v>0</v>
      </c>
      <c r="AW128">
        <v>1</v>
      </c>
      <c r="AX128">
        <v>-1</v>
      </c>
      <c r="AY128">
        <v>0</v>
      </c>
      <c r="AZ128">
        <v>0</v>
      </c>
      <c r="BA128" t="s">
        <v>3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Y128*Source!I108</f>
        <v>42.281999999999996</v>
      </c>
      <c r="CY128">
        <f>AA128</f>
        <v>139.63</v>
      </c>
      <c r="CZ128">
        <f>AE128</f>
        <v>139.63</v>
      </c>
      <c r="DA128">
        <f>AI128</f>
        <v>1</v>
      </c>
      <c r="DB128">
        <f>ROUND(ROUND(AT128*CZ128,2),6)</f>
        <v>2429.56</v>
      </c>
      <c r="DC128">
        <f>ROUND(ROUND(AT128*AG128,2),6)</f>
        <v>0</v>
      </c>
    </row>
    <row r="129" spans="1:107" x14ac:dyDescent="0.2">
      <c r="A129">
        <f>ROW(Source!A110)</f>
        <v>110</v>
      </c>
      <c r="B129">
        <v>47631607</v>
      </c>
      <c r="C129">
        <v>47635850</v>
      </c>
      <c r="D129">
        <v>37066739</v>
      </c>
      <c r="E129">
        <v>1</v>
      </c>
      <c r="F129">
        <v>1</v>
      </c>
      <c r="G129">
        <v>1</v>
      </c>
      <c r="H129">
        <v>1</v>
      </c>
      <c r="I129" t="s">
        <v>675</v>
      </c>
      <c r="J129" t="s">
        <v>3</v>
      </c>
      <c r="K129" t="s">
        <v>676</v>
      </c>
      <c r="L129">
        <v>1191</v>
      </c>
      <c r="N129">
        <v>1013</v>
      </c>
      <c r="O129" t="s">
        <v>487</v>
      </c>
      <c r="P129" t="s">
        <v>487</v>
      </c>
      <c r="Q129">
        <v>1</v>
      </c>
      <c r="W129">
        <v>0</v>
      </c>
      <c r="X129">
        <v>-608433632</v>
      </c>
      <c r="Y129">
        <v>0.71414999999999995</v>
      </c>
      <c r="AA129">
        <v>0</v>
      </c>
      <c r="AB129">
        <v>0</v>
      </c>
      <c r="AC129">
        <v>0</v>
      </c>
      <c r="AD129">
        <v>8.4600000000000009</v>
      </c>
      <c r="AE129">
        <v>0</v>
      </c>
      <c r="AF129">
        <v>0</v>
      </c>
      <c r="AG129">
        <v>0</v>
      </c>
      <c r="AH129">
        <v>8.4600000000000009</v>
      </c>
      <c r="AI129">
        <v>1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</v>
      </c>
      <c r="AT129">
        <v>0.54</v>
      </c>
      <c r="AU129" t="s">
        <v>53</v>
      </c>
      <c r="AV129">
        <v>1</v>
      </c>
      <c r="AW129">
        <v>2</v>
      </c>
      <c r="AX129">
        <v>47635851</v>
      </c>
      <c r="AY129">
        <v>1</v>
      </c>
      <c r="AZ129">
        <v>0</v>
      </c>
      <c r="BA129">
        <v>141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Y129*Source!I110</f>
        <v>1.7353844999999999</v>
      </c>
      <c r="CY129">
        <f>AD129</f>
        <v>8.4600000000000009</v>
      </c>
      <c r="CZ129">
        <f>AH129</f>
        <v>8.4600000000000009</v>
      </c>
      <c r="DA129">
        <f>AL129</f>
        <v>1</v>
      </c>
      <c r="DB129">
        <f>ROUND(((ROUND(AT129*CZ129,2)*1.15)*1.15),6)</f>
        <v>6.043825</v>
      </c>
      <c r="DC129">
        <f>ROUND(((ROUND(AT129*AG129,2)*1.15)*1.15),6)</f>
        <v>0</v>
      </c>
    </row>
    <row r="130" spans="1:107" x14ac:dyDescent="0.2">
      <c r="A130">
        <f>ROW(Source!A110)</f>
        <v>110</v>
      </c>
      <c r="B130">
        <v>47631607</v>
      </c>
      <c r="C130">
        <v>47635850</v>
      </c>
      <c r="D130">
        <v>37064876</v>
      </c>
      <c r="E130">
        <v>1</v>
      </c>
      <c r="F130">
        <v>1</v>
      </c>
      <c r="G130">
        <v>1</v>
      </c>
      <c r="H130">
        <v>1</v>
      </c>
      <c r="I130" t="s">
        <v>500</v>
      </c>
      <c r="J130" t="s">
        <v>3</v>
      </c>
      <c r="K130" t="s">
        <v>501</v>
      </c>
      <c r="L130">
        <v>1191</v>
      </c>
      <c r="N130">
        <v>1013</v>
      </c>
      <c r="O130" t="s">
        <v>487</v>
      </c>
      <c r="P130" t="s">
        <v>487</v>
      </c>
      <c r="Q130">
        <v>1</v>
      </c>
      <c r="W130">
        <v>0</v>
      </c>
      <c r="X130">
        <v>-1417349443</v>
      </c>
      <c r="Y130">
        <v>0.1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0.1</v>
      </c>
      <c r="AU130" t="s">
        <v>3</v>
      </c>
      <c r="AV130">
        <v>2</v>
      </c>
      <c r="AW130">
        <v>2</v>
      </c>
      <c r="AX130">
        <v>47635852</v>
      </c>
      <c r="AY130">
        <v>1</v>
      </c>
      <c r="AZ130">
        <v>2048</v>
      </c>
      <c r="BA130">
        <v>142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Y130*Source!I110</f>
        <v>0.24300000000000002</v>
      </c>
      <c r="CY130">
        <f>AD130</f>
        <v>0</v>
      </c>
      <c r="CZ130">
        <f>AH130</f>
        <v>0</v>
      </c>
      <c r="DA130">
        <f>AL130</f>
        <v>1</v>
      </c>
      <c r="DB130">
        <f>ROUND(ROUND(AT130*CZ130,2),6)</f>
        <v>0</v>
      </c>
      <c r="DC130">
        <f>ROUND(ROUND(AT130*AG130,2),6)</f>
        <v>0</v>
      </c>
    </row>
    <row r="131" spans="1:107" x14ac:dyDescent="0.2">
      <c r="A131">
        <f>ROW(Source!A110)</f>
        <v>110</v>
      </c>
      <c r="B131">
        <v>47631607</v>
      </c>
      <c r="C131">
        <v>47635850</v>
      </c>
      <c r="D131">
        <v>36882383</v>
      </c>
      <c r="E131">
        <v>1</v>
      </c>
      <c r="F131">
        <v>1</v>
      </c>
      <c r="G131">
        <v>1</v>
      </c>
      <c r="H131">
        <v>2</v>
      </c>
      <c r="I131" t="s">
        <v>629</v>
      </c>
      <c r="J131" t="s">
        <v>630</v>
      </c>
      <c r="K131" t="s">
        <v>631</v>
      </c>
      <c r="L131">
        <v>1368</v>
      </c>
      <c r="N131">
        <v>1011</v>
      </c>
      <c r="O131" t="s">
        <v>505</v>
      </c>
      <c r="P131" t="s">
        <v>505</v>
      </c>
      <c r="Q131">
        <v>1</v>
      </c>
      <c r="W131">
        <v>0</v>
      </c>
      <c r="X131">
        <v>1225731627</v>
      </c>
      <c r="Y131">
        <v>0.14374999999999999</v>
      </c>
      <c r="AA131">
        <v>0</v>
      </c>
      <c r="AB131">
        <v>89.99</v>
      </c>
      <c r="AC131">
        <v>10.06</v>
      </c>
      <c r="AD131">
        <v>0</v>
      </c>
      <c r="AE131">
        <v>0</v>
      </c>
      <c r="AF131">
        <v>89.99</v>
      </c>
      <c r="AG131">
        <v>10.06</v>
      </c>
      <c r="AH131">
        <v>0</v>
      </c>
      <c r="AI131">
        <v>1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</v>
      </c>
      <c r="AT131">
        <v>0.1</v>
      </c>
      <c r="AU131" t="s">
        <v>280</v>
      </c>
      <c r="AV131">
        <v>0</v>
      </c>
      <c r="AW131">
        <v>2</v>
      </c>
      <c r="AX131">
        <v>47635853</v>
      </c>
      <c r="AY131">
        <v>1</v>
      </c>
      <c r="AZ131">
        <v>0</v>
      </c>
      <c r="BA131">
        <v>143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Y131*Source!I110</f>
        <v>0.34931249999999997</v>
      </c>
      <c r="CY131">
        <f>AB131</f>
        <v>89.99</v>
      </c>
      <c r="CZ131">
        <f>AF131</f>
        <v>89.99</v>
      </c>
      <c r="DA131">
        <f>AJ131</f>
        <v>1</v>
      </c>
      <c r="DB131">
        <f>ROUND(((ROUND(AT131*CZ131,2)*1.15)*1.25),6)</f>
        <v>12.9375</v>
      </c>
      <c r="DC131">
        <f>ROUND(((ROUND(AT131*AG131,2)*1.15)*1.25),6)</f>
        <v>1.451875</v>
      </c>
    </row>
    <row r="132" spans="1:107" x14ac:dyDescent="0.2">
      <c r="A132">
        <f>ROW(Source!A110)</f>
        <v>110</v>
      </c>
      <c r="B132">
        <v>47631607</v>
      </c>
      <c r="C132">
        <v>47635850</v>
      </c>
      <c r="D132">
        <v>36806177</v>
      </c>
      <c r="E132">
        <v>1</v>
      </c>
      <c r="F132">
        <v>1</v>
      </c>
      <c r="G132">
        <v>1</v>
      </c>
      <c r="H132">
        <v>3</v>
      </c>
      <c r="I132" t="s">
        <v>290</v>
      </c>
      <c r="J132" t="s">
        <v>292</v>
      </c>
      <c r="K132" t="s">
        <v>291</v>
      </c>
      <c r="L132">
        <v>1339</v>
      </c>
      <c r="N132">
        <v>1007</v>
      </c>
      <c r="O132" t="s">
        <v>96</v>
      </c>
      <c r="P132" t="s">
        <v>96</v>
      </c>
      <c r="Q132">
        <v>1</v>
      </c>
      <c r="W132">
        <v>0</v>
      </c>
      <c r="X132">
        <v>992648480</v>
      </c>
      <c r="Y132">
        <v>13.5</v>
      </c>
      <c r="AA132">
        <v>139.63</v>
      </c>
      <c r="AB132">
        <v>0</v>
      </c>
      <c r="AC132">
        <v>0</v>
      </c>
      <c r="AD132">
        <v>0</v>
      </c>
      <c r="AE132">
        <v>139.63</v>
      </c>
      <c r="AF132">
        <v>0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N132">
        <v>0</v>
      </c>
      <c r="AO132">
        <v>0</v>
      </c>
      <c r="AP132">
        <v>1</v>
      </c>
      <c r="AQ132">
        <v>0</v>
      </c>
      <c r="AR132">
        <v>0</v>
      </c>
      <c r="AS132" t="s">
        <v>3</v>
      </c>
      <c r="AT132">
        <v>4.5</v>
      </c>
      <c r="AU132" t="s">
        <v>297</v>
      </c>
      <c r="AV132">
        <v>0</v>
      </c>
      <c r="AW132">
        <v>1</v>
      </c>
      <c r="AX132">
        <v>-1</v>
      </c>
      <c r="AY132">
        <v>0</v>
      </c>
      <c r="AZ132">
        <v>0</v>
      </c>
      <c r="BA132" t="s">
        <v>3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Y132*Source!I110</f>
        <v>32.805</v>
      </c>
      <c r="CY132">
        <f>AA132</f>
        <v>139.63</v>
      </c>
      <c r="CZ132">
        <f>AE132</f>
        <v>139.63</v>
      </c>
      <c r="DA132">
        <f>AI132</f>
        <v>1</v>
      </c>
      <c r="DB132">
        <f>ROUND((ROUND(AT132*CZ132,2)*3),6)</f>
        <v>1885.02</v>
      </c>
      <c r="DC132">
        <f>ROUND((ROUND(AT132*AG132,2)*3),6)</f>
        <v>0</v>
      </c>
    </row>
    <row r="133" spans="1:107" x14ac:dyDescent="0.2">
      <c r="A133">
        <f>ROW(Source!A112)</f>
        <v>112</v>
      </c>
      <c r="B133">
        <v>47631607</v>
      </c>
      <c r="C133">
        <v>47635857</v>
      </c>
      <c r="D133">
        <v>37070164</v>
      </c>
      <c r="E133">
        <v>1</v>
      </c>
      <c r="F133">
        <v>1</v>
      </c>
      <c r="G133">
        <v>1</v>
      </c>
      <c r="H133">
        <v>1</v>
      </c>
      <c r="I133" t="s">
        <v>680</v>
      </c>
      <c r="J133" t="s">
        <v>3</v>
      </c>
      <c r="K133" t="s">
        <v>681</v>
      </c>
      <c r="L133">
        <v>1191</v>
      </c>
      <c r="N133">
        <v>1013</v>
      </c>
      <c r="O133" t="s">
        <v>487</v>
      </c>
      <c r="P133" t="s">
        <v>487</v>
      </c>
      <c r="Q133">
        <v>1</v>
      </c>
      <c r="W133">
        <v>0</v>
      </c>
      <c r="X133">
        <v>-598469600</v>
      </c>
      <c r="Y133">
        <v>19.996199999999995</v>
      </c>
      <c r="AA133">
        <v>0</v>
      </c>
      <c r="AB133">
        <v>0</v>
      </c>
      <c r="AC133">
        <v>0</v>
      </c>
      <c r="AD133">
        <v>9.2899999999999991</v>
      </c>
      <c r="AE133">
        <v>0</v>
      </c>
      <c r="AF133">
        <v>0</v>
      </c>
      <c r="AG133">
        <v>0</v>
      </c>
      <c r="AH133">
        <v>9.2899999999999991</v>
      </c>
      <c r="AI133">
        <v>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15.12</v>
      </c>
      <c r="AU133" t="s">
        <v>53</v>
      </c>
      <c r="AV133">
        <v>1</v>
      </c>
      <c r="AW133">
        <v>2</v>
      </c>
      <c r="AX133">
        <v>47635858</v>
      </c>
      <c r="AY133">
        <v>1</v>
      </c>
      <c r="AZ133">
        <v>0</v>
      </c>
      <c r="BA133">
        <v>145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Y133*Source!I112</f>
        <v>48.590765999999988</v>
      </c>
      <c r="CY133">
        <f>AD133</f>
        <v>9.2899999999999991</v>
      </c>
      <c r="CZ133">
        <f>AH133</f>
        <v>9.2899999999999991</v>
      </c>
      <c r="DA133">
        <f>AL133</f>
        <v>1</v>
      </c>
      <c r="DB133">
        <f>ROUND(((ROUND(AT133*CZ133,2)*1.15)*1.15),6)</f>
        <v>185.75835000000001</v>
      </c>
      <c r="DC133">
        <f>ROUND(((ROUND(AT133*AG133,2)*1.15)*1.15),6)</f>
        <v>0</v>
      </c>
    </row>
    <row r="134" spans="1:107" x14ac:dyDescent="0.2">
      <c r="A134">
        <f>ROW(Source!A112)</f>
        <v>112</v>
      </c>
      <c r="B134">
        <v>47631607</v>
      </c>
      <c r="C134">
        <v>47635857</v>
      </c>
      <c r="D134">
        <v>37064876</v>
      </c>
      <c r="E134">
        <v>1</v>
      </c>
      <c r="F134">
        <v>1</v>
      </c>
      <c r="G134">
        <v>1</v>
      </c>
      <c r="H134">
        <v>1</v>
      </c>
      <c r="I134" t="s">
        <v>500</v>
      </c>
      <c r="J134" t="s">
        <v>3</v>
      </c>
      <c r="K134" t="s">
        <v>501</v>
      </c>
      <c r="L134">
        <v>1191</v>
      </c>
      <c r="N134">
        <v>1013</v>
      </c>
      <c r="O134" t="s">
        <v>487</v>
      </c>
      <c r="P134" t="s">
        <v>487</v>
      </c>
      <c r="Q134">
        <v>1</v>
      </c>
      <c r="W134">
        <v>0</v>
      </c>
      <c r="X134">
        <v>-1417349443</v>
      </c>
      <c r="Y134">
        <v>7.0000000000000007E-2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7.0000000000000007E-2</v>
      </c>
      <c r="AU134" t="s">
        <v>3</v>
      </c>
      <c r="AV134">
        <v>2</v>
      </c>
      <c r="AW134">
        <v>2</v>
      </c>
      <c r="AX134">
        <v>47635859</v>
      </c>
      <c r="AY134">
        <v>1</v>
      </c>
      <c r="AZ134">
        <v>2048</v>
      </c>
      <c r="BA134">
        <v>146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Y134*Source!I112</f>
        <v>0.17010000000000003</v>
      </c>
      <c r="CY134">
        <f>AD134</f>
        <v>0</v>
      </c>
      <c r="CZ134">
        <f>AH134</f>
        <v>0</v>
      </c>
      <c r="DA134">
        <f>AL134</f>
        <v>1</v>
      </c>
      <c r="DB134">
        <f>ROUND(ROUND(AT134*CZ134,2),6)</f>
        <v>0</v>
      </c>
      <c r="DC134">
        <f>ROUND(ROUND(AT134*AG134,2),6)</f>
        <v>0</v>
      </c>
    </row>
    <row r="135" spans="1:107" x14ac:dyDescent="0.2">
      <c r="A135">
        <f>ROW(Source!A112)</f>
        <v>112</v>
      </c>
      <c r="B135">
        <v>47631607</v>
      </c>
      <c r="C135">
        <v>47635857</v>
      </c>
      <c r="D135">
        <v>36882159</v>
      </c>
      <c r="E135">
        <v>1</v>
      </c>
      <c r="F135">
        <v>1</v>
      </c>
      <c r="G135">
        <v>1</v>
      </c>
      <c r="H135">
        <v>2</v>
      </c>
      <c r="I135" t="s">
        <v>518</v>
      </c>
      <c r="J135" t="s">
        <v>519</v>
      </c>
      <c r="K135" t="s">
        <v>520</v>
      </c>
      <c r="L135">
        <v>1368</v>
      </c>
      <c r="N135">
        <v>1011</v>
      </c>
      <c r="O135" t="s">
        <v>505</v>
      </c>
      <c r="P135" t="s">
        <v>505</v>
      </c>
      <c r="Q135">
        <v>1</v>
      </c>
      <c r="W135">
        <v>0</v>
      </c>
      <c r="X135">
        <v>-1718674368</v>
      </c>
      <c r="Y135">
        <v>2.8749999999999998E-2</v>
      </c>
      <c r="AA135">
        <v>0</v>
      </c>
      <c r="AB135">
        <v>111.99</v>
      </c>
      <c r="AC135">
        <v>13.5</v>
      </c>
      <c r="AD135">
        <v>0</v>
      </c>
      <c r="AE135">
        <v>0</v>
      </c>
      <c r="AF135">
        <v>111.99</v>
      </c>
      <c r="AG135">
        <v>13.5</v>
      </c>
      <c r="AH135">
        <v>0</v>
      </c>
      <c r="AI135">
        <v>1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0.02</v>
      </c>
      <c r="AU135" t="s">
        <v>280</v>
      </c>
      <c r="AV135">
        <v>0</v>
      </c>
      <c r="AW135">
        <v>2</v>
      </c>
      <c r="AX135">
        <v>47635860</v>
      </c>
      <c r="AY135">
        <v>1</v>
      </c>
      <c r="AZ135">
        <v>0</v>
      </c>
      <c r="BA135">
        <v>147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Y135*Source!I112</f>
        <v>6.9862499999999994E-2</v>
      </c>
      <c r="CY135">
        <f>AB135</f>
        <v>111.99</v>
      </c>
      <c r="CZ135">
        <f>AF135</f>
        <v>111.99</v>
      </c>
      <c r="DA135">
        <f>AJ135</f>
        <v>1</v>
      </c>
      <c r="DB135">
        <f>ROUND(((ROUND(AT135*CZ135,2)*1.15)*1.25),6)</f>
        <v>3.22</v>
      </c>
      <c r="DC135">
        <f>ROUND(((ROUND(AT135*AG135,2)*1.15)*1.25),6)</f>
        <v>0.388125</v>
      </c>
    </row>
    <row r="136" spans="1:107" x14ac:dyDescent="0.2">
      <c r="A136">
        <f>ROW(Source!A112)</f>
        <v>112</v>
      </c>
      <c r="B136">
        <v>47631607</v>
      </c>
      <c r="C136">
        <v>47635857</v>
      </c>
      <c r="D136">
        <v>36882383</v>
      </c>
      <c r="E136">
        <v>1</v>
      </c>
      <c r="F136">
        <v>1</v>
      </c>
      <c r="G136">
        <v>1</v>
      </c>
      <c r="H136">
        <v>2</v>
      </c>
      <c r="I136" t="s">
        <v>629</v>
      </c>
      <c r="J136" t="s">
        <v>630</v>
      </c>
      <c r="K136" t="s">
        <v>631</v>
      </c>
      <c r="L136">
        <v>1368</v>
      </c>
      <c r="N136">
        <v>1011</v>
      </c>
      <c r="O136" t="s">
        <v>505</v>
      </c>
      <c r="P136" t="s">
        <v>505</v>
      </c>
      <c r="Q136">
        <v>1</v>
      </c>
      <c r="W136">
        <v>0</v>
      </c>
      <c r="X136">
        <v>1225731627</v>
      </c>
      <c r="Y136">
        <v>4.3124999999999997E-2</v>
      </c>
      <c r="AA136">
        <v>0</v>
      </c>
      <c r="AB136">
        <v>89.99</v>
      </c>
      <c r="AC136">
        <v>10.06</v>
      </c>
      <c r="AD136">
        <v>0</v>
      </c>
      <c r="AE136">
        <v>0</v>
      </c>
      <c r="AF136">
        <v>89.99</v>
      </c>
      <c r="AG136">
        <v>10.06</v>
      </c>
      <c r="AH136">
        <v>0</v>
      </c>
      <c r="AI136">
        <v>1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3</v>
      </c>
      <c r="AT136">
        <v>0.03</v>
      </c>
      <c r="AU136" t="s">
        <v>280</v>
      </c>
      <c r="AV136">
        <v>0</v>
      </c>
      <c r="AW136">
        <v>2</v>
      </c>
      <c r="AX136">
        <v>47635861</v>
      </c>
      <c r="AY136">
        <v>1</v>
      </c>
      <c r="AZ136">
        <v>0</v>
      </c>
      <c r="BA136">
        <v>148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Y136*Source!I112</f>
        <v>0.10479375</v>
      </c>
      <c r="CY136">
        <f>AB136</f>
        <v>89.99</v>
      </c>
      <c r="CZ136">
        <f>AF136</f>
        <v>89.99</v>
      </c>
      <c r="DA136">
        <f>AJ136</f>
        <v>1</v>
      </c>
      <c r="DB136">
        <f>ROUND(((ROUND(AT136*CZ136,2)*1.15)*1.25),6)</f>
        <v>3.8812500000000001</v>
      </c>
      <c r="DC136">
        <f>ROUND(((ROUND(AT136*AG136,2)*1.15)*1.25),6)</f>
        <v>0.43125000000000002</v>
      </c>
    </row>
    <row r="137" spans="1:107" x14ac:dyDescent="0.2">
      <c r="A137">
        <f>ROW(Source!A112)</f>
        <v>112</v>
      </c>
      <c r="B137">
        <v>47631607</v>
      </c>
      <c r="C137">
        <v>47635857</v>
      </c>
      <c r="D137">
        <v>36882881</v>
      </c>
      <c r="E137">
        <v>1</v>
      </c>
      <c r="F137">
        <v>1</v>
      </c>
      <c r="G137">
        <v>1</v>
      </c>
      <c r="H137">
        <v>2</v>
      </c>
      <c r="I137" t="s">
        <v>682</v>
      </c>
      <c r="J137" t="s">
        <v>683</v>
      </c>
      <c r="K137" t="s">
        <v>684</v>
      </c>
      <c r="L137">
        <v>1368</v>
      </c>
      <c r="N137">
        <v>1011</v>
      </c>
      <c r="O137" t="s">
        <v>505</v>
      </c>
      <c r="P137" t="s">
        <v>505</v>
      </c>
      <c r="Q137">
        <v>1</v>
      </c>
      <c r="W137">
        <v>0</v>
      </c>
      <c r="X137">
        <v>-145686310</v>
      </c>
      <c r="Y137">
        <v>1.2218749999999998</v>
      </c>
      <c r="AA137">
        <v>0</v>
      </c>
      <c r="AB137">
        <v>60</v>
      </c>
      <c r="AC137">
        <v>0</v>
      </c>
      <c r="AD137">
        <v>0</v>
      </c>
      <c r="AE137">
        <v>0</v>
      </c>
      <c r="AF137">
        <v>60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</v>
      </c>
      <c r="AT137">
        <v>0.85</v>
      </c>
      <c r="AU137" t="s">
        <v>280</v>
      </c>
      <c r="AV137">
        <v>0</v>
      </c>
      <c r="AW137">
        <v>2</v>
      </c>
      <c r="AX137">
        <v>47635862</v>
      </c>
      <c r="AY137">
        <v>1</v>
      </c>
      <c r="AZ137">
        <v>0</v>
      </c>
      <c r="BA137">
        <v>149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Y137*Source!I112</f>
        <v>2.9691562499999997</v>
      </c>
      <c r="CY137">
        <f>AB137</f>
        <v>60</v>
      </c>
      <c r="CZ137">
        <f>AF137</f>
        <v>60</v>
      </c>
      <c r="DA137">
        <f>AJ137</f>
        <v>1</v>
      </c>
      <c r="DB137">
        <f>ROUND(((ROUND(AT137*CZ137,2)*1.15)*1.25),6)</f>
        <v>73.3125</v>
      </c>
      <c r="DC137">
        <f>ROUND(((ROUND(AT137*AG137,2)*1.15)*1.25),6)</f>
        <v>0</v>
      </c>
    </row>
    <row r="138" spans="1:107" x14ac:dyDescent="0.2">
      <c r="A138">
        <f>ROW(Source!A112)</f>
        <v>112</v>
      </c>
      <c r="B138">
        <v>47631607</v>
      </c>
      <c r="C138">
        <v>47635857</v>
      </c>
      <c r="D138">
        <v>36883554</v>
      </c>
      <c r="E138">
        <v>1</v>
      </c>
      <c r="F138">
        <v>1</v>
      </c>
      <c r="G138">
        <v>1</v>
      </c>
      <c r="H138">
        <v>2</v>
      </c>
      <c r="I138" t="s">
        <v>509</v>
      </c>
      <c r="J138" t="s">
        <v>510</v>
      </c>
      <c r="K138" t="s">
        <v>511</v>
      </c>
      <c r="L138">
        <v>1368</v>
      </c>
      <c r="N138">
        <v>1011</v>
      </c>
      <c r="O138" t="s">
        <v>505</v>
      </c>
      <c r="P138" t="s">
        <v>505</v>
      </c>
      <c r="Q138">
        <v>1</v>
      </c>
      <c r="W138">
        <v>0</v>
      </c>
      <c r="X138">
        <v>1372534845</v>
      </c>
      <c r="Y138">
        <v>2.8749999999999998E-2</v>
      </c>
      <c r="AA138">
        <v>0</v>
      </c>
      <c r="AB138">
        <v>65.709999999999994</v>
      </c>
      <c r="AC138">
        <v>11.6</v>
      </c>
      <c r="AD138">
        <v>0</v>
      </c>
      <c r="AE138">
        <v>0</v>
      </c>
      <c r="AF138">
        <v>65.709999999999994</v>
      </c>
      <c r="AG138">
        <v>11.6</v>
      </c>
      <c r="AH138">
        <v>0</v>
      </c>
      <c r="AI138">
        <v>1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</v>
      </c>
      <c r="AT138">
        <v>0.02</v>
      </c>
      <c r="AU138" t="s">
        <v>280</v>
      </c>
      <c r="AV138">
        <v>0</v>
      </c>
      <c r="AW138">
        <v>2</v>
      </c>
      <c r="AX138">
        <v>47635863</v>
      </c>
      <c r="AY138">
        <v>1</v>
      </c>
      <c r="AZ138">
        <v>0</v>
      </c>
      <c r="BA138">
        <v>150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Y138*Source!I112</f>
        <v>6.9862499999999994E-2</v>
      </c>
      <c r="CY138">
        <f>AB138</f>
        <v>65.709999999999994</v>
      </c>
      <c r="CZ138">
        <f>AF138</f>
        <v>65.709999999999994</v>
      </c>
      <c r="DA138">
        <f>AJ138</f>
        <v>1</v>
      </c>
      <c r="DB138">
        <f>ROUND(((ROUND(AT138*CZ138,2)*1.15)*1.25),6)</f>
        <v>1.8831249999999999</v>
      </c>
      <c r="DC138">
        <f>ROUND(((ROUND(AT138*AG138,2)*1.15)*1.25),6)</f>
        <v>0.330625</v>
      </c>
    </row>
    <row r="139" spans="1:107" x14ac:dyDescent="0.2">
      <c r="A139">
        <f>ROW(Source!A112)</f>
        <v>112</v>
      </c>
      <c r="B139">
        <v>47631607</v>
      </c>
      <c r="C139">
        <v>47635857</v>
      </c>
      <c r="D139">
        <v>36799835</v>
      </c>
      <c r="E139">
        <v>1</v>
      </c>
      <c r="F139">
        <v>1</v>
      </c>
      <c r="G139">
        <v>1</v>
      </c>
      <c r="H139">
        <v>3</v>
      </c>
      <c r="I139" t="s">
        <v>685</v>
      </c>
      <c r="J139" t="s">
        <v>686</v>
      </c>
      <c r="K139" t="s">
        <v>687</v>
      </c>
      <c r="L139">
        <v>1348</v>
      </c>
      <c r="N139">
        <v>1009</v>
      </c>
      <c r="O139" t="s">
        <v>32</v>
      </c>
      <c r="P139" t="s">
        <v>32</v>
      </c>
      <c r="Q139">
        <v>1000</v>
      </c>
      <c r="W139">
        <v>0</v>
      </c>
      <c r="X139">
        <v>-940730847</v>
      </c>
      <c r="Y139">
        <v>0.06</v>
      </c>
      <c r="AA139">
        <v>1690</v>
      </c>
      <c r="AB139">
        <v>0</v>
      </c>
      <c r="AC139">
        <v>0</v>
      </c>
      <c r="AD139">
        <v>0</v>
      </c>
      <c r="AE139">
        <v>1690</v>
      </c>
      <c r="AF139">
        <v>0</v>
      </c>
      <c r="AG139">
        <v>0</v>
      </c>
      <c r="AH139">
        <v>0</v>
      </c>
      <c r="AI139">
        <v>1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0.06</v>
      </c>
      <c r="AU139" t="s">
        <v>3</v>
      </c>
      <c r="AV139">
        <v>0</v>
      </c>
      <c r="AW139">
        <v>2</v>
      </c>
      <c r="AX139">
        <v>47635864</v>
      </c>
      <c r="AY139">
        <v>1</v>
      </c>
      <c r="AZ139">
        <v>0</v>
      </c>
      <c r="BA139">
        <v>151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Y139*Source!I112</f>
        <v>0.14580000000000001</v>
      </c>
      <c r="CY139">
        <f>AA139</f>
        <v>1690</v>
      </c>
      <c r="CZ139">
        <f>AE139</f>
        <v>1690</v>
      </c>
      <c r="DA139">
        <f>AI139</f>
        <v>1</v>
      </c>
      <c r="DB139">
        <f>ROUND(ROUND(AT139*CZ139,2),6)</f>
        <v>101.4</v>
      </c>
      <c r="DC139">
        <f>ROUND(ROUND(AT139*AG139,2),6)</f>
        <v>0</v>
      </c>
    </row>
    <row r="140" spans="1:107" x14ac:dyDescent="0.2">
      <c r="A140">
        <f>ROW(Source!A112)</f>
        <v>112</v>
      </c>
      <c r="B140">
        <v>47631607</v>
      </c>
      <c r="C140">
        <v>47635857</v>
      </c>
      <c r="D140">
        <v>36806289</v>
      </c>
      <c r="E140">
        <v>1</v>
      </c>
      <c r="F140">
        <v>1</v>
      </c>
      <c r="G140">
        <v>1</v>
      </c>
      <c r="H140">
        <v>3</v>
      </c>
      <c r="I140" t="s">
        <v>101</v>
      </c>
      <c r="J140" t="s">
        <v>103</v>
      </c>
      <c r="K140" t="s">
        <v>102</v>
      </c>
      <c r="L140">
        <v>1339</v>
      </c>
      <c r="N140">
        <v>1007</v>
      </c>
      <c r="O140" t="s">
        <v>96</v>
      </c>
      <c r="P140" t="s">
        <v>96</v>
      </c>
      <c r="Q140">
        <v>1</v>
      </c>
      <c r="W140">
        <v>0</v>
      </c>
      <c r="X140">
        <v>-35545874</v>
      </c>
      <c r="Y140">
        <v>0.5</v>
      </c>
      <c r="AA140">
        <v>55.26</v>
      </c>
      <c r="AB140">
        <v>0</v>
      </c>
      <c r="AC140">
        <v>0</v>
      </c>
      <c r="AD140">
        <v>0</v>
      </c>
      <c r="AE140">
        <v>55.26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0</v>
      </c>
      <c r="AP140">
        <v>0</v>
      </c>
      <c r="AQ140">
        <v>0</v>
      </c>
      <c r="AR140">
        <v>0</v>
      </c>
      <c r="AS140" t="s">
        <v>3</v>
      </c>
      <c r="AT140">
        <v>0.5</v>
      </c>
      <c r="AU140" t="s">
        <v>3</v>
      </c>
      <c r="AV140">
        <v>0</v>
      </c>
      <c r="AW140">
        <v>1</v>
      </c>
      <c r="AX140">
        <v>-1</v>
      </c>
      <c r="AY140">
        <v>0</v>
      </c>
      <c r="AZ140">
        <v>0</v>
      </c>
      <c r="BA140" t="s">
        <v>3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Y140*Source!I112</f>
        <v>1.2150000000000001</v>
      </c>
      <c r="CY140">
        <f>AA140</f>
        <v>55.26</v>
      </c>
      <c r="CZ140">
        <f>AE140</f>
        <v>55.26</v>
      </c>
      <c r="DA140">
        <f>AI140</f>
        <v>1</v>
      </c>
      <c r="DB140">
        <f>ROUND(ROUND(AT140*CZ140,2),6)</f>
        <v>27.63</v>
      </c>
      <c r="DC140">
        <f>ROUND(ROUND(AT140*AG140,2),6)</f>
        <v>0</v>
      </c>
    </row>
    <row r="141" spans="1:107" x14ac:dyDescent="0.2">
      <c r="A141">
        <f>ROW(Source!A112)</f>
        <v>112</v>
      </c>
      <c r="B141">
        <v>47631607</v>
      </c>
      <c r="C141">
        <v>47635857</v>
      </c>
      <c r="D141">
        <v>36807191</v>
      </c>
      <c r="E141">
        <v>1</v>
      </c>
      <c r="F141">
        <v>1</v>
      </c>
      <c r="G141">
        <v>1</v>
      </c>
      <c r="H141">
        <v>3</v>
      </c>
      <c r="I141" t="s">
        <v>305</v>
      </c>
      <c r="J141" t="s">
        <v>307</v>
      </c>
      <c r="K141" t="s">
        <v>306</v>
      </c>
      <c r="L141">
        <v>1348</v>
      </c>
      <c r="N141">
        <v>1009</v>
      </c>
      <c r="O141" t="s">
        <v>32</v>
      </c>
      <c r="P141" t="s">
        <v>32</v>
      </c>
      <c r="Q141">
        <v>1000</v>
      </c>
      <c r="W141">
        <v>0</v>
      </c>
      <c r="X141">
        <v>1957326309</v>
      </c>
      <c r="Y141">
        <v>7.14</v>
      </c>
      <c r="AA141">
        <v>535.5</v>
      </c>
      <c r="AB141">
        <v>0</v>
      </c>
      <c r="AC141">
        <v>0</v>
      </c>
      <c r="AD141">
        <v>0</v>
      </c>
      <c r="AE141">
        <v>535.5</v>
      </c>
      <c r="AF141">
        <v>0</v>
      </c>
      <c r="AG141">
        <v>0</v>
      </c>
      <c r="AH141">
        <v>0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0</v>
      </c>
      <c r="AP141">
        <v>0</v>
      </c>
      <c r="AQ141">
        <v>0</v>
      </c>
      <c r="AR141">
        <v>0</v>
      </c>
      <c r="AS141" t="s">
        <v>3</v>
      </c>
      <c r="AT141">
        <v>7.14</v>
      </c>
      <c r="AU141" t="s">
        <v>3</v>
      </c>
      <c r="AV141">
        <v>0</v>
      </c>
      <c r="AW141">
        <v>1</v>
      </c>
      <c r="AX141">
        <v>-1</v>
      </c>
      <c r="AY141">
        <v>0</v>
      </c>
      <c r="AZ141">
        <v>0</v>
      </c>
      <c r="BA141" t="s">
        <v>3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Y141*Source!I112</f>
        <v>17.350200000000001</v>
      </c>
      <c r="CY141">
        <f>AA141</f>
        <v>535.5</v>
      </c>
      <c r="CZ141">
        <f>AE141</f>
        <v>535.5</v>
      </c>
      <c r="DA141">
        <f>AI141</f>
        <v>1</v>
      </c>
      <c r="DB141">
        <f>ROUND(ROUND(AT141*CZ141,2),6)</f>
        <v>3823.47</v>
      </c>
      <c r="DC141">
        <f>ROUND(ROUND(AT141*AG141,2),6)</f>
        <v>0</v>
      </c>
    </row>
    <row r="142" spans="1:107" x14ac:dyDescent="0.2">
      <c r="A142">
        <f>ROW(Source!A115)</f>
        <v>115</v>
      </c>
      <c r="B142">
        <v>47631607</v>
      </c>
      <c r="C142">
        <v>47635869</v>
      </c>
      <c r="D142">
        <v>37070164</v>
      </c>
      <c r="E142">
        <v>1</v>
      </c>
      <c r="F142">
        <v>1</v>
      </c>
      <c r="G142">
        <v>1</v>
      </c>
      <c r="H142">
        <v>1</v>
      </c>
      <c r="I142" t="s">
        <v>680</v>
      </c>
      <c r="J142" t="s">
        <v>3</v>
      </c>
      <c r="K142" t="s">
        <v>681</v>
      </c>
      <c r="L142">
        <v>1191</v>
      </c>
      <c r="N142">
        <v>1013</v>
      </c>
      <c r="O142" t="s">
        <v>487</v>
      </c>
      <c r="P142" t="s">
        <v>487</v>
      </c>
      <c r="Q142">
        <v>1</v>
      </c>
      <c r="W142">
        <v>0</v>
      </c>
      <c r="X142">
        <v>-598469600</v>
      </c>
      <c r="Y142">
        <v>3.0681999999999996</v>
      </c>
      <c r="AA142">
        <v>0</v>
      </c>
      <c r="AB142">
        <v>0</v>
      </c>
      <c r="AC142">
        <v>0</v>
      </c>
      <c r="AD142">
        <v>9.2899999999999991</v>
      </c>
      <c r="AE142">
        <v>0</v>
      </c>
      <c r="AF142">
        <v>0</v>
      </c>
      <c r="AG142">
        <v>0</v>
      </c>
      <c r="AH142">
        <v>9.2899999999999991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1</v>
      </c>
      <c r="AQ142">
        <v>0</v>
      </c>
      <c r="AR142">
        <v>0</v>
      </c>
      <c r="AS142" t="s">
        <v>3</v>
      </c>
      <c r="AT142">
        <v>2.3199999999999998</v>
      </c>
      <c r="AU142" t="s">
        <v>53</v>
      </c>
      <c r="AV142">
        <v>1</v>
      </c>
      <c r="AW142">
        <v>2</v>
      </c>
      <c r="AX142">
        <v>47635870</v>
      </c>
      <c r="AY142">
        <v>1</v>
      </c>
      <c r="AZ142">
        <v>0</v>
      </c>
      <c r="BA142">
        <v>154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Y142*Source!I115</f>
        <v>7.4557259999999994</v>
      </c>
      <c r="CY142">
        <f>AD142</f>
        <v>9.2899999999999991</v>
      </c>
      <c r="CZ142">
        <f>AH142</f>
        <v>9.2899999999999991</v>
      </c>
      <c r="DA142">
        <f>AL142</f>
        <v>1</v>
      </c>
      <c r="DB142">
        <f>ROUND(((ROUND(AT142*CZ142,2)*1.15)*1.15),6)</f>
        <v>28.499874999999999</v>
      </c>
      <c r="DC142">
        <f>ROUND(((ROUND(AT142*AG142,2)*1.15)*1.15),6)</f>
        <v>0</v>
      </c>
    </row>
    <row r="143" spans="1:107" x14ac:dyDescent="0.2">
      <c r="A143">
        <f>ROW(Source!A115)</f>
        <v>115</v>
      </c>
      <c r="B143">
        <v>47631607</v>
      </c>
      <c r="C143">
        <v>47635869</v>
      </c>
      <c r="D143">
        <v>36882881</v>
      </c>
      <c r="E143">
        <v>1</v>
      </c>
      <c r="F143">
        <v>1</v>
      </c>
      <c r="G143">
        <v>1</v>
      </c>
      <c r="H143">
        <v>2</v>
      </c>
      <c r="I143" t="s">
        <v>682</v>
      </c>
      <c r="J143" t="s">
        <v>683</v>
      </c>
      <c r="K143" t="s">
        <v>684</v>
      </c>
      <c r="L143">
        <v>1368</v>
      </c>
      <c r="N143">
        <v>1011</v>
      </c>
      <c r="O143" t="s">
        <v>505</v>
      </c>
      <c r="P143" t="s">
        <v>505</v>
      </c>
      <c r="Q143">
        <v>1</v>
      </c>
      <c r="W143">
        <v>0</v>
      </c>
      <c r="X143">
        <v>-145686310</v>
      </c>
      <c r="Y143">
        <v>0.20125000000000001</v>
      </c>
      <c r="AA143">
        <v>0</v>
      </c>
      <c r="AB143">
        <v>60</v>
      </c>
      <c r="AC143">
        <v>0</v>
      </c>
      <c r="AD143">
        <v>0</v>
      </c>
      <c r="AE143">
        <v>0</v>
      </c>
      <c r="AF143">
        <v>60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</v>
      </c>
      <c r="AT143">
        <v>0.14000000000000001</v>
      </c>
      <c r="AU143" t="s">
        <v>280</v>
      </c>
      <c r="AV143">
        <v>0</v>
      </c>
      <c r="AW143">
        <v>2</v>
      </c>
      <c r="AX143">
        <v>47635871</v>
      </c>
      <c r="AY143">
        <v>1</v>
      </c>
      <c r="AZ143">
        <v>0</v>
      </c>
      <c r="BA143">
        <v>155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Y143*Source!I115</f>
        <v>0.48903750000000007</v>
      </c>
      <c r="CY143">
        <f>AB143</f>
        <v>60</v>
      </c>
      <c r="CZ143">
        <f>AF143</f>
        <v>60</v>
      </c>
      <c r="DA143">
        <f>AJ143</f>
        <v>1</v>
      </c>
      <c r="DB143">
        <f>ROUND(((ROUND(AT143*CZ143,2)*1.15)*1.25),6)</f>
        <v>12.074999999999999</v>
      </c>
      <c r="DC143">
        <f>ROUND(((ROUND(AT143*AG143,2)*1.15)*1.25),6)</f>
        <v>0</v>
      </c>
    </row>
    <row r="144" spans="1:107" x14ac:dyDescent="0.2">
      <c r="A144">
        <f>ROW(Source!A115)</f>
        <v>115</v>
      </c>
      <c r="B144">
        <v>47631607</v>
      </c>
      <c r="C144">
        <v>47635869</v>
      </c>
      <c r="D144">
        <v>36807191</v>
      </c>
      <c r="E144">
        <v>1</v>
      </c>
      <c r="F144">
        <v>1</v>
      </c>
      <c r="G144">
        <v>1</v>
      </c>
      <c r="H144">
        <v>3</v>
      </c>
      <c r="I144" t="s">
        <v>305</v>
      </c>
      <c r="J144" t="s">
        <v>307</v>
      </c>
      <c r="K144" t="s">
        <v>306</v>
      </c>
      <c r="L144">
        <v>1348</v>
      </c>
      <c r="N144">
        <v>1009</v>
      </c>
      <c r="O144" t="s">
        <v>32</v>
      </c>
      <c r="P144" t="s">
        <v>32</v>
      </c>
      <c r="Q144">
        <v>1000</v>
      </c>
      <c r="W144">
        <v>0</v>
      </c>
      <c r="X144">
        <v>1957326309</v>
      </c>
      <c r="Y144">
        <v>1.21</v>
      </c>
      <c r="AA144">
        <v>535.5</v>
      </c>
      <c r="AB144">
        <v>0</v>
      </c>
      <c r="AC144">
        <v>0</v>
      </c>
      <c r="AD144">
        <v>0</v>
      </c>
      <c r="AE144">
        <v>535.5</v>
      </c>
      <c r="AF144">
        <v>0</v>
      </c>
      <c r="AG144">
        <v>0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0</v>
      </c>
      <c r="AP144">
        <v>0</v>
      </c>
      <c r="AQ144">
        <v>0</v>
      </c>
      <c r="AR144">
        <v>0</v>
      </c>
      <c r="AS144" t="s">
        <v>3</v>
      </c>
      <c r="AT144">
        <v>1.21</v>
      </c>
      <c r="AU144" t="s">
        <v>3</v>
      </c>
      <c r="AV144">
        <v>0</v>
      </c>
      <c r="AW144">
        <v>1</v>
      </c>
      <c r="AX144">
        <v>-1</v>
      </c>
      <c r="AY144">
        <v>0</v>
      </c>
      <c r="AZ144">
        <v>0</v>
      </c>
      <c r="BA144" t="s">
        <v>3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Y144*Source!I115</f>
        <v>2.9403000000000001</v>
      </c>
      <c r="CY144">
        <f>AA144</f>
        <v>535.5</v>
      </c>
      <c r="CZ144">
        <f>AE144</f>
        <v>535.5</v>
      </c>
      <c r="DA144">
        <f>AI144</f>
        <v>1</v>
      </c>
      <c r="DB144">
        <f>ROUND(ROUND(AT144*CZ144,2),6)</f>
        <v>647.96</v>
      </c>
      <c r="DC144">
        <f>ROUND(ROUND(AT144*AG144,2),6)</f>
        <v>0</v>
      </c>
    </row>
    <row r="145" spans="1:107" x14ac:dyDescent="0.2">
      <c r="A145">
        <f>ROW(Source!A151)</f>
        <v>151</v>
      </c>
      <c r="B145">
        <v>47631607</v>
      </c>
      <c r="C145">
        <v>47635961</v>
      </c>
      <c r="D145">
        <v>37066837</v>
      </c>
      <c r="E145">
        <v>1</v>
      </c>
      <c r="F145">
        <v>1</v>
      </c>
      <c r="G145">
        <v>1</v>
      </c>
      <c r="H145">
        <v>1</v>
      </c>
      <c r="I145" t="s">
        <v>654</v>
      </c>
      <c r="J145" t="s">
        <v>3</v>
      </c>
      <c r="K145" t="s">
        <v>655</v>
      </c>
      <c r="L145">
        <v>1191</v>
      </c>
      <c r="N145">
        <v>1013</v>
      </c>
      <c r="O145" t="s">
        <v>487</v>
      </c>
      <c r="P145" t="s">
        <v>487</v>
      </c>
      <c r="Q145">
        <v>1</v>
      </c>
      <c r="W145">
        <v>0</v>
      </c>
      <c r="X145">
        <v>1850719656</v>
      </c>
      <c r="Y145">
        <v>66.423999999999992</v>
      </c>
      <c r="AA145">
        <v>0</v>
      </c>
      <c r="AB145">
        <v>0</v>
      </c>
      <c r="AC145">
        <v>0</v>
      </c>
      <c r="AD145">
        <v>8.31</v>
      </c>
      <c r="AE145">
        <v>0</v>
      </c>
      <c r="AF145">
        <v>0</v>
      </c>
      <c r="AG145">
        <v>0</v>
      </c>
      <c r="AH145">
        <v>8.31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</v>
      </c>
      <c r="AT145">
        <v>57.76</v>
      </c>
      <c r="AU145" t="s">
        <v>24</v>
      </c>
      <c r="AV145">
        <v>1</v>
      </c>
      <c r="AW145">
        <v>2</v>
      </c>
      <c r="AX145">
        <v>47635966</v>
      </c>
      <c r="AY145">
        <v>1</v>
      </c>
      <c r="AZ145">
        <v>0</v>
      </c>
      <c r="BA145">
        <v>157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Y145*Source!I151</f>
        <v>23.115551999999997</v>
      </c>
      <c r="CY145">
        <f>AD145</f>
        <v>8.31</v>
      </c>
      <c r="CZ145">
        <f>AH145</f>
        <v>8.31</v>
      </c>
      <c r="DA145">
        <f>AL145</f>
        <v>1</v>
      </c>
      <c r="DB145">
        <f>ROUND((ROUND(AT145*CZ145,2)*1.15),6)</f>
        <v>551.98850000000004</v>
      </c>
      <c r="DC145">
        <f>ROUND((ROUND(AT145*AG145,2)*1.15),6)</f>
        <v>0</v>
      </c>
    </row>
    <row r="146" spans="1:107" x14ac:dyDescent="0.2">
      <c r="A146">
        <f>ROW(Source!A151)</f>
        <v>151</v>
      </c>
      <c r="B146">
        <v>47631607</v>
      </c>
      <c r="C146">
        <v>47635961</v>
      </c>
      <c r="D146">
        <v>37064876</v>
      </c>
      <c r="E146">
        <v>1</v>
      </c>
      <c r="F146">
        <v>1</v>
      </c>
      <c r="G146">
        <v>1</v>
      </c>
      <c r="H146">
        <v>1</v>
      </c>
      <c r="I146" t="s">
        <v>500</v>
      </c>
      <c r="J146" t="s">
        <v>3</v>
      </c>
      <c r="K146" t="s">
        <v>501</v>
      </c>
      <c r="L146">
        <v>1191</v>
      </c>
      <c r="N146">
        <v>1013</v>
      </c>
      <c r="O146" t="s">
        <v>487</v>
      </c>
      <c r="P146" t="s">
        <v>487</v>
      </c>
      <c r="Q146">
        <v>1</v>
      </c>
      <c r="W146">
        <v>0</v>
      </c>
      <c r="X146">
        <v>-1417349443</v>
      </c>
      <c r="Y146">
        <v>15.7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15.7</v>
      </c>
      <c r="AU146" t="s">
        <v>3</v>
      </c>
      <c r="AV146">
        <v>2</v>
      </c>
      <c r="AW146">
        <v>2</v>
      </c>
      <c r="AX146">
        <v>47635967</v>
      </c>
      <c r="AY146">
        <v>1</v>
      </c>
      <c r="AZ146">
        <v>2048</v>
      </c>
      <c r="BA146">
        <v>158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Y146*Source!I151</f>
        <v>5.4635999999999996</v>
      </c>
      <c r="CY146">
        <f>AD146</f>
        <v>0</v>
      </c>
      <c r="CZ146">
        <f>AH146</f>
        <v>0</v>
      </c>
      <c r="DA146">
        <f>AL146</f>
        <v>1</v>
      </c>
      <c r="DB146">
        <f>ROUND(ROUND(AT146*CZ146,2),6)</f>
        <v>0</v>
      </c>
      <c r="DC146">
        <f>ROUND(ROUND(AT146*AG146,2),6)</f>
        <v>0</v>
      </c>
    </row>
    <row r="147" spans="1:107" x14ac:dyDescent="0.2">
      <c r="A147">
        <f>ROW(Source!A151)</f>
        <v>151</v>
      </c>
      <c r="B147">
        <v>47631607</v>
      </c>
      <c r="C147">
        <v>47635961</v>
      </c>
      <c r="D147">
        <v>36883878</v>
      </c>
      <c r="E147">
        <v>1</v>
      </c>
      <c r="F147">
        <v>1</v>
      </c>
      <c r="G147">
        <v>1</v>
      </c>
      <c r="H147">
        <v>2</v>
      </c>
      <c r="I147" t="s">
        <v>594</v>
      </c>
      <c r="J147" t="s">
        <v>595</v>
      </c>
      <c r="K147" t="s">
        <v>596</v>
      </c>
      <c r="L147">
        <v>1368</v>
      </c>
      <c r="N147">
        <v>1011</v>
      </c>
      <c r="O147" t="s">
        <v>505</v>
      </c>
      <c r="P147" t="s">
        <v>505</v>
      </c>
      <c r="Q147">
        <v>1</v>
      </c>
      <c r="W147">
        <v>0</v>
      </c>
      <c r="X147">
        <v>-1589061407</v>
      </c>
      <c r="Y147">
        <v>18.054999999999996</v>
      </c>
      <c r="AA147">
        <v>0</v>
      </c>
      <c r="AB147">
        <v>90</v>
      </c>
      <c r="AC147">
        <v>10.06</v>
      </c>
      <c r="AD147">
        <v>0</v>
      </c>
      <c r="AE147">
        <v>0</v>
      </c>
      <c r="AF147">
        <v>90</v>
      </c>
      <c r="AG147">
        <v>10.06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15.7</v>
      </c>
      <c r="AU147" t="s">
        <v>24</v>
      </c>
      <c r="AV147">
        <v>0</v>
      </c>
      <c r="AW147">
        <v>2</v>
      </c>
      <c r="AX147">
        <v>47635968</v>
      </c>
      <c r="AY147">
        <v>1</v>
      </c>
      <c r="AZ147">
        <v>0</v>
      </c>
      <c r="BA147">
        <v>159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Y147*Source!I151</f>
        <v>6.2831399999999986</v>
      </c>
      <c r="CY147">
        <f>AB147</f>
        <v>90</v>
      </c>
      <c r="CZ147">
        <f>AF147</f>
        <v>90</v>
      </c>
      <c r="DA147">
        <f>AJ147</f>
        <v>1</v>
      </c>
      <c r="DB147">
        <f>ROUND((ROUND(AT147*CZ147,2)*1.15),6)</f>
        <v>1624.95</v>
      </c>
      <c r="DC147">
        <f>ROUND((ROUND(AT147*AG147,2)*1.15),6)</f>
        <v>181.631</v>
      </c>
    </row>
    <row r="148" spans="1:107" x14ac:dyDescent="0.2">
      <c r="A148">
        <f>ROW(Source!A151)</f>
        <v>151</v>
      </c>
      <c r="B148">
        <v>47631607</v>
      </c>
      <c r="C148">
        <v>47635961</v>
      </c>
      <c r="D148">
        <v>36884481</v>
      </c>
      <c r="E148">
        <v>1</v>
      </c>
      <c r="F148">
        <v>1</v>
      </c>
      <c r="G148">
        <v>1</v>
      </c>
      <c r="H148">
        <v>2</v>
      </c>
      <c r="I148" t="s">
        <v>656</v>
      </c>
      <c r="J148" t="s">
        <v>657</v>
      </c>
      <c r="K148" t="s">
        <v>658</v>
      </c>
      <c r="L148">
        <v>1368</v>
      </c>
      <c r="N148">
        <v>1011</v>
      </c>
      <c r="O148" t="s">
        <v>505</v>
      </c>
      <c r="P148" t="s">
        <v>505</v>
      </c>
      <c r="Q148">
        <v>1</v>
      </c>
      <c r="W148">
        <v>0</v>
      </c>
      <c r="X148">
        <v>1518765163</v>
      </c>
      <c r="Y148">
        <v>54.164999999999999</v>
      </c>
      <c r="AA148">
        <v>0</v>
      </c>
      <c r="AB148">
        <v>1.53</v>
      </c>
      <c r="AC148">
        <v>0</v>
      </c>
      <c r="AD148">
        <v>0</v>
      </c>
      <c r="AE148">
        <v>0</v>
      </c>
      <c r="AF148">
        <v>1.53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47.1</v>
      </c>
      <c r="AU148" t="s">
        <v>24</v>
      </c>
      <c r="AV148">
        <v>0</v>
      </c>
      <c r="AW148">
        <v>2</v>
      </c>
      <c r="AX148">
        <v>47635969</v>
      </c>
      <c r="AY148">
        <v>1</v>
      </c>
      <c r="AZ148">
        <v>0</v>
      </c>
      <c r="BA148">
        <v>160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Y148*Source!I151</f>
        <v>18.849419999999999</v>
      </c>
      <c r="CY148">
        <f>AB148</f>
        <v>1.53</v>
      </c>
      <c r="CZ148">
        <f>AF148</f>
        <v>1.53</v>
      </c>
      <c r="DA148">
        <f>AJ148</f>
        <v>1</v>
      </c>
      <c r="DB148">
        <f>ROUND((ROUND(AT148*CZ148,2)*1.15),6)</f>
        <v>82.869</v>
      </c>
      <c r="DC148">
        <f>ROUND((ROUND(AT148*AG148,2)*1.15),6)</f>
        <v>0</v>
      </c>
    </row>
    <row r="149" spans="1:107" x14ac:dyDescent="0.2">
      <c r="A149">
        <f>ROW(Source!A152)</f>
        <v>152</v>
      </c>
      <c r="B149">
        <v>47631607</v>
      </c>
      <c r="C149">
        <v>47636054</v>
      </c>
      <c r="D149">
        <v>37066837</v>
      </c>
      <c r="E149">
        <v>1</v>
      </c>
      <c r="F149">
        <v>1</v>
      </c>
      <c r="G149">
        <v>1</v>
      </c>
      <c r="H149">
        <v>1</v>
      </c>
      <c r="I149" t="s">
        <v>654</v>
      </c>
      <c r="J149" t="s">
        <v>3</v>
      </c>
      <c r="K149" t="s">
        <v>655</v>
      </c>
      <c r="L149">
        <v>1191</v>
      </c>
      <c r="N149">
        <v>1013</v>
      </c>
      <c r="O149" t="s">
        <v>487</v>
      </c>
      <c r="P149" t="s">
        <v>487</v>
      </c>
      <c r="Q149">
        <v>1</v>
      </c>
      <c r="W149">
        <v>0</v>
      </c>
      <c r="X149">
        <v>1850719656</v>
      </c>
      <c r="Y149">
        <v>66.423999999999992</v>
      </c>
      <c r="AA149">
        <v>0</v>
      </c>
      <c r="AB149">
        <v>0</v>
      </c>
      <c r="AC149">
        <v>0</v>
      </c>
      <c r="AD149">
        <v>8.31</v>
      </c>
      <c r="AE149">
        <v>0</v>
      </c>
      <c r="AF149">
        <v>0</v>
      </c>
      <c r="AG149">
        <v>0</v>
      </c>
      <c r="AH149">
        <v>8.31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57.76</v>
      </c>
      <c r="AU149" t="s">
        <v>24</v>
      </c>
      <c r="AV149">
        <v>1</v>
      </c>
      <c r="AW149">
        <v>2</v>
      </c>
      <c r="AX149">
        <v>47636059</v>
      </c>
      <c r="AY149">
        <v>1</v>
      </c>
      <c r="AZ149">
        <v>0</v>
      </c>
      <c r="BA149">
        <v>161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Y149*Source!I152</f>
        <v>23.115551999999997</v>
      </c>
      <c r="CY149">
        <f>AD149</f>
        <v>8.31</v>
      </c>
      <c r="CZ149">
        <f>AH149</f>
        <v>8.31</v>
      </c>
      <c r="DA149">
        <f>AL149</f>
        <v>1</v>
      </c>
      <c r="DB149">
        <f>ROUND((ROUND(AT149*CZ149,2)*1.15),6)</f>
        <v>551.98850000000004</v>
      </c>
      <c r="DC149">
        <f>ROUND((ROUND(AT149*AG149,2)*1.15),6)</f>
        <v>0</v>
      </c>
    </row>
    <row r="150" spans="1:107" x14ac:dyDescent="0.2">
      <c r="A150">
        <f>ROW(Source!A152)</f>
        <v>152</v>
      </c>
      <c r="B150">
        <v>47631607</v>
      </c>
      <c r="C150">
        <v>47636054</v>
      </c>
      <c r="D150">
        <v>37064876</v>
      </c>
      <c r="E150">
        <v>1</v>
      </c>
      <c r="F150">
        <v>1</v>
      </c>
      <c r="G150">
        <v>1</v>
      </c>
      <c r="H150">
        <v>1</v>
      </c>
      <c r="I150" t="s">
        <v>500</v>
      </c>
      <c r="J150" t="s">
        <v>3</v>
      </c>
      <c r="K150" t="s">
        <v>501</v>
      </c>
      <c r="L150">
        <v>1191</v>
      </c>
      <c r="N150">
        <v>1013</v>
      </c>
      <c r="O150" t="s">
        <v>487</v>
      </c>
      <c r="P150" t="s">
        <v>487</v>
      </c>
      <c r="Q150">
        <v>1</v>
      </c>
      <c r="W150">
        <v>0</v>
      </c>
      <c r="X150">
        <v>-1417349443</v>
      </c>
      <c r="Y150">
        <v>15.7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15.7</v>
      </c>
      <c r="AU150" t="s">
        <v>3</v>
      </c>
      <c r="AV150">
        <v>2</v>
      </c>
      <c r="AW150">
        <v>2</v>
      </c>
      <c r="AX150">
        <v>47636060</v>
      </c>
      <c r="AY150">
        <v>1</v>
      </c>
      <c r="AZ150">
        <v>2048</v>
      </c>
      <c r="BA150">
        <v>162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Y150*Source!I152</f>
        <v>5.4635999999999996</v>
      </c>
      <c r="CY150">
        <f>AD150</f>
        <v>0</v>
      </c>
      <c r="CZ150">
        <f>AH150</f>
        <v>0</v>
      </c>
      <c r="DA150">
        <f>AL150</f>
        <v>1</v>
      </c>
      <c r="DB150">
        <f>ROUND(ROUND(AT150*CZ150,2),6)</f>
        <v>0</v>
      </c>
      <c r="DC150">
        <f>ROUND(ROUND(AT150*AG150,2),6)</f>
        <v>0</v>
      </c>
    </row>
    <row r="151" spans="1:107" x14ac:dyDescent="0.2">
      <c r="A151">
        <f>ROW(Source!A152)</f>
        <v>152</v>
      </c>
      <c r="B151">
        <v>47631607</v>
      </c>
      <c r="C151">
        <v>47636054</v>
      </c>
      <c r="D151">
        <v>36883878</v>
      </c>
      <c r="E151">
        <v>1</v>
      </c>
      <c r="F151">
        <v>1</v>
      </c>
      <c r="G151">
        <v>1</v>
      </c>
      <c r="H151">
        <v>2</v>
      </c>
      <c r="I151" t="s">
        <v>594</v>
      </c>
      <c r="J151" t="s">
        <v>595</v>
      </c>
      <c r="K151" t="s">
        <v>596</v>
      </c>
      <c r="L151">
        <v>1368</v>
      </c>
      <c r="N151">
        <v>1011</v>
      </c>
      <c r="O151" t="s">
        <v>505</v>
      </c>
      <c r="P151" t="s">
        <v>505</v>
      </c>
      <c r="Q151">
        <v>1</v>
      </c>
      <c r="W151">
        <v>0</v>
      </c>
      <c r="X151">
        <v>-1589061407</v>
      </c>
      <c r="Y151">
        <v>18.054999999999996</v>
      </c>
      <c r="AA151">
        <v>0</v>
      </c>
      <c r="AB151">
        <v>90</v>
      </c>
      <c r="AC151">
        <v>10.06</v>
      </c>
      <c r="AD151">
        <v>0</v>
      </c>
      <c r="AE151">
        <v>0</v>
      </c>
      <c r="AF151">
        <v>90</v>
      </c>
      <c r="AG151">
        <v>10.06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15.7</v>
      </c>
      <c r="AU151" t="s">
        <v>24</v>
      </c>
      <c r="AV151">
        <v>0</v>
      </c>
      <c r="AW151">
        <v>2</v>
      </c>
      <c r="AX151">
        <v>47636061</v>
      </c>
      <c r="AY151">
        <v>1</v>
      </c>
      <c r="AZ151">
        <v>0</v>
      </c>
      <c r="BA151">
        <v>163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Y151*Source!I152</f>
        <v>6.2831399999999986</v>
      </c>
      <c r="CY151">
        <f>AB151</f>
        <v>90</v>
      </c>
      <c r="CZ151">
        <f>AF151</f>
        <v>90</v>
      </c>
      <c r="DA151">
        <f>AJ151</f>
        <v>1</v>
      </c>
      <c r="DB151">
        <f>ROUND((ROUND(AT151*CZ151,2)*1.15),6)</f>
        <v>1624.95</v>
      </c>
      <c r="DC151">
        <f>ROUND((ROUND(AT151*AG151,2)*1.15),6)</f>
        <v>181.631</v>
      </c>
    </row>
    <row r="152" spans="1:107" x14ac:dyDescent="0.2">
      <c r="A152">
        <f>ROW(Source!A152)</f>
        <v>152</v>
      </c>
      <c r="B152">
        <v>47631607</v>
      </c>
      <c r="C152">
        <v>47636054</v>
      </c>
      <c r="D152">
        <v>36884481</v>
      </c>
      <c r="E152">
        <v>1</v>
      </c>
      <c r="F152">
        <v>1</v>
      </c>
      <c r="G152">
        <v>1</v>
      </c>
      <c r="H152">
        <v>2</v>
      </c>
      <c r="I152" t="s">
        <v>656</v>
      </c>
      <c r="J152" t="s">
        <v>657</v>
      </c>
      <c r="K152" t="s">
        <v>658</v>
      </c>
      <c r="L152">
        <v>1368</v>
      </c>
      <c r="N152">
        <v>1011</v>
      </c>
      <c r="O152" t="s">
        <v>505</v>
      </c>
      <c r="P152" t="s">
        <v>505</v>
      </c>
      <c r="Q152">
        <v>1</v>
      </c>
      <c r="W152">
        <v>0</v>
      </c>
      <c r="X152">
        <v>1518765163</v>
      </c>
      <c r="Y152">
        <v>54.164999999999999</v>
      </c>
      <c r="AA152">
        <v>0</v>
      </c>
      <c r="AB152">
        <v>1.53</v>
      </c>
      <c r="AC152">
        <v>0</v>
      </c>
      <c r="AD152">
        <v>0</v>
      </c>
      <c r="AE152">
        <v>0</v>
      </c>
      <c r="AF152">
        <v>1.53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47.1</v>
      </c>
      <c r="AU152" t="s">
        <v>24</v>
      </c>
      <c r="AV152">
        <v>0</v>
      </c>
      <c r="AW152">
        <v>2</v>
      </c>
      <c r="AX152">
        <v>47636062</v>
      </c>
      <c r="AY152">
        <v>1</v>
      </c>
      <c r="AZ152">
        <v>0</v>
      </c>
      <c r="BA152">
        <v>164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Y152*Source!I152</f>
        <v>18.849419999999999</v>
      </c>
      <c r="CY152">
        <f>AB152</f>
        <v>1.53</v>
      </c>
      <c r="CZ152">
        <f>AF152</f>
        <v>1.53</v>
      </c>
      <c r="DA152">
        <f>AJ152</f>
        <v>1</v>
      </c>
      <c r="DB152">
        <f>ROUND((ROUND(AT152*CZ152,2)*1.15),6)</f>
        <v>82.869</v>
      </c>
      <c r="DC152">
        <f>ROUND((ROUND(AT152*AG152,2)*1.15),6)</f>
        <v>0</v>
      </c>
    </row>
    <row r="153" spans="1:107" x14ac:dyDescent="0.2">
      <c r="A153">
        <f>ROW(Source!A153)</f>
        <v>153</v>
      </c>
      <c r="B153">
        <v>47631607</v>
      </c>
      <c r="C153">
        <v>47635970</v>
      </c>
      <c r="D153">
        <v>37065946</v>
      </c>
      <c r="E153">
        <v>1</v>
      </c>
      <c r="F153">
        <v>1</v>
      </c>
      <c r="G153">
        <v>1</v>
      </c>
      <c r="H153">
        <v>1</v>
      </c>
      <c r="I153" t="s">
        <v>659</v>
      </c>
      <c r="J153" t="s">
        <v>3</v>
      </c>
      <c r="K153" t="s">
        <v>660</v>
      </c>
      <c r="L153">
        <v>1191</v>
      </c>
      <c r="N153">
        <v>1013</v>
      </c>
      <c r="O153" t="s">
        <v>487</v>
      </c>
      <c r="P153" t="s">
        <v>487</v>
      </c>
      <c r="Q153">
        <v>1</v>
      </c>
      <c r="W153">
        <v>0</v>
      </c>
      <c r="X153">
        <v>152375061</v>
      </c>
      <c r="Y153">
        <v>21.125499999999999</v>
      </c>
      <c r="AA153">
        <v>0</v>
      </c>
      <c r="AB153">
        <v>0</v>
      </c>
      <c r="AC153">
        <v>0</v>
      </c>
      <c r="AD153">
        <v>7.87</v>
      </c>
      <c r="AE153">
        <v>0</v>
      </c>
      <c r="AF153">
        <v>0</v>
      </c>
      <c r="AG153">
        <v>0</v>
      </c>
      <c r="AH153">
        <v>7.87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18.37</v>
      </c>
      <c r="AU153" t="s">
        <v>24</v>
      </c>
      <c r="AV153">
        <v>1</v>
      </c>
      <c r="AW153">
        <v>2</v>
      </c>
      <c r="AX153">
        <v>47635975</v>
      </c>
      <c r="AY153">
        <v>1</v>
      </c>
      <c r="AZ153">
        <v>0</v>
      </c>
      <c r="BA153">
        <v>165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Y153*Source!I153</f>
        <v>36.758369999999999</v>
      </c>
      <c r="CY153">
        <f>AD153</f>
        <v>7.87</v>
      </c>
      <c r="CZ153">
        <f>AH153</f>
        <v>7.87</v>
      </c>
      <c r="DA153">
        <f>AL153</f>
        <v>1</v>
      </c>
      <c r="DB153">
        <f>ROUND((ROUND(AT153*CZ153,2)*1.15),6)</f>
        <v>166.25550000000001</v>
      </c>
      <c r="DC153">
        <f>ROUND((ROUND(AT153*AG153,2)*1.15),6)</f>
        <v>0</v>
      </c>
    </row>
    <row r="154" spans="1:107" x14ac:dyDescent="0.2">
      <c r="A154">
        <f>ROW(Source!A153)</f>
        <v>153</v>
      </c>
      <c r="B154">
        <v>47631607</v>
      </c>
      <c r="C154">
        <v>47635970</v>
      </c>
      <c r="D154">
        <v>37064876</v>
      </c>
      <c r="E154">
        <v>1</v>
      </c>
      <c r="F154">
        <v>1</v>
      </c>
      <c r="G154">
        <v>1</v>
      </c>
      <c r="H154">
        <v>1</v>
      </c>
      <c r="I154" t="s">
        <v>500</v>
      </c>
      <c r="J154" t="s">
        <v>3</v>
      </c>
      <c r="K154" t="s">
        <v>501</v>
      </c>
      <c r="L154">
        <v>1191</v>
      </c>
      <c r="N154">
        <v>1013</v>
      </c>
      <c r="O154" t="s">
        <v>487</v>
      </c>
      <c r="P154" t="s">
        <v>487</v>
      </c>
      <c r="Q154">
        <v>1</v>
      </c>
      <c r="W154">
        <v>0</v>
      </c>
      <c r="X154">
        <v>-1417349443</v>
      </c>
      <c r="Y154">
        <v>4.6500000000000004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4.6500000000000004</v>
      </c>
      <c r="AU154" t="s">
        <v>3</v>
      </c>
      <c r="AV154">
        <v>2</v>
      </c>
      <c r="AW154">
        <v>2</v>
      </c>
      <c r="AX154">
        <v>47635976</v>
      </c>
      <c r="AY154">
        <v>1</v>
      </c>
      <c r="AZ154">
        <v>2048</v>
      </c>
      <c r="BA154">
        <v>166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Y154*Source!I153</f>
        <v>8.0910000000000011</v>
      </c>
      <c r="CY154">
        <f>AD154</f>
        <v>0</v>
      </c>
      <c r="CZ154">
        <f>AH154</f>
        <v>0</v>
      </c>
      <c r="DA154">
        <f>AL154</f>
        <v>1</v>
      </c>
      <c r="DB154">
        <f>ROUND(ROUND(AT154*CZ154,2),6)</f>
        <v>0</v>
      </c>
      <c r="DC154">
        <f>ROUND(ROUND(AT154*AG154,2),6)</f>
        <v>0</v>
      </c>
    </row>
    <row r="155" spans="1:107" x14ac:dyDescent="0.2">
      <c r="A155">
        <f>ROW(Source!A153)</f>
        <v>153</v>
      </c>
      <c r="B155">
        <v>47631607</v>
      </c>
      <c r="C155">
        <v>47635970</v>
      </c>
      <c r="D155">
        <v>36881380</v>
      </c>
      <c r="E155">
        <v>1</v>
      </c>
      <c r="F155">
        <v>1</v>
      </c>
      <c r="G155">
        <v>1</v>
      </c>
      <c r="H155">
        <v>2</v>
      </c>
      <c r="I155" t="s">
        <v>661</v>
      </c>
      <c r="J155" t="s">
        <v>662</v>
      </c>
      <c r="K155" t="s">
        <v>663</v>
      </c>
      <c r="L155">
        <v>1368</v>
      </c>
      <c r="N155">
        <v>1011</v>
      </c>
      <c r="O155" t="s">
        <v>505</v>
      </c>
      <c r="P155" t="s">
        <v>505</v>
      </c>
      <c r="Q155">
        <v>1</v>
      </c>
      <c r="W155">
        <v>0</v>
      </c>
      <c r="X155">
        <v>645023554</v>
      </c>
      <c r="Y155">
        <v>3.0704999999999996</v>
      </c>
      <c r="AA155">
        <v>0</v>
      </c>
      <c r="AB155">
        <v>123</v>
      </c>
      <c r="AC155">
        <v>13.5</v>
      </c>
      <c r="AD155">
        <v>0</v>
      </c>
      <c r="AE155">
        <v>0</v>
      </c>
      <c r="AF155">
        <v>123</v>
      </c>
      <c r="AG155">
        <v>13.5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2.67</v>
      </c>
      <c r="AU155" t="s">
        <v>24</v>
      </c>
      <c r="AV155">
        <v>0</v>
      </c>
      <c r="AW155">
        <v>2</v>
      </c>
      <c r="AX155">
        <v>47635977</v>
      </c>
      <c r="AY155">
        <v>1</v>
      </c>
      <c r="AZ155">
        <v>0</v>
      </c>
      <c r="BA155">
        <v>167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Y155*Source!I153</f>
        <v>5.3426699999999991</v>
      </c>
      <c r="CY155">
        <f>AB155</f>
        <v>123</v>
      </c>
      <c r="CZ155">
        <f>AF155</f>
        <v>123</v>
      </c>
      <c r="DA155">
        <f>AJ155</f>
        <v>1</v>
      </c>
      <c r="DB155">
        <f>ROUND((ROUND(AT155*CZ155,2)*1.15),6)</f>
        <v>377.67149999999998</v>
      </c>
      <c r="DC155">
        <f>ROUND((ROUND(AT155*AG155,2)*1.15),6)</f>
        <v>41.457500000000003</v>
      </c>
    </row>
    <row r="156" spans="1:107" x14ac:dyDescent="0.2">
      <c r="A156">
        <f>ROW(Source!A153)</f>
        <v>153</v>
      </c>
      <c r="B156">
        <v>47631607</v>
      </c>
      <c r="C156">
        <v>47635970</v>
      </c>
      <c r="D156">
        <v>36883489</v>
      </c>
      <c r="E156">
        <v>1</v>
      </c>
      <c r="F156">
        <v>1</v>
      </c>
      <c r="G156">
        <v>1</v>
      </c>
      <c r="H156">
        <v>2</v>
      </c>
      <c r="I156" t="s">
        <v>664</v>
      </c>
      <c r="J156" t="s">
        <v>665</v>
      </c>
      <c r="K156" t="s">
        <v>666</v>
      </c>
      <c r="L156">
        <v>1368</v>
      </c>
      <c r="N156">
        <v>1011</v>
      </c>
      <c r="O156" t="s">
        <v>505</v>
      </c>
      <c r="P156" t="s">
        <v>505</v>
      </c>
      <c r="Q156">
        <v>1</v>
      </c>
      <c r="W156">
        <v>0</v>
      </c>
      <c r="X156">
        <v>1513269878</v>
      </c>
      <c r="Y156">
        <v>2.2769999999999997</v>
      </c>
      <c r="AA156">
        <v>0</v>
      </c>
      <c r="AB156">
        <v>62.3</v>
      </c>
      <c r="AC156">
        <v>11.6</v>
      </c>
      <c r="AD156">
        <v>0</v>
      </c>
      <c r="AE156">
        <v>0</v>
      </c>
      <c r="AF156">
        <v>62.3</v>
      </c>
      <c r="AG156">
        <v>11.6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1.98</v>
      </c>
      <c r="AU156" t="s">
        <v>24</v>
      </c>
      <c r="AV156">
        <v>0</v>
      </c>
      <c r="AW156">
        <v>2</v>
      </c>
      <c r="AX156">
        <v>47635978</v>
      </c>
      <c r="AY156">
        <v>1</v>
      </c>
      <c r="AZ156">
        <v>0</v>
      </c>
      <c r="BA156">
        <v>168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Y156*Source!I153</f>
        <v>3.9619799999999996</v>
      </c>
      <c r="CY156">
        <f>AB156</f>
        <v>62.3</v>
      </c>
      <c r="CZ156">
        <f>AF156</f>
        <v>62.3</v>
      </c>
      <c r="DA156">
        <f>AJ156</f>
        <v>1</v>
      </c>
      <c r="DB156">
        <f>ROUND((ROUND(AT156*CZ156,2)*1.15),6)</f>
        <v>141.85249999999999</v>
      </c>
      <c r="DC156">
        <f>ROUND((ROUND(AT156*AG156,2)*1.15),6)</f>
        <v>26.415500000000002</v>
      </c>
    </row>
    <row r="157" spans="1:107" x14ac:dyDescent="0.2">
      <c r="A157">
        <f>ROW(Source!A156)</f>
        <v>156</v>
      </c>
      <c r="B157">
        <v>47631607</v>
      </c>
      <c r="C157">
        <v>47635981</v>
      </c>
      <c r="D157">
        <v>37066491</v>
      </c>
      <c r="E157">
        <v>1</v>
      </c>
      <c r="F157">
        <v>1</v>
      </c>
      <c r="G157">
        <v>1</v>
      </c>
      <c r="H157">
        <v>1</v>
      </c>
      <c r="I157" t="s">
        <v>667</v>
      </c>
      <c r="J157" t="s">
        <v>3</v>
      </c>
      <c r="K157" t="s">
        <v>668</v>
      </c>
      <c r="L157">
        <v>1191</v>
      </c>
      <c r="N157">
        <v>1013</v>
      </c>
      <c r="O157" t="s">
        <v>487</v>
      </c>
      <c r="P157" t="s">
        <v>487</v>
      </c>
      <c r="Q157">
        <v>1</v>
      </c>
      <c r="W157">
        <v>0</v>
      </c>
      <c r="X157">
        <v>-228054128</v>
      </c>
      <c r="Y157">
        <v>20.789699999999996</v>
      </c>
      <c r="AA157">
        <v>0</v>
      </c>
      <c r="AB157">
        <v>0</v>
      </c>
      <c r="AC157">
        <v>0</v>
      </c>
      <c r="AD157">
        <v>8.02</v>
      </c>
      <c r="AE157">
        <v>0</v>
      </c>
      <c r="AF157">
        <v>0</v>
      </c>
      <c r="AG157">
        <v>0</v>
      </c>
      <c r="AH157">
        <v>8.02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15.72</v>
      </c>
      <c r="AU157" t="s">
        <v>53</v>
      </c>
      <c r="AV157">
        <v>1</v>
      </c>
      <c r="AW157">
        <v>2</v>
      </c>
      <c r="AX157">
        <v>47635990</v>
      </c>
      <c r="AY157">
        <v>1</v>
      </c>
      <c r="AZ157">
        <v>0</v>
      </c>
      <c r="BA157">
        <v>169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Y157*Source!I156</f>
        <v>14.469631199999997</v>
      </c>
      <c r="CY157">
        <f>AD157</f>
        <v>8.02</v>
      </c>
      <c r="CZ157">
        <f>AH157</f>
        <v>8.02</v>
      </c>
      <c r="DA157">
        <f>AL157</f>
        <v>1</v>
      </c>
      <c r="DB157">
        <f>ROUND(((ROUND(AT157*CZ157,2)*1.15)*1.15),6)</f>
        <v>166.727575</v>
      </c>
      <c r="DC157">
        <f>ROUND(((ROUND(AT157*AG157,2)*1.15)*1.15),6)</f>
        <v>0</v>
      </c>
    </row>
    <row r="158" spans="1:107" x14ac:dyDescent="0.2">
      <c r="A158">
        <f>ROW(Source!A156)</f>
        <v>156</v>
      </c>
      <c r="B158">
        <v>47631607</v>
      </c>
      <c r="C158">
        <v>47635981</v>
      </c>
      <c r="D158">
        <v>37064876</v>
      </c>
      <c r="E158">
        <v>1</v>
      </c>
      <c r="F158">
        <v>1</v>
      </c>
      <c r="G158">
        <v>1</v>
      </c>
      <c r="H158">
        <v>1</v>
      </c>
      <c r="I158" t="s">
        <v>500</v>
      </c>
      <c r="J158" t="s">
        <v>3</v>
      </c>
      <c r="K158" t="s">
        <v>501</v>
      </c>
      <c r="L158">
        <v>1191</v>
      </c>
      <c r="N158">
        <v>1013</v>
      </c>
      <c r="O158" t="s">
        <v>487</v>
      </c>
      <c r="P158" t="s">
        <v>487</v>
      </c>
      <c r="Q158">
        <v>1</v>
      </c>
      <c r="W158">
        <v>0</v>
      </c>
      <c r="X158">
        <v>-1417349443</v>
      </c>
      <c r="Y158">
        <v>13.88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13.88</v>
      </c>
      <c r="AU158" t="s">
        <v>3</v>
      </c>
      <c r="AV158">
        <v>2</v>
      </c>
      <c r="AW158">
        <v>2</v>
      </c>
      <c r="AX158">
        <v>47635991</v>
      </c>
      <c r="AY158">
        <v>1</v>
      </c>
      <c r="AZ158">
        <v>2048</v>
      </c>
      <c r="BA158">
        <v>170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Y158*Source!I156</f>
        <v>9.6604799999999997</v>
      </c>
      <c r="CY158">
        <f>AD158</f>
        <v>0</v>
      </c>
      <c r="CZ158">
        <f>AH158</f>
        <v>0</v>
      </c>
      <c r="DA158">
        <f>AL158</f>
        <v>1</v>
      </c>
      <c r="DB158">
        <f>ROUND(ROUND(AT158*CZ158,2),6)</f>
        <v>0</v>
      </c>
      <c r="DC158">
        <f>ROUND(ROUND(AT158*AG158,2),6)</f>
        <v>0</v>
      </c>
    </row>
    <row r="159" spans="1:107" x14ac:dyDescent="0.2">
      <c r="A159">
        <f>ROW(Source!A156)</f>
        <v>156</v>
      </c>
      <c r="B159">
        <v>47631607</v>
      </c>
      <c r="C159">
        <v>47635981</v>
      </c>
      <c r="D159">
        <v>36881380</v>
      </c>
      <c r="E159">
        <v>1</v>
      </c>
      <c r="F159">
        <v>1</v>
      </c>
      <c r="G159">
        <v>1</v>
      </c>
      <c r="H159">
        <v>2</v>
      </c>
      <c r="I159" t="s">
        <v>661</v>
      </c>
      <c r="J159" t="s">
        <v>662</v>
      </c>
      <c r="K159" t="s">
        <v>663</v>
      </c>
      <c r="L159">
        <v>1368</v>
      </c>
      <c r="N159">
        <v>1011</v>
      </c>
      <c r="O159" t="s">
        <v>505</v>
      </c>
      <c r="P159" t="s">
        <v>505</v>
      </c>
      <c r="Q159">
        <v>1</v>
      </c>
      <c r="W159">
        <v>0</v>
      </c>
      <c r="X159">
        <v>645023554</v>
      </c>
      <c r="Y159">
        <v>2.5443749999999996</v>
      </c>
      <c r="AA159">
        <v>0</v>
      </c>
      <c r="AB159">
        <v>123</v>
      </c>
      <c r="AC159">
        <v>13.5</v>
      </c>
      <c r="AD159">
        <v>0</v>
      </c>
      <c r="AE159">
        <v>0</v>
      </c>
      <c r="AF159">
        <v>123</v>
      </c>
      <c r="AG159">
        <v>13.5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</v>
      </c>
      <c r="AT159">
        <v>1.77</v>
      </c>
      <c r="AU159" t="s">
        <v>280</v>
      </c>
      <c r="AV159">
        <v>0</v>
      </c>
      <c r="AW159">
        <v>2</v>
      </c>
      <c r="AX159">
        <v>47635992</v>
      </c>
      <c r="AY159">
        <v>1</v>
      </c>
      <c r="AZ159">
        <v>0</v>
      </c>
      <c r="BA159">
        <v>171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Y159*Source!I156</f>
        <v>1.7708849999999996</v>
      </c>
      <c r="CY159">
        <f>AB159</f>
        <v>123</v>
      </c>
      <c r="CZ159">
        <f>AF159</f>
        <v>123</v>
      </c>
      <c r="DA159">
        <f>AJ159</f>
        <v>1</v>
      </c>
      <c r="DB159">
        <f>ROUND(((ROUND(AT159*CZ159,2)*1.15)*1.25),6)</f>
        <v>312.958125</v>
      </c>
      <c r="DC159">
        <f>ROUND(((ROUND(AT159*AG159,2)*1.15)*1.25),6)</f>
        <v>34.356250000000003</v>
      </c>
    </row>
    <row r="160" spans="1:107" x14ac:dyDescent="0.2">
      <c r="A160">
        <f>ROW(Source!A156)</f>
        <v>156</v>
      </c>
      <c r="B160">
        <v>47631607</v>
      </c>
      <c r="C160">
        <v>47635981</v>
      </c>
      <c r="D160">
        <v>36882383</v>
      </c>
      <c r="E160">
        <v>1</v>
      </c>
      <c r="F160">
        <v>1</v>
      </c>
      <c r="G160">
        <v>1</v>
      </c>
      <c r="H160">
        <v>2</v>
      </c>
      <c r="I160" t="s">
        <v>629</v>
      </c>
      <c r="J160" t="s">
        <v>630</v>
      </c>
      <c r="K160" t="s">
        <v>631</v>
      </c>
      <c r="L160">
        <v>1368</v>
      </c>
      <c r="N160">
        <v>1011</v>
      </c>
      <c r="O160" t="s">
        <v>505</v>
      </c>
      <c r="P160" t="s">
        <v>505</v>
      </c>
      <c r="Q160">
        <v>1</v>
      </c>
      <c r="W160">
        <v>0</v>
      </c>
      <c r="X160">
        <v>-665367104</v>
      </c>
      <c r="Y160">
        <v>6.1668749999999992</v>
      </c>
      <c r="AA160">
        <v>0</v>
      </c>
      <c r="AB160">
        <v>89.99</v>
      </c>
      <c r="AC160">
        <v>10.06</v>
      </c>
      <c r="AD160">
        <v>0</v>
      </c>
      <c r="AE160">
        <v>0</v>
      </c>
      <c r="AF160">
        <v>89.99</v>
      </c>
      <c r="AG160">
        <v>10.06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4.29</v>
      </c>
      <c r="AU160" t="s">
        <v>280</v>
      </c>
      <c r="AV160">
        <v>0</v>
      </c>
      <c r="AW160">
        <v>2</v>
      </c>
      <c r="AX160">
        <v>47635993</v>
      </c>
      <c r="AY160">
        <v>1</v>
      </c>
      <c r="AZ160">
        <v>0</v>
      </c>
      <c r="BA160">
        <v>172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Y160*Source!I156</f>
        <v>4.2921449999999988</v>
      </c>
      <c r="CY160">
        <f>AB160</f>
        <v>89.99</v>
      </c>
      <c r="CZ160">
        <f>AF160</f>
        <v>89.99</v>
      </c>
      <c r="DA160">
        <f>AJ160</f>
        <v>1</v>
      </c>
      <c r="DB160">
        <f>ROUND(((ROUND(AT160*CZ160,2)*1.15)*1.25),6)</f>
        <v>554.96124999999995</v>
      </c>
      <c r="DC160">
        <f>ROUND(((ROUND(AT160*AG160,2)*1.15)*1.25),6)</f>
        <v>62.042499999999997</v>
      </c>
    </row>
    <row r="161" spans="1:107" x14ac:dyDescent="0.2">
      <c r="A161">
        <f>ROW(Source!A156)</f>
        <v>156</v>
      </c>
      <c r="B161">
        <v>47631607</v>
      </c>
      <c r="C161">
        <v>47635981</v>
      </c>
      <c r="D161">
        <v>36882750</v>
      </c>
      <c r="E161">
        <v>1</v>
      </c>
      <c r="F161">
        <v>1</v>
      </c>
      <c r="G161">
        <v>1</v>
      </c>
      <c r="H161">
        <v>2</v>
      </c>
      <c r="I161" t="s">
        <v>669</v>
      </c>
      <c r="J161" t="s">
        <v>670</v>
      </c>
      <c r="K161" t="s">
        <v>671</v>
      </c>
      <c r="L161">
        <v>1368</v>
      </c>
      <c r="N161">
        <v>1011</v>
      </c>
      <c r="O161" t="s">
        <v>505</v>
      </c>
      <c r="P161" t="s">
        <v>505</v>
      </c>
      <c r="Q161">
        <v>1</v>
      </c>
      <c r="W161">
        <v>0</v>
      </c>
      <c r="X161">
        <v>1663826256</v>
      </c>
      <c r="Y161">
        <v>10.177499999999998</v>
      </c>
      <c r="AA161">
        <v>0</v>
      </c>
      <c r="AB161">
        <v>206.01</v>
      </c>
      <c r="AC161">
        <v>14.4</v>
      </c>
      <c r="AD161">
        <v>0</v>
      </c>
      <c r="AE161">
        <v>0</v>
      </c>
      <c r="AF161">
        <v>206.01</v>
      </c>
      <c r="AG161">
        <v>14.4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</v>
      </c>
      <c r="AT161">
        <v>7.08</v>
      </c>
      <c r="AU161" t="s">
        <v>280</v>
      </c>
      <c r="AV161">
        <v>0</v>
      </c>
      <c r="AW161">
        <v>2</v>
      </c>
      <c r="AX161">
        <v>47635994</v>
      </c>
      <c r="AY161">
        <v>1</v>
      </c>
      <c r="AZ161">
        <v>0</v>
      </c>
      <c r="BA161">
        <v>173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Y161*Source!I156</f>
        <v>7.0835399999999984</v>
      </c>
      <c r="CY161">
        <f>AB161</f>
        <v>206.01</v>
      </c>
      <c r="CZ161">
        <f>AF161</f>
        <v>206.01</v>
      </c>
      <c r="DA161">
        <f>AJ161</f>
        <v>1</v>
      </c>
      <c r="DB161">
        <f>ROUND(((ROUND(AT161*CZ161,2)*1.15)*1.25),6)</f>
        <v>2096.6656250000001</v>
      </c>
      <c r="DC161">
        <f>ROUND(((ROUND(AT161*AG161,2)*1.15)*1.25),6)</f>
        <v>146.55312499999999</v>
      </c>
    </row>
    <row r="162" spans="1:107" x14ac:dyDescent="0.2">
      <c r="A162">
        <f>ROW(Source!A156)</f>
        <v>156</v>
      </c>
      <c r="B162">
        <v>47631607</v>
      </c>
      <c r="C162">
        <v>47635981</v>
      </c>
      <c r="D162">
        <v>36883483</v>
      </c>
      <c r="E162">
        <v>1</v>
      </c>
      <c r="F162">
        <v>1</v>
      </c>
      <c r="G162">
        <v>1</v>
      </c>
      <c r="H162">
        <v>2</v>
      </c>
      <c r="I162" t="s">
        <v>672</v>
      </c>
      <c r="J162" t="s">
        <v>673</v>
      </c>
      <c r="K162" t="s">
        <v>674</v>
      </c>
      <c r="L162">
        <v>1368</v>
      </c>
      <c r="N162">
        <v>1011</v>
      </c>
      <c r="O162" t="s">
        <v>505</v>
      </c>
      <c r="P162" t="s">
        <v>505</v>
      </c>
      <c r="Q162">
        <v>1</v>
      </c>
      <c r="W162">
        <v>0</v>
      </c>
      <c r="X162">
        <v>1403266566</v>
      </c>
      <c r="Y162">
        <v>1.06375</v>
      </c>
      <c r="AA162">
        <v>0</v>
      </c>
      <c r="AB162">
        <v>110</v>
      </c>
      <c r="AC162">
        <v>11.6</v>
      </c>
      <c r="AD162">
        <v>0</v>
      </c>
      <c r="AE162">
        <v>0</v>
      </c>
      <c r="AF162">
        <v>110</v>
      </c>
      <c r="AG162">
        <v>11.6</v>
      </c>
      <c r="AH162">
        <v>0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0.74</v>
      </c>
      <c r="AU162" t="s">
        <v>280</v>
      </c>
      <c r="AV162">
        <v>0</v>
      </c>
      <c r="AW162">
        <v>2</v>
      </c>
      <c r="AX162">
        <v>47635995</v>
      </c>
      <c r="AY162">
        <v>1</v>
      </c>
      <c r="AZ162">
        <v>0</v>
      </c>
      <c r="BA162">
        <v>174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Y162*Source!I156</f>
        <v>0.74036999999999997</v>
      </c>
      <c r="CY162">
        <f>AB162</f>
        <v>110</v>
      </c>
      <c r="CZ162">
        <f>AF162</f>
        <v>110</v>
      </c>
      <c r="DA162">
        <f>AJ162</f>
        <v>1</v>
      </c>
      <c r="DB162">
        <f>ROUND(((ROUND(AT162*CZ162,2)*1.15)*1.25),6)</f>
        <v>117.0125</v>
      </c>
      <c r="DC162">
        <f>ROUND(((ROUND(AT162*AG162,2)*1.15)*1.25),6)</f>
        <v>12.33375</v>
      </c>
    </row>
    <row r="163" spans="1:107" x14ac:dyDescent="0.2">
      <c r="A163">
        <f>ROW(Source!A156)</f>
        <v>156</v>
      </c>
      <c r="B163">
        <v>47631607</v>
      </c>
      <c r="C163">
        <v>47635981</v>
      </c>
      <c r="D163">
        <v>36801792</v>
      </c>
      <c r="E163">
        <v>1</v>
      </c>
      <c r="F163">
        <v>1</v>
      </c>
      <c r="G163">
        <v>1</v>
      </c>
      <c r="H163">
        <v>3</v>
      </c>
      <c r="I163" t="s">
        <v>597</v>
      </c>
      <c r="J163" t="s">
        <v>598</v>
      </c>
      <c r="K163" t="s">
        <v>599</v>
      </c>
      <c r="L163">
        <v>1339</v>
      </c>
      <c r="N163">
        <v>1007</v>
      </c>
      <c r="O163" t="s">
        <v>96</v>
      </c>
      <c r="P163" t="s">
        <v>96</v>
      </c>
      <c r="Q163">
        <v>1</v>
      </c>
      <c r="W163">
        <v>0</v>
      </c>
      <c r="X163">
        <v>-1660354250</v>
      </c>
      <c r="Y163">
        <v>5</v>
      </c>
      <c r="AA163">
        <v>2.44</v>
      </c>
      <c r="AB163">
        <v>0</v>
      </c>
      <c r="AC163">
        <v>0</v>
      </c>
      <c r="AD163">
        <v>0</v>
      </c>
      <c r="AE163">
        <v>2.44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5</v>
      </c>
      <c r="AU163" t="s">
        <v>3</v>
      </c>
      <c r="AV163">
        <v>0</v>
      </c>
      <c r="AW163">
        <v>2</v>
      </c>
      <c r="AX163">
        <v>47635996</v>
      </c>
      <c r="AY163">
        <v>1</v>
      </c>
      <c r="AZ163">
        <v>0</v>
      </c>
      <c r="BA163">
        <v>175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Y163*Source!I156</f>
        <v>3.4799999999999995</v>
      </c>
      <c r="CY163">
        <f>AA163</f>
        <v>2.44</v>
      </c>
      <c r="CZ163">
        <f>AE163</f>
        <v>2.44</v>
      </c>
      <c r="DA163">
        <f>AI163</f>
        <v>1</v>
      </c>
      <c r="DB163">
        <f>ROUND(ROUND(AT163*CZ163,2),6)</f>
        <v>12.2</v>
      </c>
      <c r="DC163">
        <f>ROUND(ROUND(AT163*AG163,2),6)</f>
        <v>0</v>
      </c>
    </row>
    <row r="164" spans="1:107" x14ac:dyDescent="0.2">
      <c r="A164">
        <f>ROW(Source!A156)</f>
        <v>156</v>
      </c>
      <c r="B164">
        <v>47631607</v>
      </c>
      <c r="C164">
        <v>47635981</v>
      </c>
      <c r="D164">
        <v>36806289</v>
      </c>
      <c r="E164">
        <v>1</v>
      </c>
      <c r="F164">
        <v>1</v>
      </c>
      <c r="G164">
        <v>1</v>
      </c>
      <c r="H164">
        <v>3</v>
      </c>
      <c r="I164" t="s">
        <v>101</v>
      </c>
      <c r="J164" t="s">
        <v>103</v>
      </c>
      <c r="K164" t="s">
        <v>102</v>
      </c>
      <c r="L164">
        <v>1339</v>
      </c>
      <c r="N164">
        <v>1007</v>
      </c>
      <c r="O164" t="s">
        <v>96</v>
      </c>
      <c r="P164" t="s">
        <v>96</v>
      </c>
      <c r="Q164">
        <v>1</v>
      </c>
      <c r="W164">
        <v>0</v>
      </c>
      <c r="X164">
        <v>-35545874</v>
      </c>
      <c r="Y164">
        <v>102.5</v>
      </c>
      <c r="AA164">
        <v>55.26</v>
      </c>
      <c r="AB164">
        <v>0</v>
      </c>
      <c r="AC164">
        <v>0</v>
      </c>
      <c r="AD164">
        <v>0</v>
      </c>
      <c r="AE164">
        <v>55.26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N164">
        <v>1</v>
      </c>
      <c r="AO164">
        <v>0</v>
      </c>
      <c r="AP164">
        <v>0</v>
      </c>
      <c r="AQ164">
        <v>0</v>
      </c>
      <c r="AR164">
        <v>0</v>
      </c>
      <c r="AS164" t="s">
        <v>3</v>
      </c>
      <c r="AT164">
        <v>102.5</v>
      </c>
      <c r="AU164" t="s">
        <v>3</v>
      </c>
      <c r="AV164">
        <v>0</v>
      </c>
      <c r="AW164">
        <v>1</v>
      </c>
      <c r="AX164">
        <v>-1</v>
      </c>
      <c r="AY164">
        <v>0</v>
      </c>
      <c r="AZ164">
        <v>0</v>
      </c>
      <c r="BA164" t="s">
        <v>3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Y164*Source!I156</f>
        <v>71.339999999999989</v>
      </c>
      <c r="CY164">
        <f>AA164</f>
        <v>55.26</v>
      </c>
      <c r="CZ164">
        <f>AE164</f>
        <v>55.26</v>
      </c>
      <c r="DA164">
        <f>AI164</f>
        <v>1</v>
      </c>
      <c r="DB164">
        <f>ROUND(ROUND(AT164*CZ164,2),6)</f>
        <v>5664.15</v>
      </c>
      <c r="DC164">
        <f>ROUND(ROUND(AT164*AG164,2),6)</f>
        <v>0</v>
      </c>
    </row>
    <row r="165" spans="1:107" x14ac:dyDescent="0.2">
      <c r="A165">
        <f>ROW(Source!A158)</f>
        <v>158</v>
      </c>
      <c r="B165">
        <v>47631607</v>
      </c>
      <c r="C165">
        <v>47635999</v>
      </c>
      <c r="D165">
        <v>37068148</v>
      </c>
      <c r="E165">
        <v>1</v>
      </c>
      <c r="F165">
        <v>1</v>
      </c>
      <c r="G165">
        <v>1</v>
      </c>
      <c r="H165">
        <v>1</v>
      </c>
      <c r="I165" t="s">
        <v>688</v>
      </c>
      <c r="J165" t="s">
        <v>3</v>
      </c>
      <c r="K165" t="s">
        <v>689</v>
      </c>
      <c r="L165">
        <v>1191</v>
      </c>
      <c r="N165">
        <v>1013</v>
      </c>
      <c r="O165" t="s">
        <v>487</v>
      </c>
      <c r="P165" t="s">
        <v>487</v>
      </c>
      <c r="Q165">
        <v>1</v>
      </c>
      <c r="W165">
        <v>0</v>
      </c>
      <c r="X165">
        <v>371339561</v>
      </c>
      <c r="Y165">
        <v>31.991274999999998</v>
      </c>
      <c r="AA165">
        <v>0</v>
      </c>
      <c r="AB165">
        <v>0</v>
      </c>
      <c r="AC165">
        <v>0</v>
      </c>
      <c r="AD165">
        <v>8.09</v>
      </c>
      <c r="AE165">
        <v>0</v>
      </c>
      <c r="AF165">
        <v>0</v>
      </c>
      <c r="AG165">
        <v>0</v>
      </c>
      <c r="AH165">
        <v>8.09</v>
      </c>
      <c r="AI165">
        <v>1</v>
      </c>
      <c r="AJ165">
        <v>1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24.19</v>
      </c>
      <c r="AU165" t="s">
        <v>53</v>
      </c>
      <c r="AV165">
        <v>1</v>
      </c>
      <c r="AW165">
        <v>2</v>
      </c>
      <c r="AX165">
        <v>47636067</v>
      </c>
      <c r="AY165">
        <v>1</v>
      </c>
      <c r="AZ165">
        <v>0</v>
      </c>
      <c r="BA165">
        <v>177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Y165*Source!I158</f>
        <v>33.3988911</v>
      </c>
      <c r="CY165">
        <f>AD165</f>
        <v>8.09</v>
      </c>
      <c r="CZ165">
        <f>AH165</f>
        <v>8.09</v>
      </c>
      <c r="DA165">
        <f>AL165</f>
        <v>1</v>
      </c>
      <c r="DB165">
        <f>ROUND(((ROUND(AT165*CZ165,2)*1.15)*1.15),6)</f>
        <v>258.81324999999998</v>
      </c>
      <c r="DC165">
        <f>ROUND(((ROUND(AT165*AG165,2)*1.15)*1.15),6)</f>
        <v>0</v>
      </c>
    </row>
    <row r="166" spans="1:107" x14ac:dyDescent="0.2">
      <c r="A166">
        <f>ROW(Source!A158)</f>
        <v>158</v>
      </c>
      <c r="B166">
        <v>47631607</v>
      </c>
      <c r="C166">
        <v>47635999</v>
      </c>
      <c r="D166">
        <v>37064876</v>
      </c>
      <c r="E166">
        <v>1</v>
      </c>
      <c r="F166">
        <v>1</v>
      </c>
      <c r="G166">
        <v>1</v>
      </c>
      <c r="H166">
        <v>1</v>
      </c>
      <c r="I166" t="s">
        <v>500</v>
      </c>
      <c r="J166" t="s">
        <v>3</v>
      </c>
      <c r="K166" t="s">
        <v>501</v>
      </c>
      <c r="L166">
        <v>1191</v>
      </c>
      <c r="N166">
        <v>1013</v>
      </c>
      <c r="O166" t="s">
        <v>487</v>
      </c>
      <c r="P166" t="s">
        <v>487</v>
      </c>
      <c r="Q166">
        <v>1</v>
      </c>
      <c r="W166">
        <v>0</v>
      </c>
      <c r="X166">
        <v>-1417349443</v>
      </c>
      <c r="Y166">
        <v>20.6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20.6</v>
      </c>
      <c r="AU166" t="s">
        <v>3</v>
      </c>
      <c r="AV166">
        <v>2</v>
      </c>
      <c r="AW166">
        <v>2</v>
      </c>
      <c r="AX166">
        <v>47636068</v>
      </c>
      <c r="AY166">
        <v>1</v>
      </c>
      <c r="AZ166">
        <v>2048</v>
      </c>
      <c r="BA166">
        <v>178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Y166*Source!I158</f>
        <v>21.506400000000003</v>
      </c>
      <c r="CY166">
        <f>AD166</f>
        <v>0</v>
      </c>
      <c r="CZ166">
        <f>AH166</f>
        <v>0</v>
      </c>
      <c r="DA166">
        <f>AL166</f>
        <v>1</v>
      </c>
      <c r="DB166">
        <f>ROUND(ROUND(AT166*CZ166,2),6)</f>
        <v>0</v>
      </c>
      <c r="DC166">
        <f>ROUND(ROUND(AT166*AG166,2),6)</f>
        <v>0</v>
      </c>
    </row>
    <row r="167" spans="1:107" x14ac:dyDescent="0.2">
      <c r="A167">
        <f>ROW(Source!A158)</f>
        <v>158</v>
      </c>
      <c r="B167">
        <v>47631607</v>
      </c>
      <c r="C167">
        <v>47635999</v>
      </c>
      <c r="D167">
        <v>36881356</v>
      </c>
      <c r="E167">
        <v>1</v>
      </c>
      <c r="F167">
        <v>1</v>
      </c>
      <c r="G167">
        <v>1</v>
      </c>
      <c r="H167">
        <v>2</v>
      </c>
      <c r="I167" t="s">
        <v>690</v>
      </c>
      <c r="J167" t="s">
        <v>691</v>
      </c>
      <c r="K167" t="s">
        <v>692</v>
      </c>
      <c r="L167">
        <v>1368</v>
      </c>
      <c r="N167">
        <v>1011</v>
      </c>
      <c r="O167" t="s">
        <v>505</v>
      </c>
      <c r="P167" t="s">
        <v>505</v>
      </c>
      <c r="Q167">
        <v>1</v>
      </c>
      <c r="W167">
        <v>0</v>
      </c>
      <c r="X167">
        <v>-1071764843</v>
      </c>
      <c r="Y167">
        <v>3.7231249999999996</v>
      </c>
      <c r="AA167">
        <v>0</v>
      </c>
      <c r="AB167">
        <v>79.069999999999993</v>
      </c>
      <c r="AC167">
        <v>13.5</v>
      </c>
      <c r="AD167">
        <v>0</v>
      </c>
      <c r="AE167">
        <v>0</v>
      </c>
      <c r="AF167">
        <v>79.069999999999993</v>
      </c>
      <c r="AG167">
        <v>13.5</v>
      </c>
      <c r="AH167">
        <v>0</v>
      </c>
      <c r="AI167">
        <v>1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</v>
      </c>
      <c r="AT167">
        <v>2.59</v>
      </c>
      <c r="AU167" t="s">
        <v>280</v>
      </c>
      <c r="AV167">
        <v>0</v>
      </c>
      <c r="AW167">
        <v>2</v>
      </c>
      <c r="AX167">
        <v>47636069</v>
      </c>
      <c r="AY167">
        <v>1</v>
      </c>
      <c r="AZ167">
        <v>0</v>
      </c>
      <c r="BA167">
        <v>179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Y167*Source!I158</f>
        <v>3.8869424999999995</v>
      </c>
      <c r="CY167">
        <f>AB167</f>
        <v>79.069999999999993</v>
      </c>
      <c r="CZ167">
        <f>AF167</f>
        <v>79.069999999999993</v>
      </c>
      <c r="DA167">
        <f>AJ167</f>
        <v>1</v>
      </c>
      <c r="DB167">
        <f>ROUND(((ROUND(AT167*CZ167,2)*1.15)*1.25),6)</f>
        <v>294.385625</v>
      </c>
      <c r="DC167">
        <f>ROUND(((ROUND(AT167*AG167,2)*1.15)*1.25),6)</f>
        <v>50.269374999999997</v>
      </c>
    </row>
    <row r="168" spans="1:107" x14ac:dyDescent="0.2">
      <c r="A168">
        <f>ROW(Source!A158)</f>
        <v>158</v>
      </c>
      <c r="B168">
        <v>47631607</v>
      </c>
      <c r="C168">
        <v>47635999</v>
      </c>
      <c r="D168">
        <v>36881380</v>
      </c>
      <c r="E168">
        <v>1</v>
      </c>
      <c r="F168">
        <v>1</v>
      </c>
      <c r="G168">
        <v>1</v>
      </c>
      <c r="H168">
        <v>2</v>
      </c>
      <c r="I168" t="s">
        <v>661</v>
      </c>
      <c r="J168" t="s">
        <v>662</v>
      </c>
      <c r="K168" t="s">
        <v>663</v>
      </c>
      <c r="L168">
        <v>1368</v>
      </c>
      <c r="N168">
        <v>1011</v>
      </c>
      <c r="O168" t="s">
        <v>505</v>
      </c>
      <c r="P168" t="s">
        <v>505</v>
      </c>
      <c r="Q168">
        <v>1</v>
      </c>
      <c r="W168">
        <v>0</v>
      </c>
      <c r="X168">
        <v>645023554</v>
      </c>
      <c r="Y168">
        <v>3.3062499999999995</v>
      </c>
      <c r="AA168">
        <v>0</v>
      </c>
      <c r="AB168">
        <v>123</v>
      </c>
      <c r="AC168">
        <v>13.5</v>
      </c>
      <c r="AD168">
        <v>0</v>
      </c>
      <c r="AE168">
        <v>0</v>
      </c>
      <c r="AF168">
        <v>123</v>
      </c>
      <c r="AG168">
        <v>13.5</v>
      </c>
      <c r="AH168">
        <v>0</v>
      </c>
      <c r="AI168">
        <v>1</v>
      </c>
      <c r="AJ168">
        <v>1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</v>
      </c>
      <c r="AT168">
        <v>2.2999999999999998</v>
      </c>
      <c r="AU168" t="s">
        <v>280</v>
      </c>
      <c r="AV168">
        <v>0</v>
      </c>
      <c r="AW168">
        <v>2</v>
      </c>
      <c r="AX168">
        <v>47636070</v>
      </c>
      <c r="AY168">
        <v>1</v>
      </c>
      <c r="AZ168">
        <v>0</v>
      </c>
      <c r="BA168">
        <v>180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Y168*Source!I158</f>
        <v>3.4517249999999997</v>
      </c>
      <c r="CY168">
        <f>AB168</f>
        <v>123</v>
      </c>
      <c r="CZ168">
        <f>AF168</f>
        <v>123</v>
      </c>
      <c r="DA168">
        <f>AJ168</f>
        <v>1</v>
      </c>
      <c r="DB168">
        <f>ROUND(((ROUND(AT168*CZ168,2)*1.15)*1.25),6)</f>
        <v>406.66874999999999</v>
      </c>
      <c r="DC168">
        <f>ROUND(((ROUND(AT168*AG168,2)*1.15)*1.25),6)</f>
        <v>44.634374999999999</v>
      </c>
    </row>
    <row r="169" spans="1:107" x14ac:dyDescent="0.2">
      <c r="A169">
        <f>ROW(Source!A158)</f>
        <v>158</v>
      </c>
      <c r="B169">
        <v>47631607</v>
      </c>
      <c r="C169">
        <v>47635999</v>
      </c>
      <c r="D169">
        <v>36882383</v>
      </c>
      <c r="E169">
        <v>1</v>
      </c>
      <c r="F169">
        <v>1</v>
      </c>
      <c r="G169">
        <v>1</v>
      </c>
      <c r="H169">
        <v>2</v>
      </c>
      <c r="I169" t="s">
        <v>629</v>
      </c>
      <c r="J169" t="s">
        <v>630</v>
      </c>
      <c r="K169" t="s">
        <v>631</v>
      </c>
      <c r="L169">
        <v>1368</v>
      </c>
      <c r="N169">
        <v>1011</v>
      </c>
      <c r="O169" t="s">
        <v>505</v>
      </c>
      <c r="P169" t="s">
        <v>505</v>
      </c>
      <c r="Q169">
        <v>1</v>
      </c>
      <c r="W169">
        <v>0</v>
      </c>
      <c r="X169">
        <v>1225731627</v>
      </c>
      <c r="Y169">
        <v>3.5362499999999999</v>
      </c>
      <c r="AA169">
        <v>0</v>
      </c>
      <c r="AB169">
        <v>89.99</v>
      </c>
      <c r="AC169">
        <v>10.06</v>
      </c>
      <c r="AD169">
        <v>0</v>
      </c>
      <c r="AE169">
        <v>0</v>
      </c>
      <c r="AF169">
        <v>89.99</v>
      </c>
      <c r="AG169">
        <v>10.06</v>
      </c>
      <c r="AH169">
        <v>0</v>
      </c>
      <c r="AI169">
        <v>1</v>
      </c>
      <c r="AJ169">
        <v>1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</v>
      </c>
      <c r="AT169">
        <v>2.46</v>
      </c>
      <c r="AU169" t="s">
        <v>280</v>
      </c>
      <c r="AV169">
        <v>0</v>
      </c>
      <c r="AW169">
        <v>2</v>
      </c>
      <c r="AX169">
        <v>47636071</v>
      </c>
      <c r="AY169">
        <v>1</v>
      </c>
      <c r="AZ169">
        <v>0</v>
      </c>
      <c r="BA169">
        <v>181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Y169*Source!I158</f>
        <v>3.6918449999999998</v>
      </c>
      <c r="CY169">
        <f>AB169</f>
        <v>89.99</v>
      </c>
      <c r="CZ169">
        <f>AF169</f>
        <v>89.99</v>
      </c>
      <c r="DA169">
        <f>AJ169</f>
        <v>1</v>
      </c>
      <c r="DB169">
        <f>ROUND(((ROUND(AT169*CZ169,2)*1.15)*1.25),6)</f>
        <v>318.23374999999999</v>
      </c>
      <c r="DC169">
        <f>ROUND(((ROUND(AT169*AG169,2)*1.15)*1.25),6)</f>
        <v>35.578125</v>
      </c>
    </row>
    <row r="170" spans="1:107" x14ac:dyDescent="0.2">
      <c r="A170">
        <f>ROW(Source!A158)</f>
        <v>158</v>
      </c>
      <c r="B170">
        <v>47631607</v>
      </c>
      <c r="C170">
        <v>47635999</v>
      </c>
      <c r="D170">
        <v>36882750</v>
      </c>
      <c r="E170">
        <v>1</v>
      </c>
      <c r="F170">
        <v>1</v>
      </c>
      <c r="G170">
        <v>1</v>
      </c>
      <c r="H170">
        <v>2</v>
      </c>
      <c r="I170" t="s">
        <v>669</v>
      </c>
      <c r="J170" t="s">
        <v>670</v>
      </c>
      <c r="K170" t="s">
        <v>671</v>
      </c>
      <c r="L170">
        <v>1368</v>
      </c>
      <c r="N170">
        <v>1011</v>
      </c>
      <c r="O170" t="s">
        <v>505</v>
      </c>
      <c r="P170" t="s">
        <v>505</v>
      </c>
      <c r="Q170">
        <v>1</v>
      </c>
      <c r="W170">
        <v>0</v>
      </c>
      <c r="X170">
        <v>1663826256</v>
      </c>
      <c r="Y170">
        <v>17.551874999999999</v>
      </c>
      <c r="AA170">
        <v>0</v>
      </c>
      <c r="AB170">
        <v>206.01</v>
      </c>
      <c r="AC170">
        <v>14.4</v>
      </c>
      <c r="AD170">
        <v>0</v>
      </c>
      <c r="AE170">
        <v>0</v>
      </c>
      <c r="AF170">
        <v>206.01</v>
      </c>
      <c r="AG170">
        <v>14.4</v>
      </c>
      <c r="AH170">
        <v>0</v>
      </c>
      <c r="AI170">
        <v>1</v>
      </c>
      <c r="AJ170">
        <v>1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</v>
      </c>
      <c r="AT170">
        <v>12.21</v>
      </c>
      <c r="AU170" t="s">
        <v>280</v>
      </c>
      <c r="AV170">
        <v>0</v>
      </c>
      <c r="AW170">
        <v>2</v>
      </c>
      <c r="AX170">
        <v>47636072</v>
      </c>
      <c r="AY170">
        <v>1</v>
      </c>
      <c r="AZ170">
        <v>0</v>
      </c>
      <c r="BA170">
        <v>182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Y170*Source!I158</f>
        <v>18.324157499999998</v>
      </c>
      <c r="CY170">
        <f>AB170</f>
        <v>206.01</v>
      </c>
      <c r="CZ170">
        <f>AF170</f>
        <v>206.01</v>
      </c>
      <c r="DA170">
        <f>AJ170</f>
        <v>1</v>
      </c>
      <c r="DB170">
        <f>ROUND(((ROUND(AT170*CZ170,2)*1.15)*1.25),6)</f>
        <v>3615.8587499999999</v>
      </c>
      <c r="DC170">
        <f>ROUND(((ROUND(AT170*AG170,2)*1.15)*1.25),6)</f>
        <v>252.74125000000001</v>
      </c>
    </row>
    <row r="171" spans="1:107" x14ac:dyDescent="0.2">
      <c r="A171">
        <f>ROW(Source!A158)</f>
        <v>158</v>
      </c>
      <c r="B171">
        <v>47631607</v>
      </c>
      <c r="C171">
        <v>47635999</v>
      </c>
      <c r="D171">
        <v>36883483</v>
      </c>
      <c r="E171">
        <v>1</v>
      </c>
      <c r="F171">
        <v>1</v>
      </c>
      <c r="G171">
        <v>1</v>
      </c>
      <c r="H171">
        <v>2</v>
      </c>
      <c r="I171" t="s">
        <v>672</v>
      </c>
      <c r="J171" t="s">
        <v>673</v>
      </c>
      <c r="K171" t="s">
        <v>674</v>
      </c>
      <c r="L171">
        <v>1368</v>
      </c>
      <c r="N171">
        <v>1011</v>
      </c>
      <c r="O171" t="s">
        <v>505</v>
      </c>
      <c r="P171" t="s">
        <v>505</v>
      </c>
      <c r="Q171">
        <v>1</v>
      </c>
      <c r="W171">
        <v>0</v>
      </c>
      <c r="X171">
        <v>529073949</v>
      </c>
      <c r="Y171">
        <v>1.4949999999999999</v>
      </c>
      <c r="AA171">
        <v>0</v>
      </c>
      <c r="AB171">
        <v>110</v>
      </c>
      <c r="AC171">
        <v>11.6</v>
      </c>
      <c r="AD171">
        <v>0</v>
      </c>
      <c r="AE171">
        <v>0</v>
      </c>
      <c r="AF171">
        <v>110</v>
      </c>
      <c r="AG171">
        <v>11.6</v>
      </c>
      <c r="AH171">
        <v>0</v>
      </c>
      <c r="AI171">
        <v>1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3</v>
      </c>
      <c r="AT171">
        <v>1.04</v>
      </c>
      <c r="AU171" t="s">
        <v>280</v>
      </c>
      <c r="AV171">
        <v>0</v>
      </c>
      <c r="AW171">
        <v>2</v>
      </c>
      <c r="AX171">
        <v>47636073</v>
      </c>
      <c r="AY171">
        <v>1</v>
      </c>
      <c r="AZ171">
        <v>0</v>
      </c>
      <c r="BA171">
        <v>183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Y171*Source!I158</f>
        <v>1.5607799999999998</v>
      </c>
      <c r="CY171">
        <f>AB171</f>
        <v>110</v>
      </c>
      <c r="CZ171">
        <f>AF171</f>
        <v>110</v>
      </c>
      <c r="DA171">
        <f>AJ171</f>
        <v>1</v>
      </c>
      <c r="DB171">
        <f>ROUND(((ROUND(AT171*CZ171,2)*1.15)*1.25),6)</f>
        <v>164.45</v>
      </c>
      <c r="DC171">
        <f>ROUND(((ROUND(AT171*AG171,2)*1.15)*1.25),6)</f>
        <v>17.33625</v>
      </c>
    </row>
    <row r="172" spans="1:107" x14ac:dyDescent="0.2">
      <c r="A172">
        <f>ROW(Source!A158)</f>
        <v>158</v>
      </c>
      <c r="B172">
        <v>47631607</v>
      </c>
      <c r="C172">
        <v>47635999</v>
      </c>
      <c r="D172">
        <v>36801792</v>
      </c>
      <c r="E172">
        <v>1</v>
      </c>
      <c r="F172">
        <v>1</v>
      </c>
      <c r="G172">
        <v>1</v>
      </c>
      <c r="H172">
        <v>3</v>
      </c>
      <c r="I172" t="s">
        <v>597</v>
      </c>
      <c r="J172" t="s">
        <v>598</v>
      </c>
      <c r="K172" t="s">
        <v>599</v>
      </c>
      <c r="L172">
        <v>1339</v>
      </c>
      <c r="N172">
        <v>1007</v>
      </c>
      <c r="O172" t="s">
        <v>96</v>
      </c>
      <c r="P172" t="s">
        <v>96</v>
      </c>
      <c r="Q172">
        <v>1</v>
      </c>
      <c r="W172">
        <v>0</v>
      </c>
      <c r="X172">
        <v>-1660354250</v>
      </c>
      <c r="Y172">
        <v>7</v>
      </c>
      <c r="AA172">
        <v>2.44</v>
      </c>
      <c r="AB172">
        <v>0</v>
      </c>
      <c r="AC172">
        <v>0</v>
      </c>
      <c r="AD172">
        <v>0</v>
      </c>
      <c r="AE172">
        <v>2.44</v>
      </c>
      <c r="AF172">
        <v>0</v>
      </c>
      <c r="AG172">
        <v>0</v>
      </c>
      <c r="AH172">
        <v>0</v>
      </c>
      <c r="AI172">
        <v>1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0</v>
      </c>
      <c r="AQ172">
        <v>0</v>
      </c>
      <c r="AR172">
        <v>0</v>
      </c>
      <c r="AS172" t="s">
        <v>3</v>
      </c>
      <c r="AT172">
        <v>7</v>
      </c>
      <c r="AU172" t="s">
        <v>3</v>
      </c>
      <c r="AV172">
        <v>0</v>
      </c>
      <c r="AW172">
        <v>2</v>
      </c>
      <c r="AX172">
        <v>47636074</v>
      </c>
      <c r="AY172">
        <v>1</v>
      </c>
      <c r="AZ172">
        <v>0</v>
      </c>
      <c r="BA172">
        <v>184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Y172*Source!I158</f>
        <v>7.3079999999999998</v>
      </c>
      <c r="CY172">
        <f>AA172</f>
        <v>2.44</v>
      </c>
      <c r="CZ172">
        <f>AE172</f>
        <v>2.44</v>
      </c>
      <c r="DA172">
        <f>AI172</f>
        <v>1</v>
      </c>
      <c r="DB172">
        <f>ROUND(ROUND(AT172*CZ172,2),6)</f>
        <v>17.079999999999998</v>
      </c>
      <c r="DC172">
        <f>ROUND(ROUND(AT172*AG172,2),6)</f>
        <v>0</v>
      </c>
    </row>
    <row r="173" spans="1:107" x14ac:dyDescent="0.2">
      <c r="A173">
        <f>ROW(Source!A158)</f>
        <v>158</v>
      </c>
      <c r="B173">
        <v>47631607</v>
      </c>
      <c r="C173">
        <v>47635999</v>
      </c>
      <c r="D173">
        <v>36806177</v>
      </c>
      <c r="E173">
        <v>1</v>
      </c>
      <c r="F173">
        <v>1</v>
      </c>
      <c r="G173">
        <v>1</v>
      </c>
      <c r="H173">
        <v>3</v>
      </c>
      <c r="I173" t="s">
        <v>290</v>
      </c>
      <c r="J173" t="s">
        <v>292</v>
      </c>
      <c r="K173" t="s">
        <v>291</v>
      </c>
      <c r="L173">
        <v>1339</v>
      </c>
      <c r="N173">
        <v>1007</v>
      </c>
      <c r="O173" t="s">
        <v>96</v>
      </c>
      <c r="P173" t="s">
        <v>96</v>
      </c>
      <c r="Q173">
        <v>1</v>
      </c>
      <c r="W173">
        <v>0</v>
      </c>
      <c r="X173">
        <v>992648480</v>
      </c>
      <c r="Y173">
        <v>102</v>
      </c>
      <c r="AA173">
        <v>139.63</v>
      </c>
      <c r="AB173">
        <v>0</v>
      </c>
      <c r="AC173">
        <v>0</v>
      </c>
      <c r="AD173">
        <v>0</v>
      </c>
      <c r="AE173">
        <v>139.63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N173">
        <v>1</v>
      </c>
      <c r="AO173">
        <v>0</v>
      </c>
      <c r="AP173">
        <v>0</v>
      </c>
      <c r="AQ173">
        <v>0</v>
      </c>
      <c r="AR173">
        <v>0</v>
      </c>
      <c r="AS173" t="s">
        <v>3</v>
      </c>
      <c r="AT173">
        <v>102</v>
      </c>
      <c r="AU173" t="s">
        <v>3</v>
      </c>
      <c r="AV173">
        <v>0</v>
      </c>
      <c r="AW173">
        <v>1</v>
      </c>
      <c r="AX173">
        <v>-1</v>
      </c>
      <c r="AY173">
        <v>0</v>
      </c>
      <c r="AZ173">
        <v>0</v>
      </c>
      <c r="BA173" t="s">
        <v>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Y173*Source!I158</f>
        <v>106.488</v>
      </c>
      <c r="CY173">
        <f>AA173</f>
        <v>139.63</v>
      </c>
      <c r="CZ173">
        <f>AE173</f>
        <v>139.63</v>
      </c>
      <c r="DA173">
        <f>AI173</f>
        <v>1</v>
      </c>
      <c r="DB173">
        <f>ROUND(ROUND(AT173*CZ173,2),6)</f>
        <v>14242.26</v>
      </c>
      <c r="DC173">
        <f>ROUND(ROUND(AT173*AG173,2),6)</f>
        <v>0</v>
      </c>
    </row>
    <row r="174" spans="1:107" x14ac:dyDescent="0.2">
      <c r="A174">
        <f>ROW(Source!A160)</f>
        <v>160</v>
      </c>
      <c r="B174">
        <v>47631607</v>
      </c>
      <c r="C174">
        <v>47636098</v>
      </c>
      <c r="D174">
        <v>37071037</v>
      </c>
      <c r="E174">
        <v>1</v>
      </c>
      <c r="F174">
        <v>1</v>
      </c>
      <c r="G174">
        <v>1</v>
      </c>
      <c r="H174">
        <v>1</v>
      </c>
      <c r="I174" t="s">
        <v>693</v>
      </c>
      <c r="J174" t="s">
        <v>3</v>
      </c>
      <c r="K174" t="s">
        <v>694</v>
      </c>
      <c r="L174">
        <v>1191</v>
      </c>
      <c r="N174">
        <v>1013</v>
      </c>
      <c r="O174" t="s">
        <v>487</v>
      </c>
      <c r="P174" t="s">
        <v>487</v>
      </c>
      <c r="Q174">
        <v>1</v>
      </c>
      <c r="W174">
        <v>0</v>
      </c>
      <c r="X174">
        <v>1069510174</v>
      </c>
      <c r="Y174">
        <v>50.651749999999993</v>
      </c>
      <c r="AA174">
        <v>0</v>
      </c>
      <c r="AB174">
        <v>0</v>
      </c>
      <c r="AC174">
        <v>0</v>
      </c>
      <c r="AD174">
        <v>9.6199999999999992</v>
      </c>
      <c r="AE174">
        <v>0</v>
      </c>
      <c r="AF174">
        <v>0</v>
      </c>
      <c r="AG174">
        <v>0</v>
      </c>
      <c r="AH174">
        <v>9.6199999999999992</v>
      </c>
      <c r="AI174">
        <v>1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</v>
      </c>
      <c r="AT174">
        <v>38.299999999999997</v>
      </c>
      <c r="AU174" t="s">
        <v>53</v>
      </c>
      <c r="AV174">
        <v>1</v>
      </c>
      <c r="AW174">
        <v>2</v>
      </c>
      <c r="AX174">
        <v>47636164</v>
      </c>
      <c r="AY174">
        <v>1</v>
      </c>
      <c r="AZ174">
        <v>0</v>
      </c>
      <c r="BA174">
        <v>186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Y174*Source!I160</f>
        <v>17.626808999999998</v>
      </c>
      <c r="CY174">
        <f>AD174</f>
        <v>9.6199999999999992</v>
      </c>
      <c r="CZ174">
        <f>AH174</f>
        <v>9.6199999999999992</v>
      </c>
      <c r="DA174">
        <f>AL174</f>
        <v>1</v>
      </c>
      <c r="DB174">
        <f>ROUND(((ROUND(AT174*CZ174,2)*1.15)*1.15),6)</f>
        <v>487.275125</v>
      </c>
      <c r="DC174">
        <f>ROUND(((ROUND(AT174*AG174,2)*1.15)*1.15),6)</f>
        <v>0</v>
      </c>
    </row>
    <row r="175" spans="1:107" x14ac:dyDescent="0.2">
      <c r="A175">
        <f>ROW(Source!A160)</f>
        <v>160</v>
      </c>
      <c r="B175">
        <v>47631607</v>
      </c>
      <c r="C175">
        <v>47636098</v>
      </c>
      <c r="D175">
        <v>37064876</v>
      </c>
      <c r="E175">
        <v>1</v>
      </c>
      <c r="F175">
        <v>1</v>
      </c>
      <c r="G175">
        <v>1</v>
      </c>
      <c r="H175">
        <v>1</v>
      </c>
      <c r="I175" t="s">
        <v>500</v>
      </c>
      <c r="J175" t="s">
        <v>3</v>
      </c>
      <c r="K175" t="s">
        <v>501</v>
      </c>
      <c r="L175">
        <v>1191</v>
      </c>
      <c r="N175">
        <v>1013</v>
      </c>
      <c r="O175" t="s">
        <v>487</v>
      </c>
      <c r="P175" t="s">
        <v>487</v>
      </c>
      <c r="Q175">
        <v>1</v>
      </c>
      <c r="W175">
        <v>0</v>
      </c>
      <c r="X175">
        <v>-1417349443</v>
      </c>
      <c r="Y175">
        <v>19.12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0</v>
      </c>
      <c r="AQ175">
        <v>0</v>
      </c>
      <c r="AR175">
        <v>0</v>
      </c>
      <c r="AS175" t="s">
        <v>3</v>
      </c>
      <c r="AT175">
        <v>19.12</v>
      </c>
      <c r="AU175" t="s">
        <v>3</v>
      </c>
      <c r="AV175">
        <v>2</v>
      </c>
      <c r="AW175">
        <v>2</v>
      </c>
      <c r="AX175">
        <v>47636165</v>
      </c>
      <c r="AY175">
        <v>1</v>
      </c>
      <c r="AZ175">
        <v>2048</v>
      </c>
      <c r="BA175">
        <v>187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Y175*Source!I160</f>
        <v>6.6537600000000001</v>
      </c>
      <c r="CY175">
        <f>AD175</f>
        <v>0</v>
      </c>
      <c r="CZ175">
        <f>AH175</f>
        <v>0</v>
      </c>
      <c r="DA175">
        <f>AL175</f>
        <v>1</v>
      </c>
      <c r="DB175">
        <f>ROUND(ROUND(AT175*CZ175,2),6)</f>
        <v>0</v>
      </c>
      <c r="DC175">
        <f>ROUND(ROUND(AT175*AG175,2),6)</f>
        <v>0</v>
      </c>
    </row>
    <row r="176" spans="1:107" x14ac:dyDescent="0.2">
      <c r="A176">
        <f>ROW(Source!A160)</f>
        <v>160</v>
      </c>
      <c r="B176">
        <v>47631607</v>
      </c>
      <c r="C176">
        <v>47636098</v>
      </c>
      <c r="D176">
        <v>36882159</v>
      </c>
      <c r="E176">
        <v>1</v>
      </c>
      <c r="F176">
        <v>1</v>
      </c>
      <c r="G176">
        <v>1</v>
      </c>
      <c r="H176">
        <v>2</v>
      </c>
      <c r="I176" t="s">
        <v>518</v>
      </c>
      <c r="J176" t="s">
        <v>519</v>
      </c>
      <c r="K176" t="s">
        <v>520</v>
      </c>
      <c r="L176">
        <v>1368</v>
      </c>
      <c r="N176">
        <v>1011</v>
      </c>
      <c r="O176" t="s">
        <v>505</v>
      </c>
      <c r="P176" t="s">
        <v>505</v>
      </c>
      <c r="Q176">
        <v>1</v>
      </c>
      <c r="W176">
        <v>0</v>
      </c>
      <c r="X176">
        <v>-1718674368</v>
      </c>
      <c r="Y176">
        <v>4.3124999999999997E-2</v>
      </c>
      <c r="AA176">
        <v>0</v>
      </c>
      <c r="AB176">
        <v>111.99</v>
      </c>
      <c r="AC176">
        <v>13.5</v>
      </c>
      <c r="AD176">
        <v>0</v>
      </c>
      <c r="AE176">
        <v>0</v>
      </c>
      <c r="AF176">
        <v>111.99</v>
      </c>
      <c r="AG176">
        <v>13.5</v>
      </c>
      <c r="AH176">
        <v>0</v>
      </c>
      <c r="AI176">
        <v>1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3</v>
      </c>
      <c r="AT176">
        <v>0.03</v>
      </c>
      <c r="AU176" t="s">
        <v>280</v>
      </c>
      <c r="AV176">
        <v>0</v>
      </c>
      <c r="AW176">
        <v>2</v>
      </c>
      <c r="AX176">
        <v>47636166</v>
      </c>
      <c r="AY176">
        <v>1</v>
      </c>
      <c r="AZ176">
        <v>0</v>
      </c>
      <c r="BA176">
        <v>188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Y176*Source!I160</f>
        <v>1.5007499999999998E-2</v>
      </c>
      <c r="CY176">
        <f t="shared" ref="CY176:CY182" si="10">AB176</f>
        <v>111.99</v>
      </c>
      <c r="CZ176">
        <f t="shared" ref="CZ176:CZ182" si="11">AF176</f>
        <v>111.99</v>
      </c>
      <c r="DA176">
        <f t="shared" ref="DA176:DA182" si="12">AJ176</f>
        <v>1</v>
      </c>
      <c r="DB176">
        <f t="shared" ref="DB176:DB182" si="13">ROUND(((ROUND(AT176*CZ176,2)*1.15)*1.25),6)</f>
        <v>4.83</v>
      </c>
      <c r="DC176">
        <f t="shared" ref="DC176:DC182" si="14">ROUND(((ROUND(AT176*AG176,2)*1.15)*1.25),6)</f>
        <v>0.58937499999999998</v>
      </c>
    </row>
    <row r="177" spans="1:107" x14ac:dyDescent="0.2">
      <c r="A177">
        <f>ROW(Source!A160)</f>
        <v>160</v>
      </c>
      <c r="B177">
        <v>47631607</v>
      </c>
      <c r="C177">
        <v>47636098</v>
      </c>
      <c r="D177">
        <v>36882672</v>
      </c>
      <c r="E177">
        <v>1</v>
      </c>
      <c r="F177">
        <v>1</v>
      </c>
      <c r="G177">
        <v>1</v>
      </c>
      <c r="H177">
        <v>2</v>
      </c>
      <c r="I177" t="s">
        <v>695</v>
      </c>
      <c r="J177" t="s">
        <v>696</v>
      </c>
      <c r="K177" t="s">
        <v>697</v>
      </c>
      <c r="L177">
        <v>1368</v>
      </c>
      <c r="N177">
        <v>1011</v>
      </c>
      <c r="O177" t="s">
        <v>505</v>
      </c>
      <c r="P177" t="s">
        <v>505</v>
      </c>
      <c r="Q177">
        <v>1</v>
      </c>
      <c r="W177">
        <v>0</v>
      </c>
      <c r="X177">
        <v>-1615467626</v>
      </c>
      <c r="Y177">
        <v>4.5856250000000003</v>
      </c>
      <c r="AA177">
        <v>0</v>
      </c>
      <c r="AB177">
        <v>195.2</v>
      </c>
      <c r="AC177">
        <v>14.4</v>
      </c>
      <c r="AD177">
        <v>0</v>
      </c>
      <c r="AE177">
        <v>0</v>
      </c>
      <c r="AF177">
        <v>195.2</v>
      </c>
      <c r="AG177">
        <v>14.4</v>
      </c>
      <c r="AH177">
        <v>0</v>
      </c>
      <c r="AI177">
        <v>1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</v>
      </c>
      <c r="AT177">
        <v>3.19</v>
      </c>
      <c r="AU177" t="s">
        <v>280</v>
      </c>
      <c r="AV177">
        <v>0</v>
      </c>
      <c r="AW177">
        <v>2</v>
      </c>
      <c r="AX177">
        <v>47636167</v>
      </c>
      <c r="AY177">
        <v>1</v>
      </c>
      <c r="AZ177">
        <v>0</v>
      </c>
      <c r="BA177">
        <v>189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Y177*Source!I160</f>
        <v>1.5957975</v>
      </c>
      <c r="CY177">
        <f t="shared" si="10"/>
        <v>195.2</v>
      </c>
      <c r="CZ177">
        <f t="shared" si="11"/>
        <v>195.2</v>
      </c>
      <c r="DA177">
        <f t="shared" si="12"/>
        <v>1</v>
      </c>
      <c r="DB177">
        <f t="shared" si="13"/>
        <v>895.11687500000005</v>
      </c>
      <c r="DC177">
        <f t="shared" si="14"/>
        <v>66.038749999999993</v>
      </c>
    </row>
    <row r="178" spans="1:107" x14ac:dyDescent="0.2">
      <c r="A178">
        <f>ROW(Source!A160)</f>
        <v>160</v>
      </c>
      <c r="B178">
        <v>47631607</v>
      </c>
      <c r="C178">
        <v>47636098</v>
      </c>
      <c r="D178">
        <v>36882688</v>
      </c>
      <c r="E178">
        <v>1</v>
      </c>
      <c r="F178">
        <v>1</v>
      </c>
      <c r="G178">
        <v>1</v>
      </c>
      <c r="H178">
        <v>2</v>
      </c>
      <c r="I178" t="s">
        <v>698</v>
      </c>
      <c r="J178" t="s">
        <v>699</v>
      </c>
      <c r="K178" t="s">
        <v>700</v>
      </c>
      <c r="L178">
        <v>1368</v>
      </c>
      <c r="N178">
        <v>1011</v>
      </c>
      <c r="O178" t="s">
        <v>505</v>
      </c>
      <c r="P178" t="s">
        <v>505</v>
      </c>
      <c r="Q178">
        <v>1</v>
      </c>
      <c r="W178">
        <v>0</v>
      </c>
      <c r="X178">
        <v>1213144090</v>
      </c>
      <c r="Y178">
        <v>2.0124999999999997</v>
      </c>
      <c r="AA178">
        <v>0</v>
      </c>
      <c r="AB178">
        <v>17.2</v>
      </c>
      <c r="AC178">
        <v>0</v>
      </c>
      <c r="AD178">
        <v>0</v>
      </c>
      <c r="AE178">
        <v>0</v>
      </c>
      <c r="AF178">
        <v>17.2</v>
      </c>
      <c r="AG178">
        <v>0</v>
      </c>
      <c r="AH178">
        <v>0</v>
      </c>
      <c r="AI178">
        <v>1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</v>
      </c>
      <c r="AT178">
        <v>1.4</v>
      </c>
      <c r="AU178" t="s">
        <v>280</v>
      </c>
      <c r="AV178">
        <v>0</v>
      </c>
      <c r="AW178">
        <v>2</v>
      </c>
      <c r="AX178">
        <v>47636168</v>
      </c>
      <c r="AY178">
        <v>1</v>
      </c>
      <c r="AZ178">
        <v>0</v>
      </c>
      <c r="BA178">
        <v>190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Y178*Source!I160</f>
        <v>0.70034999999999981</v>
      </c>
      <c r="CY178">
        <f t="shared" si="10"/>
        <v>17.2</v>
      </c>
      <c r="CZ178">
        <f t="shared" si="11"/>
        <v>17.2</v>
      </c>
      <c r="DA178">
        <f t="shared" si="12"/>
        <v>1</v>
      </c>
      <c r="DB178">
        <f t="shared" si="13"/>
        <v>34.615000000000002</v>
      </c>
      <c r="DC178">
        <f t="shared" si="14"/>
        <v>0</v>
      </c>
    </row>
    <row r="179" spans="1:107" x14ac:dyDescent="0.2">
      <c r="A179">
        <f>ROW(Source!A160)</f>
        <v>160</v>
      </c>
      <c r="B179">
        <v>47631607</v>
      </c>
      <c r="C179">
        <v>47636098</v>
      </c>
      <c r="D179">
        <v>36882722</v>
      </c>
      <c r="E179">
        <v>1</v>
      </c>
      <c r="F179">
        <v>1</v>
      </c>
      <c r="G179">
        <v>1</v>
      </c>
      <c r="H179">
        <v>2</v>
      </c>
      <c r="I179" t="s">
        <v>677</v>
      </c>
      <c r="J179" t="s">
        <v>678</v>
      </c>
      <c r="K179" t="s">
        <v>679</v>
      </c>
      <c r="L179">
        <v>1368</v>
      </c>
      <c r="N179">
        <v>1011</v>
      </c>
      <c r="O179" t="s">
        <v>505</v>
      </c>
      <c r="P179" t="s">
        <v>505</v>
      </c>
      <c r="Q179">
        <v>1</v>
      </c>
      <c r="W179">
        <v>0</v>
      </c>
      <c r="X179">
        <v>-891970060</v>
      </c>
      <c r="Y179">
        <v>5.692499999999999</v>
      </c>
      <c r="AA179">
        <v>0</v>
      </c>
      <c r="AB179">
        <v>75</v>
      </c>
      <c r="AC179">
        <v>11.6</v>
      </c>
      <c r="AD179">
        <v>0</v>
      </c>
      <c r="AE179">
        <v>0</v>
      </c>
      <c r="AF179">
        <v>75</v>
      </c>
      <c r="AG179">
        <v>11.6</v>
      </c>
      <c r="AH179">
        <v>0</v>
      </c>
      <c r="AI179">
        <v>1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</v>
      </c>
      <c r="AT179">
        <v>3.96</v>
      </c>
      <c r="AU179" t="s">
        <v>280</v>
      </c>
      <c r="AV179">
        <v>0</v>
      </c>
      <c r="AW179">
        <v>2</v>
      </c>
      <c r="AX179">
        <v>47636169</v>
      </c>
      <c r="AY179">
        <v>1</v>
      </c>
      <c r="AZ179">
        <v>0</v>
      </c>
      <c r="BA179">
        <v>191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Y179*Source!I160</f>
        <v>1.9809899999999996</v>
      </c>
      <c r="CY179">
        <f t="shared" si="10"/>
        <v>75</v>
      </c>
      <c r="CZ179">
        <f t="shared" si="11"/>
        <v>75</v>
      </c>
      <c r="DA179">
        <f t="shared" si="12"/>
        <v>1</v>
      </c>
      <c r="DB179">
        <f t="shared" si="13"/>
        <v>426.9375</v>
      </c>
      <c r="DC179">
        <f t="shared" si="14"/>
        <v>66.038749999999993</v>
      </c>
    </row>
    <row r="180" spans="1:107" x14ac:dyDescent="0.2">
      <c r="A180">
        <f>ROW(Source!A160)</f>
        <v>160</v>
      </c>
      <c r="B180">
        <v>47631607</v>
      </c>
      <c r="C180">
        <v>47636098</v>
      </c>
      <c r="D180">
        <v>36882726</v>
      </c>
      <c r="E180">
        <v>1</v>
      </c>
      <c r="F180">
        <v>1</v>
      </c>
      <c r="G180">
        <v>1</v>
      </c>
      <c r="H180">
        <v>2</v>
      </c>
      <c r="I180" t="s">
        <v>701</v>
      </c>
      <c r="J180" t="s">
        <v>702</v>
      </c>
      <c r="K180" t="s">
        <v>703</v>
      </c>
      <c r="L180">
        <v>1368</v>
      </c>
      <c r="N180">
        <v>1011</v>
      </c>
      <c r="O180" t="s">
        <v>505</v>
      </c>
      <c r="P180" t="s">
        <v>505</v>
      </c>
      <c r="Q180">
        <v>1</v>
      </c>
      <c r="W180">
        <v>0</v>
      </c>
      <c r="X180">
        <v>-1649076460</v>
      </c>
      <c r="Y180">
        <v>16.545625000000001</v>
      </c>
      <c r="AA180">
        <v>0</v>
      </c>
      <c r="AB180">
        <v>121</v>
      </c>
      <c r="AC180">
        <v>14.4</v>
      </c>
      <c r="AD180">
        <v>0</v>
      </c>
      <c r="AE180">
        <v>0</v>
      </c>
      <c r="AF180">
        <v>121</v>
      </c>
      <c r="AG180">
        <v>14.4</v>
      </c>
      <c r="AH180">
        <v>0</v>
      </c>
      <c r="AI180">
        <v>1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3</v>
      </c>
      <c r="AT180">
        <v>11.51</v>
      </c>
      <c r="AU180" t="s">
        <v>280</v>
      </c>
      <c r="AV180">
        <v>0</v>
      </c>
      <c r="AW180">
        <v>2</v>
      </c>
      <c r="AX180">
        <v>47636170</v>
      </c>
      <c r="AY180">
        <v>1</v>
      </c>
      <c r="AZ180">
        <v>0</v>
      </c>
      <c r="BA180">
        <v>192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Y180*Source!I160</f>
        <v>5.7578775000000002</v>
      </c>
      <c r="CY180">
        <f t="shared" si="10"/>
        <v>121</v>
      </c>
      <c r="CZ180">
        <f t="shared" si="11"/>
        <v>121</v>
      </c>
      <c r="DA180">
        <f t="shared" si="12"/>
        <v>1</v>
      </c>
      <c r="DB180">
        <f t="shared" si="13"/>
        <v>2002.0206250000001</v>
      </c>
      <c r="DC180">
        <f t="shared" si="14"/>
        <v>238.25125</v>
      </c>
    </row>
    <row r="181" spans="1:107" x14ac:dyDescent="0.2">
      <c r="A181">
        <f>ROW(Source!A160)</f>
        <v>160</v>
      </c>
      <c r="B181">
        <v>47631607</v>
      </c>
      <c r="C181">
        <v>47636098</v>
      </c>
      <c r="D181">
        <v>36883483</v>
      </c>
      <c r="E181">
        <v>1</v>
      </c>
      <c r="F181">
        <v>1</v>
      </c>
      <c r="G181">
        <v>1</v>
      </c>
      <c r="H181">
        <v>2</v>
      </c>
      <c r="I181" t="s">
        <v>672</v>
      </c>
      <c r="J181" t="s">
        <v>673</v>
      </c>
      <c r="K181" t="s">
        <v>674</v>
      </c>
      <c r="L181">
        <v>1368</v>
      </c>
      <c r="N181">
        <v>1011</v>
      </c>
      <c r="O181" t="s">
        <v>505</v>
      </c>
      <c r="P181" t="s">
        <v>505</v>
      </c>
      <c r="Q181">
        <v>1</v>
      </c>
      <c r="W181">
        <v>0</v>
      </c>
      <c r="X181">
        <v>529073949</v>
      </c>
      <c r="Y181">
        <v>0.56062499999999993</v>
      </c>
      <c r="AA181">
        <v>0</v>
      </c>
      <c r="AB181">
        <v>110</v>
      </c>
      <c r="AC181">
        <v>11.6</v>
      </c>
      <c r="AD181">
        <v>0</v>
      </c>
      <c r="AE181">
        <v>0</v>
      </c>
      <c r="AF181">
        <v>110</v>
      </c>
      <c r="AG181">
        <v>11.6</v>
      </c>
      <c r="AH181">
        <v>0</v>
      </c>
      <c r="AI181">
        <v>1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3</v>
      </c>
      <c r="AT181">
        <v>0.39</v>
      </c>
      <c r="AU181" t="s">
        <v>280</v>
      </c>
      <c r="AV181">
        <v>0</v>
      </c>
      <c r="AW181">
        <v>2</v>
      </c>
      <c r="AX181">
        <v>47636171</v>
      </c>
      <c r="AY181">
        <v>1</v>
      </c>
      <c r="AZ181">
        <v>0</v>
      </c>
      <c r="BA181">
        <v>193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Y181*Source!I160</f>
        <v>0.19509749999999995</v>
      </c>
      <c r="CY181">
        <f t="shared" si="10"/>
        <v>110</v>
      </c>
      <c r="CZ181">
        <f t="shared" si="11"/>
        <v>110</v>
      </c>
      <c r="DA181">
        <f t="shared" si="12"/>
        <v>1</v>
      </c>
      <c r="DB181">
        <f t="shared" si="13"/>
        <v>61.668750000000003</v>
      </c>
      <c r="DC181">
        <f t="shared" si="14"/>
        <v>6.4974999999999996</v>
      </c>
    </row>
    <row r="182" spans="1:107" x14ac:dyDescent="0.2">
      <c r="A182">
        <f>ROW(Source!A160)</f>
        <v>160</v>
      </c>
      <c r="B182">
        <v>47631607</v>
      </c>
      <c r="C182">
        <v>47636098</v>
      </c>
      <c r="D182">
        <v>36883554</v>
      </c>
      <c r="E182">
        <v>1</v>
      </c>
      <c r="F182">
        <v>1</v>
      </c>
      <c r="G182">
        <v>1</v>
      </c>
      <c r="H182">
        <v>2</v>
      </c>
      <c r="I182" t="s">
        <v>509</v>
      </c>
      <c r="J182" t="s">
        <v>510</v>
      </c>
      <c r="K182" t="s">
        <v>511</v>
      </c>
      <c r="L182">
        <v>1368</v>
      </c>
      <c r="N182">
        <v>1011</v>
      </c>
      <c r="O182" t="s">
        <v>505</v>
      </c>
      <c r="P182" t="s">
        <v>505</v>
      </c>
      <c r="Q182">
        <v>1</v>
      </c>
      <c r="W182">
        <v>0</v>
      </c>
      <c r="X182">
        <v>1372534845</v>
      </c>
      <c r="Y182">
        <v>5.7499999999999996E-2</v>
      </c>
      <c r="AA182">
        <v>0</v>
      </c>
      <c r="AB182">
        <v>65.709999999999994</v>
      </c>
      <c r="AC182">
        <v>11.6</v>
      </c>
      <c r="AD182">
        <v>0</v>
      </c>
      <c r="AE182">
        <v>0</v>
      </c>
      <c r="AF182">
        <v>65.709999999999994</v>
      </c>
      <c r="AG182">
        <v>11.6</v>
      </c>
      <c r="AH182">
        <v>0</v>
      </c>
      <c r="AI182">
        <v>1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3</v>
      </c>
      <c r="AT182">
        <v>0.04</v>
      </c>
      <c r="AU182" t="s">
        <v>280</v>
      </c>
      <c r="AV182">
        <v>0</v>
      </c>
      <c r="AW182">
        <v>2</v>
      </c>
      <c r="AX182">
        <v>47636172</v>
      </c>
      <c r="AY182">
        <v>1</v>
      </c>
      <c r="AZ182">
        <v>0</v>
      </c>
      <c r="BA182">
        <v>194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Y182*Source!I160</f>
        <v>2.0009999999999997E-2</v>
      </c>
      <c r="CY182">
        <f t="shared" si="10"/>
        <v>65.709999999999994</v>
      </c>
      <c r="CZ182">
        <f t="shared" si="11"/>
        <v>65.709999999999994</v>
      </c>
      <c r="DA182">
        <f t="shared" si="12"/>
        <v>1</v>
      </c>
      <c r="DB182">
        <f t="shared" si="13"/>
        <v>3.7806250000000001</v>
      </c>
      <c r="DC182">
        <f t="shared" si="14"/>
        <v>0.66125</v>
      </c>
    </row>
    <row r="183" spans="1:107" x14ac:dyDescent="0.2">
      <c r="A183">
        <f>ROW(Source!A160)</f>
        <v>160</v>
      </c>
      <c r="B183">
        <v>47631607</v>
      </c>
      <c r="C183">
        <v>47636098</v>
      </c>
      <c r="D183">
        <v>36799842</v>
      </c>
      <c r="E183">
        <v>1</v>
      </c>
      <c r="F183">
        <v>1</v>
      </c>
      <c r="G183">
        <v>1</v>
      </c>
      <c r="H183">
        <v>3</v>
      </c>
      <c r="I183" t="s">
        <v>335</v>
      </c>
      <c r="J183" t="s">
        <v>337</v>
      </c>
      <c r="K183" t="s">
        <v>336</v>
      </c>
      <c r="L183">
        <v>1348</v>
      </c>
      <c r="N183">
        <v>1009</v>
      </c>
      <c r="O183" t="s">
        <v>32</v>
      </c>
      <c r="P183" t="s">
        <v>32</v>
      </c>
      <c r="Q183">
        <v>1000</v>
      </c>
      <c r="W183">
        <v>0</v>
      </c>
      <c r="X183">
        <v>1401058849</v>
      </c>
      <c r="Y183">
        <v>1.0800000000000001E-2</v>
      </c>
      <c r="AA183">
        <v>1946.91</v>
      </c>
      <c r="AB183">
        <v>0</v>
      </c>
      <c r="AC183">
        <v>0</v>
      </c>
      <c r="AD183">
        <v>0</v>
      </c>
      <c r="AE183">
        <v>1946.91</v>
      </c>
      <c r="AF183">
        <v>0</v>
      </c>
      <c r="AG183">
        <v>0</v>
      </c>
      <c r="AH183">
        <v>0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0</v>
      </c>
      <c r="AP183">
        <v>0</v>
      </c>
      <c r="AQ183">
        <v>0</v>
      </c>
      <c r="AR183">
        <v>0</v>
      </c>
      <c r="AS183" t="s">
        <v>3</v>
      </c>
      <c r="AT183">
        <v>1.0800000000000001E-2</v>
      </c>
      <c r="AU183" t="s">
        <v>3</v>
      </c>
      <c r="AV183">
        <v>0</v>
      </c>
      <c r="AW183">
        <v>1</v>
      </c>
      <c r="AX183">
        <v>-1</v>
      </c>
      <c r="AY183">
        <v>0</v>
      </c>
      <c r="AZ183">
        <v>0</v>
      </c>
      <c r="BA183" t="s">
        <v>3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Y183*Source!I160</f>
        <v>3.7583999999999998E-3</v>
      </c>
      <c r="CY183">
        <f>AA183</f>
        <v>1946.91</v>
      </c>
      <c r="CZ183">
        <f>AE183</f>
        <v>1946.91</v>
      </c>
      <c r="DA183">
        <f>AI183</f>
        <v>1</v>
      </c>
      <c r="DB183">
        <f>ROUND(ROUND(AT183*CZ183,2),6)</f>
        <v>21.03</v>
      </c>
      <c r="DC183">
        <f>ROUND(ROUND(AT183*AG183,2),6)</f>
        <v>0</v>
      </c>
    </row>
    <row r="184" spans="1:107" x14ac:dyDescent="0.2">
      <c r="A184">
        <f>ROW(Source!A160)</f>
        <v>160</v>
      </c>
      <c r="B184">
        <v>47631607</v>
      </c>
      <c r="C184">
        <v>47636098</v>
      </c>
      <c r="D184">
        <v>36801792</v>
      </c>
      <c r="E184">
        <v>1</v>
      </c>
      <c r="F184">
        <v>1</v>
      </c>
      <c r="G184">
        <v>1</v>
      </c>
      <c r="H184">
        <v>3</v>
      </c>
      <c r="I184" t="s">
        <v>597</v>
      </c>
      <c r="J184" t="s">
        <v>598</v>
      </c>
      <c r="K184" t="s">
        <v>599</v>
      </c>
      <c r="L184">
        <v>1339</v>
      </c>
      <c r="N184">
        <v>1007</v>
      </c>
      <c r="O184" t="s">
        <v>96</v>
      </c>
      <c r="P184" t="s">
        <v>96</v>
      </c>
      <c r="Q184">
        <v>1</v>
      </c>
      <c r="W184">
        <v>0</v>
      </c>
      <c r="X184">
        <v>-1660354250</v>
      </c>
      <c r="Y184">
        <v>0.2</v>
      </c>
      <c r="AA184">
        <v>2.44</v>
      </c>
      <c r="AB184">
        <v>0</v>
      </c>
      <c r="AC184">
        <v>0</v>
      </c>
      <c r="AD184">
        <v>0</v>
      </c>
      <c r="AE184">
        <v>2.44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3</v>
      </c>
      <c r="AT184">
        <v>0.2</v>
      </c>
      <c r="AU184" t="s">
        <v>3</v>
      </c>
      <c r="AV184">
        <v>0</v>
      </c>
      <c r="AW184">
        <v>2</v>
      </c>
      <c r="AX184">
        <v>47636174</v>
      </c>
      <c r="AY184">
        <v>1</v>
      </c>
      <c r="AZ184">
        <v>0</v>
      </c>
      <c r="BA184">
        <v>196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Y184*Source!I160</f>
        <v>6.9599999999999995E-2</v>
      </c>
      <c r="CY184">
        <f>AA184</f>
        <v>2.44</v>
      </c>
      <c r="CZ184">
        <f>AE184</f>
        <v>2.44</v>
      </c>
      <c r="DA184">
        <f>AI184</f>
        <v>1</v>
      </c>
      <c r="DB184">
        <f>ROUND(ROUND(AT184*CZ184,2),6)</f>
        <v>0.49</v>
      </c>
      <c r="DC184">
        <f>ROUND(ROUND(AT184*AG184,2),6)</f>
        <v>0</v>
      </c>
    </row>
    <row r="185" spans="1:107" x14ac:dyDescent="0.2">
      <c r="A185">
        <f>ROW(Source!A160)</f>
        <v>160</v>
      </c>
      <c r="B185">
        <v>47631607</v>
      </c>
      <c r="C185">
        <v>47636098</v>
      </c>
      <c r="D185">
        <v>36807252</v>
      </c>
      <c r="E185">
        <v>1</v>
      </c>
      <c r="F185">
        <v>1</v>
      </c>
      <c r="G185">
        <v>1</v>
      </c>
      <c r="H185">
        <v>3</v>
      </c>
      <c r="I185" t="s">
        <v>339</v>
      </c>
      <c r="J185" t="s">
        <v>341</v>
      </c>
      <c r="K185" t="s">
        <v>340</v>
      </c>
      <c r="L185">
        <v>1348</v>
      </c>
      <c r="N185">
        <v>1009</v>
      </c>
      <c r="O185" t="s">
        <v>32</v>
      </c>
      <c r="P185" t="s">
        <v>32</v>
      </c>
      <c r="Q185">
        <v>1000</v>
      </c>
      <c r="W185">
        <v>0</v>
      </c>
      <c r="X185">
        <v>1955294855</v>
      </c>
      <c r="Y185">
        <v>95.8</v>
      </c>
      <c r="AA185">
        <v>390.88</v>
      </c>
      <c r="AB185">
        <v>0</v>
      </c>
      <c r="AC185">
        <v>0</v>
      </c>
      <c r="AD185">
        <v>0</v>
      </c>
      <c r="AE185">
        <v>390.88</v>
      </c>
      <c r="AF185">
        <v>0</v>
      </c>
      <c r="AG185">
        <v>0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0</v>
      </c>
      <c r="AP185">
        <v>0</v>
      </c>
      <c r="AQ185">
        <v>0</v>
      </c>
      <c r="AR185">
        <v>0</v>
      </c>
      <c r="AS185" t="s">
        <v>3</v>
      </c>
      <c r="AT185">
        <v>95.8</v>
      </c>
      <c r="AU185" t="s">
        <v>3</v>
      </c>
      <c r="AV185">
        <v>0</v>
      </c>
      <c r="AW185">
        <v>1</v>
      </c>
      <c r="AX185">
        <v>-1</v>
      </c>
      <c r="AY185">
        <v>0</v>
      </c>
      <c r="AZ185">
        <v>0</v>
      </c>
      <c r="BA185" t="s">
        <v>3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Y185*Source!I160</f>
        <v>33.3384</v>
      </c>
      <c r="CY185">
        <f>AA185</f>
        <v>390.88</v>
      </c>
      <c r="CZ185">
        <f>AE185</f>
        <v>390.88</v>
      </c>
      <c r="DA185">
        <f>AI185</f>
        <v>1</v>
      </c>
      <c r="DB185">
        <f>ROUND(ROUND(AT185*CZ185,2),6)</f>
        <v>37446.300000000003</v>
      </c>
      <c r="DC185">
        <f>ROUND(ROUND(AT185*AG185,2),6)</f>
        <v>0</v>
      </c>
    </row>
    <row r="186" spans="1:107" x14ac:dyDescent="0.2">
      <c r="A186">
        <f>ROW(Source!A160)</f>
        <v>160</v>
      </c>
      <c r="B186">
        <v>47631607</v>
      </c>
      <c r="C186">
        <v>47636098</v>
      </c>
      <c r="D186">
        <v>36824289</v>
      </c>
      <c r="E186">
        <v>1</v>
      </c>
      <c r="F186">
        <v>1</v>
      </c>
      <c r="G186">
        <v>1</v>
      </c>
      <c r="H186">
        <v>3</v>
      </c>
      <c r="I186" t="s">
        <v>704</v>
      </c>
      <c r="J186" t="s">
        <v>705</v>
      </c>
      <c r="K186" t="s">
        <v>706</v>
      </c>
      <c r="L186">
        <v>1348</v>
      </c>
      <c r="N186">
        <v>1009</v>
      </c>
      <c r="O186" t="s">
        <v>32</v>
      </c>
      <c r="P186" t="s">
        <v>32</v>
      </c>
      <c r="Q186">
        <v>1000</v>
      </c>
      <c r="W186">
        <v>0</v>
      </c>
      <c r="X186">
        <v>-1756095795</v>
      </c>
      <c r="Y186">
        <v>6.1999999999999998E-3</v>
      </c>
      <c r="AA186">
        <v>5989</v>
      </c>
      <c r="AB186">
        <v>0</v>
      </c>
      <c r="AC186">
        <v>0</v>
      </c>
      <c r="AD186">
        <v>0</v>
      </c>
      <c r="AE186">
        <v>5989</v>
      </c>
      <c r="AF186">
        <v>0</v>
      </c>
      <c r="AG186">
        <v>0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0</v>
      </c>
      <c r="AQ186">
        <v>0</v>
      </c>
      <c r="AR186">
        <v>0</v>
      </c>
      <c r="AS186" t="s">
        <v>3</v>
      </c>
      <c r="AT186">
        <v>6.1999999999999998E-3</v>
      </c>
      <c r="AU186" t="s">
        <v>3</v>
      </c>
      <c r="AV186">
        <v>0</v>
      </c>
      <c r="AW186">
        <v>2</v>
      </c>
      <c r="AX186">
        <v>47636176</v>
      </c>
      <c r="AY186">
        <v>1</v>
      </c>
      <c r="AZ186">
        <v>0</v>
      </c>
      <c r="BA186">
        <v>198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Y186*Source!I160</f>
        <v>2.1576E-3</v>
      </c>
      <c r="CY186">
        <f>AA186</f>
        <v>5989</v>
      </c>
      <c r="CZ186">
        <f>AE186</f>
        <v>5989</v>
      </c>
      <c r="DA186">
        <f>AI186</f>
        <v>1</v>
      </c>
      <c r="DB186">
        <f>ROUND(ROUND(AT186*CZ186,2),6)</f>
        <v>37.130000000000003</v>
      </c>
      <c r="DC186">
        <f>ROUND(ROUND(AT186*AG186,2),6)</f>
        <v>0</v>
      </c>
    </row>
    <row r="187" spans="1:107" x14ac:dyDescent="0.2">
      <c r="A187">
        <f>ROW(Source!A160)</f>
        <v>160</v>
      </c>
      <c r="B187">
        <v>47631607</v>
      </c>
      <c r="C187">
        <v>47636098</v>
      </c>
      <c r="D187">
        <v>36830315</v>
      </c>
      <c r="E187">
        <v>1</v>
      </c>
      <c r="F187">
        <v>1</v>
      </c>
      <c r="G187">
        <v>1</v>
      </c>
      <c r="H187">
        <v>3</v>
      </c>
      <c r="I187" t="s">
        <v>707</v>
      </c>
      <c r="J187" t="s">
        <v>708</v>
      </c>
      <c r="K187" t="s">
        <v>709</v>
      </c>
      <c r="L187">
        <v>1339</v>
      </c>
      <c r="N187">
        <v>1007</v>
      </c>
      <c r="O187" t="s">
        <v>96</v>
      </c>
      <c r="P187" t="s">
        <v>96</v>
      </c>
      <c r="Q187">
        <v>1</v>
      </c>
      <c r="W187">
        <v>0</v>
      </c>
      <c r="X187">
        <v>-395792271</v>
      </c>
      <c r="Y187">
        <v>0.15</v>
      </c>
      <c r="AA187">
        <v>1287</v>
      </c>
      <c r="AB187">
        <v>0</v>
      </c>
      <c r="AC187">
        <v>0</v>
      </c>
      <c r="AD187">
        <v>0</v>
      </c>
      <c r="AE187">
        <v>1287</v>
      </c>
      <c r="AF187">
        <v>0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0</v>
      </c>
      <c r="AQ187">
        <v>0</v>
      </c>
      <c r="AR187">
        <v>0</v>
      </c>
      <c r="AS187" t="s">
        <v>3</v>
      </c>
      <c r="AT187">
        <v>0.15</v>
      </c>
      <c r="AU187" t="s">
        <v>3</v>
      </c>
      <c r="AV187">
        <v>0</v>
      </c>
      <c r="AW187">
        <v>2</v>
      </c>
      <c r="AX187">
        <v>47636177</v>
      </c>
      <c r="AY187">
        <v>1</v>
      </c>
      <c r="AZ187">
        <v>0</v>
      </c>
      <c r="BA187">
        <v>199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Y187*Source!I160</f>
        <v>5.2199999999999996E-2</v>
      </c>
      <c r="CY187">
        <f>AA187</f>
        <v>1287</v>
      </c>
      <c r="CZ187">
        <f>AE187</f>
        <v>1287</v>
      </c>
      <c r="DA187">
        <f>AI187</f>
        <v>1</v>
      </c>
      <c r="DB187">
        <f>ROUND(ROUND(AT187*CZ187,2),6)</f>
        <v>193.05</v>
      </c>
      <c r="DC187">
        <f>ROUND(ROUND(AT187*AG187,2),6)</f>
        <v>0</v>
      </c>
    </row>
    <row r="188" spans="1:107" x14ac:dyDescent="0.2">
      <c r="A188">
        <f>ROW(Source!A163)</f>
        <v>163</v>
      </c>
      <c r="B188">
        <v>47631607</v>
      </c>
      <c r="C188">
        <v>47636149</v>
      </c>
      <c r="D188">
        <v>37071037</v>
      </c>
      <c r="E188">
        <v>1</v>
      </c>
      <c r="F188">
        <v>1</v>
      </c>
      <c r="G188">
        <v>1</v>
      </c>
      <c r="H188">
        <v>1</v>
      </c>
      <c r="I188" t="s">
        <v>693</v>
      </c>
      <c r="J188" t="s">
        <v>3</v>
      </c>
      <c r="K188" t="s">
        <v>694</v>
      </c>
      <c r="L188">
        <v>1191</v>
      </c>
      <c r="N188">
        <v>1013</v>
      </c>
      <c r="O188" t="s">
        <v>487</v>
      </c>
      <c r="P188" t="s">
        <v>487</v>
      </c>
      <c r="Q188">
        <v>1</v>
      </c>
      <c r="W188">
        <v>0</v>
      </c>
      <c r="X188">
        <v>1069510174</v>
      </c>
      <c r="Y188">
        <v>0.36</v>
      </c>
      <c r="AA188">
        <v>0</v>
      </c>
      <c r="AB188">
        <v>0</v>
      </c>
      <c r="AC188">
        <v>0</v>
      </c>
      <c r="AD188">
        <v>9.6199999999999992</v>
      </c>
      <c r="AE188">
        <v>0</v>
      </c>
      <c r="AF188">
        <v>0</v>
      </c>
      <c r="AG188">
        <v>0</v>
      </c>
      <c r="AH188">
        <v>9.6199999999999992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</v>
      </c>
      <c r="AT188">
        <v>0.09</v>
      </c>
      <c r="AU188" t="s">
        <v>346</v>
      </c>
      <c r="AV188">
        <v>1</v>
      </c>
      <c r="AW188">
        <v>2</v>
      </c>
      <c r="AX188">
        <v>47636150</v>
      </c>
      <c r="AY188">
        <v>1</v>
      </c>
      <c r="AZ188">
        <v>0</v>
      </c>
      <c r="BA188">
        <v>200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Y188*Source!I163</f>
        <v>0.12527999999999997</v>
      </c>
      <c r="CY188">
        <f>AD188</f>
        <v>9.6199999999999992</v>
      </c>
      <c r="CZ188">
        <f>AH188</f>
        <v>9.6199999999999992</v>
      </c>
      <c r="DA188">
        <f>AL188</f>
        <v>1</v>
      </c>
      <c r="DB188">
        <f>ROUND((ROUND(AT188*CZ188,2)*4),6)</f>
        <v>3.48</v>
      </c>
      <c r="DC188">
        <f>ROUND((ROUND(AT188*AG188,2)*4),6)</f>
        <v>0</v>
      </c>
    </row>
    <row r="189" spans="1:107" x14ac:dyDescent="0.2">
      <c r="A189">
        <f>ROW(Source!A163)</f>
        <v>163</v>
      </c>
      <c r="B189">
        <v>47631607</v>
      </c>
      <c r="C189">
        <v>47636149</v>
      </c>
      <c r="D189">
        <v>36882688</v>
      </c>
      <c r="E189">
        <v>1</v>
      </c>
      <c r="F189">
        <v>1</v>
      </c>
      <c r="G189">
        <v>1</v>
      </c>
      <c r="H189">
        <v>2</v>
      </c>
      <c r="I189" t="s">
        <v>698</v>
      </c>
      <c r="J189" t="s">
        <v>699</v>
      </c>
      <c r="K189" t="s">
        <v>700</v>
      </c>
      <c r="L189">
        <v>1368</v>
      </c>
      <c r="N189">
        <v>1011</v>
      </c>
      <c r="O189" t="s">
        <v>505</v>
      </c>
      <c r="P189" t="s">
        <v>505</v>
      </c>
      <c r="Q189">
        <v>1</v>
      </c>
      <c r="W189">
        <v>0</v>
      </c>
      <c r="X189">
        <v>1213144090</v>
      </c>
      <c r="Y189">
        <v>0.68</v>
      </c>
      <c r="AA189">
        <v>0</v>
      </c>
      <c r="AB189">
        <v>17.2</v>
      </c>
      <c r="AC189">
        <v>0</v>
      </c>
      <c r="AD189">
        <v>0</v>
      </c>
      <c r="AE189">
        <v>0</v>
      </c>
      <c r="AF189">
        <v>17.2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</v>
      </c>
      <c r="AT189">
        <v>0.17</v>
      </c>
      <c r="AU189" t="s">
        <v>346</v>
      </c>
      <c r="AV189">
        <v>0</v>
      </c>
      <c r="AW189">
        <v>2</v>
      </c>
      <c r="AX189">
        <v>47636151</v>
      </c>
      <c r="AY189">
        <v>1</v>
      </c>
      <c r="AZ189">
        <v>0</v>
      </c>
      <c r="BA189">
        <v>201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Y189*Source!I163</f>
        <v>0.23663999999999999</v>
      </c>
      <c r="CY189">
        <f>AB189</f>
        <v>17.2</v>
      </c>
      <c r="CZ189">
        <f>AF189</f>
        <v>17.2</v>
      </c>
      <c r="DA189">
        <f>AJ189</f>
        <v>1</v>
      </c>
      <c r="DB189">
        <f>ROUND((ROUND(AT189*CZ189,2)*4),6)</f>
        <v>11.68</v>
      </c>
      <c r="DC189">
        <f>ROUND((ROUND(AT189*AG189,2)*4),6)</f>
        <v>0</v>
      </c>
    </row>
    <row r="190" spans="1:107" x14ac:dyDescent="0.2">
      <c r="A190">
        <f>ROW(Source!A163)</f>
        <v>163</v>
      </c>
      <c r="B190">
        <v>47631607</v>
      </c>
      <c r="C190">
        <v>47636149</v>
      </c>
      <c r="D190">
        <v>36799842</v>
      </c>
      <c r="E190">
        <v>1</v>
      </c>
      <c r="F190">
        <v>1</v>
      </c>
      <c r="G190">
        <v>1</v>
      </c>
      <c r="H190">
        <v>3</v>
      </c>
      <c r="I190" t="s">
        <v>335</v>
      </c>
      <c r="J190" t="s">
        <v>337</v>
      </c>
      <c r="K190" t="s">
        <v>336</v>
      </c>
      <c r="L190">
        <v>1348</v>
      </c>
      <c r="N190">
        <v>1009</v>
      </c>
      <c r="O190" t="s">
        <v>32</v>
      </c>
      <c r="P190" t="s">
        <v>32</v>
      </c>
      <c r="Q190">
        <v>1000</v>
      </c>
      <c r="W190">
        <v>0</v>
      </c>
      <c r="X190">
        <v>1401058849</v>
      </c>
      <c r="Y190">
        <v>2.24E-2</v>
      </c>
      <c r="AA190">
        <v>1946.91</v>
      </c>
      <c r="AB190">
        <v>0</v>
      </c>
      <c r="AC190">
        <v>0</v>
      </c>
      <c r="AD190">
        <v>0</v>
      </c>
      <c r="AE190">
        <v>1946.91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0</v>
      </c>
      <c r="AP190">
        <v>1</v>
      </c>
      <c r="AQ190">
        <v>0</v>
      </c>
      <c r="AR190">
        <v>0</v>
      </c>
      <c r="AS190" t="s">
        <v>3</v>
      </c>
      <c r="AT190">
        <v>5.5999999999999999E-3</v>
      </c>
      <c r="AU190" t="s">
        <v>346</v>
      </c>
      <c r="AV190">
        <v>0</v>
      </c>
      <c r="AW190">
        <v>1</v>
      </c>
      <c r="AX190">
        <v>-1</v>
      </c>
      <c r="AY190">
        <v>0</v>
      </c>
      <c r="AZ190">
        <v>0</v>
      </c>
      <c r="BA190" t="s">
        <v>3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Y190*Source!I163</f>
        <v>7.7951999999999995E-3</v>
      </c>
      <c r="CY190">
        <f>AA190</f>
        <v>1946.91</v>
      </c>
      <c r="CZ190">
        <f>AE190</f>
        <v>1946.91</v>
      </c>
      <c r="DA190">
        <f>AI190</f>
        <v>1</v>
      </c>
      <c r="DB190">
        <f>ROUND((ROUND(AT190*CZ190,2)*4),6)</f>
        <v>43.6</v>
      </c>
      <c r="DC190">
        <f>ROUND((ROUND(AT190*AG190,2)*4),6)</f>
        <v>0</v>
      </c>
    </row>
    <row r="191" spans="1:107" x14ac:dyDescent="0.2">
      <c r="A191">
        <f>ROW(Source!A163)</f>
        <v>163</v>
      </c>
      <c r="B191">
        <v>47631607</v>
      </c>
      <c r="C191">
        <v>47636149</v>
      </c>
      <c r="D191">
        <v>36807252</v>
      </c>
      <c r="E191">
        <v>1</v>
      </c>
      <c r="F191">
        <v>1</v>
      </c>
      <c r="G191">
        <v>1</v>
      </c>
      <c r="H191">
        <v>3</v>
      </c>
      <c r="I191" t="s">
        <v>339</v>
      </c>
      <c r="J191" t="s">
        <v>341</v>
      </c>
      <c r="K191" t="s">
        <v>340</v>
      </c>
      <c r="L191">
        <v>1348</v>
      </c>
      <c r="N191">
        <v>1009</v>
      </c>
      <c r="O191" t="s">
        <v>32</v>
      </c>
      <c r="P191" t="s">
        <v>32</v>
      </c>
      <c r="Q191">
        <v>1000</v>
      </c>
      <c r="W191">
        <v>0</v>
      </c>
      <c r="X191">
        <v>1955294855</v>
      </c>
      <c r="Y191">
        <v>48</v>
      </c>
      <c r="AA191">
        <v>390.88</v>
      </c>
      <c r="AB191">
        <v>0</v>
      </c>
      <c r="AC191">
        <v>0</v>
      </c>
      <c r="AD191">
        <v>0</v>
      </c>
      <c r="AE191">
        <v>390.88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0</v>
      </c>
      <c r="AP191">
        <v>1</v>
      </c>
      <c r="AQ191">
        <v>0</v>
      </c>
      <c r="AR191">
        <v>0</v>
      </c>
      <c r="AS191" t="s">
        <v>3</v>
      </c>
      <c r="AT191">
        <v>12</v>
      </c>
      <c r="AU191" t="s">
        <v>346</v>
      </c>
      <c r="AV191">
        <v>0</v>
      </c>
      <c r="AW191">
        <v>1</v>
      </c>
      <c r="AX191">
        <v>-1</v>
      </c>
      <c r="AY191">
        <v>0</v>
      </c>
      <c r="AZ191">
        <v>0</v>
      </c>
      <c r="BA191" t="s">
        <v>3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Y191*Source!I163</f>
        <v>16.704000000000001</v>
      </c>
      <c r="CY191">
        <f>AA191</f>
        <v>390.88</v>
      </c>
      <c r="CZ191">
        <f>AE191</f>
        <v>390.88</v>
      </c>
      <c r="DA191">
        <f>AI191</f>
        <v>1</v>
      </c>
      <c r="DB191">
        <f>ROUND((ROUND(AT191*CZ191,2)*4),6)</f>
        <v>18762.240000000002</v>
      </c>
      <c r="DC191">
        <f>ROUND((ROUND(AT191*AG191,2)*4),6)</f>
        <v>0</v>
      </c>
    </row>
    <row r="192" spans="1:107" x14ac:dyDescent="0.2">
      <c r="A192">
        <f>ROW(Source!A166)</f>
        <v>166</v>
      </c>
      <c r="B192">
        <v>47631607</v>
      </c>
      <c r="C192">
        <v>47636081</v>
      </c>
      <c r="D192">
        <v>37071037</v>
      </c>
      <c r="E192">
        <v>1</v>
      </c>
      <c r="F192">
        <v>1</v>
      </c>
      <c r="G192">
        <v>1</v>
      </c>
      <c r="H192">
        <v>1</v>
      </c>
      <c r="I192" t="s">
        <v>693</v>
      </c>
      <c r="J192" t="s">
        <v>3</v>
      </c>
      <c r="K192" t="s">
        <v>694</v>
      </c>
      <c r="L192">
        <v>1191</v>
      </c>
      <c r="N192">
        <v>1013</v>
      </c>
      <c r="O192" t="s">
        <v>487</v>
      </c>
      <c r="P192" t="s">
        <v>487</v>
      </c>
      <c r="Q192">
        <v>1</v>
      </c>
      <c r="W192">
        <v>0</v>
      </c>
      <c r="X192">
        <v>1069510174</v>
      </c>
      <c r="Y192">
        <v>50.651749999999993</v>
      </c>
      <c r="AA192">
        <v>0</v>
      </c>
      <c r="AB192">
        <v>0</v>
      </c>
      <c r="AC192">
        <v>0</v>
      </c>
      <c r="AD192">
        <v>9.6199999999999992</v>
      </c>
      <c r="AE192">
        <v>0</v>
      </c>
      <c r="AF192">
        <v>0</v>
      </c>
      <c r="AG192">
        <v>0</v>
      </c>
      <c r="AH192">
        <v>9.6199999999999992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3</v>
      </c>
      <c r="AT192">
        <v>38.299999999999997</v>
      </c>
      <c r="AU192" t="s">
        <v>53</v>
      </c>
      <c r="AV192">
        <v>1</v>
      </c>
      <c r="AW192">
        <v>2</v>
      </c>
      <c r="AX192">
        <v>47636082</v>
      </c>
      <c r="AY192">
        <v>1</v>
      </c>
      <c r="AZ192">
        <v>0</v>
      </c>
      <c r="BA192">
        <v>204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Y192*Source!I166</f>
        <v>17.626808999999998</v>
      </c>
      <c r="CY192">
        <f>AD192</f>
        <v>9.6199999999999992</v>
      </c>
      <c r="CZ192">
        <f>AH192</f>
        <v>9.6199999999999992</v>
      </c>
      <c r="DA192">
        <f>AL192</f>
        <v>1</v>
      </c>
      <c r="DB192">
        <f>ROUND(((ROUND(AT192*CZ192,2)*1.15)*1.15),6)</f>
        <v>487.275125</v>
      </c>
      <c r="DC192">
        <f>ROUND(((ROUND(AT192*AG192,2)*1.15)*1.15),6)</f>
        <v>0</v>
      </c>
    </row>
    <row r="193" spans="1:107" x14ac:dyDescent="0.2">
      <c r="A193">
        <f>ROW(Source!A166)</f>
        <v>166</v>
      </c>
      <c r="B193">
        <v>47631607</v>
      </c>
      <c r="C193">
        <v>47636081</v>
      </c>
      <c r="D193">
        <v>37064876</v>
      </c>
      <c r="E193">
        <v>1</v>
      </c>
      <c r="F193">
        <v>1</v>
      </c>
      <c r="G193">
        <v>1</v>
      </c>
      <c r="H193">
        <v>1</v>
      </c>
      <c r="I193" t="s">
        <v>500</v>
      </c>
      <c r="J193" t="s">
        <v>3</v>
      </c>
      <c r="K193" t="s">
        <v>501</v>
      </c>
      <c r="L193">
        <v>1191</v>
      </c>
      <c r="N193">
        <v>1013</v>
      </c>
      <c r="O193" t="s">
        <v>487</v>
      </c>
      <c r="P193" t="s">
        <v>487</v>
      </c>
      <c r="Q193">
        <v>1</v>
      </c>
      <c r="W193">
        <v>0</v>
      </c>
      <c r="X193">
        <v>-1417349443</v>
      </c>
      <c r="Y193">
        <v>19.12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0</v>
      </c>
      <c r="AQ193">
        <v>0</v>
      </c>
      <c r="AR193">
        <v>0</v>
      </c>
      <c r="AS193" t="s">
        <v>3</v>
      </c>
      <c r="AT193">
        <v>19.12</v>
      </c>
      <c r="AU193" t="s">
        <v>3</v>
      </c>
      <c r="AV193">
        <v>2</v>
      </c>
      <c r="AW193">
        <v>2</v>
      </c>
      <c r="AX193">
        <v>47636083</v>
      </c>
      <c r="AY193">
        <v>1</v>
      </c>
      <c r="AZ193">
        <v>2048</v>
      </c>
      <c r="BA193">
        <v>205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Y193*Source!I166</f>
        <v>6.6537600000000001</v>
      </c>
      <c r="CY193">
        <f>AD193</f>
        <v>0</v>
      </c>
      <c r="CZ193">
        <f>AH193</f>
        <v>0</v>
      </c>
      <c r="DA193">
        <f>AL193</f>
        <v>1</v>
      </c>
      <c r="DB193">
        <f>ROUND(ROUND(AT193*CZ193,2),6)</f>
        <v>0</v>
      </c>
      <c r="DC193">
        <f>ROUND(ROUND(AT193*AG193,2),6)</f>
        <v>0</v>
      </c>
    </row>
    <row r="194" spans="1:107" x14ac:dyDescent="0.2">
      <c r="A194">
        <f>ROW(Source!A166)</f>
        <v>166</v>
      </c>
      <c r="B194">
        <v>47631607</v>
      </c>
      <c r="C194">
        <v>47636081</v>
      </c>
      <c r="D194">
        <v>36882159</v>
      </c>
      <c r="E194">
        <v>1</v>
      </c>
      <c r="F194">
        <v>1</v>
      </c>
      <c r="G194">
        <v>1</v>
      </c>
      <c r="H194">
        <v>2</v>
      </c>
      <c r="I194" t="s">
        <v>518</v>
      </c>
      <c r="J194" t="s">
        <v>519</v>
      </c>
      <c r="K194" t="s">
        <v>520</v>
      </c>
      <c r="L194">
        <v>1368</v>
      </c>
      <c r="N194">
        <v>1011</v>
      </c>
      <c r="O194" t="s">
        <v>505</v>
      </c>
      <c r="P194" t="s">
        <v>505</v>
      </c>
      <c r="Q194">
        <v>1</v>
      </c>
      <c r="W194">
        <v>0</v>
      </c>
      <c r="X194">
        <v>-1718674368</v>
      </c>
      <c r="Y194">
        <v>4.3124999999999997E-2</v>
      </c>
      <c r="AA194">
        <v>0</v>
      </c>
      <c r="AB194">
        <v>111.99</v>
      </c>
      <c r="AC194">
        <v>13.5</v>
      </c>
      <c r="AD194">
        <v>0</v>
      </c>
      <c r="AE194">
        <v>0</v>
      </c>
      <c r="AF194">
        <v>111.99</v>
      </c>
      <c r="AG194">
        <v>13.5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3</v>
      </c>
      <c r="AT194">
        <v>0.03</v>
      </c>
      <c r="AU194" t="s">
        <v>280</v>
      </c>
      <c r="AV194">
        <v>0</v>
      </c>
      <c r="AW194">
        <v>2</v>
      </c>
      <c r="AX194">
        <v>47636084</v>
      </c>
      <c r="AY194">
        <v>1</v>
      </c>
      <c r="AZ194">
        <v>0</v>
      </c>
      <c r="BA194">
        <v>206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Y194*Source!I166</f>
        <v>1.5007499999999998E-2</v>
      </c>
      <c r="CY194">
        <f t="shared" ref="CY194:CY200" si="15">AB194</f>
        <v>111.99</v>
      </c>
      <c r="CZ194">
        <f t="shared" ref="CZ194:CZ200" si="16">AF194</f>
        <v>111.99</v>
      </c>
      <c r="DA194">
        <f t="shared" ref="DA194:DA200" si="17">AJ194</f>
        <v>1</v>
      </c>
      <c r="DB194">
        <f t="shared" ref="DB194:DB200" si="18">ROUND(((ROUND(AT194*CZ194,2)*1.15)*1.25),6)</f>
        <v>4.83</v>
      </c>
      <c r="DC194">
        <f t="shared" ref="DC194:DC200" si="19">ROUND(((ROUND(AT194*AG194,2)*1.15)*1.25),6)</f>
        <v>0.58937499999999998</v>
      </c>
    </row>
    <row r="195" spans="1:107" x14ac:dyDescent="0.2">
      <c r="A195">
        <f>ROW(Source!A166)</f>
        <v>166</v>
      </c>
      <c r="B195">
        <v>47631607</v>
      </c>
      <c r="C195">
        <v>47636081</v>
      </c>
      <c r="D195">
        <v>36882672</v>
      </c>
      <c r="E195">
        <v>1</v>
      </c>
      <c r="F195">
        <v>1</v>
      </c>
      <c r="G195">
        <v>1</v>
      </c>
      <c r="H195">
        <v>2</v>
      </c>
      <c r="I195" t="s">
        <v>695</v>
      </c>
      <c r="J195" t="s">
        <v>696</v>
      </c>
      <c r="K195" t="s">
        <v>697</v>
      </c>
      <c r="L195">
        <v>1368</v>
      </c>
      <c r="N195">
        <v>1011</v>
      </c>
      <c r="O195" t="s">
        <v>505</v>
      </c>
      <c r="P195" t="s">
        <v>505</v>
      </c>
      <c r="Q195">
        <v>1</v>
      </c>
      <c r="W195">
        <v>0</v>
      </c>
      <c r="X195">
        <v>-1615467626</v>
      </c>
      <c r="Y195">
        <v>4.5856250000000003</v>
      </c>
      <c r="AA195">
        <v>0</v>
      </c>
      <c r="AB195">
        <v>195.2</v>
      </c>
      <c r="AC195">
        <v>14.4</v>
      </c>
      <c r="AD195">
        <v>0</v>
      </c>
      <c r="AE195">
        <v>0</v>
      </c>
      <c r="AF195">
        <v>195.2</v>
      </c>
      <c r="AG195">
        <v>14.4</v>
      </c>
      <c r="AH195">
        <v>0</v>
      </c>
      <c r="AI195">
        <v>1</v>
      </c>
      <c r="AJ195">
        <v>1</v>
      </c>
      <c r="AK195">
        <v>1</v>
      </c>
      <c r="AL195">
        <v>1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</v>
      </c>
      <c r="AT195">
        <v>3.19</v>
      </c>
      <c r="AU195" t="s">
        <v>280</v>
      </c>
      <c r="AV195">
        <v>0</v>
      </c>
      <c r="AW195">
        <v>2</v>
      </c>
      <c r="AX195">
        <v>47636085</v>
      </c>
      <c r="AY195">
        <v>1</v>
      </c>
      <c r="AZ195">
        <v>0</v>
      </c>
      <c r="BA195">
        <v>207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Y195*Source!I166</f>
        <v>1.5957975</v>
      </c>
      <c r="CY195">
        <f t="shared" si="15"/>
        <v>195.2</v>
      </c>
      <c r="CZ195">
        <f t="shared" si="16"/>
        <v>195.2</v>
      </c>
      <c r="DA195">
        <f t="shared" si="17"/>
        <v>1</v>
      </c>
      <c r="DB195">
        <f t="shared" si="18"/>
        <v>895.11687500000005</v>
      </c>
      <c r="DC195">
        <f t="shared" si="19"/>
        <v>66.038749999999993</v>
      </c>
    </row>
    <row r="196" spans="1:107" x14ac:dyDescent="0.2">
      <c r="A196">
        <f>ROW(Source!A166)</f>
        <v>166</v>
      </c>
      <c r="B196">
        <v>47631607</v>
      </c>
      <c r="C196">
        <v>47636081</v>
      </c>
      <c r="D196">
        <v>36882688</v>
      </c>
      <c r="E196">
        <v>1</v>
      </c>
      <c r="F196">
        <v>1</v>
      </c>
      <c r="G196">
        <v>1</v>
      </c>
      <c r="H196">
        <v>2</v>
      </c>
      <c r="I196" t="s">
        <v>698</v>
      </c>
      <c r="J196" t="s">
        <v>699</v>
      </c>
      <c r="K196" t="s">
        <v>700</v>
      </c>
      <c r="L196">
        <v>1368</v>
      </c>
      <c r="N196">
        <v>1011</v>
      </c>
      <c r="O196" t="s">
        <v>505</v>
      </c>
      <c r="P196" t="s">
        <v>505</v>
      </c>
      <c r="Q196">
        <v>1</v>
      </c>
      <c r="W196">
        <v>0</v>
      </c>
      <c r="X196">
        <v>1213144090</v>
      </c>
      <c r="Y196">
        <v>2.0124999999999997</v>
      </c>
      <c r="AA196">
        <v>0</v>
      </c>
      <c r="AB196">
        <v>17.2</v>
      </c>
      <c r="AC196">
        <v>0</v>
      </c>
      <c r="AD196">
        <v>0</v>
      </c>
      <c r="AE196">
        <v>0</v>
      </c>
      <c r="AF196">
        <v>17.2</v>
      </c>
      <c r="AG196">
        <v>0</v>
      </c>
      <c r="AH196">
        <v>0</v>
      </c>
      <c r="AI196">
        <v>1</v>
      </c>
      <c r="AJ196">
        <v>1</v>
      </c>
      <c r="AK196">
        <v>1</v>
      </c>
      <c r="AL196">
        <v>1</v>
      </c>
      <c r="AN196">
        <v>0</v>
      </c>
      <c r="AO196">
        <v>1</v>
      </c>
      <c r="AP196">
        <v>1</v>
      </c>
      <c r="AQ196">
        <v>0</v>
      </c>
      <c r="AR196">
        <v>0</v>
      </c>
      <c r="AS196" t="s">
        <v>3</v>
      </c>
      <c r="AT196">
        <v>1.4</v>
      </c>
      <c r="AU196" t="s">
        <v>280</v>
      </c>
      <c r="AV196">
        <v>0</v>
      </c>
      <c r="AW196">
        <v>2</v>
      </c>
      <c r="AX196">
        <v>47636086</v>
      </c>
      <c r="AY196">
        <v>1</v>
      </c>
      <c r="AZ196">
        <v>0</v>
      </c>
      <c r="BA196">
        <v>208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Y196*Source!I166</f>
        <v>0.70034999999999981</v>
      </c>
      <c r="CY196">
        <f t="shared" si="15"/>
        <v>17.2</v>
      </c>
      <c r="CZ196">
        <f t="shared" si="16"/>
        <v>17.2</v>
      </c>
      <c r="DA196">
        <f t="shared" si="17"/>
        <v>1</v>
      </c>
      <c r="DB196">
        <f t="shared" si="18"/>
        <v>34.615000000000002</v>
      </c>
      <c r="DC196">
        <f t="shared" si="19"/>
        <v>0</v>
      </c>
    </row>
    <row r="197" spans="1:107" x14ac:dyDescent="0.2">
      <c r="A197">
        <f>ROW(Source!A166)</f>
        <v>166</v>
      </c>
      <c r="B197">
        <v>47631607</v>
      </c>
      <c r="C197">
        <v>47636081</v>
      </c>
      <c r="D197">
        <v>36882722</v>
      </c>
      <c r="E197">
        <v>1</v>
      </c>
      <c r="F197">
        <v>1</v>
      </c>
      <c r="G197">
        <v>1</v>
      </c>
      <c r="H197">
        <v>2</v>
      </c>
      <c r="I197" t="s">
        <v>677</v>
      </c>
      <c r="J197" t="s">
        <v>678</v>
      </c>
      <c r="K197" t="s">
        <v>679</v>
      </c>
      <c r="L197">
        <v>1368</v>
      </c>
      <c r="N197">
        <v>1011</v>
      </c>
      <c r="O197" t="s">
        <v>505</v>
      </c>
      <c r="P197" t="s">
        <v>505</v>
      </c>
      <c r="Q197">
        <v>1</v>
      </c>
      <c r="W197">
        <v>0</v>
      </c>
      <c r="X197">
        <v>-891970060</v>
      </c>
      <c r="Y197">
        <v>5.692499999999999</v>
      </c>
      <c r="AA197">
        <v>0</v>
      </c>
      <c r="AB197">
        <v>75</v>
      </c>
      <c r="AC197">
        <v>11.6</v>
      </c>
      <c r="AD197">
        <v>0</v>
      </c>
      <c r="AE197">
        <v>0</v>
      </c>
      <c r="AF197">
        <v>75</v>
      </c>
      <c r="AG197">
        <v>11.6</v>
      </c>
      <c r="AH197">
        <v>0</v>
      </c>
      <c r="AI197">
        <v>1</v>
      </c>
      <c r="AJ197">
        <v>1</v>
      </c>
      <c r="AK197">
        <v>1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</v>
      </c>
      <c r="AT197">
        <v>3.96</v>
      </c>
      <c r="AU197" t="s">
        <v>280</v>
      </c>
      <c r="AV197">
        <v>0</v>
      </c>
      <c r="AW197">
        <v>2</v>
      </c>
      <c r="AX197">
        <v>47636087</v>
      </c>
      <c r="AY197">
        <v>1</v>
      </c>
      <c r="AZ197">
        <v>0</v>
      </c>
      <c r="BA197">
        <v>209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Y197*Source!I166</f>
        <v>1.9809899999999996</v>
      </c>
      <c r="CY197">
        <f t="shared" si="15"/>
        <v>75</v>
      </c>
      <c r="CZ197">
        <f t="shared" si="16"/>
        <v>75</v>
      </c>
      <c r="DA197">
        <f t="shared" si="17"/>
        <v>1</v>
      </c>
      <c r="DB197">
        <f t="shared" si="18"/>
        <v>426.9375</v>
      </c>
      <c r="DC197">
        <f t="shared" si="19"/>
        <v>66.038749999999993</v>
      </c>
    </row>
    <row r="198" spans="1:107" x14ac:dyDescent="0.2">
      <c r="A198">
        <f>ROW(Source!A166)</f>
        <v>166</v>
      </c>
      <c r="B198">
        <v>47631607</v>
      </c>
      <c r="C198">
        <v>47636081</v>
      </c>
      <c r="D198">
        <v>36882726</v>
      </c>
      <c r="E198">
        <v>1</v>
      </c>
      <c r="F198">
        <v>1</v>
      </c>
      <c r="G198">
        <v>1</v>
      </c>
      <c r="H198">
        <v>2</v>
      </c>
      <c r="I198" t="s">
        <v>701</v>
      </c>
      <c r="J198" t="s">
        <v>702</v>
      </c>
      <c r="K198" t="s">
        <v>703</v>
      </c>
      <c r="L198">
        <v>1368</v>
      </c>
      <c r="N198">
        <v>1011</v>
      </c>
      <c r="O198" t="s">
        <v>505</v>
      </c>
      <c r="P198" t="s">
        <v>505</v>
      </c>
      <c r="Q198">
        <v>1</v>
      </c>
      <c r="W198">
        <v>0</v>
      </c>
      <c r="X198">
        <v>-1649076460</v>
      </c>
      <c r="Y198">
        <v>16.545625000000001</v>
      </c>
      <c r="AA198">
        <v>0</v>
      </c>
      <c r="AB198">
        <v>121</v>
      </c>
      <c r="AC198">
        <v>14.4</v>
      </c>
      <c r="AD198">
        <v>0</v>
      </c>
      <c r="AE198">
        <v>0</v>
      </c>
      <c r="AF198">
        <v>121</v>
      </c>
      <c r="AG198">
        <v>14.4</v>
      </c>
      <c r="AH198">
        <v>0</v>
      </c>
      <c r="AI198">
        <v>1</v>
      </c>
      <c r="AJ198">
        <v>1</v>
      </c>
      <c r="AK198">
        <v>1</v>
      </c>
      <c r="AL198">
        <v>1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3</v>
      </c>
      <c r="AT198">
        <v>11.51</v>
      </c>
      <c r="AU198" t="s">
        <v>280</v>
      </c>
      <c r="AV198">
        <v>0</v>
      </c>
      <c r="AW198">
        <v>2</v>
      </c>
      <c r="AX198">
        <v>47636088</v>
      </c>
      <c r="AY198">
        <v>1</v>
      </c>
      <c r="AZ198">
        <v>0</v>
      </c>
      <c r="BA198">
        <v>210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Y198*Source!I166</f>
        <v>5.7578775000000002</v>
      </c>
      <c r="CY198">
        <f t="shared" si="15"/>
        <v>121</v>
      </c>
      <c r="CZ198">
        <f t="shared" si="16"/>
        <v>121</v>
      </c>
      <c r="DA198">
        <f t="shared" si="17"/>
        <v>1</v>
      </c>
      <c r="DB198">
        <f t="shared" si="18"/>
        <v>2002.0206250000001</v>
      </c>
      <c r="DC198">
        <f t="shared" si="19"/>
        <v>238.25125</v>
      </c>
    </row>
    <row r="199" spans="1:107" x14ac:dyDescent="0.2">
      <c r="A199">
        <f>ROW(Source!A166)</f>
        <v>166</v>
      </c>
      <c r="B199">
        <v>47631607</v>
      </c>
      <c r="C199">
        <v>47636081</v>
      </c>
      <c r="D199">
        <v>36883483</v>
      </c>
      <c r="E199">
        <v>1</v>
      </c>
      <c r="F199">
        <v>1</v>
      </c>
      <c r="G199">
        <v>1</v>
      </c>
      <c r="H199">
        <v>2</v>
      </c>
      <c r="I199" t="s">
        <v>672</v>
      </c>
      <c r="J199" t="s">
        <v>673</v>
      </c>
      <c r="K199" t="s">
        <v>674</v>
      </c>
      <c r="L199">
        <v>1368</v>
      </c>
      <c r="N199">
        <v>1011</v>
      </c>
      <c r="O199" t="s">
        <v>505</v>
      </c>
      <c r="P199" t="s">
        <v>505</v>
      </c>
      <c r="Q199">
        <v>1</v>
      </c>
      <c r="W199">
        <v>0</v>
      </c>
      <c r="X199">
        <v>529073949</v>
      </c>
      <c r="Y199">
        <v>0.56062499999999993</v>
      </c>
      <c r="AA199">
        <v>0</v>
      </c>
      <c r="AB199">
        <v>110</v>
      </c>
      <c r="AC199">
        <v>11.6</v>
      </c>
      <c r="AD199">
        <v>0</v>
      </c>
      <c r="AE199">
        <v>0</v>
      </c>
      <c r="AF199">
        <v>110</v>
      </c>
      <c r="AG199">
        <v>11.6</v>
      </c>
      <c r="AH199">
        <v>0</v>
      </c>
      <c r="AI199">
        <v>1</v>
      </c>
      <c r="AJ199">
        <v>1</v>
      </c>
      <c r="AK199">
        <v>1</v>
      </c>
      <c r="AL199">
        <v>1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3</v>
      </c>
      <c r="AT199">
        <v>0.39</v>
      </c>
      <c r="AU199" t="s">
        <v>280</v>
      </c>
      <c r="AV199">
        <v>0</v>
      </c>
      <c r="AW199">
        <v>2</v>
      </c>
      <c r="AX199">
        <v>47636089</v>
      </c>
      <c r="AY199">
        <v>1</v>
      </c>
      <c r="AZ199">
        <v>0</v>
      </c>
      <c r="BA199">
        <v>211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Y199*Source!I166</f>
        <v>0.19509749999999995</v>
      </c>
      <c r="CY199">
        <f t="shared" si="15"/>
        <v>110</v>
      </c>
      <c r="CZ199">
        <f t="shared" si="16"/>
        <v>110</v>
      </c>
      <c r="DA199">
        <f t="shared" si="17"/>
        <v>1</v>
      </c>
      <c r="DB199">
        <f t="shared" si="18"/>
        <v>61.668750000000003</v>
      </c>
      <c r="DC199">
        <f t="shared" si="19"/>
        <v>6.4974999999999996</v>
      </c>
    </row>
    <row r="200" spans="1:107" x14ac:dyDescent="0.2">
      <c r="A200">
        <f>ROW(Source!A166)</f>
        <v>166</v>
      </c>
      <c r="B200">
        <v>47631607</v>
      </c>
      <c r="C200">
        <v>47636081</v>
      </c>
      <c r="D200">
        <v>36883554</v>
      </c>
      <c r="E200">
        <v>1</v>
      </c>
      <c r="F200">
        <v>1</v>
      </c>
      <c r="G200">
        <v>1</v>
      </c>
      <c r="H200">
        <v>2</v>
      </c>
      <c r="I200" t="s">
        <v>509</v>
      </c>
      <c r="J200" t="s">
        <v>510</v>
      </c>
      <c r="K200" t="s">
        <v>511</v>
      </c>
      <c r="L200">
        <v>1368</v>
      </c>
      <c r="N200">
        <v>1011</v>
      </c>
      <c r="O200" t="s">
        <v>505</v>
      </c>
      <c r="P200" t="s">
        <v>505</v>
      </c>
      <c r="Q200">
        <v>1</v>
      </c>
      <c r="W200">
        <v>0</v>
      </c>
      <c r="X200">
        <v>1372534845</v>
      </c>
      <c r="Y200">
        <v>5.7499999999999996E-2</v>
      </c>
      <c r="AA200">
        <v>0</v>
      </c>
      <c r="AB200">
        <v>65.709999999999994</v>
      </c>
      <c r="AC200">
        <v>11.6</v>
      </c>
      <c r="AD200">
        <v>0</v>
      </c>
      <c r="AE200">
        <v>0</v>
      </c>
      <c r="AF200">
        <v>65.709999999999994</v>
      </c>
      <c r="AG200">
        <v>11.6</v>
      </c>
      <c r="AH200">
        <v>0</v>
      </c>
      <c r="AI200">
        <v>1</v>
      </c>
      <c r="AJ200">
        <v>1</v>
      </c>
      <c r="AK200">
        <v>1</v>
      </c>
      <c r="AL200">
        <v>1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3</v>
      </c>
      <c r="AT200">
        <v>0.04</v>
      </c>
      <c r="AU200" t="s">
        <v>280</v>
      </c>
      <c r="AV200">
        <v>0</v>
      </c>
      <c r="AW200">
        <v>2</v>
      </c>
      <c r="AX200">
        <v>47636090</v>
      </c>
      <c r="AY200">
        <v>1</v>
      </c>
      <c r="AZ200">
        <v>0</v>
      </c>
      <c r="BA200">
        <v>212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Y200*Source!I166</f>
        <v>2.0009999999999997E-2</v>
      </c>
      <c r="CY200">
        <f t="shared" si="15"/>
        <v>65.709999999999994</v>
      </c>
      <c r="CZ200">
        <f t="shared" si="16"/>
        <v>65.709999999999994</v>
      </c>
      <c r="DA200">
        <f t="shared" si="17"/>
        <v>1</v>
      </c>
      <c r="DB200">
        <f t="shared" si="18"/>
        <v>3.7806250000000001</v>
      </c>
      <c r="DC200">
        <f t="shared" si="19"/>
        <v>0.66125</v>
      </c>
    </row>
    <row r="201" spans="1:107" x14ac:dyDescent="0.2">
      <c r="A201">
        <f>ROW(Source!A166)</f>
        <v>166</v>
      </c>
      <c r="B201">
        <v>47631607</v>
      </c>
      <c r="C201">
        <v>47636081</v>
      </c>
      <c r="D201">
        <v>36799842</v>
      </c>
      <c r="E201">
        <v>1</v>
      </c>
      <c r="F201">
        <v>1</v>
      </c>
      <c r="G201">
        <v>1</v>
      </c>
      <c r="H201">
        <v>3</v>
      </c>
      <c r="I201" t="s">
        <v>335</v>
      </c>
      <c r="J201" t="s">
        <v>337</v>
      </c>
      <c r="K201" t="s">
        <v>336</v>
      </c>
      <c r="L201">
        <v>1348</v>
      </c>
      <c r="N201">
        <v>1009</v>
      </c>
      <c r="O201" t="s">
        <v>32</v>
      </c>
      <c r="P201" t="s">
        <v>32</v>
      </c>
      <c r="Q201">
        <v>1000</v>
      </c>
      <c r="W201">
        <v>0</v>
      </c>
      <c r="X201">
        <v>1401058849</v>
      </c>
      <c r="Y201">
        <v>1.0800000000000001E-2</v>
      </c>
      <c r="AA201">
        <v>1946.91</v>
      </c>
      <c r="AB201">
        <v>0</v>
      </c>
      <c r="AC201">
        <v>0</v>
      </c>
      <c r="AD201">
        <v>0</v>
      </c>
      <c r="AE201">
        <v>1946.91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N201">
        <v>0</v>
      </c>
      <c r="AO201">
        <v>0</v>
      </c>
      <c r="AP201">
        <v>0</v>
      </c>
      <c r="AQ201">
        <v>0</v>
      </c>
      <c r="AR201">
        <v>0</v>
      </c>
      <c r="AS201" t="s">
        <v>3</v>
      </c>
      <c r="AT201">
        <v>1.0800000000000001E-2</v>
      </c>
      <c r="AU201" t="s">
        <v>3</v>
      </c>
      <c r="AV201">
        <v>0</v>
      </c>
      <c r="AW201">
        <v>1</v>
      </c>
      <c r="AX201">
        <v>-1</v>
      </c>
      <c r="AY201">
        <v>0</v>
      </c>
      <c r="AZ201">
        <v>0</v>
      </c>
      <c r="BA201" t="s">
        <v>3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Y201*Source!I166</f>
        <v>3.7583999999999998E-3</v>
      </c>
      <c r="CY201">
        <f>AA201</f>
        <v>1946.91</v>
      </c>
      <c r="CZ201">
        <f>AE201</f>
        <v>1946.91</v>
      </c>
      <c r="DA201">
        <f>AI201</f>
        <v>1</v>
      </c>
      <c r="DB201">
        <f>ROUND(ROUND(AT201*CZ201,2),6)</f>
        <v>21.03</v>
      </c>
      <c r="DC201">
        <f>ROUND(ROUND(AT201*AG201,2),6)</f>
        <v>0</v>
      </c>
    </row>
    <row r="202" spans="1:107" x14ac:dyDescent="0.2">
      <c r="A202">
        <f>ROW(Source!A166)</f>
        <v>166</v>
      </c>
      <c r="B202">
        <v>47631607</v>
      </c>
      <c r="C202">
        <v>47636081</v>
      </c>
      <c r="D202">
        <v>36801792</v>
      </c>
      <c r="E202">
        <v>1</v>
      </c>
      <c r="F202">
        <v>1</v>
      </c>
      <c r="G202">
        <v>1</v>
      </c>
      <c r="H202">
        <v>3</v>
      </c>
      <c r="I202" t="s">
        <v>597</v>
      </c>
      <c r="J202" t="s">
        <v>598</v>
      </c>
      <c r="K202" t="s">
        <v>599</v>
      </c>
      <c r="L202">
        <v>1339</v>
      </c>
      <c r="N202">
        <v>1007</v>
      </c>
      <c r="O202" t="s">
        <v>96</v>
      </c>
      <c r="P202" t="s">
        <v>96</v>
      </c>
      <c r="Q202">
        <v>1</v>
      </c>
      <c r="W202">
        <v>0</v>
      </c>
      <c r="X202">
        <v>-1660354250</v>
      </c>
      <c r="Y202">
        <v>0.2</v>
      </c>
      <c r="AA202">
        <v>2.44</v>
      </c>
      <c r="AB202">
        <v>0</v>
      </c>
      <c r="AC202">
        <v>0</v>
      </c>
      <c r="AD202">
        <v>0</v>
      </c>
      <c r="AE202">
        <v>2.44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0</v>
      </c>
      <c r="AQ202">
        <v>0</v>
      </c>
      <c r="AR202">
        <v>0</v>
      </c>
      <c r="AS202" t="s">
        <v>3</v>
      </c>
      <c r="AT202">
        <v>0.2</v>
      </c>
      <c r="AU202" t="s">
        <v>3</v>
      </c>
      <c r="AV202">
        <v>0</v>
      </c>
      <c r="AW202">
        <v>2</v>
      </c>
      <c r="AX202">
        <v>47636092</v>
      </c>
      <c r="AY202">
        <v>1</v>
      </c>
      <c r="AZ202">
        <v>0</v>
      </c>
      <c r="BA202">
        <v>214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Y202*Source!I166</f>
        <v>6.9599999999999995E-2</v>
      </c>
      <c r="CY202">
        <f>AA202</f>
        <v>2.44</v>
      </c>
      <c r="CZ202">
        <f>AE202</f>
        <v>2.44</v>
      </c>
      <c r="DA202">
        <f>AI202</f>
        <v>1</v>
      </c>
      <c r="DB202">
        <f>ROUND(ROUND(AT202*CZ202,2),6)</f>
        <v>0.49</v>
      </c>
      <c r="DC202">
        <f>ROUND(ROUND(AT202*AG202,2),6)</f>
        <v>0</v>
      </c>
    </row>
    <row r="203" spans="1:107" x14ac:dyDescent="0.2">
      <c r="A203">
        <f>ROW(Source!A166)</f>
        <v>166</v>
      </c>
      <c r="B203">
        <v>47631607</v>
      </c>
      <c r="C203">
        <v>47636081</v>
      </c>
      <c r="D203">
        <v>36807224</v>
      </c>
      <c r="E203">
        <v>1</v>
      </c>
      <c r="F203">
        <v>1</v>
      </c>
      <c r="G203">
        <v>1</v>
      </c>
      <c r="H203">
        <v>3</v>
      </c>
      <c r="I203" t="s">
        <v>355</v>
      </c>
      <c r="J203" t="s">
        <v>357</v>
      </c>
      <c r="K203" t="s">
        <v>356</v>
      </c>
      <c r="L203">
        <v>1348</v>
      </c>
      <c r="N203">
        <v>1009</v>
      </c>
      <c r="O203" t="s">
        <v>32</v>
      </c>
      <c r="P203" t="s">
        <v>32</v>
      </c>
      <c r="Q203">
        <v>1000</v>
      </c>
      <c r="W203">
        <v>0</v>
      </c>
      <c r="X203">
        <v>2047521922</v>
      </c>
      <c r="Y203">
        <v>96.6</v>
      </c>
      <c r="AA203">
        <v>460</v>
      </c>
      <c r="AB203">
        <v>0</v>
      </c>
      <c r="AC203">
        <v>0</v>
      </c>
      <c r="AD203">
        <v>0</v>
      </c>
      <c r="AE203">
        <v>460</v>
      </c>
      <c r="AF203">
        <v>0</v>
      </c>
      <c r="AG203">
        <v>0</v>
      </c>
      <c r="AH203">
        <v>0</v>
      </c>
      <c r="AI203">
        <v>1</v>
      </c>
      <c r="AJ203">
        <v>1</v>
      </c>
      <c r="AK203">
        <v>1</v>
      </c>
      <c r="AL203">
        <v>1</v>
      </c>
      <c r="AN203">
        <v>0</v>
      </c>
      <c r="AO203">
        <v>0</v>
      </c>
      <c r="AP203">
        <v>0</v>
      </c>
      <c r="AQ203">
        <v>0</v>
      </c>
      <c r="AR203">
        <v>0</v>
      </c>
      <c r="AS203" t="s">
        <v>3</v>
      </c>
      <c r="AT203">
        <v>96.6</v>
      </c>
      <c r="AU203" t="s">
        <v>3</v>
      </c>
      <c r="AV203">
        <v>0</v>
      </c>
      <c r="AW203">
        <v>1</v>
      </c>
      <c r="AX203">
        <v>-1</v>
      </c>
      <c r="AY203">
        <v>0</v>
      </c>
      <c r="AZ203">
        <v>0</v>
      </c>
      <c r="BA203" t="s">
        <v>3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Y203*Source!I166</f>
        <v>33.616799999999998</v>
      </c>
      <c r="CY203">
        <f>AA203</f>
        <v>460</v>
      </c>
      <c r="CZ203">
        <f>AE203</f>
        <v>460</v>
      </c>
      <c r="DA203">
        <f>AI203</f>
        <v>1</v>
      </c>
      <c r="DB203">
        <f>ROUND(ROUND(AT203*CZ203,2),6)</f>
        <v>44436</v>
      </c>
      <c r="DC203">
        <f>ROUND(ROUND(AT203*AG203,2),6)</f>
        <v>0</v>
      </c>
    </row>
    <row r="204" spans="1:107" x14ac:dyDescent="0.2">
      <c r="A204">
        <f>ROW(Source!A166)</f>
        <v>166</v>
      </c>
      <c r="B204">
        <v>47631607</v>
      </c>
      <c r="C204">
        <v>47636081</v>
      </c>
      <c r="D204">
        <v>36824289</v>
      </c>
      <c r="E204">
        <v>1</v>
      </c>
      <c r="F204">
        <v>1</v>
      </c>
      <c r="G204">
        <v>1</v>
      </c>
      <c r="H204">
        <v>3</v>
      </c>
      <c r="I204" t="s">
        <v>704</v>
      </c>
      <c r="J204" t="s">
        <v>705</v>
      </c>
      <c r="K204" t="s">
        <v>706</v>
      </c>
      <c r="L204">
        <v>1348</v>
      </c>
      <c r="N204">
        <v>1009</v>
      </c>
      <c r="O204" t="s">
        <v>32</v>
      </c>
      <c r="P204" t="s">
        <v>32</v>
      </c>
      <c r="Q204">
        <v>1000</v>
      </c>
      <c r="W204">
        <v>0</v>
      </c>
      <c r="X204">
        <v>-1756095795</v>
      </c>
      <c r="Y204">
        <v>6.1999999999999998E-3</v>
      </c>
      <c r="AA204">
        <v>5989</v>
      </c>
      <c r="AB204">
        <v>0</v>
      </c>
      <c r="AC204">
        <v>0</v>
      </c>
      <c r="AD204">
        <v>0</v>
      </c>
      <c r="AE204">
        <v>5989</v>
      </c>
      <c r="AF204">
        <v>0</v>
      </c>
      <c r="AG204">
        <v>0</v>
      </c>
      <c r="AH204">
        <v>0</v>
      </c>
      <c r="AI204">
        <v>1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0</v>
      </c>
      <c r="AQ204">
        <v>0</v>
      </c>
      <c r="AR204">
        <v>0</v>
      </c>
      <c r="AS204" t="s">
        <v>3</v>
      </c>
      <c r="AT204">
        <v>6.1999999999999998E-3</v>
      </c>
      <c r="AU204" t="s">
        <v>3</v>
      </c>
      <c r="AV204">
        <v>0</v>
      </c>
      <c r="AW204">
        <v>2</v>
      </c>
      <c r="AX204">
        <v>47636094</v>
      </c>
      <c r="AY204">
        <v>1</v>
      </c>
      <c r="AZ204">
        <v>0</v>
      </c>
      <c r="BA204">
        <v>216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Y204*Source!I166</f>
        <v>2.1576E-3</v>
      </c>
      <c r="CY204">
        <f>AA204</f>
        <v>5989</v>
      </c>
      <c r="CZ204">
        <f>AE204</f>
        <v>5989</v>
      </c>
      <c r="DA204">
        <f>AI204</f>
        <v>1</v>
      </c>
      <c r="DB204">
        <f>ROUND(ROUND(AT204*CZ204,2),6)</f>
        <v>37.130000000000003</v>
      </c>
      <c r="DC204">
        <f>ROUND(ROUND(AT204*AG204,2),6)</f>
        <v>0</v>
      </c>
    </row>
    <row r="205" spans="1:107" x14ac:dyDescent="0.2">
      <c r="A205">
        <f>ROW(Source!A166)</f>
        <v>166</v>
      </c>
      <c r="B205">
        <v>47631607</v>
      </c>
      <c r="C205">
        <v>47636081</v>
      </c>
      <c r="D205">
        <v>36830315</v>
      </c>
      <c r="E205">
        <v>1</v>
      </c>
      <c r="F205">
        <v>1</v>
      </c>
      <c r="G205">
        <v>1</v>
      </c>
      <c r="H205">
        <v>3</v>
      </c>
      <c r="I205" t="s">
        <v>707</v>
      </c>
      <c r="J205" t="s">
        <v>708</v>
      </c>
      <c r="K205" t="s">
        <v>709</v>
      </c>
      <c r="L205">
        <v>1339</v>
      </c>
      <c r="N205">
        <v>1007</v>
      </c>
      <c r="O205" t="s">
        <v>96</v>
      </c>
      <c r="P205" t="s">
        <v>96</v>
      </c>
      <c r="Q205">
        <v>1</v>
      </c>
      <c r="W205">
        <v>0</v>
      </c>
      <c r="X205">
        <v>-395792271</v>
      </c>
      <c r="Y205">
        <v>0.15</v>
      </c>
      <c r="AA205">
        <v>1287</v>
      </c>
      <c r="AB205">
        <v>0</v>
      </c>
      <c r="AC205">
        <v>0</v>
      </c>
      <c r="AD205">
        <v>0</v>
      </c>
      <c r="AE205">
        <v>1287</v>
      </c>
      <c r="AF205">
        <v>0</v>
      </c>
      <c r="AG205">
        <v>0</v>
      </c>
      <c r="AH205">
        <v>0</v>
      </c>
      <c r="AI205">
        <v>1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0</v>
      </c>
      <c r="AQ205">
        <v>0</v>
      </c>
      <c r="AR205">
        <v>0</v>
      </c>
      <c r="AS205" t="s">
        <v>3</v>
      </c>
      <c r="AT205">
        <v>0.15</v>
      </c>
      <c r="AU205" t="s">
        <v>3</v>
      </c>
      <c r="AV205">
        <v>0</v>
      </c>
      <c r="AW205">
        <v>2</v>
      </c>
      <c r="AX205">
        <v>47636095</v>
      </c>
      <c r="AY205">
        <v>1</v>
      </c>
      <c r="AZ205">
        <v>0</v>
      </c>
      <c r="BA205">
        <v>217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Y205*Source!I166</f>
        <v>5.2199999999999996E-2</v>
      </c>
      <c r="CY205">
        <f>AA205</f>
        <v>1287</v>
      </c>
      <c r="CZ205">
        <f>AE205</f>
        <v>1287</v>
      </c>
      <c r="DA205">
        <f>AI205</f>
        <v>1</v>
      </c>
      <c r="DB205">
        <f>ROUND(ROUND(AT205*CZ205,2),6)</f>
        <v>193.05</v>
      </c>
      <c r="DC205">
        <f>ROUND(ROUND(AT205*AG205,2),6)</f>
        <v>0</v>
      </c>
    </row>
    <row r="206" spans="1:107" x14ac:dyDescent="0.2">
      <c r="A206">
        <f>ROW(Source!A203)</f>
        <v>203</v>
      </c>
      <c r="B206">
        <v>47631607</v>
      </c>
      <c r="C206">
        <v>47636247</v>
      </c>
      <c r="D206">
        <v>37066837</v>
      </c>
      <c r="E206">
        <v>1</v>
      </c>
      <c r="F206">
        <v>1</v>
      </c>
      <c r="G206">
        <v>1</v>
      </c>
      <c r="H206">
        <v>1</v>
      </c>
      <c r="I206" t="s">
        <v>654</v>
      </c>
      <c r="J206" t="s">
        <v>3</v>
      </c>
      <c r="K206" t="s">
        <v>655</v>
      </c>
      <c r="L206">
        <v>1191</v>
      </c>
      <c r="N206">
        <v>1013</v>
      </c>
      <c r="O206" t="s">
        <v>487</v>
      </c>
      <c r="P206" t="s">
        <v>487</v>
      </c>
      <c r="Q206">
        <v>1</v>
      </c>
      <c r="W206">
        <v>0</v>
      </c>
      <c r="X206">
        <v>1850719656</v>
      </c>
      <c r="Y206">
        <v>66.423999999999992</v>
      </c>
      <c r="AA206">
        <v>0</v>
      </c>
      <c r="AB206">
        <v>0</v>
      </c>
      <c r="AC206">
        <v>0</v>
      </c>
      <c r="AD206">
        <v>8.31</v>
      </c>
      <c r="AE206">
        <v>0</v>
      </c>
      <c r="AF206">
        <v>0</v>
      </c>
      <c r="AG206">
        <v>0</v>
      </c>
      <c r="AH206">
        <v>8.31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3</v>
      </c>
      <c r="AT206">
        <v>57.76</v>
      </c>
      <c r="AU206" t="s">
        <v>24</v>
      </c>
      <c r="AV206">
        <v>1</v>
      </c>
      <c r="AW206">
        <v>2</v>
      </c>
      <c r="AX206">
        <v>47636252</v>
      </c>
      <c r="AY206">
        <v>1</v>
      </c>
      <c r="AZ206">
        <v>0</v>
      </c>
      <c r="BA206">
        <v>218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Y206*Source!I203</f>
        <v>24.444031999999996</v>
      </c>
      <c r="CY206">
        <f>AD206</f>
        <v>8.31</v>
      </c>
      <c r="CZ206">
        <f>AH206</f>
        <v>8.31</v>
      </c>
      <c r="DA206">
        <f>AL206</f>
        <v>1</v>
      </c>
      <c r="DB206">
        <f>ROUND((ROUND(AT206*CZ206,2)*1.15),6)</f>
        <v>551.98850000000004</v>
      </c>
      <c r="DC206">
        <f>ROUND((ROUND(AT206*AG206,2)*1.15),6)</f>
        <v>0</v>
      </c>
    </row>
    <row r="207" spans="1:107" x14ac:dyDescent="0.2">
      <c r="A207">
        <f>ROW(Source!A203)</f>
        <v>203</v>
      </c>
      <c r="B207">
        <v>47631607</v>
      </c>
      <c r="C207">
        <v>47636247</v>
      </c>
      <c r="D207">
        <v>37064876</v>
      </c>
      <c r="E207">
        <v>1</v>
      </c>
      <c r="F207">
        <v>1</v>
      </c>
      <c r="G207">
        <v>1</v>
      </c>
      <c r="H207">
        <v>1</v>
      </c>
      <c r="I207" t="s">
        <v>500</v>
      </c>
      <c r="J207" t="s">
        <v>3</v>
      </c>
      <c r="K207" t="s">
        <v>501</v>
      </c>
      <c r="L207">
        <v>1191</v>
      </c>
      <c r="N207">
        <v>1013</v>
      </c>
      <c r="O207" t="s">
        <v>487</v>
      </c>
      <c r="P207" t="s">
        <v>487</v>
      </c>
      <c r="Q207">
        <v>1</v>
      </c>
      <c r="W207">
        <v>0</v>
      </c>
      <c r="X207">
        <v>-1417349443</v>
      </c>
      <c r="Y207">
        <v>15.7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0</v>
      </c>
      <c r="AQ207">
        <v>0</v>
      </c>
      <c r="AR207">
        <v>0</v>
      </c>
      <c r="AS207" t="s">
        <v>3</v>
      </c>
      <c r="AT207">
        <v>15.7</v>
      </c>
      <c r="AU207" t="s">
        <v>3</v>
      </c>
      <c r="AV207">
        <v>2</v>
      </c>
      <c r="AW207">
        <v>2</v>
      </c>
      <c r="AX207">
        <v>47636253</v>
      </c>
      <c r="AY207">
        <v>1</v>
      </c>
      <c r="AZ207">
        <v>2048</v>
      </c>
      <c r="BA207">
        <v>219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Y207*Source!I203</f>
        <v>5.7775999999999996</v>
      </c>
      <c r="CY207">
        <f>AD207</f>
        <v>0</v>
      </c>
      <c r="CZ207">
        <f>AH207</f>
        <v>0</v>
      </c>
      <c r="DA207">
        <f>AL207</f>
        <v>1</v>
      </c>
      <c r="DB207">
        <f>ROUND(ROUND(AT207*CZ207,2),6)</f>
        <v>0</v>
      </c>
      <c r="DC207">
        <f>ROUND(ROUND(AT207*AG207,2),6)</f>
        <v>0</v>
      </c>
    </row>
    <row r="208" spans="1:107" x14ac:dyDescent="0.2">
      <c r="A208">
        <f>ROW(Source!A203)</f>
        <v>203</v>
      </c>
      <c r="B208">
        <v>47631607</v>
      </c>
      <c r="C208">
        <v>47636247</v>
      </c>
      <c r="D208">
        <v>36883878</v>
      </c>
      <c r="E208">
        <v>1</v>
      </c>
      <c r="F208">
        <v>1</v>
      </c>
      <c r="G208">
        <v>1</v>
      </c>
      <c r="H208">
        <v>2</v>
      </c>
      <c r="I208" t="s">
        <v>594</v>
      </c>
      <c r="J208" t="s">
        <v>595</v>
      </c>
      <c r="K208" t="s">
        <v>596</v>
      </c>
      <c r="L208">
        <v>1368</v>
      </c>
      <c r="N208">
        <v>1011</v>
      </c>
      <c r="O208" t="s">
        <v>505</v>
      </c>
      <c r="P208" t="s">
        <v>505</v>
      </c>
      <c r="Q208">
        <v>1</v>
      </c>
      <c r="W208">
        <v>0</v>
      </c>
      <c r="X208">
        <v>-1589061407</v>
      </c>
      <c r="Y208">
        <v>18.054999999999996</v>
      </c>
      <c r="AA208">
        <v>0</v>
      </c>
      <c r="AB208">
        <v>90</v>
      </c>
      <c r="AC208">
        <v>10.06</v>
      </c>
      <c r="AD208">
        <v>0</v>
      </c>
      <c r="AE208">
        <v>0</v>
      </c>
      <c r="AF208">
        <v>90</v>
      </c>
      <c r="AG208">
        <v>10.06</v>
      </c>
      <c r="AH208">
        <v>0</v>
      </c>
      <c r="AI208">
        <v>1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1</v>
      </c>
      <c r="AQ208">
        <v>0</v>
      </c>
      <c r="AR208">
        <v>0</v>
      </c>
      <c r="AS208" t="s">
        <v>3</v>
      </c>
      <c r="AT208">
        <v>15.7</v>
      </c>
      <c r="AU208" t="s">
        <v>24</v>
      </c>
      <c r="AV208">
        <v>0</v>
      </c>
      <c r="AW208">
        <v>2</v>
      </c>
      <c r="AX208">
        <v>47636254</v>
      </c>
      <c r="AY208">
        <v>1</v>
      </c>
      <c r="AZ208">
        <v>0</v>
      </c>
      <c r="BA208">
        <v>220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Y208*Source!I203</f>
        <v>6.6442399999999981</v>
      </c>
      <c r="CY208">
        <f>AB208</f>
        <v>90</v>
      </c>
      <c r="CZ208">
        <f>AF208</f>
        <v>90</v>
      </c>
      <c r="DA208">
        <f>AJ208</f>
        <v>1</v>
      </c>
      <c r="DB208">
        <f>ROUND((ROUND(AT208*CZ208,2)*1.15),6)</f>
        <v>1624.95</v>
      </c>
      <c r="DC208">
        <f>ROUND((ROUND(AT208*AG208,2)*1.15),6)</f>
        <v>181.631</v>
      </c>
    </row>
    <row r="209" spans="1:107" x14ac:dyDescent="0.2">
      <c r="A209">
        <f>ROW(Source!A203)</f>
        <v>203</v>
      </c>
      <c r="B209">
        <v>47631607</v>
      </c>
      <c r="C209">
        <v>47636247</v>
      </c>
      <c r="D209">
        <v>36884481</v>
      </c>
      <c r="E209">
        <v>1</v>
      </c>
      <c r="F209">
        <v>1</v>
      </c>
      <c r="G209">
        <v>1</v>
      </c>
      <c r="H209">
        <v>2</v>
      </c>
      <c r="I209" t="s">
        <v>656</v>
      </c>
      <c r="J209" t="s">
        <v>657</v>
      </c>
      <c r="K209" t="s">
        <v>658</v>
      </c>
      <c r="L209">
        <v>1368</v>
      </c>
      <c r="N209">
        <v>1011</v>
      </c>
      <c r="O209" t="s">
        <v>505</v>
      </c>
      <c r="P209" t="s">
        <v>505</v>
      </c>
      <c r="Q209">
        <v>1</v>
      </c>
      <c r="W209">
        <v>0</v>
      </c>
      <c r="X209">
        <v>1518765163</v>
      </c>
      <c r="Y209">
        <v>54.164999999999999</v>
      </c>
      <c r="AA209">
        <v>0</v>
      </c>
      <c r="AB209">
        <v>1.53</v>
      </c>
      <c r="AC209">
        <v>0</v>
      </c>
      <c r="AD209">
        <v>0</v>
      </c>
      <c r="AE209">
        <v>0</v>
      </c>
      <c r="AF209">
        <v>1.53</v>
      </c>
      <c r="AG209">
        <v>0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3</v>
      </c>
      <c r="AT209">
        <v>47.1</v>
      </c>
      <c r="AU209" t="s">
        <v>24</v>
      </c>
      <c r="AV209">
        <v>0</v>
      </c>
      <c r="AW209">
        <v>2</v>
      </c>
      <c r="AX209">
        <v>47636255</v>
      </c>
      <c r="AY209">
        <v>1</v>
      </c>
      <c r="AZ209">
        <v>0</v>
      </c>
      <c r="BA209">
        <v>221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Y209*Source!I203</f>
        <v>19.93272</v>
      </c>
      <c r="CY209">
        <f>AB209</f>
        <v>1.53</v>
      </c>
      <c r="CZ209">
        <f>AF209</f>
        <v>1.53</v>
      </c>
      <c r="DA209">
        <f>AJ209</f>
        <v>1</v>
      </c>
      <c r="DB209">
        <f>ROUND((ROUND(AT209*CZ209,2)*1.15),6)</f>
        <v>82.869</v>
      </c>
      <c r="DC209">
        <f>ROUND((ROUND(AT209*AG209,2)*1.15),6)</f>
        <v>0</v>
      </c>
    </row>
    <row r="210" spans="1:107" x14ac:dyDescent="0.2">
      <c r="A210">
        <f>ROW(Source!A204)</f>
        <v>204</v>
      </c>
      <c r="B210">
        <v>47631607</v>
      </c>
      <c r="C210">
        <v>47636256</v>
      </c>
      <c r="D210">
        <v>37066837</v>
      </c>
      <c r="E210">
        <v>1</v>
      </c>
      <c r="F210">
        <v>1</v>
      </c>
      <c r="G210">
        <v>1</v>
      </c>
      <c r="H210">
        <v>1</v>
      </c>
      <c r="I210" t="s">
        <v>654</v>
      </c>
      <c r="J210" t="s">
        <v>3</v>
      </c>
      <c r="K210" t="s">
        <v>655</v>
      </c>
      <c r="L210">
        <v>1191</v>
      </c>
      <c r="N210">
        <v>1013</v>
      </c>
      <c r="O210" t="s">
        <v>487</v>
      </c>
      <c r="P210" t="s">
        <v>487</v>
      </c>
      <c r="Q210">
        <v>1</v>
      </c>
      <c r="W210">
        <v>0</v>
      </c>
      <c r="X210">
        <v>1850719656</v>
      </c>
      <c r="Y210">
        <v>66.423999999999992</v>
      </c>
      <c r="AA210">
        <v>0</v>
      </c>
      <c r="AB210">
        <v>0</v>
      </c>
      <c r="AC210">
        <v>0</v>
      </c>
      <c r="AD210">
        <v>8.31</v>
      </c>
      <c r="AE210">
        <v>0</v>
      </c>
      <c r="AF210">
        <v>0</v>
      </c>
      <c r="AG210">
        <v>0</v>
      </c>
      <c r="AH210">
        <v>8.31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3</v>
      </c>
      <c r="AT210">
        <v>57.76</v>
      </c>
      <c r="AU210" t="s">
        <v>24</v>
      </c>
      <c r="AV210">
        <v>1</v>
      </c>
      <c r="AW210">
        <v>2</v>
      </c>
      <c r="AX210">
        <v>47636261</v>
      </c>
      <c r="AY210">
        <v>1</v>
      </c>
      <c r="AZ210">
        <v>0</v>
      </c>
      <c r="BA210">
        <v>222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Y210*Source!I204</f>
        <v>12.222015999999998</v>
      </c>
      <c r="CY210">
        <f>AD210</f>
        <v>8.31</v>
      </c>
      <c r="CZ210">
        <f>AH210</f>
        <v>8.31</v>
      </c>
      <c r="DA210">
        <f>AL210</f>
        <v>1</v>
      </c>
      <c r="DB210">
        <f>ROUND((ROUND(AT210*CZ210,2)*1.15),6)</f>
        <v>551.98850000000004</v>
      </c>
      <c r="DC210">
        <f>ROUND((ROUND(AT210*AG210,2)*1.15),6)</f>
        <v>0</v>
      </c>
    </row>
    <row r="211" spans="1:107" x14ac:dyDescent="0.2">
      <c r="A211">
        <f>ROW(Source!A204)</f>
        <v>204</v>
      </c>
      <c r="B211">
        <v>47631607</v>
      </c>
      <c r="C211">
        <v>47636256</v>
      </c>
      <c r="D211">
        <v>37064876</v>
      </c>
      <c r="E211">
        <v>1</v>
      </c>
      <c r="F211">
        <v>1</v>
      </c>
      <c r="G211">
        <v>1</v>
      </c>
      <c r="H211">
        <v>1</v>
      </c>
      <c r="I211" t="s">
        <v>500</v>
      </c>
      <c r="J211" t="s">
        <v>3</v>
      </c>
      <c r="K211" t="s">
        <v>501</v>
      </c>
      <c r="L211">
        <v>1191</v>
      </c>
      <c r="N211">
        <v>1013</v>
      </c>
      <c r="O211" t="s">
        <v>487</v>
      </c>
      <c r="P211" t="s">
        <v>487</v>
      </c>
      <c r="Q211">
        <v>1</v>
      </c>
      <c r="W211">
        <v>0</v>
      </c>
      <c r="X211">
        <v>-1417349443</v>
      </c>
      <c r="Y211">
        <v>15.7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0</v>
      </c>
      <c r="AQ211">
        <v>0</v>
      </c>
      <c r="AR211">
        <v>0</v>
      </c>
      <c r="AS211" t="s">
        <v>3</v>
      </c>
      <c r="AT211">
        <v>15.7</v>
      </c>
      <c r="AU211" t="s">
        <v>3</v>
      </c>
      <c r="AV211">
        <v>2</v>
      </c>
      <c r="AW211">
        <v>2</v>
      </c>
      <c r="AX211">
        <v>47636262</v>
      </c>
      <c r="AY211">
        <v>1</v>
      </c>
      <c r="AZ211">
        <v>2048</v>
      </c>
      <c r="BA211">
        <v>223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Y211*Source!I204</f>
        <v>2.8887999999999998</v>
      </c>
      <c r="CY211">
        <f>AD211</f>
        <v>0</v>
      </c>
      <c r="CZ211">
        <f>AH211</f>
        <v>0</v>
      </c>
      <c r="DA211">
        <f>AL211</f>
        <v>1</v>
      </c>
      <c r="DB211">
        <f>ROUND(ROUND(AT211*CZ211,2),6)</f>
        <v>0</v>
      </c>
      <c r="DC211">
        <f>ROUND(ROUND(AT211*AG211,2),6)</f>
        <v>0</v>
      </c>
    </row>
    <row r="212" spans="1:107" x14ac:dyDescent="0.2">
      <c r="A212">
        <f>ROW(Source!A204)</f>
        <v>204</v>
      </c>
      <c r="B212">
        <v>47631607</v>
      </c>
      <c r="C212">
        <v>47636256</v>
      </c>
      <c r="D212">
        <v>36883878</v>
      </c>
      <c r="E212">
        <v>1</v>
      </c>
      <c r="F212">
        <v>1</v>
      </c>
      <c r="G212">
        <v>1</v>
      </c>
      <c r="H212">
        <v>2</v>
      </c>
      <c r="I212" t="s">
        <v>594</v>
      </c>
      <c r="J212" t="s">
        <v>595</v>
      </c>
      <c r="K212" t="s">
        <v>596</v>
      </c>
      <c r="L212">
        <v>1368</v>
      </c>
      <c r="N212">
        <v>1011</v>
      </c>
      <c r="O212" t="s">
        <v>505</v>
      </c>
      <c r="P212" t="s">
        <v>505</v>
      </c>
      <c r="Q212">
        <v>1</v>
      </c>
      <c r="W212">
        <v>0</v>
      </c>
      <c r="X212">
        <v>-1589061407</v>
      </c>
      <c r="Y212">
        <v>18.054999999999996</v>
      </c>
      <c r="AA212">
        <v>0</v>
      </c>
      <c r="AB212">
        <v>90</v>
      </c>
      <c r="AC212">
        <v>10.06</v>
      </c>
      <c r="AD212">
        <v>0</v>
      </c>
      <c r="AE212">
        <v>0</v>
      </c>
      <c r="AF212">
        <v>90</v>
      </c>
      <c r="AG212">
        <v>10.06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3</v>
      </c>
      <c r="AT212">
        <v>15.7</v>
      </c>
      <c r="AU212" t="s">
        <v>24</v>
      </c>
      <c r="AV212">
        <v>0</v>
      </c>
      <c r="AW212">
        <v>2</v>
      </c>
      <c r="AX212">
        <v>47636263</v>
      </c>
      <c r="AY212">
        <v>1</v>
      </c>
      <c r="AZ212">
        <v>0</v>
      </c>
      <c r="BA212">
        <v>224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Y212*Source!I204</f>
        <v>3.3221199999999991</v>
      </c>
      <c r="CY212">
        <f>AB212</f>
        <v>90</v>
      </c>
      <c r="CZ212">
        <f>AF212</f>
        <v>90</v>
      </c>
      <c r="DA212">
        <f>AJ212</f>
        <v>1</v>
      </c>
      <c r="DB212">
        <f>ROUND((ROUND(AT212*CZ212,2)*1.15),6)</f>
        <v>1624.95</v>
      </c>
      <c r="DC212">
        <f>ROUND((ROUND(AT212*AG212,2)*1.15),6)</f>
        <v>181.631</v>
      </c>
    </row>
    <row r="213" spans="1:107" x14ac:dyDescent="0.2">
      <c r="A213">
        <f>ROW(Source!A204)</f>
        <v>204</v>
      </c>
      <c r="B213">
        <v>47631607</v>
      </c>
      <c r="C213">
        <v>47636256</v>
      </c>
      <c r="D213">
        <v>36884481</v>
      </c>
      <c r="E213">
        <v>1</v>
      </c>
      <c r="F213">
        <v>1</v>
      </c>
      <c r="G213">
        <v>1</v>
      </c>
      <c r="H213">
        <v>2</v>
      </c>
      <c r="I213" t="s">
        <v>656</v>
      </c>
      <c r="J213" t="s">
        <v>657</v>
      </c>
      <c r="K213" t="s">
        <v>658</v>
      </c>
      <c r="L213">
        <v>1368</v>
      </c>
      <c r="N213">
        <v>1011</v>
      </c>
      <c r="O213" t="s">
        <v>505</v>
      </c>
      <c r="P213" t="s">
        <v>505</v>
      </c>
      <c r="Q213">
        <v>1</v>
      </c>
      <c r="W213">
        <v>0</v>
      </c>
      <c r="X213">
        <v>1518765163</v>
      </c>
      <c r="Y213">
        <v>54.164999999999999</v>
      </c>
      <c r="AA213">
        <v>0</v>
      </c>
      <c r="AB213">
        <v>1.53</v>
      </c>
      <c r="AC213">
        <v>0</v>
      </c>
      <c r="AD213">
        <v>0</v>
      </c>
      <c r="AE213">
        <v>0</v>
      </c>
      <c r="AF213">
        <v>1.53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3</v>
      </c>
      <c r="AT213">
        <v>47.1</v>
      </c>
      <c r="AU213" t="s">
        <v>24</v>
      </c>
      <c r="AV213">
        <v>0</v>
      </c>
      <c r="AW213">
        <v>2</v>
      </c>
      <c r="AX213">
        <v>47636264</v>
      </c>
      <c r="AY213">
        <v>1</v>
      </c>
      <c r="AZ213">
        <v>0</v>
      </c>
      <c r="BA213">
        <v>225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Y213*Source!I204</f>
        <v>9.9663599999999999</v>
      </c>
      <c r="CY213">
        <f>AB213</f>
        <v>1.53</v>
      </c>
      <c r="CZ213">
        <f>AF213</f>
        <v>1.53</v>
      </c>
      <c r="DA213">
        <f>AJ213</f>
        <v>1</v>
      </c>
      <c r="DB213">
        <f>ROUND((ROUND(AT213*CZ213,2)*1.15),6)</f>
        <v>82.869</v>
      </c>
      <c r="DC213">
        <f>ROUND((ROUND(AT213*AG213,2)*1.15),6)</f>
        <v>0</v>
      </c>
    </row>
    <row r="214" spans="1:107" x14ac:dyDescent="0.2">
      <c r="A214">
        <f>ROW(Source!A205)</f>
        <v>205</v>
      </c>
      <c r="B214">
        <v>47631607</v>
      </c>
      <c r="C214">
        <v>47636265</v>
      </c>
      <c r="D214">
        <v>37065946</v>
      </c>
      <c r="E214">
        <v>1</v>
      </c>
      <c r="F214">
        <v>1</v>
      </c>
      <c r="G214">
        <v>1</v>
      </c>
      <c r="H214">
        <v>1</v>
      </c>
      <c r="I214" t="s">
        <v>659</v>
      </c>
      <c r="J214" t="s">
        <v>3</v>
      </c>
      <c r="K214" t="s">
        <v>660</v>
      </c>
      <c r="L214">
        <v>1191</v>
      </c>
      <c r="N214">
        <v>1013</v>
      </c>
      <c r="O214" t="s">
        <v>487</v>
      </c>
      <c r="P214" t="s">
        <v>487</v>
      </c>
      <c r="Q214">
        <v>1</v>
      </c>
      <c r="W214">
        <v>0</v>
      </c>
      <c r="X214">
        <v>152375061</v>
      </c>
      <c r="Y214">
        <v>21.125499999999999</v>
      </c>
      <c r="AA214">
        <v>0</v>
      </c>
      <c r="AB214">
        <v>0</v>
      </c>
      <c r="AC214">
        <v>0</v>
      </c>
      <c r="AD214">
        <v>7.87</v>
      </c>
      <c r="AE214">
        <v>0</v>
      </c>
      <c r="AF214">
        <v>0</v>
      </c>
      <c r="AG214">
        <v>0</v>
      </c>
      <c r="AH214">
        <v>7.87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3</v>
      </c>
      <c r="AT214">
        <v>18.37</v>
      </c>
      <c r="AU214" t="s">
        <v>24</v>
      </c>
      <c r="AV214">
        <v>1</v>
      </c>
      <c r="AW214">
        <v>2</v>
      </c>
      <c r="AX214">
        <v>47636270</v>
      </c>
      <c r="AY214">
        <v>1</v>
      </c>
      <c r="AZ214">
        <v>0</v>
      </c>
      <c r="BA214">
        <v>226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Y214*Source!I205</f>
        <v>38.870919999999998</v>
      </c>
      <c r="CY214">
        <f>AD214</f>
        <v>7.87</v>
      </c>
      <c r="CZ214">
        <f>AH214</f>
        <v>7.87</v>
      </c>
      <c r="DA214">
        <f>AL214</f>
        <v>1</v>
      </c>
      <c r="DB214">
        <f>ROUND((ROUND(AT214*CZ214,2)*1.15),6)</f>
        <v>166.25550000000001</v>
      </c>
      <c r="DC214">
        <f>ROUND((ROUND(AT214*AG214,2)*1.15),6)</f>
        <v>0</v>
      </c>
    </row>
    <row r="215" spans="1:107" x14ac:dyDescent="0.2">
      <c r="A215">
        <f>ROW(Source!A205)</f>
        <v>205</v>
      </c>
      <c r="B215">
        <v>47631607</v>
      </c>
      <c r="C215">
        <v>47636265</v>
      </c>
      <c r="D215">
        <v>37064876</v>
      </c>
      <c r="E215">
        <v>1</v>
      </c>
      <c r="F215">
        <v>1</v>
      </c>
      <c r="G215">
        <v>1</v>
      </c>
      <c r="H215">
        <v>1</v>
      </c>
      <c r="I215" t="s">
        <v>500</v>
      </c>
      <c r="J215" t="s">
        <v>3</v>
      </c>
      <c r="K215" t="s">
        <v>501</v>
      </c>
      <c r="L215">
        <v>1191</v>
      </c>
      <c r="N215">
        <v>1013</v>
      </c>
      <c r="O215" t="s">
        <v>487</v>
      </c>
      <c r="P215" t="s">
        <v>487</v>
      </c>
      <c r="Q215">
        <v>1</v>
      </c>
      <c r="W215">
        <v>0</v>
      </c>
      <c r="X215">
        <v>-1417349443</v>
      </c>
      <c r="Y215">
        <v>4.6500000000000004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0</v>
      </c>
      <c r="AQ215">
        <v>0</v>
      </c>
      <c r="AR215">
        <v>0</v>
      </c>
      <c r="AS215" t="s">
        <v>3</v>
      </c>
      <c r="AT215">
        <v>4.6500000000000004</v>
      </c>
      <c r="AU215" t="s">
        <v>3</v>
      </c>
      <c r="AV215">
        <v>2</v>
      </c>
      <c r="AW215">
        <v>2</v>
      </c>
      <c r="AX215">
        <v>47636271</v>
      </c>
      <c r="AY215">
        <v>1</v>
      </c>
      <c r="AZ215">
        <v>2048</v>
      </c>
      <c r="BA215">
        <v>227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Y215*Source!I205</f>
        <v>8.5560000000000009</v>
      </c>
      <c r="CY215">
        <f>AD215</f>
        <v>0</v>
      </c>
      <c r="CZ215">
        <f>AH215</f>
        <v>0</v>
      </c>
      <c r="DA215">
        <f>AL215</f>
        <v>1</v>
      </c>
      <c r="DB215">
        <f>ROUND(ROUND(AT215*CZ215,2),6)</f>
        <v>0</v>
      </c>
      <c r="DC215">
        <f>ROUND(ROUND(AT215*AG215,2),6)</f>
        <v>0</v>
      </c>
    </row>
    <row r="216" spans="1:107" x14ac:dyDescent="0.2">
      <c r="A216">
        <f>ROW(Source!A205)</f>
        <v>205</v>
      </c>
      <c r="B216">
        <v>47631607</v>
      </c>
      <c r="C216">
        <v>47636265</v>
      </c>
      <c r="D216">
        <v>36881380</v>
      </c>
      <c r="E216">
        <v>1</v>
      </c>
      <c r="F216">
        <v>1</v>
      </c>
      <c r="G216">
        <v>1</v>
      </c>
      <c r="H216">
        <v>2</v>
      </c>
      <c r="I216" t="s">
        <v>661</v>
      </c>
      <c r="J216" t="s">
        <v>662</v>
      </c>
      <c r="K216" t="s">
        <v>663</v>
      </c>
      <c r="L216">
        <v>1368</v>
      </c>
      <c r="N216">
        <v>1011</v>
      </c>
      <c r="O216" t="s">
        <v>505</v>
      </c>
      <c r="P216" t="s">
        <v>505</v>
      </c>
      <c r="Q216">
        <v>1</v>
      </c>
      <c r="W216">
        <v>0</v>
      </c>
      <c r="X216">
        <v>645023554</v>
      </c>
      <c r="Y216">
        <v>3.0704999999999996</v>
      </c>
      <c r="AA216">
        <v>0</v>
      </c>
      <c r="AB216">
        <v>123</v>
      </c>
      <c r="AC216">
        <v>13.5</v>
      </c>
      <c r="AD216">
        <v>0</v>
      </c>
      <c r="AE216">
        <v>0</v>
      </c>
      <c r="AF216">
        <v>123</v>
      </c>
      <c r="AG216">
        <v>13.5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3</v>
      </c>
      <c r="AT216">
        <v>2.67</v>
      </c>
      <c r="AU216" t="s">
        <v>24</v>
      </c>
      <c r="AV216">
        <v>0</v>
      </c>
      <c r="AW216">
        <v>2</v>
      </c>
      <c r="AX216">
        <v>47636272</v>
      </c>
      <c r="AY216">
        <v>1</v>
      </c>
      <c r="AZ216">
        <v>0</v>
      </c>
      <c r="BA216">
        <v>228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Y216*Source!I205</f>
        <v>5.6497199999999994</v>
      </c>
      <c r="CY216">
        <f>AB216</f>
        <v>123</v>
      </c>
      <c r="CZ216">
        <f>AF216</f>
        <v>123</v>
      </c>
      <c r="DA216">
        <f>AJ216</f>
        <v>1</v>
      </c>
      <c r="DB216">
        <f>ROUND((ROUND(AT216*CZ216,2)*1.15),6)</f>
        <v>377.67149999999998</v>
      </c>
      <c r="DC216">
        <f>ROUND((ROUND(AT216*AG216,2)*1.15),6)</f>
        <v>41.457500000000003</v>
      </c>
    </row>
    <row r="217" spans="1:107" x14ac:dyDescent="0.2">
      <c r="A217">
        <f>ROW(Source!A205)</f>
        <v>205</v>
      </c>
      <c r="B217">
        <v>47631607</v>
      </c>
      <c r="C217">
        <v>47636265</v>
      </c>
      <c r="D217">
        <v>36883489</v>
      </c>
      <c r="E217">
        <v>1</v>
      </c>
      <c r="F217">
        <v>1</v>
      </c>
      <c r="G217">
        <v>1</v>
      </c>
      <c r="H217">
        <v>2</v>
      </c>
      <c r="I217" t="s">
        <v>664</v>
      </c>
      <c r="J217" t="s">
        <v>665</v>
      </c>
      <c r="K217" t="s">
        <v>666</v>
      </c>
      <c r="L217">
        <v>1368</v>
      </c>
      <c r="N217">
        <v>1011</v>
      </c>
      <c r="O217" t="s">
        <v>505</v>
      </c>
      <c r="P217" t="s">
        <v>505</v>
      </c>
      <c r="Q217">
        <v>1</v>
      </c>
      <c r="W217">
        <v>0</v>
      </c>
      <c r="X217">
        <v>1513269878</v>
      </c>
      <c r="Y217">
        <v>2.2769999999999997</v>
      </c>
      <c r="AA217">
        <v>0</v>
      </c>
      <c r="AB217">
        <v>62.3</v>
      </c>
      <c r="AC217">
        <v>11.6</v>
      </c>
      <c r="AD217">
        <v>0</v>
      </c>
      <c r="AE217">
        <v>0</v>
      </c>
      <c r="AF217">
        <v>62.3</v>
      </c>
      <c r="AG217">
        <v>11.6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1</v>
      </c>
      <c r="AQ217">
        <v>0</v>
      </c>
      <c r="AR217">
        <v>0</v>
      </c>
      <c r="AS217" t="s">
        <v>3</v>
      </c>
      <c r="AT217">
        <v>1.98</v>
      </c>
      <c r="AU217" t="s">
        <v>24</v>
      </c>
      <c r="AV217">
        <v>0</v>
      </c>
      <c r="AW217">
        <v>2</v>
      </c>
      <c r="AX217">
        <v>47636273</v>
      </c>
      <c r="AY217">
        <v>1</v>
      </c>
      <c r="AZ217">
        <v>0</v>
      </c>
      <c r="BA217">
        <v>229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Y217*Source!I205</f>
        <v>4.1896799999999992</v>
      </c>
      <c r="CY217">
        <f>AB217</f>
        <v>62.3</v>
      </c>
      <c r="CZ217">
        <f>AF217</f>
        <v>62.3</v>
      </c>
      <c r="DA217">
        <f>AJ217</f>
        <v>1</v>
      </c>
      <c r="DB217">
        <f>ROUND((ROUND(AT217*CZ217,2)*1.15),6)</f>
        <v>141.85249999999999</v>
      </c>
      <c r="DC217">
        <f>ROUND((ROUND(AT217*AG217,2)*1.15),6)</f>
        <v>26.415500000000002</v>
      </c>
    </row>
    <row r="218" spans="1:107" x14ac:dyDescent="0.2">
      <c r="A218">
        <f>ROW(Source!A209)</f>
        <v>209</v>
      </c>
      <c r="B218">
        <v>47631607</v>
      </c>
      <c r="C218">
        <v>47636276</v>
      </c>
      <c r="D218">
        <v>37066491</v>
      </c>
      <c r="E218">
        <v>1</v>
      </c>
      <c r="F218">
        <v>1</v>
      </c>
      <c r="G218">
        <v>1</v>
      </c>
      <c r="H218">
        <v>1</v>
      </c>
      <c r="I218" t="s">
        <v>667</v>
      </c>
      <c r="J218" t="s">
        <v>3</v>
      </c>
      <c r="K218" t="s">
        <v>668</v>
      </c>
      <c r="L218">
        <v>1191</v>
      </c>
      <c r="N218">
        <v>1013</v>
      </c>
      <c r="O218" t="s">
        <v>487</v>
      </c>
      <c r="P218" t="s">
        <v>487</v>
      </c>
      <c r="Q218">
        <v>1</v>
      </c>
      <c r="W218">
        <v>0</v>
      </c>
      <c r="X218">
        <v>-228054128</v>
      </c>
      <c r="Y218">
        <v>20.789699999999996</v>
      </c>
      <c r="AA218">
        <v>0</v>
      </c>
      <c r="AB218">
        <v>0</v>
      </c>
      <c r="AC218">
        <v>0</v>
      </c>
      <c r="AD218">
        <v>8.02</v>
      </c>
      <c r="AE218">
        <v>0</v>
      </c>
      <c r="AF218">
        <v>0</v>
      </c>
      <c r="AG218">
        <v>0</v>
      </c>
      <c r="AH218">
        <v>8.02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1</v>
      </c>
      <c r="AQ218">
        <v>0</v>
      </c>
      <c r="AR218">
        <v>0</v>
      </c>
      <c r="AS218" t="s">
        <v>3</v>
      </c>
      <c r="AT218">
        <v>15.72</v>
      </c>
      <c r="AU218" t="s">
        <v>53</v>
      </c>
      <c r="AV218">
        <v>1</v>
      </c>
      <c r="AW218">
        <v>2</v>
      </c>
      <c r="AX218">
        <v>47636285</v>
      </c>
      <c r="AY218">
        <v>1</v>
      </c>
      <c r="AZ218">
        <v>0</v>
      </c>
      <c r="BA218">
        <v>230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Y218*Source!I209</f>
        <v>7.6506095999999983</v>
      </c>
      <c r="CY218">
        <f>AD218</f>
        <v>8.02</v>
      </c>
      <c r="CZ218">
        <f>AH218</f>
        <v>8.02</v>
      </c>
      <c r="DA218">
        <f>AL218</f>
        <v>1</v>
      </c>
      <c r="DB218">
        <f>ROUND(((ROUND(AT218*CZ218,2)*1.15)*1.15),6)</f>
        <v>166.727575</v>
      </c>
      <c r="DC218">
        <f>ROUND(((ROUND(AT218*AG218,2)*1.15)*1.15),6)</f>
        <v>0</v>
      </c>
    </row>
    <row r="219" spans="1:107" x14ac:dyDescent="0.2">
      <c r="A219">
        <f>ROW(Source!A209)</f>
        <v>209</v>
      </c>
      <c r="B219">
        <v>47631607</v>
      </c>
      <c r="C219">
        <v>47636276</v>
      </c>
      <c r="D219">
        <v>37064876</v>
      </c>
      <c r="E219">
        <v>1</v>
      </c>
      <c r="F219">
        <v>1</v>
      </c>
      <c r="G219">
        <v>1</v>
      </c>
      <c r="H219">
        <v>1</v>
      </c>
      <c r="I219" t="s">
        <v>500</v>
      </c>
      <c r="J219" t="s">
        <v>3</v>
      </c>
      <c r="K219" t="s">
        <v>501</v>
      </c>
      <c r="L219">
        <v>1191</v>
      </c>
      <c r="N219">
        <v>1013</v>
      </c>
      <c r="O219" t="s">
        <v>487</v>
      </c>
      <c r="P219" t="s">
        <v>487</v>
      </c>
      <c r="Q219">
        <v>1</v>
      </c>
      <c r="W219">
        <v>0</v>
      </c>
      <c r="X219">
        <v>-1417349443</v>
      </c>
      <c r="Y219">
        <v>13.88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3</v>
      </c>
      <c r="AT219">
        <v>13.88</v>
      </c>
      <c r="AU219" t="s">
        <v>3</v>
      </c>
      <c r="AV219">
        <v>2</v>
      </c>
      <c r="AW219">
        <v>2</v>
      </c>
      <c r="AX219">
        <v>47636286</v>
      </c>
      <c r="AY219">
        <v>1</v>
      </c>
      <c r="AZ219">
        <v>2048</v>
      </c>
      <c r="BA219">
        <v>231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Y219*Source!I209</f>
        <v>5.1078400000000004</v>
      </c>
      <c r="CY219">
        <f>AD219</f>
        <v>0</v>
      </c>
      <c r="CZ219">
        <f>AH219</f>
        <v>0</v>
      </c>
      <c r="DA219">
        <f>AL219</f>
        <v>1</v>
      </c>
      <c r="DB219">
        <f>ROUND(ROUND(AT219*CZ219,2),6)</f>
        <v>0</v>
      </c>
      <c r="DC219">
        <f>ROUND(ROUND(AT219*AG219,2),6)</f>
        <v>0</v>
      </c>
    </row>
    <row r="220" spans="1:107" x14ac:dyDescent="0.2">
      <c r="A220">
        <f>ROW(Source!A209)</f>
        <v>209</v>
      </c>
      <c r="B220">
        <v>47631607</v>
      </c>
      <c r="C220">
        <v>47636276</v>
      </c>
      <c r="D220">
        <v>36881380</v>
      </c>
      <c r="E220">
        <v>1</v>
      </c>
      <c r="F220">
        <v>1</v>
      </c>
      <c r="G220">
        <v>1</v>
      </c>
      <c r="H220">
        <v>2</v>
      </c>
      <c r="I220" t="s">
        <v>661</v>
      </c>
      <c r="J220" t="s">
        <v>662</v>
      </c>
      <c r="K220" t="s">
        <v>663</v>
      </c>
      <c r="L220">
        <v>1368</v>
      </c>
      <c r="N220">
        <v>1011</v>
      </c>
      <c r="O220" t="s">
        <v>505</v>
      </c>
      <c r="P220" t="s">
        <v>505</v>
      </c>
      <c r="Q220">
        <v>1</v>
      </c>
      <c r="W220">
        <v>0</v>
      </c>
      <c r="X220">
        <v>645023554</v>
      </c>
      <c r="Y220">
        <v>2.5443749999999996</v>
      </c>
      <c r="AA220">
        <v>0</v>
      </c>
      <c r="AB220">
        <v>123</v>
      </c>
      <c r="AC220">
        <v>13.5</v>
      </c>
      <c r="AD220">
        <v>0</v>
      </c>
      <c r="AE220">
        <v>0</v>
      </c>
      <c r="AF220">
        <v>123</v>
      </c>
      <c r="AG220">
        <v>13.5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1</v>
      </c>
      <c r="AQ220">
        <v>0</v>
      </c>
      <c r="AR220">
        <v>0</v>
      </c>
      <c r="AS220" t="s">
        <v>3</v>
      </c>
      <c r="AT220">
        <v>1.77</v>
      </c>
      <c r="AU220" t="s">
        <v>280</v>
      </c>
      <c r="AV220">
        <v>0</v>
      </c>
      <c r="AW220">
        <v>2</v>
      </c>
      <c r="AX220">
        <v>47636287</v>
      </c>
      <c r="AY220">
        <v>1</v>
      </c>
      <c r="AZ220">
        <v>0</v>
      </c>
      <c r="BA220">
        <v>232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Y220*Source!I209</f>
        <v>0.93632999999999988</v>
      </c>
      <c r="CY220">
        <f>AB220</f>
        <v>123</v>
      </c>
      <c r="CZ220">
        <f>AF220</f>
        <v>123</v>
      </c>
      <c r="DA220">
        <f>AJ220</f>
        <v>1</v>
      </c>
      <c r="DB220">
        <f>ROUND(((ROUND(AT220*CZ220,2)*1.15)*1.25),6)</f>
        <v>312.958125</v>
      </c>
      <c r="DC220">
        <f>ROUND(((ROUND(AT220*AG220,2)*1.15)*1.25),6)</f>
        <v>34.356250000000003</v>
      </c>
    </row>
    <row r="221" spans="1:107" x14ac:dyDescent="0.2">
      <c r="A221">
        <f>ROW(Source!A209)</f>
        <v>209</v>
      </c>
      <c r="B221">
        <v>47631607</v>
      </c>
      <c r="C221">
        <v>47636276</v>
      </c>
      <c r="D221">
        <v>36882383</v>
      </c>
      <c r="E221">
        <v>1</v>
      </c>
      <c r="F221">
        <v>1</v>
      </c>
      <c r="G221">
        <v>1</v>
      </c>
      <c r="H221">
        <v>2</v>
      </c>
      <c r="I221" t="s">
        <v>629</v>
      </c>
      <c r="J221" t="s">
        <v>630</v>
      </c>
      <c r="K221" t="s">
        <v>631</v>
      </c>
      <c r="L221">
        <v>1368</v>
      </c>
      <c r="N221">
        <v>1011</v>
      </c>
      <c r="O221" t="s">
        <v>505</v>
      </c>
      <c r="P221" t="s">
        <v>505</v>
      </c>
      <c r="Q221">
        <v>1</v>
      </c>
      <c r="W221">
        <v>0</v>
      </c>
      <c r="X221">
        <v>-665367104</v>
      </c>
      <c r="Y221">
        <v>6.1668749999999992</v>
      </c>
      <c r="AA221">
        <v>0</v>
      </c>
      <c r="AB221">
        <v>89.99</v>
      </c>
      <c r="AC221">
        <v>10.06</v>
      </c>
      <c r="AD221">
        <v>0</v>
      </c>
      <c r="AE221">
        <v>0</v>
      </c>
      <c r="AF221">
        <v>89.99</v>
      </c>
      <c r="AG221">
        <v>10.06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1</v>
      </c>
      <c r="AQ221">
        <v>0</v>
      </c>
      <c r="AR221">
        <v>0</v>
      </c>
      <c r="AS221" t="s">
        <v>3</v>
      </c>
      <c r="AT221">
        <v>4.29</v>
      </c>
      <c r="AU221" t="s">
        <v>280</v>
      </c>
      <c r="AV221">
        <v>0</v>
      </c>
      <c r="AW221">
        <v>2</v>
      </c>
      <c r="AX221">
        <v>47636288</v>
      </c>
      <c r="AY221">
        <v>1</v>
      </c>
      <c r="AZ221">
        <v>0</v>
      </c>
      <c r="BA221">
        <v>233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Y221*Source!I209</f>
        <v>2.2694099999999997</v>
      </c>
      <c r="CY221">
        <f>AB221</f>
        <v>89.99</v>
      </c>
      <c r="CZ221">
        <f>AF221</f>
        <v>89.99</v>
      </c>
      <c r="DA221">
        <f>AJ221</f>
        <v>1</v>
      </c>
      <c r="DB221">
        <f>ROUND(((ROUND(AT221*CZ221,2)*1.15)*1.25),6)</f>
        <v>554.96124999999995</v>
      </c>
      <c r="DC221">
        <f>ROUND(((ROUND(AT221*AG221,2)*1.15)*1.25),6)</f>
        <v>62.042499999999997</v>
      </c>
    </row>
    <row r="222" spans="1:107" x14ac:dyDescent="0.2">
      <c r="A222">
        <f>ROW(Source!A209)</f>
        <v>209</v>
      </c>
      <c r="B222">
        <v>47631607</v>
      </c>
      <c r="C222">
        <v>47636276</v>
      </c>
      <c r="D222">
        <v>36882750</v>
      </c>
      <c r="E222">
        <v>1</v>
      </c>
      <c r="F222">
        <v>1</v>
      </c>
      <c r="G222">
        <v>1</v>
      </c>
      <c r="H222">
        <v>2</v>
      </c>
      <c r="I222" t="s">
        <v>669</v>
      </c>
      <c r="J222" t="s">
        <v>670</v>
      </c>
      <c r="K222" t="s">
        <v>671</v>
      </c>
      <c r="L222">
        <v>1368</v>
      </c>
      <c r="N222">
        <v>1011</v>
      </c>
      <c r="O222" t="s">
        <v>505</v>
      </c>
      <c r="P222" t="s">
        <v>505</v>
      </c>
      <c r="Q222">
        <v>1</v>
      </c>
      <c r="W222">
        <v>0</v>
      </c>
      <c r="X222">
        <v>1663826256</v>
      </c>
      <c r="Y222">
        <v>10.177499999999998</v>
      </c>
      <c r="AA222">
        <v>0</v>
      </c>
      <c r="AB222">
        <v>206.01</v>
      </c>
      <c r="AC222">
        <v>14.4</v>
      </c>
      <c r="AD222">
        <v>0</v>
      </c>
      <c r="AE222">
        <v>0</v>
      </c>
      <c r="AF222">
        <v>206.01</v>
      </c>
      <c r="AG222">
        <v>14.4</v>
      </c>
      <c r="AH222">
        <v>0</v>
      </c>
      <c r="AI222">
        <v>1</v>
      </c>
      <c r="AJ222">
        <v>1</v>
      </c>
      <c r="AK222">
        <v>1</v>
      </c>
      <c r="AL222">
        <v>1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3</v>
      </c>
      <c r="AT222">
        <v>7.08</v>
      </c>
      <c r="AU222" t="s">
        <v>280</v>
      </c>
      <c r="AV222">
        <v>0</v>
      </c>
      <c r="AW222">
        <v>2</v>
      </c>
      <c r="AX222">
        <v>47636289</v>
      </c>
      <c r="AY222">
        <v>1</v>
      </c>
      <c r="AZ222">
        <v>0</v>
      </c>
      <c r="BA222">
        <v>234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Y222*Source!I209</f>
        <v>3.7453199999999995</v>
      </c>
      <c r="CY222">
        <f>AB222</f>
        <v>206.01</v>
      </c>
      <c r="CZ222">
        <f>AF222</f>
        <v>206.01</v>
      </c>
      <c r="DA222">
        <f>AJ222</f>
        <v>1</v>
      </c>
      <c r="DB222">
        <f>ROUND(((ROUND(AT222*CZ222,2)*1.15)*1.25),6)</f>
        <v>2096.6656250000001</v>
      </c>
      <c r="DC222">
        <f>ROUND(((ROUND(AT222*AG222,2)*1.15)*1.25),6)</f>
        <v>146.55312499999999</v>
      </c>
    </row>
    <row r="223" spans="1:107" x14ac:dyDescent="0.2">
      <c r="A223">
        <f>ROW(Source!A209)</f>
        <v>209</v>
      </c>
      <c r="B223">
        <v>47631607</v>
      </c>
      <c r="C223">
        <v>47636276</v>
      </c>
      <c r="D223">
        <v>36883483</v>
      </c>
      <c r="E223">
        <v>1</v>
      </c>
      <c r="F223">
        <v>1</v>
      </c>
      <c r="G223">
        <v>1</v>
      </c>
      <c r="H223">
        <v>2</v>
      </c>
      <c r="I223" t="s">
        <v>672</v>
      </c>
      <c r="J223" t="s">
        <v>673</v>
      </c>
      <c r="K223" t="s">
        <v>674</v>
      </c>
      <c r="L223">
        <v>1368</v>
      </c>
      <c r="N223">
        <v>1011</v>
      </c>
      <c r="O223" t="s">
        <v>505</v>
      </c>
      <c r="P223" t="s">
        <v>505</v>
      </c>
      <c r="Q223">
        <v>1</v>
      </c>
      <c r="W223">
        <v>0</v>
      </c>
      <c r="X223">
        <v>1403266566</v>
      </c>
      <c r="Y223">
        <v>1.06375</v>
      </c>
      <c r="AA223">
        <v>0</v>
      </c>
      <c r="AB223">
        <v>110</v>
      </c>
      <c r="AC223">
        <v>11.6</v>
      </c>
      <c r="AD223">
        <v>0</v>
      </c>
      <c r="AE223">
        <v>0</v>
      </c>
      <c r="AF223">
        <v>110</v>
      </c>
      <c r="AG223">
        <v>11.6</v>
      </c>
      <c r="AH223">
        <v>0</v>
      </c>
      <c r="AI223">
        <v>1</v>
      </c>
      <c r="AJ223">
        <v>1</v>
      </c>
      <c r="AK223">
        <v>1</v>
      </c>
      <c r="AL223">
        <v>1</v>
      </c>
      <c r="AN223">
        <v>0</v>
      </c>
      <c r="AO223">
        <v>1</v>
      </c>
      <c r="AP223">
        <v>1</v>
      </c>
      <c r="AQ223">
        <v>0</v>
      </c>
      <c r="AR223">
        <v>0</v>
      </c>
      <c r="AS223" t="s">
        <v>3</v>
      </c>
      <c r="AT223">
        <v>0.74</v>
      </c>
      <c r="AU223" t="s">
        <v>280</v>
      </c>
      <c r="AV223">
        <v>0</v>
      </c>
      <c r="AW223">
        <v>2</v>
      </c>
      <c r="AX223">
        <v>47636290</v>
      </c>
      <c r="AY223">
        <v>1</v>
      </c>
      <c r="AZ223">
        <v>0</v>
      </c>
      <c r="BA223">
        <v>235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Y223*Source!I209</f>
        <v>0.39145999999999997</v>
      </c>
      <c r="CY223">
        <f>AB223</f>
        <v>110</v>
      </c>
      <c r="CZ223">
        <f>AF223</f>
        <v>110</v>
      </c>
      <c r="DA223">
        <f>AJ223</f>
        <v>1</v>
      </c>
      <c r="DB223">
        <f>ROUND(((ROUND(AT223*CZ223,2)*1.15)*1.25),6)</f>
        <v>117.0125</v>
      </c>
      <c r="DC223">
        <f>ROUND(((ROUND(AT223*AG223,2)*1.15)*1.25),6)</f>
        <v>12.33375</v>
      </c>
    </row>
    <row r="224" spans="1:107" x14ac:dyDescent="0.2">
      <c r="A224">
        <f>ROW(Source!A209)</f>
        <v>209</v>
      </c>
      <c r="B224">
        <v>47631607</v>
      </c>
      <c r="C224">
        <v>47636276</v>
      </c>
      <c r="D224">
        <v>36801792</v>
      </c>
      <c r="E224">
        <v>1</v>
      </c>
      <c r="F224">
        <v>1</v>
      </c>
      <c r="G224">
        <v>1</v>
      </c>
      <c r="H224">
        <v>3</v>
      </c>
      <c r="I224" t="s">
        <v>597</v>
      </c>
      <c r="J224" t="s">
        <v>598</v>
      </c>
      <c r="K224" t="s">
        <v>599</v>
      </c>
      <c r="L224">
        <v>1339</v>
      </c>
      <c r="N224">
        <v>1007</v>
      </c>
      <c r="O224" t="s">
        <v>96</v>
      </c>
      <c r="P224" t="s">
        <v>96</v>
      </c>
      <c r="Q224">
        <v>1</v>
      </c>
      <c r="W224">
        <v>0</v>
      </c>
      <c r="X224">
        <v>-1660354250</v>
      </c>
      <c r="Y224">
        <v>5</v>
      </c>
      <c r="AA224">
        <v>2.44</v>
      </c>
      <c r="AB224">
        <v>0</v>
      </c>
      <c r="AC224">
        <v>0</v>
      </c>
      <c r="AD224">
        <v>0</v>
      </c>
      <c r="AE224">
        <v>2.44</v>
      </c>
      <c r="AF224">
        <v>0</v>
      </c>
      <c r="AG224">
        <v>0</v>
      </c>
      <c r="AH224">
        <v>0</v>
      </c>
      <c r="AI224">
        <v>1</v>
      </c>
      <c r="AJ224">
        <v>1</v>
      </c>
      <c r="AK224">
        <v>1</v>
      </c>
      <c r="AL224">
        <v>1</v>
      </c>
      <c r="AN224">
        <v>0</v>
      </c>
      <c r="AO224">
        <v>1</v>
      </c>
      <c r="AP224">
        <v>0</v>
      </c>
      <c r="AQ224">
        <v>0</v>
      </c>
      <c r="AR224">
        <v>0</v>
      </c>
      <c r="AS224" t="s">
        <v>3</v>
      </c>
      <c r="AT224">
        <v>5</v>
      </c>
      <c r="AU224" t="s">
        <v>3</v>
      </c>
      <c r="AV224">
        <v>0</v>
      </c>
      <c r="AW224">
        <v>2</v>
      </c>
      <c r="AX224">
        <v>47636291</v>
      </c>
      <c r="AY224">
        <v>1</v>
      </c>
      <c r="AZ224">
        <v>0</v>
      </c>
      <c r="BA224">
        <v>236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Y224*Source!I209</f>
        <v>1.8399999999999999</v>
      </c>
      <c r="CY224">
        <f>AA224</f>
        <v>2.44</v>
      </c>
      <c r="CZ224">
        <f>AE224</f>
        <v>2.44</v>
      </c>
      <c r="DA224">
        <f>AI224</f>
        <v>1</v>
      </c>
      <c r="DB224">
        <f>ROUND(ROUND(AT224*CZ224,2),6)</f>
        <v>12.2</v>
      </c>
      <c r="DC224">
        <f>ROUND(ROUND(AT224*AG224,2),6)</f>
        <v>0</v>
      </c>
    </row>
    <row r="225" spans="1:107" x14ac:dyDescent="0.2">
      <c r="A225">
        <f>ROW(Source!A209)</f>
        <v>209</v>
      </c>
      <c r="B225">
        <v>47631607</v>
      </c>
      <c r="C225">
        <v>47636276</v>
      </c>
      <c r="D225">
        <v>36806289</v>
      </c>
      <c r="E225">
        <v>1</v>
      </c>
      <c r="F225">
        <v>1</v>
      </c>
      <c r="G225">
        <v>1</v>
      </c>
      <c r="H225">
        <v>3</v>
      </c>
      <c r="I225" t="s">
        <v>101</v>
      </c>
      <c r="J225" t="s">
        <v>103</v>
      </c>
      <c r="K225" t="s">
        <v>102</v>
      </c>
      <c r="L225">
        <v>1339</v>
      </c>
      <c r="N225">
        <v>1007</v>
      </c>
      <c r="O225" t="s">
        <v>96</v>
      </c>
      <c r="P225" t="s">
        <v>96</v>
      </c>
      <c r="Q225">
        <v>1</v>
      </c>
      <c r="W225">
        <v>0</v>
      </c>
      <c r="X225">
        <v>-35545874</v>
      </c>
      <c r="Y225">
        <v>102.5</v>
      </c>
      <c r="AA225">
        <v>55.26</v>
      </c>
      <c r="AB225">
        <v>0</v>
      </c>
      <c r="AC225">
        <v>0</v>
      </c>
      <c r="AD225">
        <v>0</v>
      </c>
      <c r="AE225">
        <v>55.26</v>
      </c>
      <c r="AF225">
        <v>0</v>
      </c>
      <c r="AG225">
        <v>0</v>
      </c>
      <c r="AH225">
        <v>0</v>
      </c>
      <c r="AI225">
        <v>1</v>
      </c>
      <c r="AJ225">
        <v>1</v>
      </c>
      <c r="AK225">
        <v>1</v>
      </c>
      <c r="AL225">
        <v>1</v>
      </c>
      <c r="AN225">
        <v>1</v>
      </c>
      <c r="AO225">
        <v>0</v>
      </c>
      <c r="AP225">
        <v>0</v>
      </c>
      <c r="AQ225">
        <v>0</v>
      </c>
      <c r="AR225">
        <v>0</v>
      </c>
      <c r="AS225" t="s">
        <v>3</v>
      </c>
      <c r="AT225">
        <v>102.5</v>
      </c>
      <c r="AU225" t="s">
        <v>3</v>
      </c>
      <c r="AV225">
        <v>0</v>
      </c>
      <c r="AW225">
        <v>1</v>
      </c>
      <c r="AX225">
        <v>-1</v>
      </c>
      <c r="AY225">
        <v>0</v>
      </c>
      <c r="AZ225">
        <v>0</v>
      </c>
      <c r="BA225" t="s">
        <v>3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Y225*Source!I209</f>
        <v>37.72</v>
      </c>
      <c r="CY225">
        <f>AA225</f>
        <v>55.26</v>
      </c>
      <c r="CZ225">
        <f>AE225</f>
        <v>55.26</v>
      </c>
      <c r="DA225">
        <f>AI225</f>
        <v>1</v>
      </c>
      <c r="DB225">
        <f>ROUND(ROUND(AT225*CZ225,2),6)</f>
        <v>5664.15</v>
      </c>
      <c r="DC225">
        <f>ROUND(ROUND(AT225*AG225,2),6)</f>
        <v>0</v>
      </c>
    </row>
    <row r="226" spans="1:107" x14ac:dyDescent="0.2">
      <c r="A226">
        <f>ROW(Source!A211)</f>
        <v>211</v>
      </c>
      <c r="B226">
        <v>47631607</v>
      </c>
      <c r="C226">
        <v>47636294</v>
      </c>
      <c r="D226">
        <v>37068148</v>
      </c>
      <c r="E226">
        <v>1</v>
      </c>
      <c r="F226">
        <v>1</v>
      </c>
      <c r="G226">
        <v>1</v>
      </c>
      <c r="H226">
        <v>1</v>
      </c>
      <c r="I226" t="s">
        <v>688</v>
      </c>
      <c r="J226" t="s">
        <v>3</v>
      </c>
      <c r="K226" t="s">
        <v>689</v>
      </c>
      <c r="L226">
        <v>1191</v>
      </c>
      <c r="N226">
        <v>1013</v>
      </c>
      <c r="O226" t="s">
        <v>487</v>
      </c>
      <c r="P226" t="s">
        <v>487</v>
      </c>
      <c r="Q226">
        <v>1</v>
      </c>
      <c r="W226">
        <v>0</v>
      </c>
      <c r="X226">
        <v>371339561</v>
      </c>
      <c r="Y226">
        <v>31.991274999999998</v>
      </c>
      <c r="AA226">
        <v>0</v>
      </c>
      <c r="AB226">
        <v>0</v>
      </c>
      <c r="AC226">
        <v>0</v>
      </c>
      <c r="AD226">
        <v>8.09</v>
      </c>
      <c r="AE226">
        <v>0</v>
      </c>
      <c r="AF226">
        <v>0</v>
      </c>
      <c r="AG226">
        <v>0</v>
      </c>
      <c r="AH226">
        <v>8.09</v>
      </c>
      <c r="AI226">
        <v>1</v>
      </c>
      <c r="AJ226">
        <v>1</v>
      </c>
      <c r="AK226">
        <v>1</v>
      </c>
      <c r="AL226">
        <v>1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3</v>
      </c>
      <c r="AT226">
        <v>24.19</v>
      </c>
      <c r="AU226" t="s">
        <v>53</v>
      </c>
      <c r="AV226">
        <v>1</v>
      </c>
      <c r="AW226">
        <v>2</v>
      </c>
      <c r="AX226">
        <v>47636304</v>
      </c>
      <c r="AY226">
        <v>1</v>
      </c>
      <c r="AZ226">
        <v>0</v>
      </c>
      <c r="BA226">
        <v>238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Y226*Source!I211</f>
        <v>35.318367600000002</v>
      </c>
      <c r="CY226">
        <f>AD226</f>
        <v>8.09</v>
      </c>
      <c r="CZ226">
        <f>AH226</f>
        <v>8.09</v>
      </c>
      <c r="DA226">
        <f>AL226</f>
        <v>1</v>
      </c>
      <c r="DB226">
        <f>ROUND(((ROUND(AT226*CZ226,2)*1.15)*1.15),6)</f>
        <v>258.81324999999998</v>
      </c>
      <c r="DC226">
        <f>ROUND(((ROUND(AT226*AG226,2)*1.15)*1.15),6)</f>
        <v>0</v>
      </c>
    </row>
    <row r="227" spans="1:107" x14ac:dyDescent="0.2">
      <c r="A227">
        <f>ROW(Source!A211)</f>
        <v>211</v>
      </c>
      <c r="B227">
        <v>47631607</v>
      </c>
      <c r="C227">
        <v>47636294</v>
      </c>
      <c r="D227">
        <v>37064876</v>
      </c>
      <c r="E227">
        <v>1</v>
      </c>
      <c r="F227">
        <v>1</v>
      </c>
      <c r="G227">
        <v>1</v>
      </c>
      <c r="H227">
        <v>1</v>
      </c>
      <c r="I227" t="s">
        <v>500</v>
      </c>
      <c r="J227" t="s">
        <v>3</v>
      </c>
      <c r="K227" t="s">
        <v>501</v>
      </c>
      <c r="L227">
        <v>1191</v>
      </c>
      <c r="N227">
        <v>1013</v>
      </c>
      <c r="O227" t="s">
        <v>487</v>
      </c>
      <c r="P227" t="s">
        <v>487</v>
      </c>
      <c r="Q227">
        <v>1</v>
      </c>
      <c r="W227">
        <v>0</v>
      </c>
      <c r="X227">
        <v>-1417349443</v>
      </c>
      <c r="Y227">
        <v>20.6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1</v>
      </c>
      <c r="AK227">
        <v>1</v>
      </c>
      <c r="AL227">
        <v>1</v>
      </c>
      <c r="AN227">
        <v>0</v>
      </c>
      <c r="AO227">
        <v>1</v>
      </c>
      <c r="AP227">
        <v>0</v>
      </c>
      <c r="AQ227">
        <v>0</v>
      </c>
      <c r="AR227">
        <v>0</v>
      </c>
      <c r="AS227" t="s">
        <v>3</v>
      </c>
      <c r="AT227">
        <v>20.6</v>
      </c>
      <c r="AU227" t="s">
        <v>3</v>
      </c>
      <c r="AV227">
        <v>2</v>
      </c>
      <c r="AW227">
        <v>2</v>
      </c>
      <c r="AX227">
        <v>47636305</v>
      </c>
      <c r="AY227">
        <v>1</v>
      </c>
      <c r="AZ227">
        <v>2048</v>
      </c>
      <c r="BA227">
        <v>239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Y227*Source!I211</f>
        <v>22.742400000000004</v>
      </c>
      <c r="CY227">
        <f>AD227</f>
        <v>0</v>
      </c>
      <c r="CZ227">
        <f>AH227</f>
        <v>0</v>
      </c>
      <c r="DA227">
        <f>AL227</f>
        <v>1</v>
      </c>
      <c r="DB227">
        <f>ROUND(ROUND(AT227*CZ227,2),6)</f>
        <v>0</v>
      </c>
      <c r="DC227">
        <f>ROUND(ROUND(AT227*AG227,2),6)</f>
        <v>0</v>
      </c>
    </row>
    <row r="228" spans="1:107" x14ac:dyDescent="0.2">
      <c r="A228">
        <f>ROW(Source!A211)</f>
        <v>211</v>
      </c>
      <c r="B228">
        <v>47631607</v>
      </c>
      <c r="C228">
        <v>47636294</v>
      </c>
      <c r="D228">
        <v>36881356</v>
      </c>
      <c r="E228">
        <v>1</v>
      </c>
      <c r="F228">
        <v>1</v>
      </c>
      <c r="G228">
        <v>1</v>
      </c>
      <c r="H228">
        <v>2</v>
      </c>
      <c r="I228" t="s">
        <v>690</v>
      </c>
      <c r="J228" t="s">
        <v>691</v>
      </c>
      <c r="K228" t="s">
        <v>692</v>
      </c>
      <c r="L228">
        <v>1368</v>
      </c>
      <c r="N228">
        <v>1011</v>
      </c>
      <c r="O228" t="s">
        <v>505</v>
      </c>
      <c r="P228" t="s">
        <v>505</v>
      </c>
      <c r="Q228">
        <v>1</v>
      </c>
      <c r="W228">
        <v>0</v>
      </c>
      <c r="X228">
        <v>-1071764843</v>
      </c>
      <c r="Y228">
        <v>3.7231249999999996</v>
      </c>
      <c r="AA228">
        <v>0</v>
      </c>
      <c r="AB228">
        <v>79.069999999999993</v>
      </c>
      <c r="AC228">
        <v>13.5</v>
      </c>
      <c r="AD228">
        <v>0</v>
      </c>
      <c r="AE228">
        <v>0</v>
      </c>
      <c r="AF228">
        <v>79.069999999999993</v>
      </c>
      <c r="AG228">
        <v>13.5</v>
      </c>
      <c r="AH228">
        <v>0</v>
      </c>
      <c r="AI228">
        <v>1</v>
      </c>
      <c r="AJ228">
        <v>1</v>
      </c>
      <c r="AK228">
        <v>1</v>
      </c>
      <c r="AL228">
        <v>1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3</v>
      </c>
      <c r="AT228">
        <v>2.59</v>
      </c>
      <c r="AU228" t="s">
        <v>280</v>
      </c>
      <c r="AV228">
        <v>0</v>
      </c>
      <c r="AW228">
        <v>2</v>
      </c>
      <c r="AX228">
        <v>47636306</v>
      </c>
      <c r="AY228">
        <v>1</v>
      </c>
      <c r="AZ228">
        <v>0</v>
      </c>
      <c r="BA228">
        <v>240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Y228*Source!I211</f>
        <v>4.1103300000000003</v>
      </c>
      <c r="CY228">
        <f>AB228</f>
        <v>79.069999999999993</v>
      </c>
      <c r="CZ228">
        <f>AF228</f>
        <v>79.069999999999993</v>
      </c>
      <c r="DA228">
        <f>AJ228</f>
        <v>1</v>
      </c>
      <c r="DB228">
        <f>ROUND(((ROUND(AT228*CZ228,2)*1.15)*1.25),6)</f>
        <v>294.385625</v>
      </c>
      <c r="DC228">
        <f>ROUND(((ROUND(AT228*AG228,2)*1.15)*1.25),6)</f>
        <v>50.269374999999997</v>
      </c>
    </row>
    <row r="229" spans="1:107" x14ac:dyDescent="0.2">
      <c r="A229">
        <f>ROW(Source!A211)</f>
        <v>211</v>
      </c>
      <c r="B229">
        <v>47631607</v>
      </c>
      <c r="C229">
        <v>47636294</v>
      </c>
      <c r="D229">
        <v>36881380</v>
      </c>
      <c r="E229">
        <v>1</v>
      </c>
      <c r="F229">
        <v>1</v>
      </c>
      <c r="G229">
        <v>1</v>
      </c>
      <c r="H229">
        <v>2</v>
      </c>
      <c r="I229" t="s">
        <v>661</v>
      </c>
      <c r="J229" t="s">
        <v>662</v>
      </c>
      <c r="K229" t="s">
        <v>663</v>
      </c>
      <c r="L229">
        <v>1368</v>
      </c>
      <c r="N229">
        <v>1011</v>
      </c>
      <c r="O229" t="s">
        <v>505</v>
      </c>
      <c r="P229" t="s">
        <v>505</v>
      </c>
      <c r="Q229">
        <v>1</v>
      </c>
      <c r="W229">
        <v>0</v>
      </c>
      <c r="X229">
        <v>645023554</v>
      </c>
      <c r="Y229">
        <v>3.3062499999999995</v>
      </c>
      <c r="AA229">
        <v>0</v>
      </c>
      <c r="AB229">
        <v>123</v>
      </c>
      <c r="AC229">
        <v>13.5</v>
      </c>
      <c r="AD229">
        <v>0</v>
      </c>
      <c r="AE229">
        <v>0</v>
      </c>
      <c r="AF229">
        <v>123</v>
      </c>
      <c r="AG229">
        <v>13.5</v>
      </c>
      <c r="AH229">
        <v>0</v>
      </c>
      <c r="AI229">
        <v>1</v>
      </c>
      <c r="AJ229">
        <v>1</v>
      </c>
      <c r="AK229">
        <v>1</v>
      </c>
      <c r="AL229">
        <v>1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3</v>
      </c>
      <c r="AT229">
        <v>2.2999999999999998</v>
      </c>
      <c r="AU229" t="s">
        <v>280</v>
      </c>
      <c r="AV229">
        <v>0</v>
      </c>
      <c r="AW229">
        <v>2</v>
      </c>
      <c r="AX229">
        <v>47636307</v>
      </c>
      <c r="AY229">
        <v>1</v>
      </c>
      <c r="AZ229">
        <v>0</v>
      </c>
      <c r="BA229">
        <v>241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Y229*Source!I211</f>
        <v>3.6500999999999997</v>
      </c>
      <c r="CY229">
        <f>AB229</f>
        <v>123</v>
      </c>
      <c r="CZ229">
        <f>AF229</f>
        <v>123</v>
      </c>
      <c r="DA229">
        <f>AJ229</f>
        <v>1</v>
      </c>
      <c r="DB229">
        <f>ROUND(((ROUND(AT229*CZ229,2)*1.15)*1.25),6)</f>
        <v>406.66874999999999</v>
      </c>
      <c r="DC229">
        <f>ROUND(((ROUND(AT229*AG229,2)*1.15)*1.25),6)</f>
        <v>44.634374999999999</v>
      </c>
    </row>
    <row r="230" spans="1:107" x14ac:dyDescent="0.2">
      <c r="A230">
        <f>ROW(Source!A211)</f>
        <v>211</v>
      </c>
      <c r="B230">
        <v>47631607</v>
      </c>
      <c r="C230">
        <v>47636294</v>
      </c>
      <c r="D230">
        <v>36882383</v>
      </c>
      <c r="E230">
        <v>1</v>
      </c>
      <c r="F230">
        <v>1</v>
      </c>
      <c r="G230">
        <v>1</v>
      </c>
      <c r="H230">
        <v>2</v>
      </c>
      <c r="I230" t="s">
        <v>629</v>
      </c>
      <c r="J230" t="s">
        <v>630</v>
      </c>
      <c r="K230" t="s">
        <v>631</v>
      </c>
      <c r="L230">
        <v>1368</v>
      </c>
      <c r="N230">
        <v>1011</v>
      </c>
      <c r="O230" t="s">
        <v>505</v>
      </c>
      <c r="P230" t="s">
        <v>505</v>
      </c>
      <c r="Q230">
        <v>1</v>
      </c>
      <c r="W230">
        <v>0</v>
      </c>
      <c r="X230">
        <v>-665367104</v>
      </c>
      <c r="Y230">
        <v>3.5362499999999999</v>
      </c>
      <c r="AA230">
        <v>0</v>
      </c>
      <c r="AB230">
        <v>89.99</v>
      </c>
      <c r="AC230">
        <v>10.06</v>
      </c>
      <c r="AD230">
        <v>0</v>
      </c>
      <c r="AE230">
        <v>0</v>
      </c>
      <c r="AF230">
        <v>89.99</v>
      </c>
      <c r="AG230">
        <v>10.06</v>
      </c>
      <c r="AH230">
        <v>0</v>
      </c>
      <c r="AI230">
        <v>1</v>
      </c>
      <c r="AJ230">
        <v>1</v>
      </c>
      <c r="AK230">
        <v>1</v>
      </c>
      <c r="AL230">
        <v>1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3</v>
      </c>
      <c r="AT230">
        <v>2.46</v>
      </c>
      <c r="AU230" t="s">
        <v>280</v>
      </c>
      <c r="AV230">
        <v>0</v>
      </c>
      <c r="AW230">
        <v>2</v>
      </c>
      <c r="AX230">
        <v>47636308</v>
      </c>
      <c r="AY230">
        <v>1</v>
      </c>
      <c r="AZ230">
        <v>0</v>
      </c>
      <c r="BA230">
        <v>242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Y230*Source!I211</f>
        <v>3.90402</v>
      </c>
      <c r="CY230">
        <f>AB230</f>
        <v>89.99</v>
      </c>
      <c r="CZ230">
        <f>AF230</f>
        <v>89.99</v>
      </c>
      <c r="DA230">
        <f>AJ230</f>
        <v>1</v>
      </c>
      <c r="DB230">
        <f>ROUND(((ROUND(AT230*CZ230,2)*1.15)*1.25),6)</f>
        <v>318.23374999999999</v>
      </c>
      <c r="DC230">
        <f>ROUND(((ROUND(AT230*AG230,2)*1.15)*1.25),6)</f>
        <v>35.578125</v>
      </c>
    </row>
    <row r="231" spans="1:107" x14ac:dyDescent="0.2">
      <c r="A231">
        <f>ROW(Source!A211)</f>
        <v>211</v>
      </c>
      <c r="B231">
        <v>47631607</v>
      </c>
      <c r="C231">
        <v>47636294</v>
      </c>
      <c r="D231">
        <v>36882750</v>
      </c>
      <c r="E231">
        <v>1</v>
      </c>
      <c r="F231">
        <v>1</v>
      </c>
      <c r="G231">
        <v>1</v>
      </c>
      <c r="H231">
        <v>2</v>
      </c>
      <c r="I231" t="s">
        <v>669</v>
      </c>
      <c r="J231" t="s">
        <v>670</v>
      </c>
      <c r="K231" t="s">
        <v>671</v>
      </c>
      <c r="L231">
        <v>1368</v>
      </c>
      <c r="N231">
        <v>1011</v>
      </c>
      <c r="O231" t="s">
        <v>505</v>
      </c>
      <c r="P231" t="s">
        <v>505</v>
      </c>
      <c r="Q231">
        <v>1</v>
      </c>
      <c r="W231">
        <v>0</v>
      </c>
      <c r="X231">
        <v>1663826256</v>
      </c>
      <c r="Y231">
        <v>17.551874999999999</v>
      </c>
      <c r="AA231">
        <v>0</v>
      </c>
      <c r="AB231">
        <v>206.01</v>
      </c>
      <c r="AC231">
        <v>14.4</v>
      </c>
      <c r="AD231">
        <v>0</v>
      </c>
      <c r="AE231">
        <v>0</v>
      </c>
      <c r="AF231">
        <v>206.01</v>
      </c>
      <c r="AG231">
        <v>14.4</v>
      </c>
      <c r="AH231">
        <v>0</v>
      </c>
      <c r="AI231">
        <v>1</v>
      </c>
      <c r="AJ231">
        <v>1</v>
      </c>
      <c r="AK231">
        <v>1</v>
      </c>
      <c r="AL231">
        <v>1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3</v>
      </c>
      <c r="AT231">
        <v>12.21</v>
      </c>
      <c r="AU231" t="s">
        <v>280</v>
      </c>
      <c r="AV231">
        <v>0</v>
      </c>
      <c r="AW231">
        <v>2</v>
      </c>
      <c r="AX231">
        <v>47636309</v>
      </c>
      <c r="AY231">
        <v>1</v>
      </c>
      <c r="AZ231">
        <v>0</v>
      </c>
      <c r="BA231">
        <v>243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Y231*Source!I211</f>
        <v>19.377269999999999</v>
      </c>
      <c r="CY231">
        <f>AB231</f>
        <v>206.01</v>
      </c>
      <c r="CZ231">
        <f>AF231</f>
        <v>206.01</v>
      </c>
      <c r="DA231">
        <f>AJ231</f>
        <v>1</v>
      </c>
      <c r="DB231">
        <f>ROUND(((ROUND(AT231*CZ231,2)*1.15)*1.25),6)</f>
        <v>3615.8587499999999</v>
      </c>
      <c r="DC231">
        <f>ROUND(((ROUND(AT231*AG231,2)*1.15)*1.25),6)</f>
        <v>252.74125000000001</v>
      </c>
    </row>
    <row r="232" spans="1:107" x14ac:dyDescent="0.2">
      <c r="A232">
        <f>ROW(Source!A211)</f>
        <v>211</v>
      </c>
      <c r="B232">
        <v>47631607</v>
      </c>
      <c r="C232">
        <v>47636294</v>
      </c>
      <c r="D232">
        <v>36883483</v>
      </c>
      <c r="E232">
        <v>1</v>
      </c>
      <c r="F232">
        <v>1</v>
      </c>
      <c r="G232">
        <v>1</v>
      </c>
      <c r="H232">
        <v>2</v>
      </c>
      <c r="I232" t="s">
        <v>672</v>
      </c>
      <c r="J232" t="s">
        <v>673</v>
      </c>
      <c r="K232" t="s">
        <v>674</v>
      </c>
      <c r="L232">
        <v>1368</v>
      </c>
      <c r="N232">
        <v>1011</v>
      </c>
      <c r="O232" t="s">
        <v>505</v>
      </c>
      <c r="P232" t="s">
        <v>505</v>
      </c>
      <c r="Q232">
        <v>1</v>
      </c>
      <c r="W232">
        <v>0</v>
      </c>
      <c r="X232">
        <v>1403266566</v>
      </c>
      <c r="Y232">
        <v>1.4949999999999999</v>
      </c>
      <c r="AA232">
        <v>0</v>
      </c>
      <c r="AB232">
        <v>110</v>
      </c>
      <c r="AC232">
        <v>11.6</v>
      </c>
      <c r="AD232">
        <v>0</v>
      </c>
      <c r="AE232">
        <v>0</v>
      </c>
      <c r="AF232">
        <v>110</v>
      </c>
      <c r="AG232">
        <v>11.6</v>
      </c>
      <c r="AH232">
        <v>0</v>
      </c>
      <c r="AI232">
        <v>1</v>
      </c>
      <c r="AJ232">
        <v>1</v>
      </c>
      <c r="AK232">
        <v>1</v>
      </c>
      <c r="AL232">
        <v>1</v>
      </c>
      <c r="AN232">
        <v>0</v>
      </c>
      <c r="AO232">
        <v>1</v>
      </c>
      <c r="AP232">
        <v>1</v>
      </c>
      <c r="AQ232">
        <v>0</v>
      </c>
      <c r="AR232">
        <v>0</v>
      </c>
      <c r="AS232" t="s">
        <v>3</v>
      </c>
      <c r="AT232">
        <v>1.04</v>
      </c>
      <c r="AU232" t="s">
        <v>280</v>
      </c>
      <c r="AV232">
        <v>0</v>
      </c>
      <c r="AW232">
        <v>2</v>
      </c>
      <c r="AX232">
        <v>47636310</v>
      </c>
      <c r="AY232">
        <v>1</v>
      </c>
      <c r="AZ232">
        <v>0</v>
      </c>
      <c r="BA232">
        <v>244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Y232*Source!I211</f>
        <v>1.6504799999999999</v>
      </c>
      <c r="CY232">
        <f>AB232</f>
        <v>110</v>
      </c>
      <c r="CZ232">
        <f>AF232</f>
        <v>110</v>
      </c>
      <c r="DA232">
        <f>AJ232</f>
        <v>1</v>
      </c>
      <c r="DB232">
        <f>ROUND(((ROUND(AT232*CZ232,2)*1.15)*1.25),6)</f>
        <v>164.45</v>
      </c>
      <c r="DC232">
        <f>ROUND(((ROUND(AT232*AG232,2)*1.15)*1.25),6)</f>
        <v>17.33625</v>
      </c>
    </row>
    <row r="233" spans="1:107" x14ac:dyDescent="0.2">
      <c r="A233">
        <f>ROW(Source!A211)</f>
        <v>211</v>
      </c>
      <c r="B233">
        <v>47631607</v>
      </c>
      <c r="C233">
        <v>47636294</v>
      </c>
      <c r="D233">
        <v>36801792</v>
      </c>
      <c r="E233">
        <v>1</v>
      </c>
      <c r="F233">
        <v>1</v>
      </c>
      <c r="G233">
        <v>1</v>
      </c>
      <c r="H233">
        <v>3</v>
      </c>
      <c r="I233" t="s">
        <v>597</v>
      </c>
      <c r="J233" t="s">
        <v>598</v>
      </c>
      <c r="K233" t="s">
        <v>599</v>
      </c>
      <c r="L233">
        <v>1339</v>
      </c>
      <c r="N233">
        <v>1007</v>
      </c>
      <c r="O233" t="s">
        <v>96</v>
      </c>
      <c r="P233" t="s">
        <v>96</v>
      </c>
      <c r="Q233">
        <v>1</v>
      </c>
      <c r="W233">
        <v>0</v>
      </c>
      <c r="X233">
        <v>-1660354250</v>
      </c>
      <c r="Y233">
        <v>7</v>
      </c>
      <c r="AA233">
        <v>2.44</v>
      </c>
      <c r="AB233">
        <v>0</v>
      </c>
      <c r="AC233">
        <v>0</v>
      </c>
      <c r="AD233">
        <v>0</v>
      </c>
      <c r="AE233">
        <v>2.44</v>
      </c>
      <c r="AF233">
        <v>0</v>
      </c>
      <c r="AG233">
        <v>0</v>
      </c>
      <c r="AH233">
        <v>0</v>
      </c>
      <c r="AI233">
        <v>1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3</v>
      </c>
      <c r="AT233">
        <v>7</v>
      </c>
      <c r="AU233" t="s">
        <v>3</v>
      </c>
      <c r="AV233">
        <v>0</v>
      </c>
      <c r="AW233">
        <v>2</v>
      </c>
      <c r="AX233">
        <v>47636311</v>
      </c>
      <c r="AY233">
        <v>1</v>
      </c>
      <c r="AZ233">
        <v>0</v>
      </c>
      <c r="BA233">
        <v>245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Y233*Source!I211</f>
        <v>7.7280000000000006</v>
      </c>
      <c r="CY233">
        <f>AA233</f>
        <v>2.44</v>
      </c>
      <c r="CZ233">
        <f>AE233</f>
        <v>2.44</v>
      </c>
      <c r="DA233">
        <f>AI233</f>
        <v>1</v>
      </c>
      <c r="DB233">
        <f>ROUND(ROUND(AT233*CZ233,2),6)</f>
        <v>17.079999999999998</v>
      </c>
      <c r="DC233">
        <f>ROUND(ROUND(AT233*AG233,2),6)</f>
        <v>0</v>
      </c>
    </row>
    <row r="234" spans="1:107" x14ac:dyDescent="0.2">
      <c r="A234">
        <f>ROW(Source!A211)</f>
        <v>211</v>
      </c>
      <c r="B234">
        <v>47631607</v>
      </c>
      <c r="C234">
        <v>47636294</v>
      </c>
      <c r="D234">
        <v>36806177</v>
      </c>
      <c r="E234">
        <v>1</v>
      </c>
      <c r="F234">
        <v>1</v>
      </c>
      <c r="G234">
        <v>1</v>
      </c>
      <c r="H234">
        <v>3</v>
      </c>
      <c r="I234" t="s">
        <v>290</v>
      </c>
      <c r="J234" t="s">
        <v>292</v>
      </c>
      <c r="K234" t="s">
        <v>291</v>
      </c>
      <c r="L234">
        <v>1339</v>
      </c>
      <c r="N234">
        <v>1007</v>
      </c>
      <c r="O234" t="s">
        <v>96</v>
      </c>
      <c r="P234" t="s">
        <v>96</v>
      </c>
      <c r="Q234">
        <v>1</v>
      </c>
      <c r="W234">
        <v>0</v>
      </c>
      <c r="X234">
        <v>992648480</v>
      </c>
      <c r="Y234">
        <v>102</v>
      </c>
      <c r="AA234">
        <v>139.63</v>
      </c>
      <c r="AB234">
        <v>0</v>
      </c>
      <c r="AC234">
        <v>0</v>
      </c>
      <c r="AD234">
        <v>0</v>
      </c>
      <c r="AE234">
        <v>139.63</v>
      </c>
      <c r="AF234">
        <v>0</v>
      </c>
      <c r="AG234">
        <v>0</v>
      </c>
      <c r="AH234">
        <v>0</v>
      </c>
      <c r="AI234">
        <v>1</v>
      </c>
      <c r="AJ234">
        <v>1</v>
      </c>
      <c r="AK234">
        <v>1</v>
      </c>
      <c r="AL234">
        <v>1</v>
      </c>
      <c r="AN234">
        <v>1</v>
      </c>
      <c r="AO234">
        <v>0</v>
      </c>
      <c r="AP234">
        <v>0</v>
      </c>
      <c r="AQ234">
        <v>0</v>
      </c>
      <c r="AR234">
        <v>0</v>
      </c>
      <c r="AS234" t="s">
        <v>3</v>
      </c>
      <c r="AT234">
        <v>102</v>
      </c>
      <c r="AU234" t="s">
        <v>3</v>
      </c>
      <c r="AV234">
        <v>0</v>
      </c>
      <c r="AW234">
        <v>1</v>
      </c>
      <c r="AX234">
        <v>-1</v>
      </c>
      <c r="AY234">
        <v>0</v>
      </c>
      <c r="AZ234">
        <v>0</v>
      </c>
      <c r="BA234" t="s">
        <v>3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Y234*Source!I211</f>
        <v>112.608</v>
      </c>
      <c r="CY234">
        <f>AA234</f>
        <v>139.63</v>
      </c>
      <c r="CZ234">
        <f>AE234</f>
        <v>139.63</v>
      </c>
      <c r="DA234">
        <f>AI234</f>
        <v>1</v>
      </c>
      <c r="DB234">
        <f>ROUND(ROUND(AT234*CZ234,2),6)</f>
        <v>14242.26</v>
      </c>
      <c r="DC234">
        <f>ROUND(ROUND(AT234*AG234,2),6)</f>
        <v>0</v>
      </c>
    </row>
    <row r="235" spans="1:107" x14ac:dyDescent="0.2">
      <c r="A235">
        <f>ROW(Source!A213)</f>
        <v>213</v>
      </c>
      <c r="B235">
        <v>47631607</v>
      </c>
      <c r="C235">
        <v>47636314</v>
      </c>
      <c r="D235">
        <v>37071037</v>
      </c>
      <c r="E235">
        <v>1</v>
      </c>
      <c r="F235">
        <v>1</v>
      </c>
      <c r="G235">
        <v>1</v>
      </c>
      <c r="H235">
        <v>1</v>
      </c>
      <c r="I235" t="s">
        <v>693</v>
      </c>
      <c r="J235" t="s">
        <v>3</v>
      </c>
      <c r="K235" t="s">
        <v>694</v>
      </c>
      <c r="L235">
        <v>1191</v>
      </c>
      <c r="N235">
        <v>1013</v>
      </c>
      <c r="O235" t="s">
        <v>487</v>
      </c>
      <c r="P235" t="s">
        <v>487</v>
      </c>
      <c r="Q235">
        <v>1</v>
      </c>
      <c r="W235">
        <v>0</v>
      </c>
      <c r="X235">
        <v>1069510174</v>
      </c>
      <c r="Y235">
        <v>50.651749999999993</v>
      </c>
      <c r="AA235">
        <v>0</v>
      </c>
      <c r="AB235">
        <v>0</v>
      </c>
      <c r="AC235">
        <v>0</v>
      </c>
      <c r="AD235">
        <v>9.6199999999999992</v>
      </c>
      <c r="AE235">
        <v>0</v>
      </c>
      <c r="AF235">
        <v>0</v>
      </c>
      <c r="AG235">
        <v>0</v>
      </c>
      <c r="AH235">
        <v>9.6199999999999992</v>
      </c>
      <c r="AI235">
        <v>1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1</v>
      </c>
      <c r="AQ235">
        <v>0</v>
      </c>
      <c r="AR235">
        <v>0</v>
      </c>
      <c r="AS235" t="s">
        <v>3</v>
      </c>
      <c r="AT235">
        <v>38.299999999999997</v>
      </c>
      <c r="AU235" t="s">
        <v>53</v>
      </c>
      <c r="AV235">
        <v>1</v>
      </c>
      <c r="AW235">
        <v>2</v>
      </c>
      <c r="AX235">
        <v>47636329</v>
      </c>
      <c r="AY235">
        <v>1</v>
      </c>
      <c r="AZ235">
        <v>0</v>
      </c>
      <c r="BA235">
        <v>247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Y235*Source!I213</f>
        <v>9.3199219999999983</v>
      </c>
      <c r="CY235">
        <f>AD235</f>
        <v>9.6199999999999992</v>
      </c>
      <c r="CZ235">
        <f>AH235</f>
        <v>9.6199999999999992</v>
      </c>
      <c r="DA235">
        <f>AL235</f>
        <v>1</v>
      </c>
      <c r="DB235">
        <f>ROUND(((ROUND(AT235*CZ235,2)*1.15)*1.15),6)</f>
        <v>487.275125</v>
      </c>
      <c r="DC235">
        <f>ROUND(((ROUND(AT235*AG235,2)*1.15)*1.15),6)</f>
        <v>0</v>
      </c>
    </row>
    <row r="236" spans="1:107" x14ac:dyDescent="0.2">
      <c r="A236">
        <f>ROW(Source!A213)</f>
        <v>213</v>
      </c>
      <c r="B236">
        <v>47631607</v>
      </c>
      <c r="C236">
        <v>47636314</v>
      </c>
      <c r="D236">
        <v>37064876</v>
      </c>
      <c r="E236">
        <v>1</v>
      </c>
      <c r="F236">
        <v>1</v>
      </c>
      <c r="G236">
        <v>1</v>
      </c>
      <c r="H236">
        <v>1</v>
      </c>
      <c r="I236" t="s">
        <v>500</v>
      </c>
      <c r="J236" t="s">
        <v>3</v>
      </c>
      <c r="K236" t="s">
        <v>501</v>
      </c>
      <c r="L236">
        <v>1191</v>
      </c>
      <c r="N236">
        <v>1013</v>
      </c>
      <c r="O236" t="s">
        <v>487</v>
      </c>
      <c r="P236" t="s">
        <v>487</v>
      </c>
      <c r="Q236">
        <v>1</v>
      </c>
      <c r="W236">
        <v>0</v>
      </c>
      <c r="X236">
        <v>-1417349443</v>
      </c>
      <c r="Y236">
        <v>19.12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3</v>
      </c>
      <c r="AT236">
        <v>19.12</v>
      </c>
      <c r="AU236" t="s">
        <v>3</v>
      </c>
      <c r="AV236">
        <v>2</v>
      </c>
      <c r="AW236">
        <v>2</v>
      </c>
      <c r="AX236">
        <v>47636330</v>
      </c>
      <c r="AY236">
        <v>1</v>
      </c>
      <c r="AZ236">
        <v>2048</v>
      </c>
      <c r="BA236">
        <v>248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Y236*Source!I213</f>
        <v>3.5180800000000003</v>
      </c>
      <c r="CY236">
        <f>AD236</f>
        <v>0</v>
      </c>
      <c r="CZ236">
        <f>AH236</f>
        <v>0</v>
      </c>
      <c r="DA236">
        <f>AL236</f>
        <v>1</v>
      </c>
      <c r="DB236">
        <f>ROUND(ROUND(AT236*CZ236,2),6)</f>
        <v>0</v>
      </c>
      <c r="DC236">
        <f>ROUND(ROUND(AT236*AG236,2),6)</f>
        <v>0</v>
      </c>
    </row>
    <row r="237" spans="1:107" x14ac:dyDescent="0.2">
      <c r="A237">
        <f>ROW(Source!A213)</f>
        <v>213</v>
      </c>
      <c r="B237">
        <v>47631607</v>
      </c>
      <c r="C237">
        <v>47636314</v>
      </c>
      <c r="D237">
        <v>36882159</v>
      </c>
      <c r="E237">
        <v>1</v>
      </c>
      <c r="F237">
        <v>1</v>
      </c>
      <c r="G237">
        <v>1</v>
      </c>
      <c r="H237">
        <v>2</v>
      </c>
      <c r="I237" t="s">
        <v>518</v>
      </c>
      <c r="J237" t="s">
        <v>519</v>
      </c>
      <c r="K237" t="s">
        <v>520</v>
      </c>
      <c r="L237">
        <v>1368</v>
      </c>
      <c r="N237">
        <v>1011</v>
      </c>
      <c r="O237" t="s">
        <v>505</v>
      </c>
      <c r="P237" t="s">
        <v>505</v>
      </c>
      <c r="Q237">
        <v>1</v>
      </c>
      <c r="W237">
        <v>0</v>
      </c>
      <c r="X237">
        <v>-1718674368</v>
      </c>
      <c r="Y237">
        <v>4.3124999999999997E-2</v>
      </c>
      <c r="AA237">
        <v>0</v>
      </c>
      <c r="AB237">
        <v>111.99</v>
      </c>
      <c r="AC237">
        <v>13.5</v>
      </c>
      <c r="AD237">
        <v>0</v>
      </c>
      <c r="AE237">
        <v>0</v>
      </c>
      <c r="AF237">
        <v>111.99</v>
      </c>
      <c r="AG237">
        <v>13.5</v>
      </c>
      <c r="AH237">
        <v>0</v>
      </c>
      <c r="AI237">
        <v>1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1</v>
      </c>
      <c r="AQ237">
        <v>0</v>
      </c>
      <c r="AR237">
        <v>0</v>
      </c>
      <c r="AS237" t="s">
        <v>3</v>
      </c>
      <c r="AT237">
        <v>0.03</v>
      </c>
      <c r="AU237" t="s">
        <v>280</v>
      </c>
      <c r="AV237">
        <v>0</v>
      </c>
      <c r="AW237">
        <v>2</v>
      </c>
      <c r="AX237">
        <v>47636331</v>
      </c>
      <c r="AY237">
        <v>1</v>
      </c>
      <c r="AZ237">
        <v>0</v>
      </c>
      <c r="BA237">
        <v>249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Y237*Source!I213</f>
        <v>7.9349999999999993E-3</v>
      </c>
      <c r="CY237">
        <f t="shared" ref="CY237:CY243" si="20">AB237</f>
        <v>111.99</v>
      </c>
      <c r="CZ237">
        <f t="shared" ref="CZ237:CZ243" si="21">AF237</f>
        <v>111.99</v>
      </c>
      <c r="DA237">
        <f t="shared" ref="DA237:DA243" si="22">AJ237</f>
        <v>1</v>
      </c>
      <c r="DB237">
        <f t="shared" ref="DB237:DB243" si="23">ROUND(((ROUND(AT237*CZ237,2)*1.15)*1.25),6)</f>
        <v>4.83</v>
      </c>
      <c r="DC237">
        <f t="shared" ref="DC237:DC243" si="24">ROUND(((ROUND(AT237*AG237,2)*1.15)*1.25),6)</f>
        <v>0.58937499999999998</v>
      </c>
    </row>
    <row r="238" spans="1:107" x14ac:dyDescent="0.2">
      <c r="A238">
        <f>ROW(Source!A213)</f>
        <v>213</v>
      </c>
      <c r="B238">
        <v>47631607</v>
      </c>
      <c r="C238">
        <v>47636314</v>
      </c>
      <c r="D238">
        <v>36882672</v>
      </c>
      <c r="E238">
        <v>1</v>
      </c>
      <c r="F238">
        <v>1</v>
      </c>
      <c r="G238">
        <v>1</v>
      </c>
      <c r="H238">
        <v>2</v>
      </c>
      <c r="I238" t="s">
        <v>695</v>
      </c>
      <c r="J238" t="s">
        <v>696</v>
      </c>
      <c r="K238" t="s">
        <v>697</v>
      </c>
      <c r="L238">
        <v>1368</v>
      </c>
      <c r="N238">
        <v>1011</v>
      </c>
      <c r="O238" t="s">
        <v>505</v>
      </c>
      <c r="P238" t="s">
        <v>505</v>
      </c>
      <c r="Q238">
        <v>1</v>
      </c>
      <c r="W238">
        <v>0</v>
      </c>
      <c r="X238">
        <v>-1161260467</v>
      </c>
      <c r="Y238">
        <v>4.5856250000000003</v>
      </c>
      <c r="AA238">
        <v>0</v>
      </c>
      <c r="AB238">
        <v>195.2</v>
      </c>
      <c r="AC238">
        <v>14.4</v>
      </c>
      <c r="AD238">
        <v>0</v>
      </c>
      <c r="AE238">
        <v>0</v>
      </c>
      <c r="AF238">
        <v>195.2</v>
      </c>
      <c r="AG238">
        <v>14.4</v>
      </c>
      <c r="AH238">
        <v>0</v>
      </c>
      <c r="AI238">
        <v>1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1</v>
      </c>
      <c r="AQ238">
        <v>0</v>
      </c>
      <c r="AR238">
        <v>0</v>
      </c>
      <c r="AS238" t="s">
        <v>3</v>
      </c>
      <c r="AT238">
        <v>3.19</v>
      </c>
      <c r="AU238" t="s">
        <v>280</v>
      </c>
      <c r="AV238">
        <v>0</v>
      </c>
      <c r="AW238">
        <v>2</v>
      </c>
      <c r="AX238">
        <v>47636332</v>
      </c>
      <c r="AY238">
        <v>1</v>
      </c>
      <c r="AZ238">
        <v>0</v>
      </c>
      <c r="BA238">
        <v>250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Y238*Source!I213</f>
        <v>0.84375500000000003</v>
      </c>
      <c r="CY238">
        <f t="shared" si="20"/>
        <v>195.2</v>
      </c>
      <c r="CZ238">
        <f t="shared" si="21"/>
        <v>195.2</v>
      </c>
      <c r="DA238">
        <f t="shared" si="22"/>
        <v>1</v>
      </c>
      <c r="DB238">
        <f t="shared" si="23"/>
        <v>895.11687500000005</v>
      </c>
      <c r="DC238">
        <f t="shared" si="24"/>
        <v>66.038749999999993</v>
      </c>
    </row>
    <row r="239" spans="1:107" x14ac:dyDescent="0.2">
      <c r="A239">
        <f>ROW(Source!A213)</f>
        <v>213</v>
      </c>
      <c r="B239">
        <v>47631607</v>
      </c>
      <c r="C239">
        <v>47636314</v>
      </c>
      <c r="D239">
        <v>36882688</v>
      </c>
      <c r="E239">
        <v>1</v>
      </c>
      <c r="F239">
        <v>1</v>
      </c>
      <c r="G239">
        <v>1</v>
      </c>
      <c r="H239">
        <v>2</v>
      </c>
      <c r="I239" t="s">
        <v>698</v>
      </c>
      <c r="J239" t="s">
        <v>699</v>
      </c>
      <c r="K239" t="s">
        <v>700</v>
      </c>
      <c r="L239">
        <v>1368</v>
      </c>
      <c r="N239">
        <v>1011</v>
      </c>
      <c r="O239" t="s">
        <v>505</v>
      </c>
      <c r="P239" t="s">
        <v>505</v>
      </c>
      <c r="Q239">
        <v>1</v>
      </c>
      <c r="W239">
        <v>0</v>
      </c>
      <c r="X239">
        <v>954928212</v>
      </c>
      <c r="Y239">
        <v>2.0124999999999997</v>
      </c>
      <c r="AA239">
        <v>0</v>
      </c>
      <c r="AB239">
        <v>17.2</v>
      </c>
      <c r="AC239">
        <v>0</v>
      </c>
      <c r="AD239">
        <v>0</v>
      </c>
      <c r="AE239">
        <v>0</v>
      </c>
      <c r="AF239">
        <v>17.2</v>
      </c>
      <c r="AG239">
        <v>0</v>
      </c>
      <c r="AH239">
        <v>0</v>
      </c>
      <c r="AI239">
        <v>1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1</v>
      </c>
      <c r="AQ239">
        <v>0</v>
      </c>
      <c r="AR239">
        <v>0</v>
      </c>
      <c r="AS239" t="s">
        <v>3</v>
      </c>
      <c r="AT239">
        <v>1.4</v>
      </c>
      <c r="AU239" t="s">
        <v>280</v>
      </c>
      <c r="AV239">
        <v>0</v>
      </c>
      <c r="AW239">
        <v>2</v>
      </c>
      <c r="AX239">
        <v>47636333</v>
      </c>
      <c r="AY239">
        <v>1</v>
      </c>
      <c r="AZ239">
        <v>0</v>
      </c>
      <c r="BA239">
        <v>251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Y239*Source!I213</f>
        <v>0.37029999999999996</v>
      </c>
      <c r="CY239">
        <f t="shared" si="20"/>
        <v>17.2</v>
      </c>
      <c r="CZ239">
        <f t="shared" si="21"/>
        <v>17.2</v>
      </c>
      <c r="DA239">
        <f t="shared" si="22"/>
        <v>1</v>
      </c>
      <c r="DB239">
        <f t="shared" si="23"/>
        <v>34.615000000000002</v>
      </c>
      <c r="DC239">
        <f t="shared" si="24"/>
        <v>0</v>
      </c>
    </row>
    <row r="240" spans="1:107" x14ac:dyDescent="0.2">
      <c r="A240">
        <f>ROW(Source!A213)</f>
        <v>213</v>
      </c>
      <c r="B240">
        <v>47631607</v>
      </c>
      <c r="C240">
        <v>47636314</v>
      </c>
      <c r="D240">
        <v>36882722</v>
      </c>
      <c r="E240">
        <v>1</v>
      </c>
      <c r="F240">
        <v>1</v>
      </c>
      <c r="G240">
        <v>1</v>
      </c>
      <c r="H240">
        <v>2</v>
      </c>
      <c r="I240" t="s">
        <v>677</v>
      </c>
      <c r="J240" t="s">
        <v>678</v>
      </c>
      <c r="K240" t="s">
        <v>679</v>
      </c>
      <c r="L240">
        <v>1368</v>
      </c>
      <c r="N240">
        <v>1011</v>
      </c>
      <c r="O240" t="s">
        <v>505</v>
      </c>
      <c r="P240" t="s">
        <v>505</v>
      </c>
      <c r="Q240">
        <v>1</v>
      </c>
      <c r="W240">
        <v>0</v>
      </c>
      <c r="X240">
        <v>-891970060</v>
      </c>
      <c r="Y240">
        <v>5.692499999999999</v>
      </c>
      <c r="AA240">
        <v>0</v>
      </c>
      <c r="AB240">
        <v>75</v>
      </c>
      <c r="AC240">
        <v>11.6</v>
      </c>
      <c r="AD240">
        <v>0</v>
      </c>
      <c r="AE240">
        <v>0</v>
      </c>
      <c r="AF240">
        <v>75</v>
      </c>
      <c r="AG240">
        <v>11.6</v>
      </c>
      <c r="AH240">
        <v>0</v>
      </c>
      <c r="AI240">
        <v>1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1</v>
      </c>
      <c r="AQ240">
        <v>0</v>
      </c>
      <c r="AR240">
        <v>0</v>
      </c>
      <c r="AS240" t="s">
        <v>3</v>
      </c>
      <c r="AT240">
        <v>3.96</v>
      </c>
      <c r="AU240" t="s">
        <v>280</v>
      </c>
      <c r="AV240">
        <v>0</v>
      </c>
      <c r="AW240">
        <v>2</v>
      </c>
      <c r="AX240">
        <v>47636334</v>
      </c>
      <c r="AY240">
        <v>1</v>
      </c>
      <c r="AZ240">
        <v>0</v>
      </c>
      <c r="BA240">
        <v>252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Y240*Source!I213</f>
        <v>1.0474199999999998</v>
      </c>
      <c r="CY240">
        <f t="shared" si="20"/>
        <v>75</v>
      </c>
      <c r="CZ240">
        <f t="shared" si="21"/>
        <v>75</v>
      </c>
      <c r="DA240">
        <f t="shared" si="22"/>
        <v>1</v>
      </c>
      <c r="DB240">
        <f t="shared" si="23"/>
        <v>426.9375</v>
      </c>
      <c r="DC240">
        <f t="shared" si="24"/>
        <v>66.038749999999993</v>
      </c>
    </row>
    <row r="241" spans="1:107" x14ac:dyDescent="0.2">
      <c r="A241">
        <f>ROW(Source!A213)</f>
        <v>213</v>
      </c>
      <c r="B241">
        <v>47631607</v>
      </c>
      <c r="C241">
        <v>47636314</v>
      </c>
      <c r="D241">
        <v>36882726</v>
      </c>
      <c r="E241">
        <v>1</v>
      </c>
      <c r="F241">
        <v>1</v>
      </c>
      <c r="G241">
        <v>1</v>
      </c>
      <c r="H241">
        <v>2</v>
      </c>
      <c r="I241" t="s">
        <v>701</v>
      </c>
      <c r="J241" t="s">
        <v>702</v>
      </c>
      <c r="K241" t="s">
        <v>703</v>
      </c>
      <c r="L241">
        <v>1368</v>
      </c>
      <c r="N241">
        <v>1011</v>
      </c>
      <c r="O241" t="s">
        <v>505</v>
      </c>
      <c r="P241" t="s">
        <v>505</v>
      </c>
      <c r="Q241">
        <v>1</v>
      </c>
      <c r="W241">
        <v>0</v>
      </c>
      <c r="X241">
        <v>-1649076460</v>
      </c>
      <c r="Y241">
        <v>16.545625000000001</v>
      </c>
      <c r="AA241">
        <v>0</v>
      </c>
      <c r="AB241">
        <v>121</v>
      </c>
      <c r="AC241">
        <v>14.4</v>
      </c>
      <c r="AD241">
        <v>0</v>
      </c>
      <c r="AE241">
        <v>0</v>
      </c>
      <c r="AF241">
        <v>121</v>
      </c>
      <c r="AG241">
        <v>14.4</v>
      </c>
      <c r="AH241">
        <v>0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1</v>
      </c>
      <c r="AQ241">
        <v>0</v>
      </c>
      <c r="AR241">
        <v>0</v>
      </c>
      <c r="AS241" t="s">
        <v>3</v>
      </c>
      <c r="AT241">
        <v>11.51</v>
      </c>
      <c r="AU241" t="s">
        <v>280</v>
      </c>
      <c r="AV241">
        <v>0</v>
      </c>
      <c r="AW241">
        <v>2</v>
      </c>
      <c r="AX241">
        <v>47636335</v>
      </c>
      <c r="AY241">
        <v>1</v>
      </c>
      <c r="AZ241">
        <v>0</v>
      </c>
      <c r="BA241">
        <v>253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Y241*Source!I213</f>
        <v>3.0443950000000002</v>
      </c>
      <c r="CY241">
        <f t="shared" si="20"/>
        <v>121</v>
      </c>
      <c r="CZ241">
        <f t="shared" si="21"/>
        <v>121</v>
      </c>
      <c r="DA241">
        <f t="shared" si="22"/>
        <v>1</v>
      </c>
      <c r="DB241">
        <f t="shared" si="23"/>
        <v>2002.0206250000001</v>
      </c>
      <c r="DC241">
        <f t="shared" si="24"/>
        <v>238.25125</v>
      </c>
    </row>
    <row r="242" spans="1:107" x14ac:dyDescent="0.2">
      <c r="A242">
        <f>ROW(Source!A213)</f>
        <v>213</v>
      </c>
      <c r="B242">
        <v>47631607</v>
      </c>
      <c r="C242">
        <v>47636314</v>
      </c>
      <c r="D242">
        <v>36883483</v>
      </c>
      <c r="E242">
        <v>1</v>
      </c>
      <c r="F242">
        <v>1</v>
      </c>
      <c r="G242">
        <v>1</v>
      </c>
      <c r="H242">
        <v>2</v>
      </c>
      <c r="I242" t="s">
        <v>672</v>
      </c>
      <c r="J242" t="s">
        <v>673</v>
      </c>
      <c r="K242" t="s">
        <v>674</v>
      </c>
      <c r="L242">
        <v>1368</v>
      </c>
      <c r="N242">
        <v>1011</v>
      </c>
      <c r="O242" t="s">
        <v>505</v>
      </c>
      <c r="P242" t="s">
        <v>505</v>
      </c>
      <c r="Q242">
        <v>1</v>
      </c>
      <c r="W242">
        <v>0</v>
      </c>
      <c r="X242">
        <v>1403266566</v>
      </c>
      <c r="Y242">
        <v>0.56062499999999993</v>
      </c>
      <c r="AA242">
        <v>0</v>
      </c>
      <c r="AB242">
        <v>110</v>
      </c>
      <c r="AC242">
        <v>11.6</v>
      </c>
      <c r="AD242">
        <v>0</v>
      </c>
      <c r="AE242">
        <v>0</v>
      </c>
      <c r="AF242">
        <v>110</v>
      </c>
      <c r="AG242">
        <v>11.6</v>
      </c>
      <c r="AH242">
        <v>0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1</v>
      </c>
      <c r="AQ242">
        <v>0</v>
      </c>
      <c r="AR242">
        <v>0</v>
      </c>
      <c r="AS242" t="s">
        <v>3</v>
      </c>
      <c r="AT242">
        <v>0.39</v>
      </c>
      <c r="AU242" t="s">
        <v>280</v>
      </c>
      <c r="AV242">
        <v>0</v>
      </c>
      <c r="AW242">
        <v>2</v>
      </c>
      <c r="AX242">
        <v>47636336</v>
      </c>
      <c r="AY242">
        <v>1</v>
      </c>
      <c r="AZ242">
        <v>0</v>
      </c>
      <c r="BA242">
        <v>254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Y242*Source!I213</f>
        <v>0.10315499999999998</v>
      </c>
      <c r="CY242">
        <f t="shared" si="20"/>
        <v>110</v>
      </c>
      <c r="CZ242">
        <f t="shared" si="21"/>
        <v>110</v>
      </c>
      <c r="DA242">
        <f t="shared" si="22"/>
        <v>1</v>
      </c>
      <c r="DB242">
        <f t="shared" si="23"/>
        <v>61.668750000000003</v>
      </c>
      <c r="DC242">
        <f t="shared" si="24"/>
        <v>6.4974999999999996</v>
      </c>
    </row>
    <row r="243" spans="1:107" x14ac:dyDescent="0.2">
      <c r="A243">
        <f>ROW(Source!A213)</f>
        <v>213</v>
      </c>
      <c r="B243">
        <v>47631607</v>
      </c>
      <c r="C243">
        <v>47636314</v>
      </c>
      <c r="D243">
        <v>36883554</v>
      </c>
      <c r="E243">
        <v>1</v>
      </c>
      <c r="F243">
        <v>1</v>
      </c>
      <c r="G243">
        <v>1</v>
      </c>
      <c r="H243">
        <v>2</v>
      </c>
      <c r="I243" t="s">
        <v>509</v>
      </c>
      <c r="J243" t="s">
        <v>510</v>
      </c>
      <c r="K243" t="s">
        <v>511</v>
      </c>
      <c r="L243">
        <v>1368</v>
      </c>
      <c r="N243">
        <v>1011</v>
      </c>
      <c r="O243" t="s">
        <v>505</v>
      </c>
      <c r="P243" t="s">
        <v>505</v>
      </c>
      <c r="Q243">
        <v>1</v>
      </c>
      <c r="W243">
        <v>0</v>
      </c>
      <c r="X243">
        <v>1372534845</v>
      </c>
      <c r="Y243">
        <v>5.7499999999999996E-2</v>
      </c>
      <c r="AA243">
        <v>0</v>
      </c>
      <c r="AB243">
        <v>65.709999999999994</v>
      </c>
      <c r="AC243">
        <v>11.6</v>
      </c>
      <c r="AD243">
        <v>0</v>
      </c>
      <c r="AE243">
        <v>0</v>
      </c>
      <c r="AF243">
        <v>65.709999999999994</v>
      </c>
      <c r="AG243">
        <v>11.6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1</v>
      </c>
      <c r="AP243">
        <v>1</v>
      </c>
      <c r="AQ243">
        <v>0</v>
      </c>
      <c r="AR243">
        <v>0</v>
      </c>
      <c r="AS243" t="s">
        <v>3</v>
      </c>
      <c r="AT243">
        <v>0.04</v>
      </c>
      <c r="AU243" t="s">
        <v>280</v>
      </c>
      <c r="AV243">
        <v>0</v>
      </c>
      <c r="AW243">
        <v>2</v>
      </c>
      <c r="AX243">
        <v>47636337</v>
      </c>
      <c r="AY243">
        <v>1</v>
      </c>
      <c r="AZ243">
        <v>0</v>
      </c>
      <c r="BA243">
        <v>255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Y243*Source!I213</f>
        <v>1.0579999999999999E-2</v>
      </c>
      <c r="CY243">
        <f t="shared" si="20"/>
        <v>65.709999999999994</v>
      </c>
      <c r="CZ243">
        <f t="shared" si="21"/>
        <v>65.709999999999994</v>
      </c>
      <c r="DA243">
        <f t="shared" si="22"/>
        <v>1</v>
      </c>
      <c r="DB243">
        <f t="shared" si="23"/>
        <v>3.7806250000000001</v>
      </c>
      <c r="DC243">
        <f t="shared" si="24"/>
        <v>0.66125</v>
      </c>
    </row>
    <row r="244" spans="1:107" x14ac:dyDescent="0.2">
      <c r="A244">
        <f>ROW(Source!A213)</f>
        <v>213</v>
      </c>
      <c r="B244">
        <v>47631607</v>
      </c>
      <c r="C244">
        <v>47636314</v>
      </c>
      <c r="D244">
        <v>36799842</v>
      </c>
      <c r="E244">
        <v>1</v>
      </c>
      <c r="F244">
        <v>1</v>
      </c>
      <c r="G244">
        <v>1</v>
      </c>
      <c r="H244">
        <v>3</v>
      </c>
      <c r="I244" t="s">
        <v>335</v>
      </c>
      <c r="J244" t="s">
        <v>337</v>
      </c>
      <c r="K244" t="s">
        <v>336</v>
      </c>
      <c r="L244">
        <v>1348</v>
      </c>
      <c r="N244">
        <v>1009</v>
      </c>
      <c r="O244" t="s">
        <v>32</v>
      </c>
      <c r="P244" t="s">
        <v>32</v>
      </c>
      <c r="Q244">
        <v>1000</v>
      </c>
      <c r="W244">
        <v>0</v>
      </c>
      <c r="X244">
        <v>1401058849</v>
      </c>
      <c r="Y244">
        <v>1.0800000000000001E-2</v>
      </c>
      <c r="AA244">
        <v>1946.91</v>
      </c>
      <c r="AB244">
        <v>0</v>
      </c>
      <c r="AC244">
        <v>0</v>
      </c>
      <c r="AD244">
        <v>0</v>
      </c>
      <c r="AE244">
        <v>1946.91</v>
      </c>
      <c r="AF244">
        <v>0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N244">
        <v>0</v>
      </c>
      <c r="AO244">
        <v>0</v>
      </c>
      <c r="AP244">
        <v>0</v>
      </c>
      <c r="AQ244">
        <v>0</v>
      </c>
      <c r="AR244">
        <v>0</v>
      </c>
      <c r="AS244" t="s">
        <v>3</v>
      </c>
      <c r="AT244">
        <v>1.0800000000000001E-2</v>
      </c>
      <c r="AU244" t="s">
        <v>3</v>
      </c>
      <c r="AV244">
        <v>0</v>
      </c>
      <c r="AW244">
        <v>1</v>
      </c>
      <c r="AX244">
        <v>-1</v>
      </c>
      <c r="AY244">
        <v>0</v>
      </c>
      <c r="AZ244">
        <v>0</v>
      </c>
      <c r="BA244" t="s">
        <v>3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Y244*Source!I213</f>
        <v>1.9872000000000002E-3</v>
      </c>
      <c r="CY244">
        <f>AA244</f>
        <v>1946.91</v>
      </c>
      <c r="CZ244">
        <f>AE244</f>
        <v>1946.91</v>
      </c>
      <c r="DA244">
        <f>AI244</f>
        <v>1</v>
      </c>
      <c r="DB244">
        <f>ROUND(ROUND(AT244*CZ244,2),6)</f>
        <v>21.03</v>
      </c>
      <c r="DC244">
        <f>ROUND(ROUND(AT244*AG244,2),6)</f>
        <v>0</v>
      </c>
    </row>
    <row r="245" spans="1:107" x14ac:dyDescent="0.2">
      <c r="A245">
        <f>ROW(Source!A213)</f>
        <v>213</v>
      </c>
      <c r="B245">
        <v>47631607</v>
      </c>
      <c r="C245">
        <v>47636314</v>
      </c>
      <c r="D245">
        <v>36801792</v>
      </c>
      <c r="E245">
        <v>1</v>
      </c>
      <c r="F245">
        <v>1</v>
      </c>
      <c r="G245">
        <v>1</v>
      </c>
      <c r="H245">
        <v>3</v>
      </c>
      <c r="I245" t="s">
        <v>597</v>
      </c>
      <c r="J245" t="s">
        <v>598</v>
      </c>
      <c r="K245" t="s">
        <v>599</v>
      </c>
      <c r="L245">
        <v>1339</v>
      </c>
      <c r="N245">
        <v>1007</v>
      </c>
      <c r="O245" t="s">
        <v>96</v>
      </c>
      <c r="P245" t="s">
        <v>96</v>
      </c>
      <c r="Q245">
        <v>1</v>
      </c>
      <c r="W245">
        <v>0</v>
      </c>
      <c r="X245">
        <v>-1660354250</v>
      </c>
      <c r="Y245">
        <v>0.2</v>
      </c>
      <c r="AA245">
        <v>2.44</v>
      </c>
      <c r="AB245">
        <v>0</v>
      </c>
      <c r="AC245">
        <v>0</v>
      </c>
      <c r="AD245">
        <v>0</v>
      </c>
      <c r="AE245">
        <v>2.44</v>
      </c>
      <c r="AF245">
        <v>0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0</v>
      </c>
      <c r="AQ245">
        <v>0</v>
      </c>
      <c r="AR245">
        <v>0</v>
      </c>
      <c r="AS245" t="s">
        <v>3</v>
      </c>
      <c r="AT245">
        <v>0.2</v>
      </c>
      <c r="AU245" t="s">
        <v>3</v>
      </c>
      <c r="AV245">
        <v>0</v>
      </c>
      <c r="AW245">
        <v>2</v>
      </c>
      <c r="AX245">
        <v>47636339</v>
      </c>
      <c r="AY245">
        <v>1</v>
      </c>
      <c r="AZ245">
        <v>0</v>
      </c>
      <c r="BA245">
        <v>257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Y245*Source!I213</f>
        <v>3.6799999999999999E-2</v>
      </c>
      <c r="CY245">
        <f>AA245</f>
        <v>2.44</v>
      </c>
      <c r="CZ245">
        <f>AE245</f>
        <v>2.44</v>
      </c>
      <c r="DA245">
        <f>AI245</f>
        <v>1</v>
      </c>
      <c r="DB245">
        <f>ROUND(ROUND(AT245*CZ245,2),6)</f>
        <v>0.49</v>
      </c>
      <c r="DC245">
        <f>ROUND(ROUND(AT245*AG245,2),6)</f>
        <v>0</v>
      </c>
    </row>
    <row r="246" spans="1:107" x14ac:dyDescent="0.2">
      <c r="A246">
        <f>ROW(Source!A213)</f>
        <v>213</v>
      </c>
      <c r="B246">
        <v>47631607</v>
      </c>
      <c r="C246">
        <v>47636314</v>
      </c>
      <c r="D246">
        <v>36807252</v>
      </c>
      <c r="E246">
        <v>1</v>
      </c>
      <c r="F246">
        <v>1</v>
      </c>
      <c r="G246">
        <v>1</v>
      </c>
      <c r="H246">
        <v>3</v>
      </c>
      <c r="I246" t="s">
        <v>339</v>
      </c>
      <c r="J246" t="s">
        <v>341</v>
      </c>
      <c r="K246" t="s">
        <v>340</v>
      </c>
      <c r="L246">
        <v>1348</v>
      </c>
      <c r="N246">
        <v>1009</v>
      </c>
      <c r="O246" t="s">
        <v>32</v>
      </c>
      <c r="P246" t="s">
        <v>32</v>
      </c>
      <c r="Q246">
        <v>1000</v>
      </c>
      <c r="W246">
        <v>0</v>
      </c>
      <c r="X246">
        <v>1955294855</v>
      </c>
      <c r="Y246">
        <v>95.8</v>
      </c>
      <c r="AA246">
        <v>390.88</v>
      </c>
      <c r="AB246">
        <v>0</v>
      </c>
      <c r="AC246">
        <v>0</v>
      </c>
      <c r="AD246">
        <v>0</v>
      </c>
      <c r="AE246">
        <v>390.88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1</v>
      </c>
      <c r="AL246">
        <v>1</v>
      </c>
      <c r="AN246">
        <v>0</v>
      </c>
      <c r="AO246">
        <v>0</v>
      </c>
      <c r="AP246">
        <v>0</v>
      </c>
      <c r="AQ246">
        <v>0</v>
      </c>
      <c r="AR246">
        <v>0</v>
      </c>
      <c r="AS246" t="s">
        <v>3</v>
      </c>
      <c r="AT246">
        <v>95.8</v>
      </c>
      <c r="AU246" t="s">
        <v>3</v>
      </c>
      <c r="AV246">
        <v>0</v>
      </c>
      <c r="AW246">
        <v>1</v>
      </c>
      <c r="AX246">
        <v>-1</v>
      </c>
      <c r="AY246">
        <v>0</v>
      </c>
      <c r="AZ246">
        <v>0</v>
      </c>
      <c r="BA246" t="s">
        <v>3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Y246*Source!I213</f>
        <v>17.627199999999998</v>
      </c>
      <c r="CY246">
        <f>AA246</f>
        <v>390.88</v>
      </c>
      <c r="CZ246">
        <f>AE246</f>
        <v>390.88</v>
      </c>
      <c r="DA246">
        <f>AI246</f>
        <v>1</v>
      </c>
      <c r="DB246">
        <f>ROUND(ROUND(AT246*CZ246,2),6)</f>
        <v>37446.300000000003</v>
      </c>
      <c r="DC246">
        <f>ROUND(ROUND(AT246*AG246,2),6)</f>
        <v>0</v>
      </c>
    </row>
    <row r="247" spans="1:107" x14ac:dyDescent="0.2">
      <c r="A247">
        <f>ROW(Source!A213)</f>
        <v>213</v>
      </c>
      <c r="B247">
        <v>47631607</v>
      </c>
      <c r="C247">
        <v>47636314</v>
      </c>
      <c r="D247">
        <v>36824289</v>
      </c>
      <c r="E247">
        <v>1</v>
      </c>
      <c r="F247">
        <v>1</v>
      </c>
      <c r="G247">
        <v>1</v>
      </c>
      <c r="H247">
        <v>3</v>
      </c>
      <c r="I247" t="s">
        <v>704</v>
      </c>
      <c r="J247" t="s">
        <v>705</v>
      </c>
      <c r="K247" t="s">
        <v>706</v>
      </c>
      <c r="L247">
        <v>1348</v>
      </c>
      <c r="N247">
        <v>1009</v>
      </c>
      <c r="O247" t="s">
        <v>32</v>
      </c>
      <c r="P247" t="s">
        <v>32</v>
      </c>
      <c r="Q247">
        <v>1000</v>
      </c>
      <c r="W247">
        <v>0</v>
      </c>
      <c r="X247">
        <v>-1756095795</v>
      </c>
      <c r="Y247">
        <v>6.1999999999999998E-3</v>
      </c>
      <c r="AA247">
        <v>5989</v>
      </c>
      <c r="AB247">
        <v>0</v>
      </c>
      <c r="AC247">
        <v>0</v>
      </c>
      <c r="AD247">
        <v>0</v>
      </c>
      <c r="AE247">
        <v>5989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3</v>
      </c>
      <c r="AT247">
        <v>6.1999999999999998E-3</v>
      </c>
      <c r="AU247" t="s">
        <v>3</v>
      </c>
      <c r="AV247">
        <v>0</v>
      </c>
      <c r="AW247">
        <v>2</v>
      </c>
      <c r="AX247">
        <v>47636341</v>
      </c>
      <c r="AY247">
        <v>1</v>
      </c>
      <c r="AZ247">
        <v>0</v>
      </c>
      <c r="BA247">
        <v>259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Y247*Source!I213</f>
        <v>1.1408E-3</v>
      </c>
      <c r="CY247">
        <f>AA247</f>
        <v>5989</v>
      </c>
      <c r="CZ247">
        <f>AE247</f>
        <v>5989</v>
      </c>
      <c r="DA247">
        <f>AI247</f>
        <v>1</v>
      </c>
      <c r="DB247">
        <f>ROUND(ROUND(AT247*CZ247,2),6)</f>
        <v>37.130000000000003</v>
      </c>
      <c r="DC247">
        <f>ROUND(ROUND(AT247*AG247,2),6)</f>
        <v>0</v>
      </c>
    </row>
    <row r="248" spans="1:107" x14ac:dyDescent="0.2">
      <c r="A248">
        <f>ROW(Source!A213)</f>
        <v>213</v>
      </c>
      <c r="B248">
        <v>47631607</v>
      </c>
      <c r="C248">
        <v>47636314</v>
      </c>
      <c r="D248">
        <v>36830315</v>
      </c>
      <c r="E248">
        <v>1</v>
      </c>
      <c r="F248">
        <v>1</v>
      </c>
      <c r="G248">
        <v>1</v>
      </c>
      <c r="H248">
        <v>3</v>
      </c>
      <c r="I248" t="s">
        <v>707</v>
      </c>
      <c r="J248" t="s">
        <v>708</v>
      </c>
      <c r="K248" t="s">
        <v>709</v>
      </c>
      <c r="L248">
        <v>1339</v>
      </c>
      <c r="N248">
        <v>1007</v>
      </c>
      <c r="O248" t="s">
        <v>96</v>
      </c>
      <c r="P248" t="s">
        <v>96</v>
      </c>
      <c r="Q248">
        <v>1</v>
      </c>
      <c r="W248">
        <v>0</v>
      </c>
      <c r="X248">
        <v>-395792271</v>
      </c>
      <c r="Y248">
        <v>0.15</v>
      </c>
      <c r="AA248">
        <v>1287</v>
      </c>
      <c r="AB248">
        <v>0</v>
      </c>
      <c r="AC248">
        <v>0</v>
      </c>
      <c r="AD248">
        <v>0</v>
      </c>
      <c r="AE248">
        <v>1287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3</v>
      </c>
      <c r="AT248">
        <v>0.15</v>
      </c>
      <c r="AU248" t="s">
        <v>3</v>
      </c>
      <c r="AV248">
        <v>0</v>
      </c>
      <c r="AW248">
        <v>2</v>
      </c>
      <c r="AX248">
        <v>47636342</v>
      </c>
      <c r="AY248">
        <v>1</v>
      </c>
      <c r="AZ248">
        <v>0</v>
      </c>
      <c r="BA248">
        <v>260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Y248*Source!I213</f>
        <v>2.76E-2</v>
      </c>
      <c r="CY248">
        <f>AA248</f>
        <v>1287</v>
      </c>
      <c r="CZ248">
        <f>AE248</f>
        <v>1287</v>
      </c>
      <c r="DA248">
        <f>AI248</f>
        <v>1</v>
      </c>
      <c r="DB248">
        <f>ROUND(ROUND(AT248*CZ248,2),6)</f>
        <v>193.05</v>
      </c>
      <c r="DC248">
        <f>ROUND(ROUND(AT248*AG248,2),6)</f>
        <v>0</v>
      </c>
    </row>
    <row r="249" spans="1:107" x14ac:dyDescent="0.2">
      <c r="A249">
        <f>ROW(Source!A216)</f>
        <v>216</v>
      </c>
      <c r="B249">
        <v>47631607</v>
      </c>
      <c r="C249">
        <v>47636345</v>
      </c>
      <c r="D249">
        <v>37071037</v>
      </c>
      <c r="E249">
        <v>1</v>
      </c>
      <c r="F249">
        <v>1</v>
      </c>
      <c r="G249">
        <v>1</v>
      </c>
      <c r="H249">
        <v>1</v>
      </c>
      <c r="I249" t="s">
        <v>693</v>
      </c>
      <c r="J249" t="s">
        <v>3</v>
      </c>
      <c r="K249" t="s">
        <v>694</v>
      </c>
      <c r="L249">
        <v>1191</v>
      </c>
      <c r="N249">
        <v>1013</v>
      </c>
      <c r="O249" t="s">
        <v>487</v>
      </c>
      <c r="P249" t="s">
        <v>487</v>
      </c>
      <c r="Q249">
        <v>1</v>
      </c>
      <c r="W249">
        <v>0</v>
      </c>
      <c r="X249">
        <v>1069510174</v>
      </c>
      <c r="Y249">
        <v>0.36</v>
      </c>
      <c r="AA249">
        <v>0</v>
      </c>
      <c r="AB249">
        <v>0</v>
      </c>
      <c r="AC249">
        <v>0</v>
      </c>
      <c r="AD249">
        <v>9.6199999999999992</v>
      </c>
      <c r="AE249">
        <v>0</v>
      </c>
      <c r="AF249">
        <v>0</v>
      </c>
      <c r="AG249">
        <v>0</v>
      </c>
      <c r="AH249">
        <v>9.6199999999999992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1</v>
      </c>
      <c r="AQ249">
        <v>0</v>
      </c>
      <c r="AR249">
        <v>0</v>
      </c>
      <c r="AS249" t="s">
        <v>3</v>
      </c>
      <c r="AT249">
        <v>0.09</v>
      </c>
      <c r="AU249" t="s">
        <v>346</v>
      </c>
      <c r="AV249">
        <v>1</v>
      </c>
      <c r="AW249">
        <v>2</v>
      </c>
      <c r="AX249">
        <v>47636350</v>
      </c>
      <c r="AY249">
        <v>1</v>
      </c>
      <c r="AZ249">
        <v>0</v>
      </c>
      <c r="BA249">
        <v>261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Y249*Source!I216</f>
        <v>6.6239999999999993E-2</v>
      </c>
      <c r="CY249">
        <f>AD249</f>
        <v>9.6199999999999992</v>
      </c>
      <c r="CZ249">
        <f>AH249</f>
        <v>9.6199999999999992</v>
      </c>
      <c r="DA249">
        <f>AL249</f>
        <v>1</v>
      </c>
      <c r="DB249">
        <f>ROUND((ROUND(AT249*CZ249,2)*4),6)</f>
        <v>3.48</v>
      </c>
      <c r="DC249">
        <f>ROUND((ROUND(AT249*AG249,2)*4),6)</f>
        <v>0</v>
      </c>
    </row>
    <row r="250" spans="1:107" x14ac:dyDescent="0.2">
      <c r="A250">
        <f>ROW(Source!A216)</f>
        <v>216</v>
      </c>
      <c r="B250">
        <v>47631607</v>
      </c>
      <c r="C250">
        <v>47636345</v>
      </c>
      <c r="D250">
        <v>36882688</v>
      </c>
      <c r="E250">
        <v>1</v>
      </c>
      <c r="F250">
        <v>1</v>
      </c>
      <c r="G250">
        <v>1</v>
      </c>
      <c r="H250">
        <v>2</v>
      </c>
      <c r="I250" t="s">
        <v>698</v>
      </c>
      <c r="J250" t="s">
        <v>699</v>
      </c>
      <c r="K250" t="s">
        <v>700</v>
      </c>
      <c r="L250">
        <v>1368</v>
      </c>
      <c r="N250">
        <v>1011</v>
      </c>
      <c r="O250" t="s">
        <v>505</v>
      </c>
      <c r="P250" t="s">
        <v>505</v>
      </c>
      <c r="Q250">
        <v>1</v>
      </c>
      <c r="W250">
        <v>0</v>
      </c>
      <c r="X250">
        <v>954928212</v>
      </c>
      <c r="Y250">
        <v>0.68</v>
      </c>
      <c r="AA250">
        <v>0</v>
      </c>
      <c r="AB250">
        <v>17.2</v>
      </c>
      <c r="AC250">
        <v>0</v>
      </c>
      <c r="AD250">
        <v>0</v>
      </c>
      <c r="AE250">
        <v>0</v>
      </c>
      <c r="AF250">
        <v>17.2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1</v>
      </c>
      <c r="AQ250">
        <v>0</v>
      </c>
      <c r="AR250">
        <v>0</v>
      </c>
      <c r="AS250" t="s">
        <v>3</v>
      </c>
      <c r="AT250">
        <v>0.17</v>
      </c>
      <c r="AU250" t="s">
        <v>346</v>
      </c>
      <c r="AV250">
        <v>0</v>
      </c>
      <c r="AW250">
        <v>2</v>
      </c>
      <c r="AX250">
        <v>47636351</v>
      </c>
      <c r="AY250">
        <v>1</v>
      </c>
      <c r="AZ250">
        <v>0</v>
      </c>
      <c r="BA250">
        <v>262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Y250*Source!I216</f>
        <v>0.12512000000000001</v>
      </c>
      <c r="CY250">
        <f>AB250</f>
        <v>17.2</v>
      </c>
      <c r="CZ250">
        <f>AF250</f>
        <v>17.2</v>
      </c>
      <c r="DA250">
        <f>AJ250</f>
        <v>1</v>
      </c>
      <c r="DB250">
        <f>ROUND((ROUND(AT250*CZ250,2)*4),6)</f>
        <v>11.68</v>
      </c>
      <c r="DC250">
        <f>ROUND((ROUND(AT250*AG250,2)*4),6)</f>
        <v>0</v>
      </c>
    </row>
    <row r="251" spans="1:107" x14ac:dyDescent="0.2">
      <c r="A251">
        <f>ROW(Source!A216)</f>
        <v>216</v>
      </c>
      <c r="B251">
        <v>47631607</v>
      </c>
      <c r="C251">
        <v>47636345</v>
      </c>
      <c r="D251">
        <v>36799842</v>
      </c>
      <c r="E251">
        <v>1</v>
      </c>
      <c r="F251">
        <v>1</v>
      </c>
      <c r="G251">
        <v>1</v>
      </c>
      <c r="H251">
        <v>3</v>
      </c>
      <c r="I251" t="s">
        <v>335</v>
      </c>
      <c r="J251" t="s">
        <v>337</v>
      </c>
      <c r="K251" t="s">
        <v>336</v>
      </c>
      <c r="L251">
        <v>1348</v>
      </c>
      <c r="N251">
        <v>1009</v>
      </c>
      <c r="O251" t="s">
        <v>32</v>
      </c>
      <c r="P251" t="s">
        <v>32</v>
      </c>
      <c r="Q251">
        <v>1000</v>
      </c>
      <c r="W251">
        <v>0</v>
      </c>
      <c r="X251">
        <v>1401058849</v>
      </c>
      <c r="Y251">
        <v>2.24E-2</v>
      </c>
      <c r="AA251">
        <v>1946.91</v>
      </c>
      <c r="AB251">
        <v>0</v>
      </c>
      <c r="AC251">
        <v>0</v>
      </c>
      <c r="AD251">
        <v>0</v>
      </c>
      <c r="AE251">
        <v>1946.91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0</v>
      </c>
      <c r="AP251">
        <v>1</v>
      </c>
      <c r="AQ251">
        <v>0</v>
      </c>
      <c r="AR251">
        <v>0</v>
      </c>
      <c r="AS251" t="s">
        <v>3</v>
      </c>
      <c r="AT251">
        <v>5.5999999999999999E-3</v>
      </c>
      <c r="AU251" t="s">
        <v>346</v>
      </c>
      <c r="AV251">
        <v>0</v>
      </c>
      <c r="AW251">
        <v>1</v>
      </c>
      <c r="AX251">
        <v>-1</v>
      </c>
      <c r="AY251">
        <v>0</v>
      </c>
      <c r="AZ251">
        <v>0</v>
      </c>
      <c r="BA251" t="s">
        <v>3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Y251*Source!I216</f>
        <v>4.1215999999999996E-3</v>
      </c>
      <c r="CY251">
        <f>AA251</f>
        <v>1946.91</v>
      </c>
      <c r="CZ251">
        <f>AE251</f>
        <v>1946.91</v>
      </c>
      <c r="DA251">
        <f>AI251</f>
        <v>1</v>
      </c>
      <c r="DB251">
        <f>ROUND((ROUND(AT251*CZ251,2)*4),6)</f>
        <v>43.6</v>
      </c>
      <c r="DC251">
        <f>ROUND((ROUND(AT251*AG251,2)*4),6)</f>
        <v>0</v>
      </c>
    </row>
    <row r="252" spans="1:107" x14ac:dyDescent="0.2">
      <c r="A252">
        <f>ROW(Source!A216)</f>
        <v>216</v>
      </c>
      <c r="B252">
        <v>47631607</v>
      </c>
      <c r="C252">
        <v>47636345</v>
      </c>
      <c r="D252">
        <v>36807252</v>
      </c>
      <c r="E252">
        <v>1</v>
      </c>
      <c r="F252">
        <v>1</v>
      </c>
      <c r="G252">
        <v>1</v>
      </c>
      <c r="H252">
        <v>3</v>
      </c>
      <c r="I252" t="s">
        <v>339</v>
      </c>
      <c r="J252" t="s">
        <v>341</v>
      </c>
      <c r="K252" t="s">
        <v>340</v>
      </c>
      <c r="L252">
        <v>1348</v>
      </c>
      <c r="N252">
        <v>1009</v>
      </c>
      <c r="O252" t="s">
        <v>32</v>
      </c>
      <c r="P252" t="s">
        <v>32</v>
      </c>
      <c r="Q252">
        <v>1000</v>
      </c>
      <c r="W252">
        <v>0</v>
      </c>
      <c r="X252">
        <v>1955294855</v>
      </c>
      <c r="Y252">
        <v>48</v>
      </c>
      <c r="AA252">
        <v>390.88</v>
      </c>
      <c r="AB252">
        <v>0</v>
      </c>
      <c r="AC252">
        <v>0</v>
      </c>
      <c r="AD252">
        <v>0</v>
      </c>
      <c r="AE252">
        <v>390.88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N252">
        <v>0</v>
      </c>
      <c r="AO252">
        <v>0</v>
      </c>
      <c r="AP252">
        <v>1</v>
      </c>
      <c r="AQ252">
        <v>0</v>
      </c>
      <c r="AR252">
        <v>0</v>
      </c>
      <c r="AS252" t="s">
        <v>3</v>
      </c>
      <c r="AT252">
        <v>12</v>
      </c>
      <c r="AU252" t="s">
        <v>346</v>
      </c>
      <c r="AV252">
        <v>0</v>
      </c>
      <c r="AW252">
        <v>1</v>
      </c>
      <c r="AX252">
        <v>-1</v>
      </c>
      <c r="AY252">
        <v>0</v>
      </c>
      <c r="AZ252">
        <v>0</v>
      </c>
      <c r="BA252" t="s">
        <v>3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Y252*Source!I216</f>
        <v>8.8320000000000007</v>
      </c>
      <c r="CY252">
        <f>AA252</f>
        <v>390.88</v>
      </c>
      <c r="CZ252">
        <f>AE252</f>
        <v>390.88</v>
      </c>
      <c r="DA252">
        <f>AI252</f>
        <v>1</v>
      </c>
      <c r="DB252">
        <f>ROUND((ROUND(AT252*CZ252,2)*4),6)</f>
        <v>18762.240000000002</v>
      </c>
      <c r="DC252">
        <f>ROUND((ROUND(AT252*AG252,2)*4),6)</f>
        <v>0</v>
      </c>
    </row>
    <row r="253" spans="1:107" x14ac:dyDescent="0.2">
      <c r="A253">
        <f>ROW(Source!A219)</f>
        <v>219</v>
      </c>
      <c r="B253">
        <v>47631607</v>
      </c>
      <c r="C253">
        <v>47636356</v>
      </c>
      <c r="D253">
        <v>37071037</v>
      </c>
      <c r="E253">
        <v>1</v>
      </c>
      <c r="F253">
        <v>1</v>
      </c>
      <c r="G253">
        <v>1</v>
      </c>
      <c r="H253">
        <v>1</v>
      </c>
      <c r="I253" t="s">
        <v>693</v>
      </c>
      <c r="J253" t="s">
        <v>3</v>
      </c>
      <c r="K253" t="s">
        <v>694</v>
      </c>
      <c r="L253">
        <v>1191</v>
      </c>
      <c r="N253">
        <v>1013</v>
      </c>
      <c r="O253" t="s">
        <v>487</v>
      </c>
      <c r="P253" t="s">
        <v>487</v>
      </c>
      <c r="Q253">
        <v>1</v>
      </c>
      <c r="W253">
        <v>0</v>
      </c>
      <c r="X253">
        <v>1069510174</v>
      </c>
      <c r="Y253">
        <v>50.651749999999993</v>
      </c>
      <c r="AA253">
        <v>0</v>
      </c>
      <c r="AB253">
        <v>0</v>
      </c>
      <c r="AC253">
        <v>0</v>
      </c>
      <c r="AD253">
        <v>9.6199999999999992</v>
      </c>
      <c r="AE253">
        <v>0</v>
      </c>
      <c r="AF253">
        <v>0</v>
      </c>
      <c r="AG253">
        <v>0</v>
      </c>
      <c r="AH253">
        <v>9.6199999999999992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1</v>
      </c>
      <c r="AQ253">
        <v>0</v>
      </c>
      <c r="AR253">
        <v>0</v>
      </c>
      <c r="AS253" t="s">
        <v>3</v>
      </c>
      <c r="AT253">
        <v>38.299999999999997</v>
      </c>
      <c r="AU253" t="s">
        <v>53</v>
      </c>
      <c r="AV253">
        <v>1</v>
      </c>
      <c r="AW253">
        <v>2</v>
      </c>
      <c r="AX253">
        <v>47636371</v>
      </c>
      <c r="AY253">
        <v>1</v>
      </c>
      <c r="AZ253">
        <v>0</v>
      </c>
      <c r="BA253">
        <v>265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Y253*Source!I219</f>
        <v>9.3199219999999983</v>
      </c>
      <c r="CY253">
        <f>AD253</f>
        <v>9.6199999999999992</v>
      </c>
      <c r="CZ253">
        <f>AH253</f>
        <v>9.6199999999999992</v>
      </c>
      <c r="DA253">
        <f>AL253</f>
        <v>1</v>
      </c>
      <c r="DB253">
        <f>ROUND(((ROUND(AT253*CZ253,2)*1.15)*1.15),6)</f>
        <v>487.275125</v>
      </c>
      <c r="DC253">
        <f>ROUND(((ROUND(AT253*AG253,2)*1.15)*1.15),6)</f>
        <v>0</v>
      </c>
    </row>
    <row r="254" spans="1:107" x14ac:dyDescent="0.2">
      <c r="A254">
        <f>ROW(Source!A219)</f>
        <v>219</v>
      </c>
      <c r="B254">
        <v>47631607</v>
      </c>
      <c r="C254">
        <v>47636356</v>
      </c>
      <c r="D254">
        <v>37064876</v>
      </c>
      <c r="E254">
        <v>1</v>
      </c>
      <c r="F254">
        <v>1</v>
      </c>
      <c r="G254">
        <v>1</v>
      </c>
      <c r="H254">
        <v>1</v>
      </c>
      <c r="I254" t="s">
        <v>500</v>
      </c>
      <c r="J254" t="s">
        <v>3</v>
      </c>
      <c r="K254" t="s">
        <v>501</v>
      </c>
      <c r="L254">
        <v>1191</v>
      </c>
      <c r="N254">
        <v>1013</v>
      </c>
      <c r="O254" t="s">
        <v>487</v>
      </c>
      <c r="P254" t="s">
        <v>487</v>
      </c>
      <c r="Q254">
        <v>1</v>
      </c>
      <c r="W254">
        <v>0</v>
      </c>
      <c r="X254">
        <v>-1417349443</v>
      </c>
      <c r="Y254">
        <v>19.12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3</v>
      </c>
      <c r="AT254">
        <v>19.12</v>
      </c>
      <c r="AU254" t="s">
        <v>3</v>
      </c>
      <c r="AV254">
        <v>2</v>
      </c>
      <c r="AW254">
        <v>2</v>
      </c>
      <c r="AX254">
        <v>47636372</v>
      </c>
      <c r="AY254">
        <v>1</v>
      </c>
      <c r="AZ254">
        <v>2048</v>
      </c>
      <c r="BA254">
        <v>266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Y254*Source!I219</f>
        <v>3.5180800000000003</v>
      </c>
      <c r="CY254">
        <f>AD254</f>
        <v>0</v>
      </c>
      <c r="CZ254">
        <f>AH254</f>
        <v>0</v>
      </c>
      <c r="DA254">
        <f>AL254</f>
        <v>1</v>
      </c>
      <c r="DB254">
        <f>ROUND(ROUND(AT254*CZ254,2),6)</f>
        <v>0</v>
      </c>
      <c r="DC254">
        <f>ROUND(ROUND(AT254*AG254,2),6)</f>
        <v>0</v>
      </c>
    </row>
    <row r="255" spans="1:107" x14ac:dyDescent="0.2">
      <c r="A255">
        <f>ROW(Source!A219)</f>
        <v>219</v>
      </c>
      <c r="B255">
        <v>47631607</v>
      </c>
      <c r="C255">
        <v>47636356</v>
      </c>
      <c r="D255">
        <v>36882159</v>
      </c>
      <c r="E255">
        <v>1</v>
      </c>
      <c r="F255">
        <v>1</v>
      </c>
      <c r="G255">
        <v>1</v>
      </c>
      <c r="H255">
        <v>2</v>
      </c>
      <c r="I255" t="s">
        <v>518</v>
      </c>
      <c r="J255" t="s">
        <v>519</v>
      </c>
      <c r="K255" t="s">
        <v>520</v>
      </c>
      <c r="L255">
        <v>1368</v>
      </c>
      <c r="N255">
        <v>1011</v>
      </c>
      <c r="O255" t="s">
        <v>505</v>
      </c>
      <c r="P255" t="s">
        <v>505</v>
      </c>
      <c r="Q255">
        <v>1</v>
      </c>
      <c r="W255">
        <v>0</v>
      </c>
      <c r="X255">
        <v>-1718674368</v>
      </c>
      <c r="Y255">
        <v>4.3124999999999997E-2</v>
      </c>
      <c r="AA255">
        <v>0</v>
      </c>
      <c r="AB255">
        <v>111.99</v>
      </c>
      <c r="AC255">
        <v>13.5</v>
      </c>
      <c r="AD255">
        <v>0</v>
      </c>
      <c r="AE255">
        <v>0</v>
      </c>
      <c r="AF255">
        <v>111.99</v>
      </c>
      <c r="AG255">
        <v>13.5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1</v>
      </c>
      <c r="AQ255">
        <v>0</v>
      </c>
      <c r="AR255">
        <v>0</v>
      </c>
      <c r="AS255" t="s">
        <v>3</v>
      </c>
      <c r="AT255">
        <v>0.03</v>
      </c>
      <c r="AU255" t="s">
        <v>280</v>
      </c>
      <c r="AV255">
        <v>0</v>
      </c>
      <c r="AW255">
        <v>2</v>
      </c>
      <c r="AX255">
        <v>47636373</v>
      </c>
      <c r="AY255">
        <v>1</v>
      </c>
      <c r="AZ255">
        <v>0</v>
      </c>
      <c r="BA255">
        <v>267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Y255*Source!I219</f>
        <v>7.9349999999999993E-3</v>
      </c>
      <c r="CY255">
        <f t="shared" ref="CY255:CY261" si="25">AB255</f>
        <v>111.99</v>
      </c>
      <c r="CZ255">
        <f t="shared" ref="CZ255:CZ261" si="26">AF255</f>
        <v>111.99</v>
      </c>
      <c r="DA255">
        <f t="shared" ref="DA255:DA261" si="27">AJ255</f>
        <v>1</v>
      </c>
      <c r="DB255">
        <f t="shared" ref="DB255:DB261" si="28">ROUND(((ROUND(AT255*CZ255,2)*1.15)*1.25),6)</f>
        <v>4.83</v>
      </c>
      <c r="DC255">
        <f t="shared" ref="DC255:DC261" si="29">ROUND(((ROUND(AT255*AG255,2)*1.15)*1.25),6)</f>
        <v>0.58937499999999998</v>
      </c>
    </row>
    <row r="256" spans="1:107" x14ac:dyDescent="0.2">
      <c r="A256">
        <f>ROW(Source!A219)</f>
        <v>219</v>
      </c>
      <c r="B256">
        <v>47631607</v>
      </c>
      <c r="C256">
        <v>47636356</v>
      </c>
      <c r="D256">
        <v>36882672</v>
      </c>
      <c r="E256">
        <v>1</v>
      </c>
      <c r="F256">
        <v>1</v>
      </c>
      <c r="G256">
        <v>1</v>
      </c>
      <c r="H256">
        <v>2</v>
      </c>
      <c r="I256" t="s">
        <v>695</v>
      </c>
      <c r="J256" t="s">
        <v>696</v>
      </c>
      <c r="K256" t="s">
        <v>697</v>
      </c>
      <c r="L256">
        <v>1368</v>
      </c>
      <c r="N256">
        <v>1011</v>
      </c>
      <c r="O256" t="s">
        <v>505</v>
      </c>
      <c r="P256" t="s">
        <v>505</v>
      </c>
      <c r="Q256">
        <v>1</v>
      </c>
      <c r="W256">
        <v>0</v>
      </c>
      <c r="X256">
        <v>-1161260467</v>
      </c>
      <c r="Y256">
        <v>4.5856250000000003</v>
      </c>
      <c r="AA256">
        <v>0</v>
      </c>
      <c r="AB256">
        <v>195.2</v>
      </c>
      <c r="AC256">
        <v>14.4</v>
      </c>
      <c r="AD256">
        <v>0</v>
      </c>
      <c r="AE256">
        <v>0</v>
      </c>
      <c r="AF256">
        <v>195.2</v>
      </c>
      <c r="AG256">
        <v>14.4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1</v>
      </c>
      <c r="AQ256">
        <v>0</v>
      </c>
      <c r="AR256">
        <v>0</v>
      </c>
      <c r="AS256" t="s">
        <v>3</v>
      </c>
      <c r="AT256">
        <v>3.19</v>
      </c>
      <c r="AU256" t="s">
        <v>280</v>
      </c>
      <c r="AV256">
        <v>0</v>
      </c>
      <c r="AW256">
        <v>2</v>
      </c>
      <c r="AX256">
        <v>47636374</v>
      </c>
      <c r="AY256">
        <v>1</v>
      </c>
      <c r="AZ256">
        <v>0</v>
      </c>
      <c r="BA256">
        <v>268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Y256*Source!I219</f>
        <v>0.84375500000000003</v>
      </c>
      <c r="CY256">
        <f t="shared" si="25"/>
        <v>195.2</v>
      </c>
      <c r="CZ256">
        <f t="shared" si="26"/>
        <v>195.2</v>
      </c>
      <c r="DA256">
        <f t="shared" si="27"/>
        <v>1</v>
      </c>
      <c r="DB256">
        <f t="shared" si="28"/>
        <v>895.11687500000005</v>
      </c>
      <c r="DC256">
        <f t="shared" si="29"/>
        <v>66.038749999999993</v>
      </c>
    </row>
    <row r="257" spans="1:107" x14ac:dyDescent="0.2">
      <c r="A257">
        <f>ROW(Source!A219)</f>
        <v>219</v>
      </c>
      <c r="B257">
        <v>47631607</v>
      </c>
      <c r="C257">
        <v>47636356</v>
      </c>
      <c r="D257">
        <v>36882688</v>
      </c>
      <c r="E257">
        <v>1</v>
      </c>
      <c r="F257">
        <v>1</v>
      </c>
      <c r="G257">
        <v>1</v>
      </c>
      <c r="H257">
        <v>2</v>
      </c>
      <c r="I257" t="s">
        <v>698</v>
      </c>
      <c r="J257" t="s">
        <v>699</v>
      </c>
      <c r="K257" t="s">
        <v>700</v>
      </c>
      <c r="L257">
        <v>1368</v>
      </c>
      <c r="N257">
        <v>1011</v>
      </c>
      <c r="O257" t="s">
        <v>505</v>
      </c>
      <c r="P257" t="s">
        <v>505</v>
      </c>
      <c r="Q257">
        <v>1</v>
      </c>
      <c r="W257">
        <v>0</v>
      </c>
      <c r="X257">
        <v>954928212</v>
      </c>
      <c r="Y257">
        <v>2.0124999999999997</v>
      </c>
      <c r="AA257">
        <v>0</v>
      </c>
      <c r="AB257">
        <v>17.2</v>
      </c>
      <c r="AC257">
        <v>0</v>
      </c>
      <c r="AD257">
        <v>0</v>
      </c>
      <c r="AE257">
        <v>0</v>
      </c>
      <c r="AF257">
        <v>17.2</v>
      </c>
      <c r="AG257">
        <v>0</v>
      </c>
      <c r="AH257">
        <v>0</v>
      </c>
      <c r="AI257">
        <v>1</v>
      </c>
      <c r="AJ257">
        <v>1</v>
      </c>
      <c r="AK257">
        <v>1</v>
      </c>
      <c r="AL257">
        <v>1</v>
      </c>
      <c r="AN257">
        <v>0</v>
      </c>
      <c r="AO257">
        <v>1</v>
      </c>
      <c r="AP257">
        <v>1</v>
      </c>
      <c r="AQ257">
        <v>0</v>
      </c>
      <c r="AR257">
        <v>0</v>
      </c>
      <c r="AS257" t="s">
        <v>3</v>
      </c>
      <c r="AT257">
        <v>1.4</v>
      </c>
      <c r="AU257" t="s">
        <v>280</v>
      </c>
      <c r="AV257">
        <v>0</v>
      </c>
      <c r="AW257">
        <v>2</v>
      </c>
      <c r="AX257">
        <v>47636375</v>
      </c>
      <c r="AY257">
        <v>1</v>
      </c>
      <c r="AZ257">
        <v>0</v>
      </c>
      <c r="BA257">
        <v>269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Y257*Source!I219</f>
        <v>0.37029999999999996</v>
      </c>
      <c r="CY257">
        <f t="shared" si="25"/>
        <v>17.2</v>
      </c>
      <c r="CZ257">
        <f t="shared" si="26"/>
        <v>17.2</v>
      </c>
      <c r="DA257">
        <f t="shared" si="27"/>
        <v>1</v>
      </c>
      <c r="DB257">
        <f t="shared" si="28"/>
        <v>34.615000000000002</v>
      </c>
      <c r="DC257">
        <f t="shared" si="29"/>
        <v>0</v>
      </c>
    </row>
    <row r="258" spans="1:107" x14ac:dyDescent="0.2">
      <c r="A258">
        <f>ROW(Source!A219)</f>
        <v>219</v>
      </c>
      <c r="B258">
        <v>47631607</v>
      </c>
      <c r="C258">
        <v>47636356</v>
      </c>
      <c r="D258">
        <v>36882722</v>
      </c>
      <c r="E258">
        <v>1</v>
      </c>
      <c r="F258">
        <v>1</v>
      </c>
      <c r="G258">
        <v>1</v>
      </c>
      <c r="H258">
        <v>2</v>
      </c>
      <c r="I258" t="s">
        <v>677</v>
      </c>
      <c r="J258" t="s">
        <v>678</v>
      </c>
      <c r="K258" t="s">
        <v>679</v>
      </c>
      <c r="L258">
        <v>1368</v>
      </c>
      <c r="N258">
        <v>1011</v>
      </c>
      <c r="O258" t="s">
        <v>505</v>
      </c>
      <c r="P258" t="s">
        <v>505</v>
      </c>
      <c r="Q258">
        <v>1</v>
      </c>
      <c r="W258">
        <v>0</v>
      </c>
      <c r="X258">
        <v>-891970060</v>
      </c>
      <c r="Y258">
        <v>5.692499999999999</v>
      </c>
      <c r="AA258">
        <v>0</v>
      </c>
      <c r="AB258">
        <v>75</v>
      </c>
      <c r="AC258">
        <v>11.6</v>
      </c>
      <c r="AD258">
        <v>0</v>
      </c>
      <c r="AE258">
        <v>0</v>
      </c>
      <c r="AF258">
        <v>75</v>
      </c>
      <c r="AG258">
        <v>11.6</v>
      </c>
      <c r="AH258">
        <v>0</v>
      </c>
      <c r="AI258">
        <v>1</v>
      </c>
      <c r="AJ258">
        <v>1</v>
      </c>
      <c r="AK258">
        <v>1</v>
      </c>
      <c r="AL258">
        <v>1</v>
      </c>
      <c r="AN258">
        <v>0</v>
      </c>
      <c r="AO258">
        <v>1</v>
      </c>
      <c r="AP258">
        <v>1</v>
      </c>
      <c r="AQ258">
        <v>0</v>
      </c>
      <c r="AR258">
        <v>0</v>
      </c>
      <c r="AS258" t="s">
        <v>3</v>
      </c>
      <c r="AT258">
        <v>3.96</v>
      </c>
      <c r="AU258" t="s">
        <v>280</v>
      </c>
      <c r="AV258">
        <v>0</v>
      </c>
      <c r="AW258">
        <v>2</v>
      </c>
      <c r="AX258">
        <v>47636376</v>
      </c>
      <c r="AY258">
        <v>1</v>
      </c>
      <c r="AZ258">
        <v>0</v>
      </c>
      <c r="BA258">
        <v>270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Y258*Source!I219</f>
        <v>1.0474199999999998</v>
      </c>
      <c r="CY258">
        <f t="shared" si="25"/>
        <v>75</v>
      </c>
      <c r="CZ258">
        <f t="shared" si="26"/>
        <v>75</v>
      </c>
      <c r="DA258">
        <f t="shared" si="27"/>
        <v>1</v>
      </c>
      <c r="DB258">
        <f t="shared" si="28"/>
        <v>426.9375</v>
      </c>
      <c r="DC258">
        <f t="shared" si="29"/>
        <v>66.038749999999993</v>
      </c>
    </row>
    <row r="259" spans="1:107" x14ac:dyDescent="0.2">
      <c r="A259">
        <f>ROW(Source!A219)</f>
        <v>219</v>
      </c>
      <c r="B259">
        <v>47631607</v>
      </c>
      <c r="C259">
        <v>47636356</v>
      </c>
      <c r="D259">
        <v>36882726</v>
      </c>
      <c r="E259">
        <v>1</v>
      </c>
      <c r="F259">
        <v>1</v>
      </c>
      <c r="G259">
        <v>1</v>
      </c>
      <c r="H259">
        <v>2</v>
      </c>
      <c r="I259" t="s">
        <v>701</v>
      </c>
      <c r="J259" t="s">
        <v>702</v>
      </c>
      <c r="K259" t="s">
        <v>703</v>
      </c>
      <c r="L259">
        <v>1368</v>
      </c>
      <c r="N259">
        <v>1011</v>
      </c>
      <c r="O259" t="s">
        <v>505</v>
      </c>
      <c r="P259" t="s">
        <v>505</v>
      </c>
      <c r="Q259">
        <v>1</v>
      </c>
      <c r="W259">
        <v>0</v>
      </c>
      <c r="X259">
        <v>-1649076460</v>
      </c>
      <c r="Y259">
        <v>16.545625000000001</v>
      </c>
      <c r="AA259">
        <v>0</v>
      </c>
      <c r="AB259">
        <v>121</v>
      </c>
      <c r="AC259">
        <v>14.4</v>
      </c>
      <c r="AD259">
        <v>0</v>
      </c>
      <c r="AE259">
        <v>0</v>
      </c>
      <c r="AF259">
        <v>121</v>
      </c>
      <c r="AG259">
        <v>14.4</v>
      </c>
      <c r="AH259">
        <v>0</v>
      </c>
      <c r="AI259">
        <v>1</v>
      </c>
      <c r="AJ259">
        <v>1</v>
      </c>
      <c r="AK259">
        <v>1</v>
      </c>
      <c r="AL259">
        <v>1</v>
      </c>
      <c r="AN259">
        <v>0</v>
      </c>
      <c r="AO259">
        <v>1</v>
      </c>
      <c r="AP259">
        <v>1</v>
      </c>
      <c r="AQ259">
        <v>0</v>
      </c>
      <c r="AR259">
        <v>0</v>
      </c>
      <c r="AS259" t="s">
        <v>3</v>
      </c>
      <c r="AT259">
        <v>11.51</v>
      </c>
      <c r="AU259" t="s">
        <v>280</v>
      </c>
      <c r="AV259">
        <v>0</v>
      </c>
      <c r="AW259">
        <v>2</v>
      </c>
      <c r="AX259">
        <v>47636377</v>
      </c>
      <c r="AY259">
        <v>1</v>
      </c>
      <c r="AZ259">
        <v>0</v>
      </c>
      <c r="BA259">
        <v>271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Y259*Source!I219</f>
        <v>3.0443950000000002</v>
      </c>
      <c r="CY259">
        <f t="shared" si="25"/>
        <v>121</v>
      </c>
      <c r="CZ259">
        <f t="shared" si="26"/>
        <v>121</v>
      </c>
      <c r="DA259">
        <f t="shared" si="27"/>
        <v>1</v>
      </c>
      <c r="DB259">
        <f t="shared" si="28"/>
        <v>2002.0206250000001</v>
      </c>
      <c r="DC259">
        <f t="shared" si="29"/>
        <v>238.25125</v>
      </c>
    </row>
    <row r="260" spans="1:107" x14ac:dyDescent="0.2">
      <c r="A260">
        <f>ROW(Source!A219)</f>
        <v>219</v>
      </c>
      <c r="B260">
        <v>47631607</v>
      </c>
      <c r="C260">
        <v>47636356</v>
      </c>
      <c r="D260">
        <v>36883483</v>
      </c>
      <c r="E260">
        <v>1</v>
      </c>
      <c r="F260">
        <v>1</v>
      </c>
      <c r="G260">
        <v>1</v>
      </c>
      <c r="H260">
        <v>2</v>
      </c>
      <c r="I260" t="s">
        <v>672</v>
      </c>
      <c r="J260" t="s">
        <v>673</v>
      </c>
      <c r="K260" t="s">
        <v>674</v>
      </c>
      <c r="L260">
        <v>1368</v>
      </c>
      <c r="N260">
        <v>1011</v>
      </c>
      <c r="O260" t="s">
        <v>505</v>
      </c>
      <c r="P260" t="s">
        <v>505</v>
      </c>
      <c r="Q260">
        <v>1</v>
      </c>
      <c r="W260">
        <v>0</v>
      </c>
      <c r="X260">
        <v>1403266566</v>
      </c>
      <c r="Y260">
        <v>0.56062499999999993</v>
      </c>
      <c r="AA260">
        <v>0</v>
      </c>
      <c r="AB260">
        <v>110</v>
      </c>
      <c r="AC260">
        <v>11.6</v>
      </c>
      <c r="AD260">
        <v>0</v>
      </c>
      <c r="AE260">
        <v>0</v>
      </c>
      <c r="AF260">
        <v>110</v>
      </c>
      <c r="AG260">
        <v>11.6</v>
      </c>
      <c r="AH260">
        <v>0</v>
      </c>
      <c r="AI260">
        <v>1</v>
      </c>
      <c r="AJ260">
        <v>1</v>
      </c>
      <c r="AK260">
        <v>1</v>
      </c>
      <c r="AL260">
        <v>1</v>
      </c>
      <c r="AN260">
        <v>0</v>
      </c>
      <c r="AO260">
        <v>1</v>
      </c>
      <c r="AP260">
        <v>1</v>
      </c>
      <c r="AQ260">
        <v>0</v>
      </c>
      <c r="AR260">
        <v>0</v>
      </c>
      <c r="AS260" t="s">
        <v>3</v>
      </c>
      <c r="AT260">
        <v>0.39</v>
      </c>
      <c r="AU260" t="s">
        <v>280</v>
      </c>
      <c r="AV260">
        <v>0</v>
      </c>
      <c r="AW260">
        <v>2</v>
      </c>
      <c r="AX260">
        <v>47636378</v>
      </c>
      <c r="AY260">
        <v>1</v>
      </c>
      <c r="AZ260">
        <v>0</v>
      </c>
      <c r="BA260">
        <v>272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Y260*Source!I219</f>
        <v>0.10315499999999998</v>
      </c>
      <c r="CY260">
        <f t="shared" si="25"/>
        <v>110</v>
      </c>
      <c r="CZ260">
        <f t="shared" si="26"/>
        <v>110</v>
      </c>
      <c r="DA260">
        <f t="shared" si="27"/>
        <v>1</v>
      </c>
      <c r="DB260">
        <f t="shared" si="28"/>
        <v>61.668750000000003</v>
      </c>
      <c r="DC260">
        <f t="shared" si="29"/>
        <v>6.4974999999999996</v>
      </c>
    </row>
    <row r="261" spans="1:107" x14ac:dyDescent="0.2">
      <c r="A261">
        <f>ROW(Source!A219)</f>
        <v>219</v>
      </c>
      <c r="B261">
        <v>47631607</v>
      </c>
      <c r="C261">
        <v>47636356</v>
      </c>
      <c r="D261">
        <v>36883554</v>
      </c>
      <c r="E261">
        <v>1</v>
      </c>
      <c r="F261">
        <v>1</v>
      </c>
      <c r="G261">
        <v>1</v>
      </c>
      <c r="H261">
        <v>2</v>
      </c>
      <c r="I261" t="s">
        <v>509</v>
      </c>
      <c r="J261" t="s">
        <v>510</v>
      </c>
      <c r="K261" t="s">
        <v>511</v>
      </c>
      <c r="L261">
        <v>1368</v>
      </c>
      <c r="N261">
        <v>1011</v>
      </c>
      <c r="O261" t="s">
        <v>505</v>
      </c>
      <c r="P261" t="s">
        <v>505</v>
      </c>
      <c r="Q261">
        <v>1</v>
      </c>
      <c r="W261">
        <v>0</v>
      </c>
      <c r="X261">
        <v>1372534845</v>
      </c>
      <c r="Y261">
        <v>5.7499999999999996E-2</v>
      </c>
      <c r="AA261">
        <v>0</v>
      </c>
      <c r="AB261">
        <v>65.709999999999994</v>
      </c>
      <c r="AC261">
        <v>11.6</v>
      </c>
      <c r="AD261">
        <v>0</v>
      </c>
      <c r="AE261">
        <v>0</v>
      </c>
      <c r="AF261">
        <v>65.709999999999994</v>
      </c>
      <c r="AG261">
        <v>11.6</v>
      </c>
      <c r="AH261">
        <v>0</v>
      </c>
      <c r="AI261">
        <v>1</v>
      </c>
      <c r="AJ261">
        <v>1</v>
      </c>
      <c r="AK261">
        <v>1</v>
      </c>
      <c r="AL261">
        <v>1</v>
      </c>
      <c r="AN261">
        <v>0</v>
      </c>
      <c r="AO261">
        <v>1</v>
      </c>
      <c r="AP261">
        <v>1</v>
      </c>
      <c r="AQ261">
        <v>0</v>
      </c>
      <c r="AR261">
        <v>0</v>
      </c>
      <c r="AS261" t="s">
        <v>3</v>
      </c>
      <c r="AT261">
        <v>0.04</v>
      </c>
      <c r="AU261" t="s">
        <v>280</v>
      </c>
      <c r="AV261">
        <v>0</v>
      </c>
      <c r="AW261">
        <v>2</v>
      </c>
      <c r="AX261">
        <v>47636379</v>
      </c>
      <c r="AY261">
        <v>1</v>
      </c>
      <c r="AZ261">
        <v>0</v>
      </c>
      <c r="BA261">
        <v>273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Y261*Source!I219</f>
        <v>1.0579999999999999E-2</v>
      </c>
      <c r="CY261">
        <f t="shared" si="25"/>
        <v>65.709999999999994</v>
      </c>
      <c r="CZ261">
        <f t="shared" si="26"/>
        <v>65.709999999999994</v>
      </c>
      <c r="DA261">
        <f t="shared" si="27"/>
        <v>1</v>
      </c>
      <c r="DB261">
        <f t="shared" si="28"/>
        <v>3.7806250000000001</v>
      </c>
      <c r="DC261">
        <f t="shared" si="29"/>
        <v>0.66125</v>
      </c>
    </row>
    <row r="262" spans="1:107" x14ac:dyDescent="0.2">
      <c r="A262">
        <f>ROW(Source!A219)</f>
        <v>219</v>
      </c>
      <c r="B262">
        <v>47631607</v>
      </c>
      <c r="C262">
        <v>47636356</v>
      </c>
      <c r="D262">
        <v>36799842</v>
      </c>
      <c r="E262">
        <v>1</v>
      </c>
      <c r="F262">
        <v>1</v>
      </c>
      <c r="G262">
        <v>1</v>
      </c>
      <c r="H262">
        <v>3</v>
      </c>
      <c r="I262" t="s">
        <v>335</v>
      </c>
      <c r="J262" t="s">
        <v>337</v>
      </c>
      <c r="K262" t="s">
        <v>336</v>
      </c>
      <c r="L262">
        <v>1348</v>
      </c>
      <c r="N262">
        <v>1009</v>
      </c>
      <c r="O262" t="s">
        <v>32</v>
      </c>
      <c r="P262" t="s">
        <v>32</v>
      </c>
      <c r="Q262">
        <v>1000</v>
      </c>
      <c r="W262">
        <v>0</v>
      </c>
      <c r="X262">
        <v>1401058849</v>
      </c>
      <c r="Y262">
        <v>1.0800000000000001E-2</v>
      </c>
      <c r="AA262">
        <v>1946.91</v>
      </c>
      <c r="AB262">
        <v>0</v>
      </c>
      <c r="AC262">
        <v>0</v>
      </c>
      <c r="AD262">
        <v>0</v>
      </c>
      <c r="AE262">
        <v>1946.91</v>
      </c>
      <c r="AF262">
        <v>0</v>
      </c>
      <c r="AG262">
        <v>0</v>
      </c>
      <c r="AH262">
        <v>0</v>
      </c>
      <c r="AI262">
        <v>1</v>
      </c>
      <c r="AJ262">
        <v>1</v>
      </c>
      <c r="AK262">
        <v>1</v>
      </c>
      <c r="AL262">
        <v>1</v>
      </c>
      <c r="AN262">
        <v>0</v>
      </c>
      <c r="AO262">
        <v>0</v>
      </c>
      <c r="AP262">
        <v>0</v>
      </c>
      <c r="AQ262">
        <v>0</v>
      </c>
      <c r="AR262">
        <v>0</v>
      </c>
      <c r="AS262" t="s">
        <v>3</v>
      </c>
      <c r="AT262">
        <v>1.0800000000000001E-2</v>
      </c>
      <c r="AU262" t="s">
        <v>3</v>
      </c>
      <c r="AV262">
        <v>0</v>
      </c>
      <c r="AW262">
        <v>1</v>
      </c>
      <c r="AX262">
        <v>-1</v>
      </c>
      <c r="AY262">
        <v>0</v>
      </c>
      <c r="AZ262">
        <v>0</v>
      </c>
      <c r="BA262" t="s">
        <v>3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Y262*Source!I219</f>
        <v>1.9872000000000002E-3</v>
      </c>
      <c r="CY262">
        <f>AA262</f>
        <v>1946.91</v>
      </c>
      <c r="CZ262">
        <f>AE262</f>
        <v>1946.91</v>
      </c>
      <c r="DA262">
        <f>AI262</f>
        <v>1</v>
      </c>
      <c r="DB262">
        <f>ROUND(ROUND(AT262*CZ262,2),6)</f>
        <v>21.03</v>
      </c>
      <c r="DC262">
        <f>ROUND(ROUND(AT262*AG262,2),6)</f>
        <v>0</v>
      </c>
    </row>
    <row r="263" spans="1:107" x14ac:dyDescent="0.2">
      <c r="A263">
        <f>ROW(Source!A219)</f>
        <v>219</v>
      </c>
      <c r="B263">
        <v>47631607</v>
      </c>
      <c r="C263">
        <v>47636356</v>
      </c>
      <c r="D263">
        <v>36801792</v>
      </c>
      <c r="E263">
        <v>1</v>
      </c>
      <c r="F263">
        <v>1</v>
      </c>
      <c r="G263">
        <v>1</v>
      </c>
      <c r="H263">
        <v>3</v>
      </c>
      <c r="I263" t="s">
        <v>597</v>
      </c>
      <c r="J263" t="s">
        <v>598</v>
      </c>
      <c r="K263" t="s">
        <v>599</v>
      </c>
      <c r="L263">
        <v>1339</v>
      </c>
      <c r="N263">
        <v>1007</v>
      </c>
      <c r="O263" t="s">
        <v>96</v>
      </c>
      <c r="P263" t="s">
        <v>96</v>
      </c>
      <c r="Q263">
        <v>1</v>
      </c>
      <c r="W263">
        <v>0</v>
      </c>
      <c r="X263">
        <v>-1660354250</v>
      </c>
      <c r="Y263">
        <v>0.2</v>
      </c>
      <c r="AA263">
        <v>2.44</v>
      </c>
      <c r="AB263">
        <v>0</v>
      </c>
      <c r="AC263">
        <v>0</v>
      </c>
      <c r="AD263">
        <v>0</v>
      </c>
      <c r="AE263">
        <v>2.44</v>
      </c>
      <c r="AF263">
        <v>0</v>
      </c>
      <c r="AG263">
        <v>0</v>
      </c>
      <c r="AH263">
        <v>0</v>
      </c>
      <c r="AI263">
        <v>1</v>
      </c>
      <c r="AJ263">
        <v>1</v>
      </c>
      <c r="AK263">
        <v>1</v>
      </c>
      <c r="AL263">
        <v>1</v>
      </c>
      <c r="AN263">
        <v>0</v>
      </c>
      <c r="AO263">
        <v>1</v>
      </c>
      <c r="AP263">
        <v>0</v>
      </c>
      <c r="AQ263">
        <v>0</v>
      </c>
      <c r="AR263">
        <v>0</v>
      </c>
      <c r="AS263" t="s">
        <v>3</v>
      </c>
      <c r="AT263">
        <v>0.2</v>
      </c>
      <c r="AU263" t="s">
        <v>3</v>
      </c>
      <c r="AV263">
        <v>0</v>
      </c>
      <c r="AW263">
        <v>2</v>
      </c>
      <c r="AX263">
        <v>47636381</v>
      </c>
      <c r="AY263">
        <v>1</v>
      </c>
      <c r="AZ263">
        <v>0</v>
      </c>
      <c r="BA263">
        <v>275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Y263*Source!I219</f>
        <v>3.6799999999999999E-2</v>
      </c>
      <c r="CY263">
        <f>AA263</f>
        <v>2.44</v>
      </c>
      <c r="CZ263">
        <f>AE263</f>
        <v>2.44</v>
      </c>
      <c r="DA263">
        <f>AI263</f>
        <v>1</v>
      </c>
      <c r="DB263">
        <f>ROUND(ROUND(AT263*CZ263,2),6)</f>
        <v>0.49</v>
      </c>
      <c r="DC263">
        <f>ROUND(ROUND(AT263*AG263,2),6)</f>
        <v>0</v>
      </c>
    </row>
    <row r="264" spans="1:107" x14ac:dyDescent="0.2">
      <c r="A264">
        <f>ROW(Source!A219)</f>
        <v>219</v>
      </c>
      <c r="B264">
        <v>47631607</v>
      </c>
      <c r="C264">
        <v>47636356</v>
      </c>
      <c r="D264">
        <v>36807224</v>
      </c>
      <c r="E264">
        <v>1</v>
      </c>
      <c r="F264">
        <v>1</v>
      </c>
      <c r="G264">
        <v>1</v>
      </c>
      <c r="H264">
        <v>3</v>
      </c>
      <c r="I264" t="s">
        <v>355</v>
      </c>
      <c r="J264" t="s">
        <v>357</v>
      </c>
      <c r="K264" t="s">
        <v>356</v>
      </c>
      <c r="L264">
        <v>1348</v>
      </c>
      <c r="N264">
        <v>1009</v>
      </c>
      <c r="O264" t="s">
        <v>32</v>
      </c>
      <c r="P264" t="s">
        <v>32</v>
      </c>
      <c r="Q264">
        <v>1000</v>
      </c>
      <c r="W264">
        <v>0</v>
      </c>
      <c r="X264">
        <v>2047521922</v>
      </c>
      <c r="Y264">
        <v>96.6</v>
      </c>
      <c r="AA264">
        <v>460</v>
      </c>
      <c r="AB264">
        <v>0</v>
      </c>
      <c r="AC264">
        <v>0</v>
      </c>
      <c r="AD264">
        <v>0</v>
      </c>
      <c r="AE264">
        <v>460</v>
      </c>
      <c r="AF264">
        <v>0</v>
      </c>
      <c r="AG264">
        <v>0</v>
      </c>
      <c r="AH264">
        <v>0</v>
      </c>
      <c r="AI264">
        <v>1</v>
      </c>
      <c r="AJ264">
        <v>1</v>
      </c>
      <c r="AK264">
        <v>1</v>
      </c>
      <c r="AL264">
        <v>1</v>
      </c>
      <c r="AN264">
        <v>0</v>
      </c>
      <c r="AO264">
        <v>0</v>
      </c>
      <c r="AP264">
        <v>0</v>
      </c>
      <c r="AQ264">
        <v>0</v>
      </c>
      <c r="AR264">
        <v>0</v>
      </c>
      <c r="AS264" t="s">
        <v>3</v>
      </c>
      <c r="AT264">
        <v>96.6</v>
      </c>
      <c r="AU264" t="s">
        <v>3</v>
      </c>
      <c r="AV264">
        <v>0</v>
      </c>
      <c r="AW264">
        <v>1</v>
      </c>
      <c r="AX264">
        <v>-1</v>
      </c>
      <c r="AY264">
        <v>0</v>
      </c>
      <c r="AZ264">
        <v>0</v>
      </c>
      <c r="BA264" t="s">
        <v>3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Y264*Source!I219</f>
        <v>17.7744</v>
      </c>
      <c r="CY264">
        <f>AA264</f>
        <v>460</v>
      </c>
      <c r="CZ264">
        <f>AE264</f>
        <v>460</v>
      </c>
      <c r="DA264">
        <f>AI264</f>
        <v>1</v>
      </c>
      <c r="DB264">
        <f>ROUND(ROUND(AT264*CZ264,2),6)</f>
        <v>44436</v>
      </c>
      <c r="DC264">
        <f>ROUND(ROUND(AT264*AG264,2),6)</f>
        <v>0</v>
      </c>
    </row>
    <row r="265" spans="1:107" x14ac:dyDescent="0.2">
      <c r="A265">
        <f>ROW(Source!A219)</f>
        <v>219</v>
      </c>
      <c r="B265">
        <v>47631607</v>
      </c>
      <c r="C265">
        <v>47636356</v>
      </c>
      <c r="D265">
        <v>36824289</v>
      </c>
      <c r="E265">
        <v>1</v>
      </c>
      <c r="F265">
        <v>1</v>
      </c>
      <c r="G265">
        <v>1</v>
      </c>
      <c r="H265">
        <v>3</v>
      </c>
      <c r="I265" t="s">
        <v>704</v>
      </c>
      <c r="J265" t="s">
        <v>705</v>
      </c>
      <c r="K265" t="s">
        <v>706</v>
      </c>
      <c r="L265">
        <v>1348</v>
      </c>
      <c r="N265">
        <v>1009</v>
      </c>
      <c r="O265" t="s">
        <v>32</v>
      </c>
      <c r="P265" t="s">
        <v>32</v>
      </c>
      <c r="Q265">
        <v>1000</v>
      </c>
      <c r="W265">
        <v>0</v>
      </c>
      <c r="X265">
        <v>-1756095795</v>
      </c>
      <c r="Y265">
        <v>6.1999999999999998E-3</v>
      </c>
      <c r="AA265">
        <v>5989</v>
      </c>
      <c r="AB265">
        <v>0</v>
      </c>
      <c r="AC265">
        <v>0</v>
      </c>
      <c r="AD265">
        <v>0</v>
      </c>
      <c r="AE265">
        <v>5989</v>
      </c>
      <c r="AF265">
        <v>0</v>
      </c>
      <c r="AG265">
        <v>0</v>
      </c>
      <c r="AH265">
        <v>0</v>
      </c>
      <c r="AI265">
        <v>1</v>
      </c>
      <c r="AJ265">
        <v>1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3</v>
      </c>
      <c r="AT265">
        <v>6.1999999999999998E-3</v>
      </c>
      <c r="AU265" t="s">
        <v>3</v>
      </c>
      <c r="AV265">
        <v>0</v>
      </c>
      <c r="AW265">
        <v>2</v>
      </c>
      <c r="AX265">
        <v>47636383</v>
      </c>
      <c r="AY265">
        <v>1</v>
      </c>
      <c r="AZ265">
        <v>0</v>
      </c>
      <c r="BA265">
        <v>277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Y265*Source!I219</f>
        <v>1.1408E-3</v>
      </c>
      <c r="CY265">
        <f>AA265</f>
        <v>5989</v>
      </c>
      <c r="CZ265">
        <f>AE265</f>
        <v>5989</v>
      </c>
      <c r="DA265">
        <f>AI265</f>
        <v>1</v>
      </c>
      <c r="DB265">
        <f>ROUND(ROUND(AT265*CZ265,2),6)</f>
        <v>37.130000000000003</v>
      </c>
      <c r="DC265">
        <f>ROUND(ROUND(AT265*AG265,2),6)</f>
        <v>0</v>
      </c>
    </row>
    <row r="266" spans="1:107" x14ac:dyDescent="0.2">
      <c r="A266">
        <f>ROW(Source!A219)</f>
        <v>219</v>
      </c>
      <c r="B266">
        <v>47631607</v>
      </c>
      <c r="C266">
        <v>47636356</v>
      </c>
      <c r="D266">
        <v>36830315</v>
      </c>
      <c r="E266">
        <v>1</v>
      </c>
      <c r="F266">
        <v>1</v>
      </c>
      <c r="G266">
        <v>1</v>
      </c>
      <c r="H266">
        <v>3</v>
      </c>
      <c r="I266" t="s">
        <v>707</v>
      </c>
      <c r="J266" t="s">
        <v>708</v>
      </c>
      <c r="K266" t="s">
        <v>709</v>
      </c>
      <c r="L266">
        <v>1339</v>
      </c>
      <c r="N266">
        <v>1007</v>
      </c>
      <c r="O266" t="s">
        <v>96</v>
      </c>
      <c r="P266" t="s">
        <v>96</v>
      </c>
      <c r="Q266">
        <v>1</v>
      </c>
      <c r="W266">
        <v>0</v>
      </c>
      <c r="X266">
        <v>-395792271</v>
      </c>
      <c r="Y266">
        <v>0.15</v>
      </c>
      <c r="AA266">
        <v>1287</v>
      </c>
      <c r="AB266">
        <v>0</v>
      </c>
      <c r="AC266">
        <v>0</v>
      </c>
      <c r="AD266">
        <v>0</v>
      </c>
      <c r="AE266">
        <v>1287</v>
      </c>
      <c r="AF266">
        <v>0</v>
      </c>
      <c r="AG266">
        <v>0</v>
      </c>
      <c r="AH266">
        <v>0</v>
      </c>
      <c r="AI266">
        <v>1</v>
      </c>
      <c r="AJ266">
        <v>1</v>
      </c>
      <c r="AK266">
        <v>1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3</v>
      </c>
      <c r="AT266">
        <v>0.15</v>
      </c>
      <c r="AU266" t="s">
        <v>3</v>
      </c>
      <c r="AV266">
        <v>0</v>
      </c>
      <c r="AW266">
        <v>2</v>
      </c>
      <c r="AX266">
        <v>47636384</v>
      </c>
      <c r="AY266">
        <v>1</v>
      </c>
      <c r="AZ266">
        <v>0</v>
      </c>
      <c r="BA266">
        <v>278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Y266*Source!I219</f>
        <v>2.76E-2</v>
      </c>
      <c r="CY266">
        <f>AA266</f>
        <v>1287</v>
      </c>
      <c r="CZ266">
        <f>AE266</f>
        <v>1287</v>
      </c>
      <c r="DA266">
        <f>AI266</f>
        <v>1</v>
      </c>
      <c r="DB266">
        <f>ROUND(ROUND(AT266*CZ266,2),6)</f>
        <v>193.05</v>
      </c>
      <c r="DC266">
        <f>ROUND(ROUND(AT266*AG266,2),6)</f>
        <v>0</v>
      </c>
    </row>
    <row r="267" spans="1:107" x14ac:dyDescent="0.2">
      <c r="A267">
        <f>ROW(Source!A223)</f>
        <v>223</v>
      </c>
      <c r="B267">
        <v>47631607</v>
      </c>
      <c r="C267">
        <v>47636393</v>
      </c>
      <c r="D267">
        <v>37066491</v>
      </c>
      <c r="E267">
        <v>1</v>
      </c>
      <c r="F267">
        <v>1</v>
      </c>
      <c r="G267">
        <v>1</v>
      </c>
      <c r="H267">
        <v>1</v>
      </c>
      <c r="I267" t="s">
        <v>667</v>
      </c>
      <c r="J267" t="s">
        <v>3</v>
      </c>
      <c r="K267" t="s">
        <v>668</v>
      </c>
      <c r="L267">
        <v>1191</v>
      </c>
      <c r="N267">
        <v>1013</v>
      </c>
      <c r="O267" t="s">
        <v>487</v>
      </c>
      <c r="P267" t="s">
        <v>487</v>
      </c>
      <c r="Q267">
        <v>1</v>
      </c>
      <c r="W267">
        <v>0</v>
      </c>
      <c r="X267">
        <v>-228054128</v>
      </c>
      <c r="Y267">
        <v>20.789699999999996</v>
      </c>
      <c r="AA267">
        <v>0</v>
      </c>
      <c r="AB267">
        <v>0</v>
      </c>
      <c r="AC267">
        <v>0</v>
      </c>
      <c r="AD267">
        <v>8.02</v>
      </c>
      <c r="AE267">
        <v>0</v>
      </c>
      <c r="AF267">
        <v>0</v>
      </c>
      <c r="AG267">
        <v>0</v>
      </c>
      <c r="AH267">
        <v>8.02</v>
      </c>
      <c r="AI267">
        <v>1</v>
      </c>
      <c r="AJ267">
        <v>1</v>
      </c>
      <c r="AK267">
        <v>1</v>
      </c>
      <c r="AL267">
        <v>1</v>
      </c>
      <c r="AN267">
        <v>0</v>
      </c>
      <c r="AO267">
        <v>1</v>
      </c>
      <c r="AP267">
        <v>1</v>
      </c>
      <c r="AQ267">
        <v>0</v>
      </c>
      <c r="AR267">
        <v>0</v>
      </c>
      <c r="AS267" t="s">
        <v>3</v>
      </c>
      <c r="AT267">
        <v>15.72</v>
      </c>
      <c r="AU267" t="s">
        <v>53</v>
      </c>
      <c r="AV267">
        <v>1</v>
      </c>
      <c r="AW267">
        <v>2</v>
      </c>
      <c r="AX267">
        <v>47636402</v>
      </c>
      <c r="AY267">
        <v>1</v>
      </c>
      <c r="AZ267">
        <v>0</v>
      </c>
      <c r="BA267">
        <v>279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Y267*Source!I223</f>
        <v>3.8253047999999992</v>
      </c>
      <c r="CY267">
        <f>AD267</f>
        <v>8.02</v>
      </c>
      <c r="CZ267">
        <f>AH267</f>
        <v>8.02</v>
      </c>
      <c r="DA267">
        <f>AL267</f>
        <v>1</v>
      </c>
      <c r="DB267">
        <f>ROUND(((ROUND(AT267*CZ267,2)*1.15)*1.15),6)</f>
        <v>166.727575</v>
      </c>
      <c r="DC267">
        <f>ROUND(((ROUND(AT267*AG267,2)*1.15)*1.15),6)</f>
        <v>0</v>
      </c>
    </row>
    <row r="268" spans="1:107" x14ac:dyDescent="0.2">
      <c r="A268">
        <f>ROW(Source!A223)</f>
        <v>223</v>
      </c>
      <c r="B268">
        <v>47631607</v>
      </c>
      <c r="C268">
        <v>47636393</v>
      </c>
      <c r="D268">
        <v>37064876</v>
      </c>
      <c r="E268">
        <v>1</v>
      </c>
      <c r="F268">
        <v>1</v>
      </c>
      <c r="G268">
        <v>1</v>
      </c>
      <c r="H268">
        <v>1</v>
      </c>
      <c r="I268" t="s">
        <v>500</v>
      </c>
      <c r="J268" t="s">
        <v>3</v>
      </c>
      <c r="K268" t="s">
        <v>501</v>
      </c>
      <c r="L268">
        <v>1191</v>
      </c>
      <c r="N268">
        <v>1013</v>
      </c>
      <c r="O268" t="s">
        <v>487</v>
      </c>
      <c r="P268" t="s">
        <v>487</v>
      </c>
      <c r="Q268">
        <v>1</v>
      </c>
      <c r="W268">
        <v>0</v>
      </c>
      <c r="X268">
        <v>-1417349443</v>
      </c>
      <c r="Y268">
        <v>13.88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1</v>
      </c>
      <c r="AJ268">
        <v>1</v>
      </c>
      <c r="AK268">
        <v>1</v>
      </c>
      <c r="AL268">
        <v>1</v>
      </c>
      <c r="AN268">
        <v>0</v>
      </c>
      <c r="AO268">
        <v>1</v>
      </c>
      <c r="AP268">
        <v>0</v>
      </c>
      <c r="AQ268">
        <v>0</v>
      </c>
      <c r="AR268">
        <v>0</v>
      </c>
      <c r="AS268" t="s">
        <v>3</v>
      </c>
      <c r="AT268">
        <v>13.88</v>
      </c>
      <c r="AU268" t="s">
        <v>3</v>
      </c>
      <c r="AV268">
        <v>2</v>
      </c>
      <c r="AW268">
        <v>2</v>
      </c>
      <c r="AX268">
        <v>47636403</v>
      </c>
      <c r="AY268">
        <v>1</v>
      </c>
      <c r="AZ268">
        <v>2048</v>
      </c>
      <c r="BA268">
        <v>280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Y268*Source!I223</f>
        <v>2.5539200000000002</v>
      </c>
      <c r="CY268">
        <f>AD268</f>
        <v>0</v>
      </c>
      <c r="CZ268">
        <f>AH268</f>
        <v>0</v>
      </c>
      <c r="DA268">
        <f>AL268</f>
        <v>1</v>
      </c>
      <c r="DB268">
        <f>ROUND(ROUND(AT268*CZ268,2),6)</f>
        <v>0</v>
      </c>
      <c r="DC268">
        <f>ROUND(ROUND(AT268*AG268,2),6)</f>
        <v>0</v>
      </c>
    </row>
    <row r="269" spans="1:107" x14ac:dyDescent="0.2">
      <c r="A269">
        <f>ROW(Source!A223)</f>
        <v>223</v>
      </c>
      <c r="B269">
        <v>47631607</v>
      </c>
      <c r="C269">
        <v>47636393</v>
      </c>
      <c r="D269">
        <v>36881380</v>
      </c>
      <c r="E269">
        <v>1</v>
      </c>
      <c r="F269">
        <v>1</v>
      </c>
      <c r="G269">
        <v>1</v>
      </c>
      <c r="H269">
        <v>2</v>
      </c>
      <c r="I269" t="s">
        <v>661</v>
      </c>
      <c r="J269" t="s">
        <v>662</v>
      </c>
      <c r="K269" t="s">
        <v>663</v>
      </c>
      <c r="L269">
        <v>1368</v>
      </c>
      <c r="N269">
        <v>1011</v>
      </c>
      <c r="O269" t="s">
        <v>505</v>
      </c>
      <c r="P269" t="s">
        <v>505</v>
      </c>
      <c r="Q269">
        <v>1</v>
      </c>
      <c r="W269">
        <v>0</v>
      </c>
      <c r="X269">
        <v>645023554</v>
      </c>
      <c r="Y269">
        <v>2.5443749999999996</v>
      </c>
      <c r="AA269">
        <v>0</v>
      </c>
      <c r="AB269">
        <v>123</v>
      </c>
      <c r="AC269">
        <v>13.5</v>
      </c>
      <c r="AD269">
        <v>0</v>
      </c>
      <c r="AE269">
        <v>0</v>
      </c>
      <c r="AF269">
        <v>123</v>
      </c>
      <c r="AG269">
        <v>13.5</v>
      </c>
      <c r="AH269">
        <v>0</v>
      </c>
      <c r="AI269">
        <v>1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1</v>
      </c>
      <c r="AQ269">
        <v>0</v>
      </c>
      <c r="AR269">
        <v>0</v>
      </c>
      <c r="AS269" t="s">
        <v>3</v>
      </c>
      <c r="AT269">
        <v>1.77</v>
      </c>
      <c r="AU269" t="s">
        <v>280</v>
      </c>
      <c r="AV269">
        <v>0</v>
      </c>
      <c r="AW269">
        <v>2</v>
      </c>
      <c r="AX269">
        <v>47636404</v>
      </c>
      <c r="AY269">
        <v>1</v>
      </c>
      <c r="AZ269">
        <v>0</v>
      </c>
      <c r="BA269">
        <v>281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Y269*Source!I223</f>
        <v>0.46816499999999994</v>
      </c>
      <c r="CY269">
        <f>AB269</f>
        <v>123</v>
      </c>
      <c r="CZ269">
        <f>AF269</f>
        <v>123</v>
      </c>
      <c r="DA269">
        <f>AJ269</f>
        <v>1</v>
      </c>
      <c r="DB269">
        <f>ROUND(((ROUND(AT269*CZ269,2)*1.15)*1.25),6)</f>
        <v>312.958125</v>
      </c>
      <c r="DC269">
        <f>ROUND(((ROUND(AT269*AG269,2)*1.15)*1.25),6)</f>
        <v>34.356250000000003</v>
      </c>
    </row>
    <row r="270" spans="1:107" x14ac:dyDescent="0.2">
      <c r="A270">
        <f>ROW(Source!A223)</f>
        <v>223</v>
      </c>
      <c r="B270">
        <v>47631607</v>
      </c>
      <c r="C270">
        <v>47636393</v>
      </c>
      <c r="D270">
        <v>36882383</v>
      </c>
      <c r="E270">
        <v>1</v>
      </c>
      <c r="F270">
        <v>1</v>
      </c>
      <c r="G270">
        <v>1</v>
      </c>
      <c r="H270">
        <v>2</v>
      </c>
      <c r="I270" t="s">
        <v>629</v>
      </c>
      <c r="J270" t="s">
        <v>630</v>
      </c>
      <c r="K270" t="s">
        <v>631</v>
      </c>
      <c r="L270">
        <v>1368</v>
      </c>
      <c r="N270">
        <v>1011</v>
      </c>
      <c r="O270" t="s">
        <v>505</v>
      </c>
      <c r="P270" t="s">
        <v>505</v>
      </c>
      <c r="Q270">
        <v>1</v>
      </c>
      <c r="W270">
        <v>0</v>
      </c>
      <c r="X270">
        <v>-665367104</v>
      </c>
      <c r="Y270">
        <v>6.1668749999999992</v>
      </c>
      <c r="AA270">
        <v>0</v>
      </c>
      <c r="AB270">
        <v>89.99</v>
      </c>
      <c r="AC270">
        <v>10.06</v>
      </c>
      <c r="AD270">
        <v>0</v>
      </c>
      <c r="AE270">
        <v>0</v>
      </c>
      <c r="AF270">
        <v>89.99</v>
      </c>
      <c r="AG270">
        <v>10.06</v>
      </c>
      <c r="AH270">
        <v>0</v>
      </c>
      <c r="AI270">
        <v>1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1</v>
      </c>
      <c r="AQ270">
        <v>0</v>
      </c>
      <c r="AR270">
        <v>0</v>
      </c>
      <c r="AS270" t="s">
        <v>3</v>
      </c>
      <c r="AT270">
        <v>4.29</v>
      </c>
      <c r="AU270" t="s">
        <v>280</v>
      </c>
      <c r="AV270">
        <v>0</v>
      </c>
      <c r="AW270">
        <v>2</v>
      </c>
      <c r="AX270">
        <v>47636405</v>
      </c>
      <c r="AY270">
        <v>1</v>
      </c>
      <c r="AZ270">
        <v>0</v>
      </c>
      <c r="BA270">
        <v>282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Y270*Source!I223</f>
        <v>1.1347049999999999</v>
      </c>
      <c r="CY270">
        <f>AB270</f>
        <v>89.99</v>
      </c>
      <c r="CZ270">
        <f>AF270</f>
        <v>89.99</v>
      </c>
      <c r="DA270">
        <f>AJ270</f>
        <v>1</v>
      </c>
      <c r="DB270">
        <f>ROUND(((ROUND(AT270*CZ270,2)*1.15)*1.25),6)</f>
        <v>554.96124999999995</v>
      </c>
      <c r="DC270">
        <f>ROUND(((ROUND(AT270*AG270,2)*1.15)*1.25),6)</f>
        <v>62.042499999999997</v>
      </c>
    </row>
    <row r="271" spans="1:107" x14ac:dyDescent="0.2">
      <c r="A271">
        <f>ROW(Source!A223)</f>
        <v>223</v>
      </c>
      <c r="B271">
        <v>47631607</v>
      </c>
      <c r="C271">
        <v>47636393</v>
      </c>
      <c r="D271">
        <v>36882750</v>
      </c>
      <c r="E271">
        <v>1</v>
      </c>
      <c r="F271">
        <v>1</v>
      </c>
      <c r="G271">
        <v>1</v>
      </c>
      <c r="H271">
        <v>2</v>
      </c>
      <c r="I271" t="s">
        <v>669</v>
      </c>
      <c r="J271" t="s">
        <v>670</v>
      </c>
      <c r="K271" t="s">
        <v>671</v>
      </c>
      <c r="L271">
        <v>1368</v>
      </c>
      <c r="N271">
        <v>1011</v>
      </c>
      <c r="O271" t="s">
        <v>505</v>
      </c>
      <c r="P271" t="s">
        <v>505</v>
      </c>
      <c r="Q271">
        <v>1</v>
      </c>
      <c r="W271">
        <v>0</v>
      </c>
      <c r="X271">
        <v>1663826256</v>
      </c>
      <c r="Y271">
        <v>10.177499999999998</v>
      </c>
      <c r="AA271">
        <v>0</v>
      </c>
      <c r="AB271">
        <v>206.01</v>
      </c>
      <c r="AC271">
        <v>14.4</v>
      </c>
      <c r="AD271">
        <v>0</v>
      </c>
      <c r="AE271">
        <v>0</v>
      </c>
      <c r="AF271">
        <v>206.01</v>
      </c>
      <c r="AG271">
        <v>14.4</v>
      </c>
      <c r="AH271">
        <v>0</v>
      </c>
      <c r="AI271">
        <v>1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1</v>
      </c>
      <c r="AQ271">
        <v>0</v>
      </c>
      <c r="AR271">
        <v>0</v>
      </c>
      <c r="AS271" t="s">
        <v>3</v>
      </c>
      <c r="AT271">
        <v>7.08</v>
      </c>
      <c r="AU271" t="s">
        <v>280</v>
      </c>
      <c r="AV271">
        <v>0</v>
      </c>
      <c r="AW271">
        <v>2</v>
      </c>
      <c r="AX271">
        <v>47636406</v>
      </c>
      <c r="AY271">
        <v>1</v>
      </c>
      <c r="AZ271">
        <v>0</v>
      </c>
      <c r="BA271">
        <v>283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Y271*Source!I223</f>
        <v>1.8726599999999998</v>
      </c>
      <c r="CY271">
        <f>AB271</f>
        <v>206.01</v>
      </c>
      <c r="CZ271">
        <f>AF271</f>
        <v>206.01</v>
      </c>
      <c r="DA271">
        <f>AJ271</f>
        <v>1</v>
      </c>
      <c r="DB271">
        <f>ROUND(((ROUND(AT271*CZ271,2)*1.15)*1.25),6)</f>
        <v>2096.6656250000001</v>
      </c>
      <c r="DC271">
        <f>ROUND(((ROUND(AT271*AG271,2)*1.15)*1.25),6)</f>
        <v>146.55312499999999</v>
      </c>
    </row>
    <row r="272" spans="1:107" x14ac:dyDescent="0.2">
      <c r="A272">
        <f>ROW(Source!A223)</f>
        <v>223</v>
      </c>
      <c r="B272">
        <v>47631607</v>
      </c>
      <c r="C272">
        <v>47636393</v>
      </c>
      <c r="D272">
        <v>36883483</v>
      </c>
      <c r="E272">
        <v>1</v>
      </c>
      <c r="F272">
        <v>1</v>
      </c>
      <c r="G272">
        <v>1</v>
      </c>
      <c r="H272">
        <v>2</v>
      </c>
      <c r="I272" t="s">
        <v>672</v>
      </c>
      <c r="J272" t="s">
        <v>673</v>
      </c>
      <c r="K272" t="s">
        <v>674</v>
      </c>
      <c r="L272">
        <v>1368</v>
      </c>
      <c r="N272">
        <v>1011</v>
      </c>
      <c r="O272" t="s">
        <v>505</v>
      </c>
      <c r="P272" t="s">
        <v>505</v>
      </c>
      <c r="Q272">
        <v>1</v>
      </c>
      <c r="W272">
        <v>0</v>
      </c>
      <c r="X272">
        <v>1403266566</v>
      </c>
      <c r="Y272">
        <v>1.06375</v>
      </c>
      <c r="AA272">
        <v>0</v>
      </c>
      <c r="AB272">
        <v>110</v>
      </c>
      <c r="AC272">
        <v>11.6</v>
      </c>
      <c r="AD272">
        <v>0</v>
      </c>
      <c r="AE272">
        <v>0</v>
      </c>
      <c r="AF272">
        <v>110</v>
      </c>
      <c r="AG272">
        <v>11.6</v>
      </c>
      <c r="AH272">
        <v>0</v>
      </c>
      <c r="AI272">
        <v>1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1</v>
      </c>
      <c r="AQ272">
        <v>0</v>
      </c>
      <c r="AR272">
        <v>0</v>
      </c>
      <c r="AS272" t="s">
        <v>3</v>
      </c>
      <c r="AT272">
        <v>0.74</v>
      </c>
      <c r="AU272" t="s">
        <v>280</v>
      </c>
      <c r="AV272">
        <v>0</v>
      </c>
      <c r="AW272">
        <v>2</v>
      </c>
      <c r="AX272">
        <v>47636407</v>
      </c>
      <c r="AY272">
        <v>1</v>
      </c>
      <c r="AZ272">
        <v>0</v>
      </c>
      <c r="BA272">
        <v>284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Y272*Source!I223</f>
        <v>0.19572999999999999</v>
      </c>
      <c r="CY272">
        <f>AB272</f>
        <v>110</v>
      </c>
      <c r="CZ272">
        <f>AF272</f>
        <v>110</v>
      </c>
      <c r="DA272">
        <f>AJ272</f>
        <v>1</v>
      </c>
      <c r="DB272">
        <f>ROUND(((ROUND(AT272*CZ272,2)*1.15)*1.25),6)</f>
        <v>117.0125</v>
      </c>
      <c r="DC272">
        <f>ROUND(((ROUND(AT272*AG272,2)*1.15)*1.25),6)</f>
        <v>12.33375</v>
      </c>
    </row>
    <row r="273" spans="1:107" x14ac:dyDescent="0.2">
      <c r="A273">
        <f>ROW(Source!A223)</f>
        <v>223</v>
      </c>
      <c r="B273">
        <v>47631607</v>
      </c>
      <c r="C273">
        <v>47636393</v>
      </c>
      <c r="D273">
        <v>36801792</v>
      </c>
      <c r="E273">
        <v>1</v>
      </c>
      <c r="F273">
        <v>1</v>
      </c>
      <c r="G273">
        <v>1</v>
      </c>
      <c r="H273">
        <v>3</v>
      </c>
      <c r="I273" t="s">
        <v>597</v>
      </c>
      <c r="J273" t="s">
        <v>598</v>
      </c>
      <c r="K273" t="s">
        <v>599</v>
      </c>
      <c r="L273">
        <v>1339</v>
      </c>
      <c r="N273">
        <v>1007</v>
      </c>
      <c r="O273" t="s">
        <v>96</v>
      </c>
      <c r="P273" t="s">
        <v>96</v>
      </c>
      <c r="Q273">
        <v>1</v>
      </c>
      <c r="W273">
        <v>0</v>
      </c>
      <c r="X273">
        <v>-1660354250</v>
      </c>
      <c r="Y273">
        <v>5</v>
      </c>
      <c r="AA273">
        <v>2.44</v>
      </c>
      <c r="AB273">
        <v>0</v>
      </c>
      <c r="AC273">
        <v>0</v>
      </c>
      <c r="AD273">
        <v>0</v>
      </c>
      <c r="AE273">
        <v>2.44</v>
      </c>
      <c r="AF273">
        <v>0</v>
      </c>
      <c r="AG273">
        <v>0</v>
      </c>
      <c r="AH273">
        <v>0</v>
      </c>
      <c r="AI273">
        <v>1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0</v>
      </c>
      <c r="AQ273">
        <v>0</v>
      </c>
      <c r="AR273">
        <v>0</v>
      </c>
      <c r="AS273" t="s">
        <v>3</v>
      </c>
      <c r="AT273">
        <v>5</v>
      </c>
      <c r="AU273" t="s">
        <v>3</v>
      </c>
      <c r="AV273">
        <v>0</v>
      </c>
      <c r="AW273">
        <v>2</v>
      </c>
      <c r="AX273">
        <v>47636408</v>
      </c>
      <c r="AY273">
        <v>1</v>
      </c>
      <c r="AZ273">
        <v>0</v>
      </c>
      <c r="BA273">
        <v>285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Y273*Source!I223</f>
        <v>0.91999999999999993</v>
      </c>
      <c r="CY273">
        <f>AA273</f>
        <v>2.44</v>
      </c>
      <c r="CZ273">
        <f>AE273</f>
        <v>2.44</v>
      </c>
      <c r="DA273">
        <f>AI273</f>
        <v>1</v>
      </c>
      <c r="DB273">
        <f>ROUND(ROUND(AT273*CZ273,2),6)</f>
        <v>12.2</v>
      </c>
      <c r="DC273">
        <f>ROUND(ROUND(AT273*AG273,2),6)</f>
        <v>0</v>
      </c>
    </row>
    <row r="274" spans="1:107" x14ac:dyDescent="0.2">
      <c r="A274">
        <f>ROW(Source!A223)</f>
        <v>223</v>
      </c>
      <c r="B274">
        <v>47631607</v>
      </c>
      <c r="C274">
        <v>47636393</v>
      </c>
      <c r="D274">
        <v>36806289</v>
      </c>
      <c r="E274">
        <v>1</v>
      </c>
      <c r="F274">
        <v>1</v>
      </c>
      <c r="G274">
        <v>1</v>
      </c>
      <c r="H274">
        <v>3</v>
      </c>
      <c r="I274" t="s">
        <v>101</v>
      </c>
      <c r="J274" t="s">
        <v>103</v>
      </c>
      <c r="K274" t="s">
        <v>102</v>
      </c>
      <c r="L274">
        <v>1339</v>
      </c>
      <c r="N274">
        <v>1007</v>
      </c>
      <c r="O274" t="s">
        <v>96</v>
      </c>
      <c r="P274" t="s">
        <v>96</v>
      </c>
      <c r="Q274">
        <v>1</v>
      </c>
      <c r="W274">
        <v>0</v>
      </c>
      <c r="X274">
        <v>-35545874</v>
      </c>
      <c r="Y274">
        <v>102</v>
      </c>
      <c r="AA274">
        <v>55.26</v>
      </c>
      <c r="AB274">
        <v>0</v>
      </c>
      <c r="AC274">
        <v>0</v>
      </c>
      <c r="AD274">
        <v>0</v>
      </c>
      <c r="AE274">
        <v>55.26</v>
      </c>
      <c r="AF274">
        <v>0</v>
      </c>
      <c r="AG274">
        <v>0</v>
      </c>
      <c r="AH274">
        <v>0</v>
      </c>
      <c r="AI274">
        <v>1</v>
      </c>
      <c r="AJ274">
        <v>1</v>
      </c>
      <c r="AK274">
        <v>1</v>
      </c>
      <c r="AL274">
        <v>1</v>
      </c>
      <c r="AN274">
        <v>1</v>
      </c>
      <c r="AO274">
        <v>0</v>
      </c>
      <c r="AP274">
        <v>0</v>
      </c>
      <c r="AQ274">
        <v>0</v>
      </c>
      <c r="AR274">
        <v>0</v>
      </c>
      <c r="AS274" t="s">
        <v>3</v>
      </c>
      <c r="AT274">
        <v>102</v>
      </c>
      <c r="AU274" t="s">
        <v>3</v>
      </c>
      <c r="AV274">
        <v>0</v>
      </c>
      <c r="AW274">
        <v>1</v>
      </c>
      <c r="AX274">
        <v>-1</v>
      </c>
      <c r="AY274">
        <v>0</v>
      </c>
      <c r="AZ274">
        <v>0</v>
      </c>
      <c r="BA274" t="s">
        <v>3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Y274*Source!I223</f>
        <v>18.768000000000001</v>
      </c>
      <c r="CY274">
        <f>AA274</f>
        <v>55.26</v>
      </c>
      <c r="CZ274">
        <f>AE274</f>
        <v>55.26</v>
      </c>
      <c r="DA274">
        <f>AI274</f>
        <v>1</v>
      </c>
      <c r="DB274">
        <f>ROUND(ROUND(AT274*CZ274,2),6)</f>
        <v>5636.52</v>
      </c>
      <c r="DC274">
        <f>ROUND(ROUND(AT274*AG274,2),6)</f>
        <v>0</v>
      </c>
    </row>
    <row r="275" spans="1:107" x14ac:dyDescent="0.2">
      <c r="A275">
        <f>ROW(Source!A225)</f>
        <v>225</v>
      </c>
      <c r="B275">
        <v>47631607</v>
      </c>
      <c r="C275">
        <v>47636411</v>
      </c>
      <c r="D275">
        <v>37066739</v>
      </c>
      <c r="E275">
        <v>1</v>
      </c>
      <c r="F275">
        <v>1</v>
      </c>
      <c r="G275">
        <v>1</v>
      </c>
      <c r="H275">
        <v>1</v>
      </c>
      <c r="I275" t="s">
        <v>675</v>
      </c>
      <c r="J275" t="s">
        <v>3</v>
      </c>
      <c r="K275" t="s">
        <v>676</v>
      </c>
      <c r="L275">
        <v>1191</v>
      </c>
      <c r="N275">
        <v>1013</v>
      </c>
      <c r="O275" t="s">
        <v>487</v>
      </c>
      <c r="P275" t="s">
        <v>487</v>
      </c>
      <c r="Q275">
        <v>1</v>
      </c>
      <c r="W275">
        <v>0</v>
      </c>
      <c r="X275">
        <v>-608433632</v>
      </c>
      <c r="Y275">
        <v>34.70239999999999</v>
      </c>
      <c r="AA275">
        <v>0</v>
      </c>
      <c r="AB275">
        <v>0</v>
      </c>
      <c r="AC275">
        <v>0</v>
      </c>
      <c r="AD275">
        <v>8.4600000000000009</v>
      </c>
      <c r="AE275">
        <v>0</v>
      </c>
      <c r="AF275">
        <v>0</v>
      </c>
      <c r="AG275">
        <v>0</v>
      </c>
      <c r="AH275">
        <v>8.4600000000000009</v>
      </c>
      <c r="AI275">
        <v>1</v>
      </c>
      <c r="AJ275">
        <v>1</v>
      </c>
      <c r="AK275">
        <v>1</v>
      </c>
      <c r="AL275">
        <v>1</v>
      </c>
      <c r="AN275">
        <v>0</v>
      </c>
      <c r="AO275">
        <v>1</v>
      </c>
      <c r="AP275">
        <v>1</v>
      </c>
      <c r="AQ275">
        <v>0</v>
      </c>
      <c r="AR275">
        <v>0</v>
      </c>
      <c r="AS275" t="s">
        <v>3</v>
      </c>
      <c r="AT275">
        <v>26.24</v>
      </c>
      <c r="AU275" t="s">
        <v>53</v>
      </c>
      <c r="AV275">
        <v>1</v>
      </c>
      <c r="AW275">
        <v>2</v>
      </c>
      <c r="AX275">
        <v>47636419</v>
      </c>
      <c r="AY275">
        <v>1</v>
      </c>
      <c r="AZ275">
        <v>0</v>
      </c>
      <c r="BA275">
        <v>287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Y275*Source!I225</f>
        <v>63.852415999999984</v>
      </c>
      <c r="CY275">
        <f>AD275</f>
        <v>8.4600000000000009</v>
      </c>
      <c r="CZ275">
        <f>AH275</f>
        <v>8.4600000000000009</v>
      </c>
      <c r="DA275">
        <f>AL275</f>
        <v>1</v>
      </c>
      <c r="DB275">
        <f>ROUND(((ROUND(AT275*CZ275,2)*1.15)*1.15),6)</f>
        <v>293.58177499999999</v>
      </c>
      <c r="DC275">
        <f>ROUND(((ROUND(AT275*AG275,2)*1.15)*1.15),6)</f>
        <v>0</v>
      </c>
    </row>
    <row r="276" spans="1:107" x14ac:dyDescent="0.2">
      <c r="A276">
        <f>ROW(Source!A225)</f>
        <v>225</v>
      </c>
      <c r="B276">
        <v>47631607</v>
      </c>
      <c r="C276">
        <v>47636411</v>
      </c>
      <c r="D276">
        <v>37064876</v>
      </c>
      <c r="E276">
        <v>1</v>
      </c>
      <c r="F276">
        <v>1</v>
      </c>
      <c r="G276">
        <v>1</v>
      </c>
      <c r="H276">
        <v>1</v>
      </c>
      <c r="I276" t="s">
        <v>500</v>
      </c>
      <c r="J276" t="s">
        <v>3</v>
      </c>
      <c r="K276" t="s">
        <v>501</v>
      </c>
      <c r="L276">
        <v>1191</v>
      </c>
      <c r="N276">
        <v>1013</v>
      </c>
      <c r="O276" t="s">
        <v>487</v>
      </c>
      <c r="P276" t="s">
        <v>487</v>
      </c>
      <c r="Q276">
        <v>1</v>
      </c>
      <c r="W276">
        <v>0</v>
      </c>
      <c r="X276">
        <v>-1417349443</v>
      </c>
      <c r="Y276">
        <v>3.17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3</v>
      </c>
      <c r="AT276">
        <v>3.17</v>
      </c>
      <c r="AU276" t="s">
        <v>3</v>
      </c>
      <c r="AV276">
        <v>2</v>
      </c>
      <c r="AW276">
        <v>2</v>
      </c>
      <c r="AX276">
        <v>47636420</v>
      </c>
      <c r="AY276">
        <v>1</v>
      </c>
      <c r="AZ276">
        <v>2048</v>
      </c>
      <c r="BA276">
        <v>288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Y276*Source!I225</f>
        <v>5.8327999999999998</v>
      </c>
      <c r="CY276">
        <f>AD276</f>
        <v>0</v>
      </c>
      <c r="CZ276">
        <f>AH276</f>
        <v>0</v>
      </c>
      <c r="DA276">
        <f>AL276</f>
        <v>1</v>
      </c>
      <c r="DB276">
        <f>ROUND(ROUND(AT276*CZ276,2),6)</f>
        <v>0</v>
      </c>
      <c r="DC276">
        <f>ROUND(ROUND(AT276*AG276,2),6)</f>
        <v>0</v>
      </c>
    </row>
    <row r="277" spans="1:107" x14ac:dyDescent="0.2">
      <c r="A277">
        <f>ROW(Source!A225)</f>
        <v>225</v>
      </c>
      <c r="B277">
        <v>47631607</v>
      </c>
      <c r="C277">
        <v>47636411</v>
      </c>
      <c r="D277">
        <v>36882383</v>
      </c>
      <c r="E277">
        <v>1</v>
      </c>
      <c r="F277">
        <v>1</v>
      </c>
      <c r="G277">
        <v>1</v>
      </c>
      <c r="H277">
        <v>2</v>
      </c>
      <c r="I277" t="s">
        <v>629</v>
      </c>
      <c r="J277" t="s">
        <v>630</v>
      </c>
      <c r="K277" t="s">
        <v>631</v>
      </c>
      <c r="L277">
        <v>1368</v>
      </c>
      <c r="N277">
        <v>1011</v>
      </c>
      <c r="O277" t="s">
        <v>505</v>
      </c>
      <c r="P277" t="s">
        <v>505</v>
      </c>
      <c r="Q277">
        <v>1</v>
      </c>
      <c r="W277">
        <v>0</v>
      </c>
      <c r="X277">
        <v>-665367104</v>
      </c>
      <c r="Y277">
        <v>1.6531249999999997</v>
      </c>
      <c r="AA277">
        <v>0</v>
      </c>
      <c r="AB277">
        <v>89.99</v>
      </c>
      <c r="AC277">
        <v>10.06</v>
      </c>
      <c r="AD277">
        <v>0</v>
      </c>
      <c r="AE277">
        <v>0</v>
      </c>
      <c r="AF277">
        <v>89.99</v>
      </c>
      <c r="AG277">
        <v>10.06</v>
      </c>
      <c r="AH277">
        <v>0</v>
      </c>
      <c r="AI277">
        <v>1</v>
      </c>
      <c r="AJ277">
        <v>1</v>
      </c>
      <c r="AK277">
        <v>1</v>
      </c>
      <c r="AL277">
        <v>1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3</v>
      </c>
      <c r="AT277">
        <v>1.1499999999999999</v>
      </c>
      <c r="AU277" t="s">
        <v>280</v>
      </c>
      <c r="AV277">
        <v>0</v>
      </c>
      <c r="AW277">
        <v>2</v>
      </c>
      <c r="AX277">
        <v>47636421</v>
      </c>
      <c r="AY277">
        <v>1</v>
      </c>
      <c r="AZ277">
        <v>0</v>
      </c>
      <c r="BA277">
        <v>289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Y277*Source!I225</f>
        <v>3.0417499999999995</v>
      </c>
      <c r="CY277">
        <f>AB277</f>
        <v>89.99</v>
      </c>
      <c r="CZ277">
        <f>AF277</f>
        <v>89.99</v>
      </c>
      <c r="DA277">
        <f>AJ277</f>
        <v>1</v>
      </c>
      <c r="DB277">
        <f>ROUND(((ROUND(AT277*CZ277,2)*1.15)*1.25),6)</f>
        <v>148.766875</v>
      </c>
      <c r="DC277">
        <f>ROUND(((ROUND(AT277*AG277,2)*1.15)*1.25),6)</f>
        <v>16.631875000000001</v>
      </c>
    </row>
    <row r="278" spans="1:107" x14ac:dyDescent="0.2">
      <c r="A278">
        <f>ROW(Source!A225)</f>
        <v>225</v>
      </c>
      <c r="B278">
        <v>47631607</v>
      </c>
      <c r="C278">
        <v>47636411</v>
      </c>
      <c r="D278">
        <v>36882722</v>
      </c>
      <c r="E278">
        <v>1</v>
      </c>
      <c r="F278">
        <v>1</v>
      </c>
      <c r="G278">
        <v>1</v>
      </c>
      <c r="H278">
        <v>2</v>
      </c>
      <c r="I278" t="s">
        <v>677</v>
      </c>
      <c r="J278" t="s">
        <v>678</v>
      </c>
      <c r="K278" t="s">
        <v>679</v>
      </c>
      <c r="L278">
        <v>1368</v>
      </c>
      <c r="N278">
        <v>1011</v>
      </c>
      <c r="O278" t="s">
        <v>505</v>
      </c>
      <c r="P278" t="s">
        <v>505</v>
      </c>
      <c r="Q278">
        <v>1</v>
      </c>
      <c r="W278">
        <v>0</v>
      </c>
      <c r="X278">
        <v>-891970060</v>
      </c>
      <c r="Y278">
        <v>2.1274999999999999</v>
      </c>
      <c r="AA278">
        <v>0</v>
      </c>
      <c r="AB278">
        <v>75</v>
      </c>
      <c r="AC278">
        <v>11.6</v>
      </c>
      <c r="AD278">
        <v>0</v>
      </c>
      <c r="AE278">
        <v>0</v>
      </c>
      <c r="AF278">
        <v>75</v>
      </c>
      <c r="AG278">
        <v>11.6</v>
      </c>
      <c r="AH278">
        <v>0</v>
      </c>
      <c r="AI278">
        <v>1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1</v>
      </c>
      <c r="AQ278">
        <v>0</v>
      </c>
      <c r="AR278">
        <v>0</v>
      </c>
      <c r="AS278" t="s">
        <v>3</v>
      </c>
      <c r="AT278">
        <v>1.48</v>
      </c>
      <c r="AU278" t="s">
        <v>280</v>
      </c>
      <c r="AV278">
        <v>0</v>
      </c>
      <c r="AW278">
        <v>2</v>
      </c>
      <c r="AX278">
        <v>47636422</v>
      </c>
      <c r="AY278">
        <v>1</v>
      </c>
      <c r="AZ278">
        <v>0</v>
      </c>
      <c r="BA278">
        <v>290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Y278*Source!I225</f>
        <v>3.9146000000000001</v>
      </c>
      <c r="CY278">
        <f>AB278</f>
        <v>75</v>
      </c>
      <c r="CZ278">
        <f>AF278</f>
        <v>75</v>
      </c>
      <c r="DA278">
        <f>AJ278</f>
        <v>1</v>
      </c>
      <c r="DB278">
        <f>ROUND(((ROUND(AT278*CZ278,2)*1.15)*1.25),6)</f>
        <v>159.5625</v>
      </c>
      <c r="DC278">
        <f>ROUND(((ROUND(AT278*AG278,2)*1.15)*1.25),6)</f>
        <v>24.681875000000002</v>
      </c>
    </row>
    <row r="279" spans="1:107" x14ac:dyDescent="0.2">
      <c r="A279">
        <f>ROW(Source!A225)</f>
        <v>225</v>
      </c>
      <c r="B279">
        <v>47631607</v>
      </c>
      <c r="C279">
        <v>47636411</v>
      </c>
      <c r="D279">
        <v>36883483</v>
      </c>
      <c r="E279">
        <v>1</v>
      </c>
      <c r="F279">
        <v>1</v>
      </c>
      <c r="G279">
        <v>1</v>
      </c>
      <c r="H279">
        <v>2</v>
      </c>
      <c r="I279" t="s">
        <v>672</v>
      </c>
      <c r="J279" t="s">
        <v>673</v>
      </c>
      <c r="K279" t="s">
        <v>674</v>
      </c>
      <c r="L279">
        <v>1368</v>
      </c>
      <c r="N279">
        <v>1011</v>
      </c>
      <c r="O279" t="s">
        <v>505</v>
      </c>
      <c r="P279" t="s">
        <v>505</v>
      </c>
      <c r="Q279">
        <v>1</v>
      </c>
      <c r="W279">
        <v>0</v>
      </c>
      <c r="X279">
        <v>1403266566</v>
      </c>
      <c r="Y279">
        <v>0.77625</v>
      </c>
      <c r="AA279">
        <v>0</v>
      </c>
      <c r="AB279">
        <v>110</v>
      </c>
      <c r="AC279">
        <v>11.6</v>
      </c>
      <c r="AD279">
        <v>0</v>
      </c>
      <c r="AE279">
        <v>0</v>
      </c>
      <c r="AF279">
        <v>110</v>
      </c>
      <c r="AG279">
        <v>11.6</v>
      </c>
      <c r="AH279">
        <v>0</v>
      </c>
      <c r="AI279">
        <v>1</v>
      </c>
      <c r="AJ279">
        <v>1</v>
      </c>
      <c r="AK279">
        <v>1</v>
      </c>
      <c r="AL279">
        <v>1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3</v>
      </c>
      <c r="AT279">
        <v>0.54</v>
      </c>
      <c r="AU279" t="s">
        <v>280</v>
      </c>
      <c r="AV279">
        <v>0</v>
      </c>
      <c r="AW279">
        <v>2</v>
      </c>
      <c r="AX279">
        <v>47636423</v>
      </c>
      <c r="AY279">
        <v>1</v>
      </c>
      <c r="AZ279">
        <v>0</v>
      </c>
      <c r="BA279">
        <v>291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Y279*Source!I225</f>
        <v>1.4283000000000001</v>
      </c>
      <c r="CY279">
        <f>AB279</f>
        <v>110</v>
      </c>
      <c r="CZ279">
        <f>AF279</f>
        <v>110</v>
      </c>
      <c r="DA279">
        <f>AJ279</f>
        <v>1</v>
      </c>
      <c r="DB279">
        <f>ROUND(((ROUND(AT279*CZ279,2)*1.15)*1.25),6)</f>
        <v>85.387500000000003</v>
      </c>
      <c r="DC279">
        <f>ROUND(((ROUND(AT279*AG279,2)*1.15)*1.25),6)</f>
        <v>8.9987499999999994</v>
      </c>
    </row>
    <row r="280" spans="1:107" x14ac:dyDescent="0.2">
      <c r="A280">
        <f>ROW(Source!A225)</f>
        <v>225</v>
      </c>
      <c r="B280">
        <v>47631607</v>
      </c>
      <c r="C280">
        <v>47636411</v>
      </c>
      <c r="D280">
        <v>36801792</v>
      </c>
      <c r="E280">
        <v>1</v>
      </c>
      <c r="F280">
        <v>1</v>
      </c>
      <c r="G280">
        <v>1</v>
      </c>
      <c r="H280">
        <v>3</v>
      </c>
      <c r="I280" t="s">
        <v>597</v>
      </c>
      <c r="J280" t="s">
        <v>598</v>
      </c>
      <c r="K280" t="s">
        <v>599</v>
      </c>
      <c r="L280">
        <v>1339</v>
      </c>
      <c r="N280">
        <v>1007</v>
      </c>
      <c r="O280" t="s">
        <v>96</v>
      </c>
      <c r="P280" t="s">
        <v>96</v>
      </c>
      <c r="Q280">
        <v>1</v>
      </c>
      <c r="W280">
        <v>0</v>
      </c>
      <c r="X280">
        <v>-1660354250</v>
      </c>
      <c r="Y280">
        <v>2</v>
      </c>
      <c r="AA280">
        <v>2.44</v>
      </c>
      <c r="AB280">
        <v>0</v>
      </c>
      <c r="AC280">
        <v>0</v>
      </c>
      <c r="AD280">
        <v>0</v>
      </c>
      <c r="AE280">
        <v>2.44</v>
      </c>
      <c r="AF280">
        <v>0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0</v>
      </c>
      <c r="AQ280">
        <v>0</v>
      </c>
      <c r="AR280">
        <v>0</v>
      </c>
      <c r="AS280" t="s">
        <v>3</v>
      </c>
      <c r="AT280">
        <v>2</v>
      </c>
      <c r="AU280" t="s">
        <v>3</v>
      </c>
      <c r="AV280">
        <v>0</v>
      </c>
      <c r="AW280">
        <v>2</v>
      </c>
      <c r="AX280">
        <v>47636424</v>
      </c>
      <c r="AY280">
        <v>1</v>
      </c>
      <c r="AZ280">
        <v>0</v>
      </c>
      <c r="BA280">
        <v>292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Y280*Source!I225</f>
        <v>3.68</v>
      </c>
      <c r="CY280">
        <f>AA280</f>
        <v>2.44</v>
      </c>
      <c r="CZ280">
        <f>AE280</f>
        <v>2.44</v>
      </c>
      <c r="DA280">
        <f>AI280</f>
        <v>1</v>
      </c>
      <c r="DB280">
        <f>ROUND(ROUND(AT280*CZ280,2),6)</f>
        <v>4.88</v>
      </c>
      <c r="DC280">
        <f>ROUND(ROUND(AT280*AG280,2),6)</f>
        <v>0</v>
      </c>
    </row>
    <row r="281" spans="1:107" x14ac:dyDescent="0.2">
      <c r="A281">
        <f>ROW(Source!A225)</f>
        <v>225</v>
      </c>
      <c r="B281">
        <v>47631607</v>
      </c>
      <c r="C281">
        <v>47636411</v>
      </c>
      <c r="D281">
        <v>36806177</v>
      </c>
      <c r="E281">
        <v>1</v>
      </c>
      <c r="F281">
        <v>1</v>
      </c>
      <c r="G281">
        <v>1</v>
      </c>
      <c r="H281">
        <v>3</v>
      </c>
      <c r="I281" t="s">
        <v>290</v>
      </c>
      <c r="J281" t="s">
        <v>292</v>
      </c>
      <c r="K281" t="s">
        <v>291</v>
      </c>
      <c r="L281">
        <v>1339</v>
      </c>
      <c r="N281">
        <v>1007</v>
      </c>
      <c r="O281" t="s">
        <v>96</v>
      </c>
      <c r="P281" t="s">
        <v>96</v>
      </c>
      <c r="Q281">
        <v>1</v>
      </c>
      <c r="W281">
        <v>0</v>
      </c>
      <c r="X281">
        <v>992648480</v>
      </c>
      <c r="Y281">
        <v>17.399999999999999</v>
      </c>
      <c r="AA281">
        <v>139.63</v>
      </c>
      <c r="AB281">
        <v>0</v>
      </c>
      <c r="AC281">
        <v>0</v>
      </c>
      <c r="AD281">
        <v>0</v>
      </c>
      <c r="AE281">
        <v>139.63</v>
      </c>
      <c r="AF281">
        <v>0</v>
      </c>
      <c r="AG281">
        <v>0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0</v>
      </c>
      <c r="AP281">
        <v>0</v>
      </c>
      <c r="AQ281">
        <v>0</v>
      </c>
      <c r="AR281">
        <v>0</v>
      </c>
      <c r="AS281" t="s">
        <v>3</v>
      </c>
      <c r="AT281">
        <v>17.399999999999999</v>
      </c>
      <c r="AU281" t="s">
        <v>3</v>
      </c>
      <c r="AV281">
        <v>0</v>
      </c>
      <c r="AW281">
        <v>1</v>
      </c>
      <c r="AX281">
        <v>-1</v>
      </c>
      <c r="AY281">
        <v>0</v>
      </c>
      <c r="AZ281">
        <v>0</v>
      </c>
      <c r="BA281" t="s">
        <v>3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Y281*Source!I225</f>
        <v>32.015999999999998</v>
      </c>
      <c r="CY281">
        <f>AA281</f>
        <v>139.63</v>
      </c>
      <c r="CZ281">
        <f>AE281</f>
        <v>139.63</v>
      </c>
      <c r="DA281">
        <f>AI281</f>
        <v>1</v>
      </c>
      <c r="DB281">
        <f>ROUND(ROUND(AT281*CZ281,2),6)</f>
        <v>2429.56</v>
      </c>
      <c r="DC281">
        <f>ROUND(ROUND(AT281*AG281,2),6)</f>
        <v>0</v>
      </c>
    </row>
    <row r="282" spans="1:107" x14ac:dyDescent="0.2">
      <c r="A282">
        <f>ROW(Source!A227)</f>
        <v>227</v>
      </c>
      <c r="B282">
        <v>47631607</v>
      </c>
      <c r="C282">
        <v>47636427</v>
      </c>
      <c r="D282">
        <v>37066739</v>
      </c>
      <c r="E282">
        <v>1</v>
      </c>
      <c r="F282">
        <v>1</v>
      </c>
      <c r="G282">
        <v>1</v>
      </c>
      <c r="H282">
        <v>1</v>
      </c>
      <c r="I282" t="s">
        <v>675</v>
      </c>
      <c r="J282" t="s">
        <v>3</v>
      </c>
      <c r="K282" t="s">
        <v>676</v>
      </c>
      <c r="L282">
        <v>1191</v>
      </c>
      <c r="N282">
        <v>1013</v>
      </c>
      <c r="O282" t="s">
        <v>487</v>
      </c>
      <c r="P282" t="s">
        <v>487</v>
      </c>
      <c r="Q282">
        <v>1</v>
      </c>
      <c r="W282">
        <v>0</v>
      </c>
      <c r="X282">
        <v>-608433632</v>
      </c>
      <c r="Y282">
        <v>2.1424499999999997</v>
      </c>
      <c r="AA282">
        <v>0</v>
      </c>
      <c r="AB282">
        <v>0</v>
      </c>
      <c r="AC282">
        <v>0</v>
      </c>
      <c r="AD282">
        <v>8.4600000000000009</v>
      </c>
      <c r="AE282">
        <v>0</v>
      </c>
      <c r="AF282">
        <v>0</v>
      </c>
      <c r="AG282">
        <v>0</v>
      </c>
      <c r="AH282">
        <v>8.4600000000000009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3</v>
      </c>
      <c r="AT282">
        <v>0.54</v>
      </c>
      <c r="AU282" t="s">
        <v>385</v>
      </c>
      <c r="AV282">
        <v>1</v>
      </c>
      <c r="AW282">
        <v>2</v>
      </c>
      <c r="AX282">
        <v>47636432</v>
      </c>
      <c r="AY282">
        <v>1</v>
      </c>
      <c r="AZ282">
        <v>0</v>
      </c>
      <c r="BA282">
        <v>294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Y282*Source!I227</f>
        <v>3.9421079999999997</v>
      </c>
      <c r="CY282">
        <f>AD282</f>
        <v>8.4600000000000009</v>
      </c>
      <c r="CZ282">
        <f>AH282</f>
        <v>8.4600000000000009</v>
      </c>
      <c r="DA282">
        <f>AL282</f>
        <v>1</v>
      </c>
      <c r="DB282">
        <f>ROUND((((ROUND(AT282*CZ282,2)*3)*1.15)*1.15),6)</f>
        <v>18.131474999999998</v>
      </c>
      <c r="DC282">
        <f>ROUND((((ROUND(AT282*AG282,2)*3)*1.15)*1.15),6)</f>
        <v>0</v>
      </c>
    </row>
    <row r="283" spans="1:107" x14ac:dyDescent="0.2">
      <c r="A283">
        <f>ROW(Source!A227)</f>
        <v>227</v>
      </c>
      <c r="B283">
        <v>47631607</v>
      </c>
      <c r="C283">
        <v>47636427</v>
      </c>
      <c r="D283">
        <v>37064876</v>
      </c>
      <c r="E283">
        <v>1</v>
      </c>
      <c r="F283">
        <v>1</v>
      </c>
      <c r="G283">
        <v>1</v>
      </c>
      <c r="H283">
        <v>1</v>
      </c>
      <c r="I283" t="s">
        <v>500</v>
      </c>
      <c r="J283" t="s">
        <v>3</v>
      </c>
      <c r="K283" t="s">
        <v>501</v>
      </c>
      <c r="L283">
        <v>1191</v>
      </c>
      <c r="N283">
        <v>1013</v>
      </c>
      <c r="O283" t="s">
        <v>487</v>
      </c>
      <c r="P283" t="s">
        <v>487</v>
      </c>
      <c r="Q283">
        <v>1</v>
      </c>
      <c r="W283">
        <v>0</v>
      </c>
      <c r="X283">
        <v>-1417349443</v>
      </c>
      <c r="Y283">
        <v>0.1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0</v>
      </c>
      <c r="AQ283">
        <v>0</v>
      </c>
      <c r="AR283">
        <v>0</v>
      </c>
      <c r="AS283" t="s">
        <v>3</v>
      </c>
      <c r="AT283">
        <v>0.1</v>
      </c>
      <c r="AU283" t="s">
        <v>3</v>
      </c>
      <c r="AV283">
        <v>2</v>
      </c>
      <c r="AW283">
        <v>2</v>
      </c>
      <c r="AX283">
        <v>47636433</v>
      </c>
      <c r="AY283">
        <v>1</v>
      </c>
      <c r="AZ283">
        <v>2048</v>
      </c>
      <c r="BA283">
        <v>295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Y283*Source!I227</f>
        <v>0.18400000000000002</v>
      </c>
      <c r="CY283">
        <f>AD283</f>
        <v>0</v>
      </c>
      <c r="CZ283">
        <f>AH283</f>
        <v>0</v>
      </c>
      <c r="DA283">
        <f>AL283</f>
        <v>1</v>
      </c>
      <c r="DB283">
        <f>ROUND(ROUND(AT283*CZ283,2),6)</f>
        <v>0</v>
      </c>
      <c r="DC283">
        <f>ROUND(ROUND(AT283*AG283,2),6)</f>
        <v>0</v>
      </c>
    </row>
    <row r="284" spans="1:107" x14ac:dyDescent="0.2">
      <c r="A284">
        <f>ROW(Source!A227)</f>
        <v>227</v>
      </c>
      <c r="B284">
        <v>47631607</v>
      </c>
      <c r="C284">
        <v>47636427</v>
      </c>
      <c r="D284">
        <v>36882383</v>
      </c>
      <c r="E284">
        <v>1</v>
      </c>
      <c r="F284">
        <v>1</v>
      </c>
      <c r="G284">
        <v>1</v>
      </c>
      <c r="H284">
        <v>2</v>
      </c>
      <c r="I284" t="s">
        <v>629</v>
      </c>
      <c r="J284" t="s">
        <v>630</v>
      </c>
      <c r="K284" t="s">
        <v>631</v>
      </c>
      <c r="L284">
        <v>1368</v>
      </c>
      <c r="N284">
        <v>1011</v>
      </c>
      <c r="O284" t="s">
        <v>505</v>
      </c>
      <c r="P284" t="s">
        <v>505</v>
      </c>
      <c r="Q284">
        <v>1</v>
      </c>
      <c r="W284">
        <v>0</v>
      </c>
      <c r="X284">
        <v>-665367104</v>
      </c>
      <c r="Y284">
        <v>0.43125000000000002</v>
      </c>
      <c r="AA284">
        <v>0</v>
      </c>
      <c r="AB284">
        <v>89.99</v>
      </c>
      <c r="AC284">
        <v>10.06</v>
      </c>
      <c r="AD284">
        <v>0</v>
      </c>
      <c r="AE284">
        <v>0</v>
      </c>
      <c r="AF284">
        <v>89.99</v>
      </c>
      <c r="AG284">
        <v>10.06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3</v>
      </c>
      <c r="AT284">
        <v>0.1</v>
      </c>
      <c r="AU284" t="s">
        <v>384</v>
      </c>
      <c r="AV284">
        <v>0</v>
      </c>
      <c r="AW284">
        <v>2</v>
      </c>
      <c r="AX284">
        <v>47636434</v>
      </c>
      <c r="AY284">
        <v>1</v>
      </c>
      <c r="AZ284">
        <v>0</v>
      </c>
      <c r="BA284">
        <v>296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Y284*Source!I227</f>
        <v>0.79350000000000009</v>
      </c>
      <c r="CY284">
        <f>AB284</f>
        <v>89.99</v>
      </c>
      <c r="CZ284">
        <f>AF284</f>
        <v>89.99</v>
      </c>
      <c r="DA284">
        <f>AJ284</f>
        <v>1</v>
      </c>
      <c r="DB284">
        <f>ROUND((((ROUND(AT284*CZ284,2)*3)*1.15)*1.25),6)</f>
        <v>38.8125</v>
      </c>
      <c r="DC284">
        <f>ROUND((((ROUND(AT284*AG284,2)*3)*1.15)*1.25),6)</f>
        <v>4.3556249999999999</v>
      </c>
    </row>
    <row r="285" spans="1:107" x14ac:dyDescent="0.2">
      <c r="A285">
        <f>ROW(Source!A227)</f>
        <v>227</v>
      </c>
      <c r="B285">
        <v>47631607</v>
      </c>
      <c r="C285">
        <v>47636427</v>
      </c>
      <c r="D285">
        <v>36806177</v>
      </c>
      <c r="E285">
        <v>1</v>
      </c>
      <c r="F285">
        <v>1</v>
      </c>
      <c r="G285">
        <v>1</v>
      </c>
      <c r="H285">
        <v>3</v>
      </c>
      <c r="I285" t="s">
        <v>290</v>
      </c>
      <c r="J285" t="s">
        <v>292</v>
      </c>
      <c r="K285" t="s">
        <v>291</v>
      </c>
      <c r="L285">
        <v>1339</v>
      </c>
      <c r="N285">
        <v>1007</v>
      </c>
      <c r="O285" t="s">
        <v>96</v>
      </c>
      <c r="P285" t="s">
        <v>96</v>
      </c>
      <c r="Q285">
        <v>1</v>
      </c>
      <c r="W285">
        <v>0</v>
      </c>
      <c r="X285">
        <v>992648480</v>
      </c>
      <c r="Y285">
        <v>13.5</v>
      </c>
      <c r="AA285">
        <v>139.63</v>
      </c>
      <c r="AB285">
        <v>0</v>
      </c>
      <c r="AC285">
        <v>0</v>
      </c>
      <c r="AD285">
        <v>0</v>
      </c>
      <c r="AE285">
        <v>139.63</v>
      </c>
      <c r="AF285">
        <v>0</v>
      </c>
      <c r="AG285">
        <v>0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0</v>
      </c>
      <c r="AP285">
        <v>1</v>
      </c>
      <c r="AQ285">
        <v>0</v>
      </c>
      <c r="AR285">
        <v>0</v>
      </c>
      <c r="AS285" t="s">
        <v>3</v>
      </c>
      <c r="AT285">
        <v>4.5</v>
      </c>
      <c r="AU285" t="s">
        <v>297</v>
      </c>
      <c r="AV285">
        <v>0</v>
      </c>
      <c r="AW285">
        <v>1</v>
      </c>
      <c r="AX285">
        <v>-1</v>
      </c>
      <c r="AY285">
        <v>0</v>
      </c>
      <c r="AZ285">
        <v>0</v>
      </c>
      <c r="BA285" t="s">
        <v>3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Y285*Source!I227</f>
        <v>24.84</v>
      </c>
      <c r="CY285">
        <f>AA285</f>
        <v>139.63</v>
      </c>
      <c r="CZ285">
        <f>AE285</f>
        <v>139.63</v>
      </c>
      <c r="DA285">
        <f>AI285</f>
        <v>1</v>
      </c>
      <c r="DB285">
        <f>ROUND((ROUND(AT285*CZ285,2)*3),6)</f>
        <v>1885.02</v>
      </c>
      <c r="DC285">
        <f>ROUND((ROUND(AT285*AG285,2)*3),6)</f>
        <v>0</v>
      </c>
    </row>
    <row r="286" spans="1:107" x14ac:dyDescent="0.2">
      <c r="A286">
        <f>ROW(Source!A229)</f>
        <v>229</v>
      </c>
      <c r="B286">
        <v>47631607</v>
      </c>
      <c r="C286">
        <v>47636437</v>
      </c>
      <c r="D286">
        <v>37070164</v>
      </c>
      <c r="E286">
        <v>1</v>
      </c>
      <c r="F286">
        <v>1</v>
      </c>
      <c r="G286">
        <v>1</v>
      </c>
      <c r="H286">
        <v>1</v>
      </c>
      <c r="I286" t="s">
        <v>680</v>
      </c>
      <c r="J286" t="s">
        <v>3</v>
      </c>
      <c r="K286" t="s">
        <v>681</v>
      </c>
      <c r="L286">
        <v>1191</v>
      </c>
      <c r="N286">
        <v>1013</v>
      </c>
      <c r="O286" t="s">
        <v>487</v>
      </c>
      <c r="P286" t="s">
        <v>487</v>
      </c>
      <c r="Q286">
        <v>1</v>
      </c>
      <c r="W286">
        <v>0</v>
      </c>
      <c r="X286">
        <v>-598469600</v>
      </c>
      <c r="Y286">
        <v>19.996199999999995</v>
      </c>
      <c r="AA286">
        <v>0</v>
      </c>
      <c r="AB286">
        <v>0</v>
      </c>
      <c r="AC286">
        <v>0</v>
      </c>
      <c r="AD286">
        <v>9.2899999999999991</v>
      </c>
      <c r="AE286">
        <v>0</v>
      </c>
      <c r="AF286">
        <v>0</v>
      </c>
      <c r="AG286">
        <v>0</v>
      </c>
      <c r="AH286">
        <v>9.2899999999999991</v>
      </c>
      <c r="AI286">
        <v>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1</v>
      </c>
      <c r="AQ286">
        <v>0</v>
      </c>
      <c r="AR286">
        <v>0</v>
      </c>
      <c r="AS286" t="s">
        <v>3</v>
      </c>
      <c r="AT286">
        <v>15.12</v>
      </c>
      <c r="AU286" t="s">
        <v>53</v>
      </c>
      <c r="AV286">
        <v>1</v>
      </c>
      <c r="AW286">
        <v>2</v>
      </c>
      <c r="AX286">
        <v>47636447</v>
      </c>
      <c r="AY286">
        <v>1</v>
      </c>
      <c r="AZ286">
        <v>0</v>
      </c>
      <c r="BA286">
        <v>298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Y286*Source!I229</f>
        <v>36.793007999999993</v>
      </c>
      <c r="CY286">
        <f>AD286</f>
        <v>9.2899999999999991</v>
      </c>
      <c r="CZ286">
        <f>AH286</f>
        <v>9.2899999999999991</v>
      </c>
      <c r="DA286">
        <f>AL286</f>
        <v>1</v>
      </c>
      <c r="DB286">
        <f>ROUND(((ROUND(AT286*CZ286,2)*1.15)*1.15),6)</f>
        <v>185.75835000000001</v>
      </c>
      <c r="DC286">
        <f>ROUND(((ROUND(AT286*AG286,2)*1.15)*1.15),6)</f>
        <v>0</v>
      </c>
    </row>
    <row r="287" spans="1:107" x14ac:dyDescent="0.2">
      <c r="A287">
        <f>ROW(Source!A229)</f>
        <v>229</v>
      </c>
      <c r="B287">
        <v>47631607</v>
      </c>
      <c r="C287">
        <v>47636437</v>
      </c>
      <c r="D287">
        <v>37064876</v>
      </c>
      <c r="E287">
        <v>1</v>
      </c>
      <c r="F287">
        <v>1</v>
      </c>
      <c r="G287">
        <v>1</v>
      </c>
      <c r="H287">
        <v>1</v>
      </c>
      <c r="I287" t="s">
        <v>500</v>
      </c>
      <c r="J287" t="s">
        <v>3</v>
      </c>
      <c r="K287" t="s">
        <v>501</v>
      </c>
      <c r="L287">
        <v>1191</v>
      </c>
      <c r="N287">
        <v>1013</v>
      </c>
      <c r="O287" t="s">
        <v>487</v>
      </c>
      <c r="P287" t="s">
        <v>487</v>
      </c>
      <c r="Q287">
        <v>1</v>
      </c>
      <c r="W287">
        <v>0</v>
      </c>
      <c r="X287">
        <v>-1417349443</v>
      </c>
      <c r="Y287">
        <v>7.0000000000000007E-2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3</v>
      </c>
      <c r="AT287">
        <v>7.0000000000000007E-2</v>
      </c>
      <c r="AU287" t="s">
        <v>3</v>
      </c>
      <c r="AV287">
        <v>2</v>
      </c>
      <c r="AW287">
        <v>2</v>
      </c>
      <c r="AX287">
        <v>47636448</v>
      </c>
      <c r="AY287">
        <v>1</v>
      </c>
      <c r="AZ287">
        <v>2048</v>
      </c>
      <c r="BA287">
        <v>299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Y287*Source!I229</f>
        <v>0.12880000000000003</v>
      </c>
      <c r="CY287">
        <f>AD287</f>
        <v>0</v>
      </c>
      <c r="CZ287">
        <f>AH287</f>
        <v>0</v>
      </c>
      <c r="DA287">
        <f>AL287</f>
        <v>1</v>
      </c>
      <c r="DB287">
        <f>ROUND(ROUND(AT287*CZ287,2),6)</f>
        <v>0</v>
      </c>
      <c r="DC287">
        <f>ROUND(ROUND(AT287*AG287,2),6)</f>
        <v>0</v>
      </c>
    </row>
    <row r="288" spans="1:107" x14ac:dyDescent="0.2">
      <c r="A288">
        <f>ROW(Source!A229)</f>
        <v>229</v>
      </c>
      <c r="B288">
        <v>47631607</v>
      </c>
      <c r="C288">
        <v>47636437</v>
      </c>
      <c r="D288">
        <v>36882159</v>
      </c>
      <c r="E288">
        <v>1</v>
      </c>
      <c r="F288">
        <v>1</v>
      </c>
      <c r="G288">
        <v>1</v>
      </c>
      <c r="H288">
        <v>2</v>
      </c>
      <c r="I288" t="s">
        <v>518</v>
      </c>
      <c r="J288" t="s">
        <v>519</v>
      </c>
      <c r="K288" t="s">
        <v>520</v>
      </c>
      <c r="L288">
        <v>1368</v>
      </c>
      <c r="N288">
        <v>1011</v>
      </c>
      <c r="O288" t="s">
        <v>505</v>
      </c>
      <c r="P288" t="s">
        <v>505</v>
      </c>
      <c r="Q288">
        <v>1</v>
      </c>
      <c r="W288">
        <v>0</v>
      </c>
      <c r="X288">
        <v>-1718674368</v>
      </c>
      <c r="Y288">
        <v>2.8749999999999998E-2</v>
      </c>
      <c r="AA288">
        <v>0</v>
      </c>
      <c r="AB288">
        <v>111.99</v>
      </c>
      <c r="AC288">
        <v>13.5</v>
      </c>
      <c r="AD288">
        <v>0</v>
      </c>
      <c r="AE288">
        <v>0</v>
      </c>
      <c r="AF288">
        <v>111.99</v>
      </c>
      <c r="AG288">
        <v>13.5</v>
      </c>
      <c r="AH288">
        <v>0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1</v>
      </c>
      <c r="AQ288">
        <v>0</v>
      </c>
      <c r="AR288">
        <v>0</v>
      </c>
      <c r="AS288" t="s">
        <v>3</v>
      </c>
      <c r="AT288">
        <v>0.02</v>
      </c>
      <c r="AU288" t="s">
        <v>280</v>
      </c>
      <c r="AV288">
        <v>0</v>
      </c>
      <c r="AW288">
        <v>2</v>
      </c>
      <c r="AX288">
        <v>47636449</v>
      </c>
      <c r="AY288">
        <v>1</v>
      </c>
      <c r="AZ288">
        <v>0</v>
      </c>
      <c r="BA288">
        <v>300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Y288*Source!I229</f>
        <v>5.2899999999999996E-2</v>
      </c>
      <c r="CY288">
        <f>AB288</f>
        <v>111.99</v>
      </c>
      <c r="CZ288">
        <f>AF288</f>
        <v>111.99</v>
      </c>
      <c r="DA288">
        <f>AJ288</f>
        <v>1</v>
      </c>
      <c r="DB288">
        <f>ROUND(((ROUND(AT288*CZ288,2)*1.15)*1.25),6)</f>
        <v>3.22</v>
      </c>
      <c r="DC288">
        <f>ROUND(((ROUND(AT288*AG288,2)*1.15)*1.25),6)</f>
        <v>0.388125</v>
      </c>
    </row>
    <row r="289" spans="1:107" x14ac:dyDescent="0.2">
      <c r="A289">
        <f>ROW(Source!A229)</f>
        <v>229</v>
      </c>
      <c r="B289">
        <v>47631607</v>
      </c>
      <c r="C289">
        <v>47636437</v>
      </c>
      <c r="D289">
        <v>36882383</v>
      </c>
      <c r="E289">
        <v>1</v>
      </c>
      <c r="F289">
        <v>1</v>
      </c>
      <c r="G289">
        <v>1</v>
      </c>
      <c r="H289">
        <v>2</v>
      </c>
      <c r="I289" t="s">
        <v>629</v>
      </c>
      <c r="J289" t="s">
        <v>630</v>
      </c>
      <c r="K289" t="s">
        <v>631</v>
      </c>
      <c r="L289">
        <v>1368</v>
      </c>
      <c r="N289">
        <v>1011</v>
      </c>
      <c r="O289" t="s">
        <v>505</v>
      </c>
      <c r="P289" t="s">
        <v>505</v>
      </c>
      <c r="Q289">
        <v>1</v>
      </c>
      <c r="W289">
        <v>0</v>
      </c>
      <c r="X289">
        <v>-665367104</v>
      </c>
      <c r="Y289">
        <v>4.3124999999999997E-2</v>
      </c>
      <c r="AA289">
        <v>0</v>
      </c>
      <c r="AB289">
        <v>89.99</v>
      </c>
      <c r="AC289">
        <v>10.06</v>
      </c>
      <c r="AD289">
        <v>0</v>
      </c>
      <c r="AE289">
        <v>0</v>
      </c>
      <c r="AF289">
        <v>89.99</v>
      </c>
      <c r="AG289">
        <v>10.06</v>
      </c>
      <c r="AH289">
        <v>0</v>
      </c>
      <c r="AI289">
        <v>1</v>
      </c>
      <c r="AJ289">
        <v>1</v>
      </c>
      <c r="AK289">
        <v>1</v>
      </c>
      <c r="AL289">
        <v>1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3</v>
      </c>
      <c r="AT289">
        <v>0.03</v>
      </c>
      <c r="AU289" t="s">
        <v>280</v>
      </c>
      <c r="AV289">
        <v>0</v>
      </c>
      <c r="AW289">
        <v>2</v>
      </c>
      <c r="AX289">
        <v>47636450</v>
      </c>
      <c r="AY289">
        <v>1</v>
      </c>
      <c r="AZ289">
        <v>0</v>
      </c>
      <c r="BA289">
        <v>301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Y289*Source!I229</f>
        <v>7.9350000000000004E-2</v>
      </c>
      <c r="CY289">
        <f>AB289</f>
        <v>89.99</v>
      </c>
      <c r="CZ289">
        <f>AF289</f>
        <v>89.99</v>
      </c>
      <c r="DA289">
        <f>AJ289</f>
        <v>1</v>
      </c>
      <c r="DB289">
        <f>ROUND(((ROUND(AT289*CZ289,2)*1.15)*1.25),6)</f>
        <v>3.8812500000000001</v>
      </c>
      <c r="DC289">
        <f>ROUND(((ROUND(AT289*AG289,2)*1.15)*1.25),6)</f>
        <v>0.43125000000000002</v>
      </c>
    </row>
    <row r="290" spans="1:107" x14ac:dyDescent="0.2">
      <c r="A290">
        <f>ROW(Source!A229)</f>
        <v>229</v>
      </c>
      <c r="B290">
        <v>47631607</v>
      </c>
      <c r="C290">
        <v>47636437</v>
      </c>
      <c r="D290">
        <v>36882881</v>
      </c>
      <c r="E290">
        <v>1</v>
      </c>
      <c r="F290">
        <v>1</v>
      </c>
      <c r="G290">
        <v>1</v>
      </c>
      <c r="H290">
        <v>2</v>
      </c>
      <c r="I290" t="s">
        <v>682</v>
      </c>
      <c r="J290" t="s">
        <v>683</v>
      </c>
      <c r="K290" t="s">
        <v>684</v>
      </c>
      <c r="L290">
        <v>1368</v>
      </c>
      <c r="N290">
        <v>1011</v>
      </c>
      <c r="O290" t="s">
        <v>505</v>
      </c>
      <c r="P290" t="s">
        <v>505</v>
      </c>
      <c r="Q290">
        <v>1</v>
      </c>
      <c r="W290">
        <v>0</v>
      </c>
      <c r="X290">
        <v>1144198402</v>
      </c>
      <c r="Y290">
        <v>1.2218749999999998</v>
      </c>
      <c r="AA290">
        <v>0</v>
      </c>
      <c r="AB290">
        <v>60</v>
      </c>
      <c r="AC290">
        <v>0</v>
      </c>
      <c r="AD290">
        <v>0</v>
      </c>
      <c r="AE290">
        <v>0</v>
      </c>
      <c r="AF290">
        <v>60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N290">
        <v>0</v>
      </c>
      <c r="AO290">
        <v>1</v>
      </c>
      <c r="AP290">
        <v>1</v>
      </c>
      <c r="AQ290">
        <v>0</v>
      </c>
      <c r="AR290">
        <v>0</v>
      </c>
      <c r="AS290" t="s">
        <v>3</v>
      </c>
      <c r="AT290">
        <v>0.85</v>
      </c>
      <c r="AU290" t="s">
        <v>280</v>
      </c>
      <c r="AV290">
        <v>0</v>
      </c>
      <c r="AW290">
        <v>2</v>
      </c>
      <c r="AX290">
        <v>47636451</v>
      </c>
      <c r="AY290">
        <v>1</v>
      </c>
      <c r="AZ290">
        <v>0</v>
      </c>
      <c r="BA290">
        <v>302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Y290*Source!I229</f>
        <v>2.2482499999999996</v>
      </c>
      <c r="CY290">
        <f>AB290</f>
        <v>60</v>
      </c>
      <c r="CZ290">
        <f>AF290</f>
        <v>60</v>
      </c>
      <c r="DA290">
        <f>AJ290</f>
        <v>1</v>
      </c>
      <c r="DB290">
        <f>ROUND(((ROUND(AT290*CZ290,2)*1.15)*1.25),6)</f>
        <v>73.3125</v>
      </c>
      <c r="DC290">
        <f>ROUND(((ROUND(AT290*AG290,2)*1.15)*1.25),6)</f>
        <v>0</v>
      </c>
    </row>
    <row r="291" spans="1:107" x14ac:dyDescent="0.2">
      <c r="A291">
        <f>ROW(Source!A229)</f>
        <v>229</v>
      </c>
      <c r="B291">
        <v>47631607</v>
      </c>
      <c r="C291">
        <v>47636437</v>
      </c>
      <c r="D291">
        <v>36883554</v>
      </c>
      <c r="E291">
        <v>1</v>
      </c>
      <c r="F291">
        <v>1</v>
      </c>
      <c r="G291">
        <v>1</v>
      </c>
      <c r="H291">
        <v>2</v>
      </c>
      <c r="I291" t="s">
        <v>509</v>
      </c>
      <c r="J291" t="s">
        <v>510</v>
      </c>
      <c r="K291" t="s">
        <v>511</v>
      </c>
      <c r="L291">
        <v>1368</v>
      </c>
      <c r="N291">
        <v>1011</v>
      </c>
      <c r="O291" t="s">
        <v>505</v>
      </c>
      <c r="P291" t="s">
        <v>505</v>
      </c>
      <c r="Q291">
        <v>1</v>
      </c>
      <c r="W291">
        <v>0</v>
      </c>
      <c r="X291">
        <v>1372534845</v>
      </c>
      <c r="Y291">
        <v>2.8749999999999998E-2</v>
      </c>
      <c r="AA291">
        <v>0</v>
      </c>
      <c r="AB291">
        <v>65.709999999999994</v>
      </c>
      <c r="AC291">
        <v>11.6</v>
      </c>
      <c r="AD291">
        <v>0</v>
      </c>
      <c r="AE291">
        <v>0</v>
      </c>
      <c r="AF291">
        <v>65.709999999999994</v>
      </c>
      <c r="AG291">
        <v>11.6</v>
      </c>
      <c r="AH291">
        <v>0</v>
      </c>
      <c r="AI291">
        <v>1</v>
      </c>
      <c r="AJ291">
        <v>1</v>
      </c>
      <c r="AK291">
        <v>1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3</v>
      </c>
      <c r="AT291">
        <v>0.02</v>
      </c>
      <c r="AU291" t="s">
        <v>280</v>
      </c>
      <c r="AV291">
        <v>0</v>
      </c>
      <c r="AW291">
        <v>2</v>
      </c>
      <c r="AX291">
        <v>47636452</v>
      </c>
      <c r="AY291">
        <v>1</v>
      </c>
      <c r="AZ291">
        <v>0</v>
      </c>
      <c r="BA291">
        <v>303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Y291*Source!I229</f>
        <v>5.2899999999999996E-2</v>
      </c>
      <c r="CY291">
        <f>AB291</f>
        <v>65.709999999999994</v>
      </c>
      <c r="CZ291">
        <f>AF291</f>
        <v>65.709999999999994</v>
      </c>
      <c r="DA291">
        <f>AJ291</f>
        <v>1</v>
      </c>
      <c r="DB291">
        <f>ROUND(((ROUND(AT291*CZ291,2)*1.15)*1.25),6)</f>
        <v>1.8831249999999999</v>
      </c>
      <c r="DC291">
        <f>ROUND(((ROUND(AT291*AG291,2)*1.15)*1.25),6)</f>
        <v>0.330625</v>
      </c>
    </row>
    <row r="292" spans="1:107" x14ac:dyDescent="0.2">
      <c r="A292">
        <f>ROW(Source!A229)</f>
        <v>229</v>
      </c>
      <c r="B292">
        <v>47631607</v>
      </c>
      <c r="C292">
        <v>47636437</v>
      </c>
      <c r="D292">
        <v>36799835</v>
      </c>
      <c r="E292">
        <v>1</v>
      </c>
      <c r="F292">
        <v>1</v>
      </c>
      <c r="G292">
        <v>1</v>
      </c>
      <c r="H292">
        <v>3</v>
      </c>
      <c r="I292" t="s">
        <v>685</v>
      </c>
      <c r="J292" t="s">
        <v>686</v>
      </c>
      <c r="K292" t="s">
        <v>687</v>
      </c>
      <c r="L292">
        <v>1348</v>
      </c>
      <c r="N292">
        <v>1009</v>
      </c>
      <c r="O292" t="s">
        <v>32</v>
      </c>
      <c r="P292" t="s">
        <v>32</v>
      </c>
      <c r="Q292">
        <v>1000</v>
      </c>
      <c r="W292">
        <v>0</v>
      </c>
      <c r="X292">
        <v>-940730847</v>
      </c>
      <c r="Y292">
        <v>0.06</v>
      </c>
      <c r="AA292">
        <v>1690</v>
      </c>
      <c r="AB292">
        <v>0</v>
      </c>
      <c r="AC292">
        <v>0</v>
      </c>
      <c r="AD292">
        <v>0</v>
      </c>
      <c r="AE292">
        <v>1690</v>
      </c>
      <c r="AF292">
        <v>0</v>
      </c>
      <c r="AG292">
        <v>0</v>
      </c>
      <c r="AH292">
        <v>0</v>
      </c>
      <c r="AI292">
        <v>1</v>
      </c>
      <c r="AJ292">
        <v>1</v>
      </c>
      <c r="AK292">
        <v>1</v>
      </c>
      <c r="AL292">
        <v>1</v>
      </c>
      <c r="AN292">
        <v>0</v>
      </c>
      <c r="AO292">
        <v>1</v>
      </c>
      <c r="AP292">
        <v>0</v>
      </c>
      <c r="AQ292">
        <v>0</v>
      </c>
      <c r="AR292">
        <v>0</v>
      </c>
      <c r="AS292" t="s">
        <v>3</v>
      </c>
      <c r="AT292">
        <v>0.06</v>
      </c>
      <c r="AU292" t="s">
        <v>3</v>
      </c>
      <c r="AV292">
        <v>0</v>
      </c>
      <c r="AW292">
        <v>2</v>
      </c>
      <c r="AX292">
        <v>47636453</v>
      </c>
      <c r="AY292">
        <v>1</v>
      </c>
      <c r="AZ292">
        <v>0</v>
      </c>
      <c r="BA292">
        <v>304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Y292*Source!I229</f>
        <v>0.1104</v>
      </c>
      <c r="CY292">
        <f>AA292</f>
        <v>1690</v>
      </c>
      <c r="CZ292">
        <f>AE292</f>
        <v>1690</v>
      </c>
      <c r="DA292">
        <f>AI292</f>
        <v>1</v>
      </c>
      <c r="DB292">
        <f>ROUND(ROUND(AT292*CZ292,2),6)</f>
        <v>101.4</v>
      </c>
      <c r="DC292">
        <f>ROUND(ROUND(AT292*AG292,2),6)</f>
        <v>0</v>
      </c>
    </row>
    <row r="293" spans="1:107" x14ac:dyDescent="0.2">
      <c r="A293">
        <f>ROW(Source!A229)</f>
        <v>229</v>
      </c>
      <c r="B293">
        <v>47631607</v>
      </c>
      <c r="C293">
        <v>47636437</v>
      </c>
      <c r="D293">
        <v>36806289</v>
      </c>
      <c r="E293">
        <v>1</v>
      </c>
      <c r="F293">
        <v>1</v>
      </c>
      <c r="G293">
        <v>1</v>
      </c>
      <c r="H293">
        <v>3</v>
      </c>
      <c r="I293" t="s">
        <v>101</v>
      </c>
      <c r="J293" t="s">
        <v>103</v>
      </c>
      <c r="K293" t="s">
        <v>102</v>
      </c>
      <c r="L293">
        <v>1339</v>
      </c>
      <c r="N293">
        <v>1007</v>
      </c>
      <c r="O293" t="s">
        <v>96</v>
      </c>
      <c r="P293" t="s">
        <v>96</v>
      </c>
      <c r="Q293">
        <v>1</v>
      </c>
      <c r="W293">
        <v>0</v>
      </c>
      <c r="X293">
        <v>-35545874</v>
      </c>
      <c r="Y293">
        <v>0.5</v>
      </c>
      <c r="AA293">
        <v>55.26</v>
      </c>
      <c r="AB293">
        <v>0</v>
      </c>
      <c r="AC293">
        <v>0</v>
      </c>
      <c r="AD293">
        <v>0</v>
      </c>
      <c r="AE293">
        <v>55.26</v>
      </c>
      <c r="AF293">
        <v>0</v>
      </c>
      <c r="AG293">
        <v>0</v>
      </c>
      <c r="AH293">
        <v>0</v>
      </c>
      <c r="AI293">
        <v>1</v>
      </c>
      <c r="AJ293">
        <v>1</v>
      </c>
      <c r="AK293">
        <v>1</v>
      </c>
      <c r="AL293">
        <v>1</v>
      </c>
      <c r="AN293">
        <v>0</v>
      </c>
      <c r="AO293">
        <v>0</v>
      </c>
      <c r="AP293">
        <v>0</v>
      </c>
      <c r="AQ293">
        <v>0</v>
      </c>
      <c r="AR293">
        <v>0</v>
      </c>
      <c r="AS293" t="s">
        <v>3</v>
      </c>
      <c r="AT293">
        <v>0.5</v>
      </c>
      <c r="AU293" t="s">
        <v>3</v>
      </c>
      <c r="AV293">
        <v>0</v>
      </c>
      <c r="AW293">
        <v>1</v>
      </c>
      <c r="AX293">
        <v>-1</v>
      </c>
      <c r="AY293">
        <v>0</v>
      </c>
      <c r="AZ293">
        <v>0</v>
      </c>
      <c r="BA293" t="s">
        <v>3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Y293*Source!I229</f>
        <v>0.92</v>
      </c>
      <c r="CY293">
        <f>AA293</f>
        <v>55.26</v>
      </c>
      <c r="CZ293">
        <f>AE293</f>
        <v>55.26</v>
      </c>
      <c r="DA293">
        <f>AI293</f>
        <v>1</v>
      </c>
      <c r="DB293">
        <f>ROUND(ROUND(AT293*CZ293,2),6)</f>
        <v>27.63</v>
      </c>
      <c r="DC293">
        <f>ROUND(ROUND(AT293*AG293,2),6)</f>
        <v>0</v>
      </c>
    </row>
    <row r="294" spans="1:107" x14ac:dyDescent="0.2">
      <c r="A294">
        <f>ROW(Source!A229)</f>
        <v>229</v>
      </c>
      <c r="B294">
        <v>47631607</v>
      </c>
      <c r="C294">
        <v>47636437</v>
      </c>
      <c r="D294">
        <v>36807191</v>
      </c>
      <c r="E294">
        <v>1</v>
      </c>
      <c r="F294">
        <v>1</v>
      </c>
      <c r="G294">
        <v>1</v>
      </c>
      <c r="H294">
        <v>3</v>
      </c>
      <c r="I294" t="s">
        <v>305</v>
      </c>
      <c r="J294" t="s">
        <v>307</v>
      </c>
      <c r="K294" t="s">
        <v>306</v>
      </c>
      <c r="L294">
        <v>1348</v>
      </c>
      <c r="N294">
        <v>1009</v>
      </c>
      <c r="O294" t="s">
        <v>32</v>
      </c>
      <c r="P294" t="s">
        <v>32</v>
      </c>
      <c r="Q294">
        <v>1000</v>
      </c>
      <c r="W294">
        <v>0</v>
      </c>
      <c r="X294">
        <v>1957326309</v>
      </c>
      <c r="Y294">
        <v>7.14</v>
      </c>
      <c r="AA294">
        <v>535.5</v>
      </c>
      <c r="AB294">
        <v>0</v>
      </c>
      <c r="AC294">
        <v>0</v>
      </c>
      <c r="AD294">
        <v>0</v>
      </c>
      <c r="AE294">
        <v>535.5</v>
      </c>
      <c r="AF294">
        <v>0</v>
      </c>
      <c r="AG294">
        <v>0</v>
      </c>
      <c r="AH294">
        <v>0</v>
      </c>
      <c r="AI294">
        <v>1</v>
      </c>
      <c r="AJ294">
        <v>1</v>
      </c>
      <c r="AK294">
        <v>1</v>
      </c>
      <c r="AL294">
        <v>1</v>
      </c>
      <c r="AN294">
        <v>0</v>
      </c>
      <c r="AO294">
        <v>0</v>
      </c>
      <c r="AP294">
        <v>0</v>
      </c>
      <c r="AQ294">
        <v>0</v>
      </c>
      <c r="AR294">
        <v>0</v>
      </c>
      <c r="AS294" t="s">
        <v>3</v>
      </c>
      <c r="AT294">
        <v>7.14</v>
      </c>
      <c r="AU294" t="s">
        <v>3</v>
      </c>
      <c r="AV294">
        <v>0</v>
      </c>
      <c r="AW294">
        <v>1</v>
      </c>
      <c r="AX294">
        <v>-1</v>
      </c>
      <c r="AY294">
        <v>0</v>
      </c>
      <c r="AZ294">
        <v>0</v>
      </c>
      <c r="BA294" t="s">
        <v>3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Y294*Source!I229</f>
        <v>13.137600000000001</v>
      </c>
      <c r="CY294">
        <f>AA294</f>
        <v>535.5</v>
      </c>
      <c r="CZ294">
        <f>AE294</f>
        <v>535.5</v>
      </c>
      <c r="DA294">
        <f>AI294</f>
        <v>1</v>
      </c>
      <c r="DB294">
        <f>ROUND(ROUND(AT294*CZ294,2),6)</f>
        <v>3823.47</v>
      </c>
      <c r="DC294">
        <f>ROUND(ROUND(AT294*AG294,2),6)</f>
        <v>0</v>
      </c>
    </row>
    <row r="295" spans="1:107" x14ac:dyDescent="0.2">
      <c r="A295">
        <f>ROW(Source!A232)</f>
        <v>232</v>
      </c>
      <c r="B295">
        <v>47631607</v>
      </c>
      <c r="C295">
        <v>47636458</v>
      </c>
      <c r="D295">
        <v>37070164</v>
      </c>
      <c r="E295">
        <v>1</v>
      </c>
      <c r="F295">
        <v>1</v>
      </c>
      <c r="G295">
        <v>1</v>
      </c>
      <c r="H295">
        <v>1</v>
      </c>
      <c r="I295" t="s">
        <v>680</v>
      </c>
      <c r="J295" t="s">
        <v>3</v>
      </c>
      <c r="K295" t="s">
        <v>681</v>
      </c>
      <c r="L295">
        <v>1191</v>
      </c>
      <c r="N295">
        <v>1013</v>
      </c>
      <c r="O295" t="s">
        <v>487</v>
      </c>
      <c r="P295" t="s">
        <v>487</v>
      </c>
      <c r="Q295">
        <v>1</v>
      </c>
      <c r="W295">
        <v>0</v>
      </c>
      <c r="X295">
        <v>-598469600</v>
      </c>
      <c r="Y295">
        <v>3.0681999999999996</v>
      </c>
      <c r="AA295">
        <v>0</v>
      </c>
      <c r="AB295">
        <v>0</v>
      </c>
      <c r="AC295">
        <v>0</v>
      </c>
      <c r="AD295">
        <v>9.2899999999999991</v>
      </c>
      <c r="AE295">
        <v>0</v>
      </c>
      <c r="AF295">
        <v>0</v>
      </c>
      <c r="AG295">
        <v>0</v>
      </c>
      <c r="AH295">
        <v>9.2899999999999991</v>
      </c>
      <c r="AI295">
        <v>1</v>
      </c>
      <c r="AJ295">
        <v>1</v>
      </c>
      <c r="AK295">
        <v>1</v>
      </c>
      <c r="AL295">
        <v>1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3</v>
      </c>
      <c r="AT295">
        <v>2.3199999999999998</v>
      </c>
      <c r="AU295" t="s">
        <v>53</v>
      </c>
      <c r="AV295">
        <v>1</v>
      </c>
      <c r="AW295">
        <v>2</v>
      </c>
      <c r="AX295">
        <v>47636462</v>
      </c>
      <c r="AY295">
        <v>1</v>
      </c>
      <c r="AZ295">
        <v>0</v>
      </c>
      <c r="BA295">
        <v>307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Y295*Source!I232</f>
        <v>5.6454879999999994</v>
      </c>
      <c r="CY295">
        <f>AD295</f>
        <v>9.2899999999999991</v>
      </c>
      <c r="CZ295">
        <f>AH295</f>
        <v>9.2899999999999991</v>
      </c>
      <c r="DA295">
        <f>AL295</f>
        <v>1</v>
      </c>
      <c r="DB295">
        <f>ROUND(((ROUND(AT295*CZ295,2)*1.15)*1.15),6)</f>
        <v>28.499874999999999</v>
      </c>
      <c r="DC295">
        <f>ROUND(((ROUND(AT295*AG295,2)*1.15)*1.15),6)</f>
        <v>0</v>
      </c>
    </row>
    <row r="296" spans="1:107" x14ac:dyDescent="0.2">
      <c r="A296">
        <f>ROW(Source!A232)</f>
        <v>232</v>
      </c>
      <c r="B296">
        <v>47631607</v>
      </c>
      <c r="C296">
        <v>47636458</v>
      </c>
      <c r="D296">
        <v>36882881</v>
      </c>
      <c r="E296">
        <v>1</v>
      </c>
      <c r="F296">
        <v>1</v>
      </c>
      <c r="G296">
        <v>1</v>
      </c>
      <c r="H296">
        <v>2</v>
      </c>
      <c r="I296" t="s">
        <v>682</v>
      </c>
      <c r="J296" t="s">
        <v>683</v>
      </c>
      <c r="K296" t="s">
        <v>684</v>
      </c>
      <c r="L296">
        <v>1368</v>
      </c>
      <c r="N296">
        <v>1011</v>
      </c>
      <c r="O296" t="s">
        <v>505</v>
      </c>
      <c r="P296" t="s">
        <v>505</v>
      </c>
      <c r="Q296">
        <v>1</v>
      </c>
      <c r="W296">
        <v>0</v>
      </c>
      <c r="X296">
        <v>1144198402</v>
      </c>
      <c r="Y296">
        <v>0.20125000000000001</v>
      </c>
      <c r="AA296">
        <v>0</v>
      </c>
      <c r="AB296">
        <v>60</v>
      </c>
      <c r="AC296">
        <v>0</v>
      </c>
      <c r="AD296">
        <v>0</v>
      </c>
      <c r="AE296">
        <v>0</v>
      </c>
      <c r="AF296">
        <v>60</v>
      </c>
      <c r="AG296">
        <v>0</v>
      </c>
      <c r="AH296">
        <v>0</v>
      </c>
      <c r="AI296">
        <v>1</v>
      </c>
      <c r="AJ296">
        <v>1</v>
      </c>
      <c r="AK296">
        <v>1</v>
      </c>
      <c r="AL296">
        <v>1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3</v>
      </c>
      <c r="AT296">
        <v>0.14000000000000001</v>
      </c>
      <c r="AU296" t="s">
        <v>280</v>
      </c>
      <c r="AV296">
        <v>0</v>
      </c>
      <c r="AW296">
        <v>2</v>
      </c>
      <c r="AX296">
        <v>47636463</v>
      </c>
      <c r="AY296">
        <v>1</v>
      </c>
      <c r="AZ296">
        <v>0</v>
      </c>
      <c r="BA296">
        <v>308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Y296*Source!I232</f>
        <v>0.37030000000000002</v>
      </c>
      <c r="CY296">
        <f>AB296</f>
        <v>60</v>
      </c>
      <c r="CZ296">
        <f>AF296</f>
        <v>60</v>
      </c>
      <c r="DA296">
        <f>AJ296</f>
        <v>1</v>
      </c>
      <c r="DB296">
        <f>ROUND(((ROUND(AT296*CZ296,2)*1.15)*1.25),6)</f>
        <v>12.074999999999999</v>
      </c>
      <c r="DC296">
        <f>ROUND(((ROUND(AT296*AG296,2)*1.15)*1.25),6)</f>
        <v>0</v>
      </c>
    </row>
    <row r="297" spans="1:107" x14ac:dyDescent="0.2">
      <c r="A297">
        <f>ROW(Source!A232)</f>
        <v>232</v>
      </c>
      <c r="B297">
        <v>47631607</v>
      </c>
      <c r="C297">
        <v>47636458</v>
      </c>
      <c r="D297">
        <v>36807191</v>
      </c>
      <c r="E297">
        <v>1</v>
      </c>
      <c r="F297">
        <v>1</v>
      </c>
      <c r="G297">
        <v>1</v>
      </c>
      <c r="H297">
        <v>3</v>
      </c>
      <c r="I297" t="s">
        <v>305</v>
      </c>
      <c r="J297" t="s">
        <v>307</v>
      </c>
      <c r="K297" t="s">
        <v>306</v>
      </c>
      <c r="L297">
        <v>1348</v>
      </c>
      <c r="N297">
        <v>1009</v>
      </c>
      <c r="O297" t="s">
        <v>32</v>
      </c>
      <c r="P297" t="s">
        <v>32</v>
      </c>
      <c r="Q297">
        <v>1000</v>
      </c>
      <c r="W297">
        <v>0</v>
      </c>
      <c r="X297">
        <v>1957326309</v>
      </c>
      <c r="Y297">
        <v>1.21</v>
      </c>
      <c r="AA297">
        <v>535.5</v>
      </c>
      <c r="AB297">
        <v>0</v>
      </c>
      <c r="AC297">
        <v>0</v>
      </c>
      <c r="AD297">
        <v>0</v>
      </c>
      <c r="AE297">
        <v>535.5</v>
      </c>
      <c r="AF297">
        <v>0</v>
      </c>
      <c r="AG297">
        <v>0</v>
      </c>
      <c r="AH297">
        <v>0</v>
      </c>
      <c r="AI297">
        <v>1</v>
      </c>
      <c r="AJ297">
        <v>1</v>
      </c>
      <c r="AK297">
        <v>1</v>
      </c>
      <c r="AL297">
        <v>1</v>
      </c>
      <c r="AN297">
        <v>0</v>
      </c>
      <c r="AO297">
        <v>0</v>
      </c>
      <c r="AP297">
        <v>0</v>
      </c>
      <c r="AQ297">
        <v>0</v>
      </c>
      <c r="AR297">
        <v>0</v>
      </c>
      <c r="AS297" t="s">
        <v>3</v>
      </c>
      <c r="AT297">
        <v>1.21</v>
      </c>
      <c r="AU297" t="s">
        <v>3</v>
      </c>
      <c r="AV297">
        <v>0</v>
      </c>
      <c r="AW297">
        <v>1</v>
      </c>
      <c r="AX297">
        <v>-1</v>
      </c>
      <c r="AY297">
        <v>0</v>
      </c>
      <c r="AZ297">
        <v>0</v>
      </c>
      <c r="BA297" t="s">
        <v>3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Y297*Source!I232</f>
        <v>2.2263999999999999</v>
      </c>
      <c r="CY297">
        <f>AA297</f>
        <v>535.5</v>
      </c>
      <c r="CZ297">
        <f>AE297</f>
        <v>535.5</v>
      </c>
      <c r="DA297">
        <f>AI297</f>
        <v>1</v>
      </c>
      <c r="DB297">
        <f t="shared" ref="DB297:DB306" si="30">ROUND(ROUND(AT297*CZ297,2),6)</f>
        <v>647.96</v>
      </c>
      <c r="DC297">
        <f t="shared" ref="DC297:DC306" si="31">ROUND(ROUND(AT297*AG297,2),6)</f>
        <v>0</v>
      </c>
    </row>
    <row r="298" spans="1:107" x14ac:dyDescent="0.2">
      <c r="A298">
        <f>ROW(Source!A268)</f>
        <v>268</v>
      </c>
      <c r="B298">
        <v>47631607</v>
      </c>
      <c r="C298">
        <v>47636530</v>
      </c>
      <c r="D298">
        <v>37066739</v>
      </c>
      <c r="E298">
        <v>1</v>
      </c>
      <c r="F298">
        <v>1</v>
      </c>
      <c r="G298">
        <v>1</v>
      </c>
      <c r="H298">
        <v>1</v>
      </c>
      <c r="I298" t="s">
        <v>675</v>
      </c>
      <c r="J298" t="s">
        <v>3</v>
      </c>
      <c r="K298" t="s">
        <v>676</v>
      </c>
      <c r="L298">
        <v>1191</v>
      </c>
      <c r="N298">
        <v>1013</v>
      </c>
      <c r="O298" t="s">
        <v>487</v>
      </c>
      <c r="P298" t="s">
        <v>487</v>
      </c>
      <c r="Q298">
        <v>1</v>
      </c>
      <c r="W298">
        <v>0</v>
      </c>
      <c r="X298">
        <v>-608433632</v>
      </c>
      <c r="Y298">
        <v>5.99</v>
      </c>
      <c r="AA298">
        <v>0</v>
      </c>
      <c r="AB298">
        <v>0</v>
      </c>
      <c r="AC298">
        <v>0</v>
      </c>
      <c r="AD298">
        <v>8.4600000000000009</v>
      </c>
      <c r="AE298">
        <v>0</v>
      </c>
      <c r="AF298">
        <v>0</v>
      </c>
      <c r="AG298">
        <v>0</v>
      </c>
      <c r="AH298">
        <v>8.4600000000000009</v>
      </c>
      <c r="AI298">
        <v>1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3</v>
      </c>
      <c r="AT298">
        <v>5.99</v>
      </c>
      <c r="AU298" t="s">
        <v>3</v>
      </c>
      <c r="AV298">
        <v>1</v>
      </c>
      <c r="AW298">
        <v>2</v>
      </c>
      <c r="AX298">
        <v>47636531</v>
      </c>
      <c r="AY298">
        <v>1</v>
      </c>
      <c r="AZ298">
        <v>0</v>
      </c>
      <c r="BA298">
        <v>310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Y298*Source!I268</f>
        <v>22.282800000000002</v>
      </c>
      <c r="CY298">
        <f>AD298</f>
        <v>8.4600000000000009</v>
      </c>
      <c r="CZ298">
        <f>AH298</f>
        <v>8.4600000000000009</v>
      </c>
      <c r="DA298">
        <f>AL298</f>
        <v>1</v>
      </c>
      <c r="DB298">
        <f t="shared" si="30"/>
        <v>50.68</v>
      </c>
      <c r="DC298">
        <f t="shared" si="31"/>
        <v>0</v>
      </c>
    </row>
    <row r="299" spans="1:107" x14ac:dyDescent="0.2">
      <c r="A299">
        <f>ROW(Source!A268)</f>
        <v>268</v>
      </c>
      <c r="B299">
        <v>47631607</v>
      </c>
      <c r="C299">
        <v>47636530</v>
      </c>
      <c r="D299">
        <v>37064876</v>
      </c>
      <c r="E299">
        <v>1</v>
      </c>
      <c r="F299">
        <v>1</v>
      </c>
      <c r="G299">
        <v>1</v>
      </c>
      <c r="H299">
        <v>1</v>
      </c>
      <c r="I299" t="s">
        <v>500</v>
      </c>
      <c r="J299" t="s">
        <v>3</v>
      </c>
      <c r="K299" t="s">
        <v>501</v>
      </c>
      <c r="L299">
        <v>1191</v>
      </c>
      <c r="N299">
        <v>1013</v>
      </c>
      <c r="O299" t="s">
        <v>487</v>
      </c>
      <c r="P299" t="s">
        <v>487</v>
      </c>
      <c r="Q299">
        <v>1</v>
      </c>
      <c r="W299">
        <v>0</v>
      </c>
      <c r="X299">
        <v>-1417349443</v>
      </c>
      <c r="Y299">
        <v>2.74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3</v>
      </c>
      <c r="AT299">
        <v>2.74</v>
      </c>
      <c r="AU299" t="s">
        <v>3</v>
      </c>
      <c r="AV299">
        <v>2</v>
      </c>
      <c r="AW299">
        <v>2</v>
      </c>
      <c r="AX299">
        <v>47636532</v>
      </c>
      <c r="AY299">
        <v>1</v>
      </c>
      <c r="AZ299">
        <v>0</v>
      </c>
      <c r="BA299">
        <v>311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Y299*Source!I268</f>
        <v>10.192800000000002</v>
      </c>
      <c r="CY299">
        <f>AD299</f>
        <v>0</v>
      </c>
      <c r="CZ299">
        <f>AH299</f>
        <v>0</v>
      </c>
      <c r="DA299">
        <f>AL299</f>
        <v>1</v>
      </c>
      <c r="DB299">
        <f t="shared" si="30"/>
        <v>0</v>
      </c>
      <c r="DC299">
        <f t="shared" si="31"/>
        <v>0</v>
      </c>
    </row>
    <row r="300" spans="1:107" x14ac:dyDescent="0.2">
      <c r="A300">
        <f>ROW(Source!A268)</f>
        <v>268</v>
      </c>
      <c r="B300">
        <v>47631607</v>
      </c>
      <c r="C300">
        <v>47636530</v>
      </c>
      <c r="D300">
        <v>36883483</v>
      </c>
      <c r="E300">
        <v>1</v>
      </c>
      <c r="F300">
        <v>1</v>
      </c>
      <c r="G300">
        <v>1</v>
      </c>
      <c r="H300">
        <v>2</v>
      </c>
      <c r="I300" t="s">
        <v>672</v>
      </c>
      <c r="J300" t="s">
        <v>673</v>
      </c>
      <c r="K300" t="s">
        <v>674</v>
      </c>
      <c r="L300">
        <v>1368</v>
      </c>
      <c r="N300">
        <v>1011</v>
      </c>
      <c r="O300" t="s">
        <v>505</v>
      </c>
      <c r="P300" t="s">
        <v>505</v>
      </c>
      <c r="Q300">
        <v>1</v>
      </c>
      <c r="W300">
        <v>0</v>
      </c>
      <c r="X300">
        <v>529073949</v>
      </c>
      <c r="Y300">
        <v>2.74</v>
      </c>
      <c r="AA300">
        <v>0</v>
      </c>
      <c r="AB300">
        <v>110</v>
      </c>
      <c r="AC300">
        <v>11.6</v>
      </c>
      <c r="AD300">
        <v>0</v>
      </c>
      <c r="AE300">
        <v>0</v>
      </c>
      <c r="AF300">
        <v>110</v>
      </c>
      <c r="AG300">
        <v>11.6</v>
      </c>
      <c r="AH300">
        <v>0</v>
      </c>
      <c r="AI300">
        <v>1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0</v>
      </c>
      <c r="AQ300">
        <v>0</v>
      </c>
      <c r="AR300">
        <v>0</v>
      </c>
      <c r="AS300" t="s">
        <v>3</v>
      </c>
      <c r="AT300">
        <v>2.74</v>
      </c>
      <c r="AU300" t="s">
        <v>3</v>
      </c>
      <c r="AV300">
        <v>0</v>
      </c>
      <c r="AW300">
        <v>2</v>
      </c>
      <c r="AX300">
        <v>47636533</v>
      </c>
      <c r="AY300">
        <v>1</v>
      </c>
      <c r="AZ300">
        <v>0</v>
      </c>
      <c r="BA300">
        <v>312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Y300*Source!I268</f>
        <v>10.192800000000002</v>
      </c>
      <c r="CY300">
        <f>AB300</f>
        <v>110</v>
      </c>
      <c r="CZ300">
        <f>AF300</f>
        <v>110</v>
      </c>
      <c r="DA300">
        <f>AJ300</f>
        <v>1</v>
      </c>
      <c r="DB300">
        <f t="shared" si="30"/>
        <v>301.39999999999998</v>
      </c>
      <c r="DC300">
        <f t="shared" si="31"/>
        <v>31.78</v>
      </c>
    </row>
    <row r="301" spans="1:107" x14ac:dyDescent="0.2">
      <c r="A301">
        <f>ROW(Source!A268)</f>
        <v>268</v>
      </c>
      <c r="B301">
        <v>47631607</v>
      </c>
      <c r="C301">
        <v>47636530</v>
      </c>
      <c r="D301">
        <v>36801792</v>
      </c>
      <c r="E301">
        <v>1</v>
      </c>
      <c r="F301">
        <v>1</v>
      </c>
      <c r="G301">
        <v>1</v>
      </c>
      <c r="H301">
        <v>3</v>
      </c>
      <c r="I301" t="s">
        <v>597</v>
      </c>
      <c r="J301" t="s">
        <v>598</v>
      </c>
      <c r="K301" t="s">
        <v>599</v>
      </c>
      <c r="L301">
        <v>1339</v>
      </c>
      <c r="N301">
        <v>1007</v>
      </c>
      <c r="O301" t="s">
        <v>96</v>
      </c>
      <c r="P301" t="s">
        <v>96</v>
      </c>
      <c r="Q301">
        <v>1</v>
      </c>
      <c r="W301">
        <v>0</v>
      </c>
      <c r="X301">
        <v>-1660354250</v>
      </c>
      <c r="Y301">
        <v>10</v>
      </c>
      <c r="AA301">
        <v>2.44</v>
      </c>
      <c r="AB301">
        <v>0</v>
      </c>
      <c r="AC301">
        <v>0</v>
      </c>
      <c r="AD301">
        <v>0</v>
      </c>
      <c r="AE301">
        <v>2.44</v>
      </c>
      <c r="AF301">
        <v>0</v>
      </c>
      <c r="AG301">
        <v>0</v>
      </c>
      <c r="AH301">
        <v>0</v>
      </c>
      <c r="AI301">
        <v>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0</v>
      </c>
      <c r="AQ301">
        <v>0</v>
      </c>
      <c r="AR301">
        <v>0</v>
      </c>
      <c r="AS301" t="s">
        <v>3</v>
      </c>
      <c r="AT301">
        <v>10</v>
      </c>
      <c r="AU301" t="s">
        <v>3</v>
      </c>
      <c r="AV301">
        <v>0</v>
      </c>
      <c r="AW301">
        <v>2</v>
      </c>
      <c r="AX301">
        <v>47636534</v>
      </c>
      <c r="AY301">
        <v>1</v>
      </c>
      <c r="AZ301">
        <v>0</v>
      </c>
      <c r="BA301">
        <v>313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Y301*Source!I268</f>
        <v>37.200000000000003</v>
      </c>
      <c r="CY301">
        <f>AA301</f>
        <v>2.44</v>
      </c>
      <c r="CZ301">
        <f>AE301</f>
        <v>2.44</v>
      </c>
      <c r="DA301">
        <f>AI301</f>
        <v>1</v>
      </c>
      <c r="DB301">
        <f t="shared" si="30"/>
        <v>24.4</v>
      </c>
      <c r="DC301">
        <f t="shared" si="31"/>
        <v>0</v>
      </c>
    </row>
    <row r="302" spans="1:107" x14ac:dyDescent="0.2">
      <c r="A302">
        <f>ROW(Source!A268)</f>
        <v>268</v>
      </c>
      <c r="B302">
        <v>47631607</v>
      </c>
      <c r="C302">
        <v>47636530</v>
      </c>
      <c r="D302">
        <v>36840413</v>
      </c>
      <c r="E302">
        <v>1</v>
      </c>
      <c r="F302">
        <v>1</v>
      </c>
      <c r="G302">
        <v>1</v>
      </c>
      <c r="H302">
        <v>3</v>
      </c>
      <c r="I302" t="s">
        <v>398</v>
      </c>
      <c r="J302" t="s">
        <v>401</v>
      </c>
      <c r="K302" t="s">
        <v>399</v>
      </c>
      <c r="L302">
        <v>1346</v>
      </c>
      <c r="N302">
        <v>1009</v>
      </c>
      <c r="O302" t="s">
        <v>400</v>
      </c>
      <c r="P302" t="s">
        <v>400</v>
      </c>
      <c r="Q302">
        <v>1</v>
      </c>
      <c r="W302">
        <v>0</v>
      </c>
      <c r="X302">
        <v>-1440369693</v>
      </c>
      <c r="Y302">
        <v>2</v>
      </c>
      <c r="AA302">
        <v>146.25</v>
      </c>
      <c r="AB302">
        <v>0</v>
      </c>
      <c r="AC302">
        <v>0</v>
      </c>
      <c r="AD302">
        <v>0</v>
      </c>
      <c r="AE302">
        <v>146.25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N302">
        <v>0</v>
      </c>
      <c r="AO302">
        <v>0</v>
      </c>
      <c r="AP302">
        <v>0</v>
      </c>
      <c r="AQ302">
        <v>0</v>
      </c>
      <c r="AR302">
        <v>0</v>
      </c>
      <c r="AS302" t="s">
        <v>3</v>
      </c>
      <c r="AT302">
        <v>2</v>
      </c>
      <c r="AU302" t="s">
        <v>3</v>
      </c>
      <c r="AV302">
        <v>0</v>
      </c>
      <c r="AW302">
        <v>1</v>
      </c>
      <c r="AX302">
        <v>-1</v>
      </c>
      <c r="AY302">
        <v>0</v>
      </c>
      <c r="AZ302">
        <v>0</v>
      </c>
      <c r="BA302" t="s">
        <v>3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Y302*Source!I268</f>
        <v>7.44</v>
      </c>
      <c r="CY302">
        <f>AA302</f>
        <v>146.25</v>
      </c>
      <c r="CZ302">
        <f>AE302</f>
        <v>146.25</v>
      </c>
      <c r="DA302">
        <f>AI302</f>
        <v>1</v>
      </c>
      <c r="DB302">
        <f t="shared" si="30"/>
        <v>292.5</v>
      </c>
      <c r="DC302">
        <f t="shared" si="31"/>
        <v>0</v>
      </c>
    </row>
    <row r="303" spans="1:107" x14ac:dyDescent="0.2">
      <c r="A303">
        <f>ROW(Source!A270)</f>
        <v>270</v>
      </c>
      <c r="B303">
        <v>47631607</v>
      </c>
      <c r="C303">
        <v>47636537</v>
      </c>
      <c r="D303">
        <v>37066717</v>
      </c>
      <c r="E303">
        <v>1</v>
      </c>
      <c r="F303">
        <v>1</v>
      </c>
      <c r="G303">
        <v>1</v>
      </c>
      <c r="H303">
        <v>1</v>
      </c>
      <c r="I303" t="s">
        <v>485</v>
      </c>
      <c r="J303" t="s">
        <v>3</v>
      </c>
      <c r="K303" t="s">
        <v>486</v>
      </c>
      <c r="L303">
        <v>1191</v>
      </c>
      <c r="N303">
        <v>1013</v>
      </c>
      <c r="O303" t="s">
        <v>487</v>
      </c>
      <c r="P303" t="s">
        <v>487</v>
      </c>
      <c r="Q303">
        <v>1</v>
      </c>
      <c r="W303">
        <v>0</v>
      </c>
      <c r="X303">
        <v>-509590494</v>
      </c>
      <c r="Y303">
        <v>38.619999999999997</v>
      </c>
      <c r="AA303">
        <v>0</v>
      </c>
      <c r="AB303">
        <v>0</v>
      </c>
      <c r="AC303">
        <v>0</v>
      </c>
      <c r="AD303">
        <v>8.17</v>
      </c>
      <c r="AE303">
        <v>0</v>
      </c>
      <c r="AF303">
        <v>0</v>
      </c>
      <c r="AG303">
        <v>0</v>
      </c>
      <c r="AH303">
        <v>8.17</v>
      </c>
      <c r="AI303">
        <v>1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0</v>
      </c>
      <c r="AQ303">
        <v>0</v>
      </c>
      <c r="AR303">
        <v>0</v>
      </c>
      <c r="AS303" t="s">
        <v>3</v>
      </c>
      <c r="AT303">
        <v>38.619999999999997</v>
      </c>
      <c r="AU303" t="s">
        <v>3</v>
      </c>
      <c r="AV303">
        <v>1</v>
      </c>
      <c r="AW303">
        <v>2</v>
      </c>
      <c r="AX303">
        <v>47636538</v>
      </c>
      <c r="AY303">
        <v>1</v>
      </c>
      <c r="AZ303">
        <v>0</v>
      </c>
      <c r="BA303">
        <v>315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Y303*Source!I270</f>
        <v>143.66640000000001</v>
      </c>
      <c r="CY303">
        <f>AD303</f>
        <v>8.17</v>
      </c>
      <c r="CZ303">
        <f>AH303</f>
        <v>8.17</v>
      </c>
      <c r="DA303">
        <f>AL303</f>
        <v>1</v>
      </c>
      <c r="DB303">
        <f t="shared" si="30"/>
        <v>315.52999999999997</v>
      </c>
      <c r="DC303">
        <f t="shared" si="31"/>
        <v>0</v>
      </c>
    </row>
    <row r="304" spans="1:107" x14ac:dyDescent="0.2">
      <c r="A304">
        <f>ROW(Source!A270)</f>
        <v>270</v>
      </c>
      <c r="B304">
        <v>47631607</v>
      </c>
      <c r="C304">
        <v>47636537</v>
      </c>
      <c r="D304">
        <v>37064876</v>
      </c>
      <c r="E304">
        <v>1</v>
      </c>
      <c r="F304">
        <v>1</v>
      </c>
      <c r="G304">
        <v>1</v>
      </c>
      <c r="H304">
        <v>1</v>
      </c>
      <c r="I304" t="s">
        <v>500</v>
      </c>
      <c r="J304" t="s">
        <v>3</v>
      </c>
      <c r="K304" t="s">
        <v>501</v>
      </c>
      <c r="L304">
        <v>1191</v>
      </c>
      <c r="N304">
        <v>1013</v>
      </c>
      <c r="O304" t="s">
        <v>487</v>
      </c>
      <c r="P304" t="s">
        <v>487</v>
      </c>
      <c r="Q304">
        <v>1</v>
      </c>
      <c r="W304">
        <v>0</v>
      </c>
      <c r="X304">
        <v>-1417349443</v>
      </c>
      <c r="Y304">
        <v>2.74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1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0</v>
      </c>
      <c r="AQ304">
        <v>0</v>
      </c>
      <c r="AR304">
        <v>0</v>
      </c>
      <c r="AS304" t="s">
        <v>3</v>
      </c>
      <c r="AT304">
        <v>2.74</v>
      </c>
      <c r="AU304" t="s">
        <v>3</v>
      </c>
      <c r="AV304">
        <v>2</v>
      </c>
      <c r="AW304">
        <v>2</v>
      </c>
      <c r="AX304">
        <v>47636539</v>
      </c>
      <c r="AY304">
        <v>1</v>
      </c>
      <c r="AZ304">
        <v>0</v>
      </c>
      <c r="BA304">
        <v>316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Y304*Source!I270</f>
        <v>10.192800000000002</v>
      </c>
      <c r="CY304">
        <f>AD304</f>
        <v>0</v>
      </c>
      <c r="CZ304">
        <f>AH304</f>
        <v>0</v>
      </c>
      <c r="DA304">
        <f>AL304</f>
        <v>1</v>
      </c>
      <c r="DB304">
        <f t="shared" si="30"/>
        <v>0</v>
      </c>
      <c r="DC304">
        <f t="shared" si="31"/>
        <v>0</v>
      </c>
    </row>
    <row r="305" spans="1:107" x14ac:dyDescent="0.2">
      <c r="A305">
        <f>ROW(Source!A270)</f>
        <v>270</v>
      </c>
      <c r="B305">
        <v>47631607</v>
      </c>
      <c r="C305">
        <v>47636537</v>
      </c>
      <c r="D305">
        <v>36883483</v>
      </c>
      <c r="E305">
        <v>1</v>
      </c>
      <c r="F305">
        <v>1</v>
      </c>
      <c r="G305">
        <v>1</v>
      </c>
      <c r="H305">
        <v>2</v>
      </c>
      <c r="I305" t="s">
        <v>672</v>
      </c>
      <c r="J305" t="s">
        <v>673</v>
      </c>
      <c r="K305" t="s">
        <v>674</v>
      </c>
      <c r="L305">
        <v>1368</v>
      </c>
      <c r="N305">
        <v>1011</v>
      </c>
      <c r="O305" t="s">
        <v>505</v>
      </c>
      <c r="P305" t="s">
        <v>505</v>
      </c>
      <c r="Q305">
        <v>1</v>
      </c>
      <c r="W305">
        <v>0</v>
      </c>
      <c r="X305">
        <v>529073949</v>
      </c>
      <c r="Y305">
        <v>2.74</v>
      </c>
      <c r="AA305">
        <v>0</v>
      </c>
      <c r="AB305">
        <v>110</v>
      </c>
      <c r="AC305">
        <v>11.6</v>
      </c>
      <c r="AD305">
        <v>0</v>
      </c>
      <c r="AE305">
        <v>0</v>
      </c>
      <c r="AF305">
        <v>110</v>
      </c>
      <c r="AG305">
        <v>11.6</v>
      </c>
      <c r="AH305">
        <v>0</v>
      </c>
      <c r="AI305">
        <v>1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0</v>
      </c>
      <c r="AQ305">
        <v>0</v>
      </c>
      <c r="AR305">
        <v>0</v>
      </c>
      <c r="AS305" t="s">
        <v>3</v>
      </c>
      <c r="AT305">
        <v>2.74</v>
      </c>
      <c r="AU305" t="s">
        <v>3</v>
      </c>
      <c r="AV305">
        <v>0</v>
      </c>
      <c r="AW305">
        <v>2</v>
      </c>
      <c r="AX305">
        <v>47636540</v>
      </c>
      <c r="AY305">
        <v>1</v>
      </c>
      <c r="AZ305">
        <v>0</v>
      </c>
      <c r="BA305">
        <v>317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Y305*Source!I270</f>
        <v>10.192800000000002</v>
      </c>
      <c r="CY305">
        <f>AB305</f>
        <v>110</v>
      </c>
      <c r="CZ305">
        <f>AF305</f>
        <v>110</v>
      </c>
      <c r="DA305">
        <f>AJ305</f>
        <v>1</v>
      </c>
      <c r="DB305">
        <f t="shared" si="30"/>
        <v>301.39999999999998</v>
      </c>
      <c r="DC305">
        <f t="shared" si="31"/>
        <v>31.78</v>
      </c>
    </row>
    <row r="306" spans="1:107" x14ac:dyDescent="0.2">
      <c r="A306">
        <f>ROW(Source!A270)</f>
        <v>270</v>
      </c>
      <c r="B306">
        <v>47631607</v>
      </c>
      <c r="C306">
        <v>47636537</v>
      </c>
      <c r="D306">
        <v>36801792</v>
      </c>
      <c r="E306">
        <v>1</v>
      </c>
      <c r="F306">
        <v>1</v>
      </c>
      <c r="G306">
        <v>1</v>
      </c>
      <c r="H306">
        <v>3</v>
      </c>
      <c r="I306" t="s">
        <v>597</v>
      </c>
      <c r="J306" t="s">
        <v>598</v>
      </c>
      <c r="K306" t="s">
        <v>599</v>
      </c>
      <c r="L306">
        <v>1339</v>
      </c>
      <c r="N306">
        <v>1007</v>
      </c>
      <c r="O306" t="s">
        <v>96</v>
      </c>
      <c r="P306" t="s">
        <v>96</v>
      </c>
      <c r="Q306">
        <v>1</v>
      </c>
      <c r="W306">
        <v>0</v>
      </c>
      <c r="X306">
        <v>-1660354250</v>
      </c>
      <c r="Y306">
        <v>10</v>
      </c>
      <c r="AA306">
        <v>2.44</v>
      </c>
      <c r="AB306">
        <v>0</v>
      </c>
      <c r="AC306">
        <v>0</v>
      </c>
      <c r="AD306">
        <v>0</v>
      </c>
      <c r="AE306">
        <v>2.44</v>
      </c>
      <c r="AF306">
        <v>0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0</v>
      </c>
      <c r="AQ306">
        <v>0</v>
      </c>
      <c r="AR306">
        <v>0</v>
      </c>
      <c r="AS306" t="s">
        <v>3</v>
      </c>
      <c r="AT306">
        <v>10</v>
      </c>
      <c r="AU306" t="s">
        <v>3</v>
      </c>
      <c r="AV306">
        <v>0</v>
      </c>
      <c r="AW306">
        <v>2</v>
      </c>
      <c r="AX306">
        <v>47636541</v>
      </c>
      <c r="AY306">
        <v>1</v>
      </c>
      <c r="AZ306">
        <v>0</v>
      </c>
      <c r="BA306">
        <v>318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Y306*Source!I270</f>
        <v>37.200000000000003</v>
      </c>
      <c r="CY306">
        <f>AA306</f>
        <v>2.44</v>
      </c>
      <c r="CZ306">
        <f>AE306</f>
        <v>2.44</v>
      </c>
      <c r="DA306">
        <f>AI306</f>
        <v>1</v>
      </c>
      <c r="DB306">
        <f t="shared" si="30"/>
        <v>24.4</v>
      </c>
      <c r="DC306">
        <f t="shared" si="3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ROW(Source!A29)</f>
        <v>29</v>
      </c>
      <c r="B1">
        <v>47635620</v>
      </c>
      <c r="C1">
        <v>47635619</v>
      </c>
      <c r="D1">
        <v>37066717</v>
      </c>
      <c r="E1">
        <v>1</v>
      </c>
      <c r="F1">
        <v>1</v>
      </c>
      <c r="G1">
        <v>1</v>
      </c>
      <c r="H1">
        <v>1</v>
      </c>
      <c r="I1" t="s">
        <v>485</v>
      </c>
      <c r="J1" t="s">
        <v>3</v>
      </c>
      <c r="K1" t="s">
        <v>486</v>
      </c>
      <c r="L1">
        <v>1191</v>
      </c>
      <c r="N1">
        <v>1013</v>
      </c>
      <c r="O1" t="s">
        <v>487</v>
      </c>
      <c r="P1" t="s">
        <v>487</v>
      </c>
      <c r="Q1">
        <v>1</v>
      </c>
      <c r="X1">
        <v>53.36</v>
      </c>
      <c r="Y1">
        <v>0</v>
      </c>
      <c r="Z1">
        <v>0</v>
      </c>
      <c r="AA1">
        <v>0</v>
      </c>
      <c r="AB1">
        <v>8.17</v>
      </c>
      <c r="AC1">
        <v>0</v>
      </c>
      <c r="AD1">
        <v>1</v>
      </c>
      <c r="AE1">
        <v>1</v>
      </c>
      <c r="AF1" t="s">
        <v>24</v>
      </c>
      <c r="AG1">
        <v>61.363999999999997</v>
      </c>
      <c r="AH1">
        <v>2</v>
      </c>
      <c r="AI1">
        <v>47635620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ROW(Source!A29)</f>
        <v>29</v>
      </c>
      <c r="B2">
        <v>47635621</v>
      </c>
      <c r="C2">
        <v>47635619</v>
      </c>
      <c r="D2">
        <v>36799072</v>
      </c>
      <c r="E2">
        <v>17</v>
      </c>
      <c r="F2">
        <v>1</v>
      </c>
      <c r="G2">
        <v>1</v>
      </c>
      <c r="H2">
        <v>3</v>
      </c>
      <c r="I2" t="s">
        <v>30</v>
      </c>
      <c r="J2" t="s">
        <v>3</v>
      </c>
      <c r="K2" t="s">
        <v>31</v>
      </c>
      <c r="L2">
        <v>1348</v>
      </c>
      <c r="N2">
        <v>1009</v>
      </c>
      <c r="O2" t="s">
        <v>32</v>
      </c>
      <c r="P2" t="s">
        <v>32</v>
      </c>
      <c r="Q2">
        <v>1000</v>
      </c>
      <c r="X2">
        <v>0.47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t="s">
        <v>3</v>
      </c>
      <c r="AG2">
        <v>0.47</v>
      </c>
      <c r="AH2">
        <v>2</v>
      </c>
      <c r="AI2">
        <v>47635621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ROW(Source!A33)</f>
        <v>33</v>
      </c>
      <c r="B3">
        <v>47631674</v>
      </c>
      <c r="C3">
        <v>47631670</v>
      </c>
      <c r="D3">
        <v>37064978</v>
      </c>
      <c r="E3">
        <v>1</v>
      </c>
      <c r="F3">
        <v>1</v>
      </c>
      <c r="G3">
        <v>1</v>
      </c>
      <c r="H3">
        <v>1</v>
      </c>
      <c r="I3" t="s">
        <v>488</v>
      </c>
      <c r="J3" t="s">
        <v>3</v>
      </c>
      <c r="K3" t="s">
        <v>489</v>
      </c>
      <c r="L3">
        <v>1191</v>
      </c>
      <c r="N3">
        <v>1013</v>
      </c>
      <c r="O3" t="s">
        <v>487</v>
      </c>
      <c r="P3" t="s">
        <v>487</v>
      </c>
      <c r="Q3">
        <v>1</v>
      </c>
      <c r="X3">
        <v>7.62</v>
      </c>
      <c r="Y3">
        <v>0</v>
      </c>
      <c r="Z3">
        <v>0</v>
      </c>
      <c r="AA3">
        <v>0</v>
      </c>
      <c r="AB3">
        <v>8.86</v>
      </c>
      <c r="AC3">
        <v>0</v>
      </c>
      <c r="AD3">
        <v>1</v>
      </c>
      <c r="AE3">
        <v>1</v>
      </c>
      <c r="AF3" t="s">
        <v>53</v>
      </c>
      <c r="AG3">
        <v>10.077449999999999</v>
      </c>
      <c r="AH3">
        <v>2</v>
      </c>
      <c r="AI3">
        <v>47631671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ROW(Source!A33)</f>
        <v>33</v>
      </c>
      <c r="B4">
        <v>47631675</v>
      </c>
      <c r="C4">
        <v>47631670</v>
      </c>
      <c r="D4">
        <v>36805515</v>
      </c>
      <c r="E4">
        <v>1</v>
      </c>
      <c r="F4">
        <v>1</v>
      </c>
      <c r="G4">
        <v>1</v>
      </c>
      <c r="H4">
        <v>3</v>
      </c>
      <c r="I4" t="s">
        <v>490</v>
      </c>
      <c r="J4" t="s">
        <v>491</v>
      </c>
      <c r="K4" t="s">
        <v>492</v>
      </c>
      <c r="L4">
        <v>1348</v>
      </c>
      <c r="N4">
        <v>1009</v>
      </c>
      <c r="O4" t="s">
        <v>32</v>
      </c>
      <c r="P4" t="s">
        <v>32</v>
      </c>
      <c r="Q4">
        <v>1000</v>
      </c>
      <c r="X4">
        <v>2.0000000000000001E-4</v>
      </c>
      <c r="Y4">
        <v>37600.01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2.0000000000000001E-4</v>
      </c>
      <c r="AH4">
        <v>2</v>
      </c>
      <c r="AI4">
        <v>47631672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ROW(Source!A33)</f>
        <v>33</v>
      </c>
      <c r="B5">
        <v>47631676</v>
      </c>
      <c r="C5">
        <v>47631670</v>
      </c>
      <c r="D5">
        <v>36830431</v>
      </c>
      <c r="E5">
        <v>1</v>
      </c>
      <c r="F5">
        <v>1</v>
      </c>
      <c r="G5">
        <v>1</v>
      </c>
      <c r="H5">
        <v>3</v>
      </c>
      <c r="I5" t="s">
        <v>493</v>
      </c>
      <c r="J5" t="s">
        <v>494</v>
      </c>
      <c r="K5" t="s">
        <v>495</v>
      </c>
      <c r="L5">
        <v>1339</v>
      </c>
      <c r="N5">
        <v>1007</v>
      </c>
      <c r="O5" t="s">
        <v>96</v>
      </c>
      <c r="P5" t="s">
        <v>96</v>
      </c>
      <c r="Q5">
        <v>1</v>
      </c>
      <c r="X5">
        <v>1E-3</v>
      </c>
      <c r="Y5">
        <v>802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1E-3</v>
      </c>
      <c r="AH5">
        <v>2</v>
      </c>
      <c r="AI5">
        <v>47631673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ROW(Source!A34)</f>
        <v>34</v>
      </c>
      <c r="B6">
        <v>47631679</v>
      </c>
      <c r="C6">
        <v>47631677</v>
      </c>
      <c r="D6">
        <v>37064998</v>
      </c>
      <c r="E6">
        <v>1</v>
      </c>
      <c r="F6">
        <v>1</v>
      </c>
      <c r="G6">
        <v>1</v>
      </c>
      <c r="H6">
        <v>1</v>
      </c>
      <c r="I6" t="s">
        <v>496</v>
      </c>
      <c r="J6" t="s">
        <v>3</v>
      </c>
      <c r="K6" t="s">
        <v>497</v>
      </c>
      <c r="L6">
        <v>1191</v>
      </c>
      <c r="N6">
        <v>1013</v>
      </c>
      <c r="O6" t="s">
        <v>487</v>
      </c>
      <c r="P6" t="s">
        <v>487</v>
      </c>
      <c r="Q6">
        <v>1</v>
      </c>
      <c r="X6">
        <v>10.199999999999999</v>
      </c>
      <c r="Y6">
        <v>0</v>
      </c>
      <c r="Z6">
        <v>0</v>
      </c>
      <c r="AA6">
        <v>0</v>
      </c>
      <c r="AB6">
        <v>7.8</v>
      </c>
      <c r="AC6">
        <v>0</v>
      </c>
      <c r="AD6">
        <v>1</v>
      </c>
      <c r="AE6">
        <v>1</v>
      </c>
      <c r="AF6" t="s">
        <v>53</v>
      </c>
      <c r="AG6">
        <v>13.489499999999998</v>
      </c>
      <c r="AH6">
        <v>2</v>
      </c>
      <c r="AI6">
        <v>47631678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ROW(Source!A35)</f>
        <v>35</v>
      </c>
      <c r="B7">
        <v>47631687</v>
      </c>
      <c r="C7">
        <v>47631680</v>
      </c>
      <c r="D7">
        <v>37065248</v>
      </c>
      <c r="E7">
        <v>1</v>
      </c>
      <c r="F7">
        <v>1</v>
      </c>
      <c r="G7">
        <v>1</v>
      </c>
      <c r="H7">
        <v>1</v>
      </c>
      <c r="I7" t="s">
        <v>498</v>
      </c>
      <c r="J7" t="s">
        <v>3</v>
      </c>
      <c r="K7" t="s">
        <v>499</v>
      </c>
      <c r="L7">
        <v>1191</v>
      </c>
      <c r="N7">
        <v>1013</v>
      </c>
      <c r="O7" t="s">
        <v>487</v>
      </c>
      <c r="P7" t="s">
        <v>487</v>
      </c>
      <c r="Q7">
        <v>1</v>
      </c>
      <c r="X7">
        <v>38.770000000000003</v>
      </c>
      <c r="Y7">
        <v>0</v>
      </c>
      <c r="Z7">
        <v>0</v>
      </c>
      <c r="AA7">
        <v>0</v>
      </c>
      <c r="AB7">
        <v>8.5299999999999994</v>
      </c>
      <c r="AC7">
        <v>0</v>
      </c>
      <c r="AD7">
        <v>1</v>
      </c>
      <c r="AE7">
        <v>1</v>
      </c>
      <c r="AF7" t="s">
        <v>53</v>
      </c>
      <c r="AG7">
        <v>51.273325</v>
      </c>
      <c r="AH7">
        <v>2</v>
      </c>
      <c r="AI7">
        <v>47631681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ROW(Source!A35)</f>
        <v>35</v>
      </c>
      <c r="B8">
        <v>47631688</v>
      </c>
      <c r="C8">
        <v>47631680</v>
      </c>
      <c r="D8">
        <v>37064876</v>
      </c>
      <c r="E8">
        <v>1</v>
      </c>
      <c r="F8">
        <v>1</v>
      </c>
      <c r="G8">
        <v>1</v>
      </c>
      <c r="H8">
        <v>1</v>
      </c>
      <c r="I8" t="s">
        <v>500</v>
      </c>
      <c r="J8" t="s">
        <v>3</v>
      </c>
      <c r="K8" t="s">
        <v>501</v>
      </c>
      <c r="L8">
        <v>1191</v>
      </c>
      <c r="N8">
        <v>1013</v>
      </c>
      <c r="O8" t="s">
        <v>487</v>
      </c>
      <c r="P8" t="s">
        <v>487</v>
      </c>
      <c r="Q8">
        <v>1</v>
      </c>
      <c r="X8">
        <v>25.03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52</v>
      </c>
      <c r="AG8">
        <v>35.980624999999996</v>
      </c>
      <c r="AH8">
        <v>2</v>
      </c>
      <c r="AI8">
        <v>47631682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ROW(Source!A35)</f>
        <v>35</v>
      </c>
      <c r="B9">
        <v>47631689</v>
      </c>
      <c r="C9">
        <v>47631680</v>
      </c>
      <c r="D9">
        <v>36881968</v>
      </c>
      <c r="E9">
        <v>1</v>
      </c>
      <c r="F9">
        <v>1</v>
      </c>
      <c r="G9">
        <v>1</v>
      </c>
      <c r="H9">
        <v>2</v>
      </c>
      <c r="I9" t="s">
        <v>502</v>
      </c>
      <c r="J9" t="s">
        <v>503</v>
      </c>
      <c r="K9" t="s">
        <v>504</v>
      </c>
      <c r="L9">
        <v>1368</v>
      </c>
      <c r="N9">
        <v>1011</v>
      </c>
      <c r="O9" t="s">
        <v>505</v>
      </c>
      <c r="P9" t="s">
        <v>505</v>
      </c>
      <c r="Q9">
        <v>1</v>
      </c>
      <c r="X9">
        <v>12.9</v>
      </c>
      <c r="Y9">
        <v>0</v>
      </c>
      <c r="Z9">
        <v>138.54</v>
      </c>
      <c r="AA9">
        <v>11.6</v>
      </c>
      <c r="AB9">
        <v>0</v>
      </c>
      <c r="AC9">
        <v>0</v>
      </c>
      <c r="AD9">
        <v>1</v>
      </c>
      <c r="AE9">
        <v>0</v>
      </c>
      <c r="AF9" t="s">
        <v>52</v>
      </c>
      <c r="AG9">
        <v>18.543749999999999</v>
      </c>
      <c r="AH9">
        <v>2</v>
      </c>
      <c r="AI9">
        <v>47631683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ROW(Source!A35)</f>
        <v>35</v>
      </c>
      <c r="B10">
        <v>47631690</v>
      </c>
      <c r="C10">
        <v>47631680</v>
      </c>
      <c r="D10">
        <v>36883545</v>
      </c>
      <c r="E10">
        <v>1</v>
      </c>
      <c r="F10">
        <v>1</v>
      </c>
      <c r="G10">
        <v>1</v>
      </c>
      <c r="H10">
        <v>2</v>
      </c>
      <c r="I10" t="s">
        <v>506</v>
      </c>
      <c r="J10" t="s">
        <v>507</v>
      </c>
      <c r="K10" t="s">
        <v>508</v>
      </c>
      <c r="L10">
        <v>1368</v>
      </c>
      <c r="N10">
        <v>1011</v>
      </c>
      <c r="O10" t="s">
        <v>505</v>
      </c>
      <c r="P10" t="s">
        <v>505</v>
      </c>
      <c r="Q10">
        <v>1</v>
      </c>
      <c r="X10">
        <v>11.17</v>
      </c>
      <c r="Y10">
        <v>0</v>
      </c>
      <c r="Z10">
        <v>173.51</v>
      </c>
      <c r="AA10">
        <v>13.5</v>
      </c>
      <c r="AB10">
        <v>0</v>
      </c>
      <c r="AC10">
        <v>0</v>
      </c>
      <c r="AD10">
        <v>1</v>
      </c>
      <c r="AE10">
        <v>0</v>
      </c>
      <c r="AF10" t="s">
        <v>52</v>
      </c>
      <c r="AG10">
        <v>16.056874999999998</v>
      </c>
      <c r="AH10">
        <v>2</v>
      </c>
      <c r="AI10">
        <v>47631684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ROW(Source!A35)</f>
        <v>35</v>
      </c>
      <c r="B11">
        <v>47631691</v>
      </c>
      <c r="C11">
        <v>47631680</v>
      </c>
      <c r="D11">
        <v>36883554</v>
      </c>
      <c r="E11">
        <v>1</v>
      </c>
      <c r="F11">
        <v>1</v>
      </c>
      <c r="G11">
        <v>1</v>
      </c>
      <c r="H11">
        <v>2</v>
      </c>
      <c r="I11" t="s">
        <v>509</v>
      </c>
      <c r="J11" t="s">
        <v>510</v>
      </c>
      <c r="K11" t="s">
        <v>511</v>
      </c>
      <c r="L11">
        <v>1368</v>
      </c>
      <c r="N11">
        <v>1011</v>
      </c>
      <c r="O11" t="s">
        <v>505</v>
      </c>
      <c r="P11" t="s">
        <v>505</v>
      </c>
      <c r="Q11">
        <v>1</v>
      </c>
      <c r="X11">
        <v>0.96</v>
      </c>
      <c r="Y11">
        <v>0</v>
      </c>
      <c r="Z11">
        <v>65.709999999999994</v>
      </c>
      <c r="AA11">
        <v>11.6</v>
      </c>
      <c r="AB11">
        <v>0</v>
      </c>
      <c r="AC11">
        <v>0</v>
      </c>
      <c r="AD11">
        <v>1</v>
      </c>
      <c r="AE11">
        <v>0</v>
      </c>
      <c r="AF11" t="s">
        <v>52</v>
      </c>
      <c r="AG11">
        <v>1.38</v>
      </c>
      <c r="AH11">
        <v>2</v>
      </c>
      <c r="AI11">
        <v>47631685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ROW(Source!A35)</f>
        <v>35</v>
      </c>
      <c r="B12">
        <v>47631692</v>
      </c>
      <c r="C12">
        <v>47631680</v>
      </c>
      <c r="D12">
        <v>36796108</v>
      </c>
      <c r="E12">
        <v>17</v>
      </c>
      <c r="F12">
        <v>1</v>
      </c>
      <c r="G12">
        <v>1</v>
      </c>
      <c r="H12">
        <v>3</v>
      </c>
      <c r="I12" t="s">
        <v>710</v>
      </c>
      <c r="J12" t="s">
        <v>3</v>
      </c>
      <c r="K12" t="s">
        <v>711</v>
      </c>
      <c r="L12">
        <v>1339</v>
      </c>
      <c r="N12">
        <v>1007</v>
      </c>
      <c r="O12" t="s">
        <v>96</v>
      </c>
      <c r="P12" t="s">
        <v>96</v>
      </c>
      <c r="Q12">
        <v>1</v>
      </c>
      <c r="X12">
        <v>8.3000000000000007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3</v>
      </c>
      <c r="AG12">
        <v>8.3000000000000007</v>
      </c>
      <c r="AH12">
        <v>3</v>
      </c>
      <c r="AI12">
        <v>-1</v>
      </c>
      <c r="AJ12" t="s">
        <v>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ROW(Source!A35)</f>
        <v>35</v>
      </c>
      <c r="B13">
        <v>47631693</v>
      </c>
      <c r="C13">
        <v>47631680</v>
      </c>
      <c r="D13">
        <v>39065559</v>
      </c>
      <c r="E13">
        <v>17</v>
      </c>
      <c r="F13">
        <v>1</v>
      </c>
      <c r="G13">
        <v>1</v>
      </c>
      <c r="H13">
        <v>3</v>
      </c>
      <c r="I13" t="s">
        <v>712</v>
      </c>
      <c r="J13" t="s">
        <v>3</v>
      </c>
      <c r="K13" t="s">
        <v>713</v>
      </c>
      <c r="L13">
        <v>1354</v>
      </c>
      <c r="N13">
        <v>1010</v>
      </c>
      <c r="O13" t="s">
        <v>186</v>
      </c>
      <c r="P13" t="s">
        <v>186</v>
      </c>
      <c r="Q13">
        <v>1</v>
      </c>
      <c r="X13">
        <v>100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3</v>
      </c>
      <c r="AG13">
        <v>100</v>
      </c>
      <c r="AH13">
        <v>3</v>
      </c>
      <c r="AI13">
        <v>-1</v>
      </c>
      <c r="AJ13" t="s">
        <v>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ROW(Source!A35)</f>
        <v>35</v>
      </c>
      <c r="B14">
        <v>47631694</v>
      </c>
      <c r="C14">
        <v>47631680</v>
      </c>
      <c r="D14">
        <v>36830269</v>
      </c>
      <c r="E14">
        <v>1</v>
      </c>
      <c r="F14">
        <v>1</v>
      </c>
      <c r="G14">
        <v>1</v>
      </c>
      <c r="H14">
        <v>3</v>
      </c>
      <c r="I14" t="s">
        <v>512</v>
      </c>
      <c r="J14" t="s">
        <v>513</v>
      </c>
      <c r="K14" t="s">
        <v>514</v>
      </c>
      <c r="L14">
        <v>1301</v>
      </c>
      <c r="N14">
        <v>1003</v>
      </c>
      <c r="O14" t="s">
        <v>515</v>
      </c>
      <c r="P14" t="s">
        <v>515</v>
      </c>
      <c r="Q14">
        <v>1</v>
      </c>
      <c r="X14">
        <v>55.9</v>
      </c>
      <c r="Y14">
        <v>4.17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55.9</v>
      </c>
      <c r="AH14">
        <v>2</v>
      </c>
      <c r="AI14">
        <v>47631686</v>
      </c>
      <c r="AJ14">
        <v>12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ROW(Source!A36)</f>
        <v>36</v>
      </c>
      <c r="B15">
        <v>47631710</v>
      </c>
      <c r="C15">
        <v>47631695</v>
      </c>
      <c r="D15">
        <v>37064878</v>
      </c>
      <c r="E15">
        <v>1</v>
      </c>
      <c r="F15">
        <v>1</v>
      </c>
      <c r="G15">
        <v>1</v>
      </c>
      <c r="H15">
        <v>1</v>
      </c>
      <c r="I15" t="s">
        <v>516</v>
      </c>
      <c r="J15" t="s">
        <v>3</v>
      </c>
      <c r="K15" t="s">
        <v>517</v>
      </c>
      <c r="L15">
        <v>1191</v>
      </c>
      <c r="N15">
        <v>1013</v>
      </c>
      <c r="O15" t="s">
        <v>487</v>
      </c>
      <c r="P15" t="s">
        <v>487</v>
      </c>
      <c r="Q15">
        <v>1</v>
      </c>
      <c r="X15">
        <v>194</v>
      </c>
      <c r="Y15">
        <v>0</v>
      </c>
      <c r="Z15">
        <v>0</v>
      </c>
      <c r="AA15">
        <v>0</v>
      </c>
      <c r="AB15">
        <v>9.4</v>
      </c>
      <c r="AC15">
        <v>0</v>
      </c>
      <c r="AD15">
        <v>1</v>
      </c>
      <c r="AE15">
        <v>1</v>
      </c>
      <c r="AF15" t="s">
        <v>53</v>
      </c>
      <c r="AG15">
        <v>256.565</v>
      </c>
      <c r="AH15">
        <v>2</v>
      </c>
      <c r="AI15">
        <v>47631696</v>
      </c>
      <c r="AJ15">
        <v>13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ROW(Source!A36)</f>
        <v>36</v>
      </c>
      <c r="B16">
        <v>47631711</v>
      </c>
      <c r="C16">
        <v>47631695</v>
      </c>
      <c r="D16">
        <v>37064876</v>
      </c>
      <c r="E16">
        <v>1</v>
      </c>
      <c r="F16">
        <v>1</v>
      </c>
      <c r="G16">
        <v>1</v>
      </c>
      <c r="H16">
        <v>1</v>
      </c>
      <c r="I16" t="s">
        <v>500</v>
      </c>
      <c r="J16" t="s">
        <v>3</v>
      </c>
      <c r="K16" t="s">
        <v>501</v>
      </c>
      <c r="L16">
        <v>1191</v>
      </c>
      <c r="N16">
        <v>1013</v>
      </c>
      <c r="O16" t="s">
        <v>487</v>
      </c>
      <c r="P16" t="s">
        <v>487</v>
      </c>
      <c r="Q16">
        <v>1</v>
      </c>
      <c r="X16">
        <v>4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52</v>
      </c>
      <c r="AG16">
        <v>5.75</v>
      </c>
      <c r="AH16">
        <v>2</v>
      </c>
      <c r="AI16">
        <v>47631697</v>
      </c>
      <c r="AJ16">
        <v>14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ROW(Source!A36)</f>
        <v>36</v>
      </c>
      <c r="B17">
        <v>47631712</v>
      </c>
      <c r="C17">
        <v>47631695</v>
      </c>
      <c r="D17">
        <v>36882159</v>
      </c>
      <c r="E17">
        <v>1</v>
      </c>
      <c r="F17">
        <v>1</v>
      </c>
      <c r="G17">
        <v>1</v>
      </c>
      <c r="H17">
        <v>2</v>
      </c>
      <c r="I17" t="s">
        <v>518</v>
      </c>
      <c r="J17" t="s">
        <v>519</v>
      </c>
      <c r="K17" t="s">
        <v>520</v>
      </c>
      <c r="L17">
        <v>1368</v>
      </c>
      <c r="N17">
        <v>1011</v>
      </c>
      <c r="O17" t="s">
        <v>505</v>
      </c>
      <c r="P17" t="s">
        <v>505</v>
      </c>
      <c r="Q17">
        <v>1</v>
      </c>
      <c r="X17">
        <v>0.5</v>
      </c>
      <c r="Y17">
        <v>0</v>
      </c>
      <c r="Z17">
        <v>111.99</v>
      </c>
      <c r="AA17">
        <v>13.5</v>
      </c>
      <c r="AB17">
        <v>0</v>
      </c>
      <c r="AC17">
        <v>0</v>
      </c>
      <c r="AD17">
        <v>1</v>
      </c>
      <c r="AE17">
        <v>0</v>
      </c>
      <c r="AF17" t="s">
        <v>52</v>
      </c>
      <c r="AG17">
        <v>0.71875</v>
      </c>
      <c r="AH17">
        <v>2</v>
      </c>
      <c r="AI17">
        <v>47631698</v>
      </c>
      <c r="AJ17">
        <v>15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ROW(Source!A36)</f>
        <v>36</v>
      </c>
      <c r="B18">
        <v>47631713</v>
      </c>
      <c r="C18">
        <v>47631695</v>
      </c>
      <c r="D18">
        <v>36882358</v>
      </c>
      <c r="E18">
        <v>1</v>
      </c>
      <c r="F18">
        <v>1</v>
      </c>
      <c r="G18">
        <v>1</v>
      </c>
      <c r="H18">
        <v>2</v>
      </c>
      <c r="I18" t="s">
        <v>521</v>
      </c>
      <c r="J18" t="s">
        <v>522</v>
      </c>
      <c r="K18" t="s">
        <v>523</v>
      </c>
      <c r="L18">
        <v>1368</v>
      </c>
      <c r="N18">
        <v>1011</v>
      </c>
      <c r="O18" t="s">
        <v>505</v>
      </c>
      <c r="P18" t="s">
        <v>505</v>
      </c>
      <c r="Q18">
        <v>1</v>
      </c>
      <c r="X18">
        <v>1.37</v>
      </c>
      <c r="Y18">
        <v>0</v>
      </c>
      <c r="Z18">
        <v>6.9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52</v>
      </c>
      <c r="AG18">
        <v>1.9693750000000001</v>
      </c>
      <c r="AH18">
        <v>2</v>
      </c>
      <c r="AI18">
        <v>47631699</v>
      </c>
      <c r="AJ18">
        <v>16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ROW(Source!A36)</f>
        <v>36</v>
      </c>
      <c r="B19">
        <v>47631714</v>
      </c>
      <c r="C19">
        <v>47631695</v>
      </c>
      <c r="D19">
        <v>36883555</v>
      </c>
      <c r="E19">
        <v>1</v>
      </c>
      <c r="F19">
        <v>1</v>
      </c>
      <c r="G19">
        <v>1</v>
      </c>
      <c r="H19">
        <v>2</v>
      </c>
      <c r="I19" t="s">
        <v>524</v>
      </c>
      <c r="J19" t="s">
        <v>525</v>
      </c>
      <c r="K19" t="s">
        <v>526</v>
      </c>
      <c r="L19">
        <v>1368</v>
      </c>
      <c r="N19">
        <v>1011</v>
      </c>
      <c r="O19" t="s">
        <v>505</v>
      </c>
      <c r="P19" t="s">
        <v>505</v>
      </c>
      <c r="Q19">
        <v>1</v>
      </c>
      <c r="X19">
        <v>0.5</v>
      </c>
      <c r="Y19">
        <v>0</v>
      </c>
      <c r="Z19">
        <v>85.84</v>
      </c>
      <c r="AA19">
        <v>11.6</v>
      </c>
      <c r="AB19">
        <v>0</v>
      </c>
      <c r="AC19">
        <v>0</v>
      </c>
      <c r="AD19">
        <v>1</v>
      </c>
      <c r="AE19">
        <v>0</v>
      </c>
      <c r="AF19" t="s">
        <v>52</v>
      </c>
      <c r="AG19">
        <v>0.71875</v>
      </c>
      <c r="AH19">
        <v>2</v>
      </c>
      <c r="AI19">
        <v>47631700</v>
      </c>
      <c r="AJ19">
        <v>17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ROW(Source!A36)</f>
        <v>36</v>
      </c>
      <c r="B20">
        <v>47631715</v>
      </c>
      <c r="C20">
        <v>47631695</v>
      </c>
      <c r="D20">
        <v>36883768</v>
      </c>
      <c r="E20">
        <v>1</v>
      </c>
      <c r="F20">
        <v>1</v>
      </c>
      <c r="G20">
        <v>1</v>
      </c>
      <c r="H20">
        <v>2</v>
      </c>
      <c r="I20" t="s">
        <v>527</v>
      </c>
      <c r="J20" t="s">
        <v>528</v>
      </c>
      <c r="K20" t="s">
        <v>529</v>
      </c>
      <c r="L20">
        <v>1368</v>
      </c>
      <c r="N20">
        <v>1011</v>
      </c>
      <c r="O20" t="s">
        <v>505</v>
      </c>
      <c r="P20" t="s">
        <v>505</v>
      </c>
      <c r="Q20">
        <v>1</v>
      </c>
      <c r="X20">
        <v>66.3</v>
      </c>
      <c r="Y20">
        <v>0</v>
      </c>
      <c r="Z20">
        <v>39.49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52</v>
      </c>
      <c r="AG20">
        <v>95.306249999999991</v>
      </c>
      <c r="AH20">
        <v>2</v>
      </c>
      <c r="AI20">
        <v>47631701</v>
      </c>
      <c r="AJ20">
        <v>18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ROW(Source!A36)</f>
        <v>36</v>
      </c>
      <c r="B21">
        <v>47631716</v>
      </c>
      <c r="C21">
        <v>47631695</v>
      </c>
      <c r="D21">
        <v>36883789</v>
      </c>
      <c r="E21">
        <v>1</v>
      </c>
      <c r="F21">
        <v>1</v>
      </c>
      <c r="G21">
        <v>1</v>
      </c>
      <c r="H21">
        <v>2</v>
      </c>
      <c r="I21" t="s">
        <v>530</v>
      </c>
      <c r="J21" t="s">
        <v>531</v>
      </c>
      <c r="K21" t="s">
        <v>532</v>
      </c>
      <c r="L21">
        <v>1368</v>
      </c>
      <c r="N21">
        <v>1011</v>
      </c>
      <c r="O21" t="s">
        <v>505</v>
      </c>
      <c r="P21" t="s">
        <v>505</v>
      </c>
      <c r="Q21">
        <v>1</v>
      </c>
      <c r="X21">
        <v>1.8</v>
      </c>
      <c r="Y21">
        <v>0</v>
      </c>
      <c r="Z21">
        <v>1.2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52</v>
      </c>
      <c r="AG21">
        <v>2.5874999999999999</v>
      </c>
      <c r="AH21">
        <v>2</v>
      </c>
      <c r="AI21">
        <v>47631702</v>
      </c>
      <c r="AJ21">
        <v>19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ROW(Source!A36)</f>
        <v>36</v>
      </c>
      <c r="B22">
        <v>47631717</v>
      </c>
      <c r="C22">
        <v>47631695</v>
      </c>
      <c r="D22">
        <v>36884498</v>
      </c>
      <c r="E22">
        <v>1</v>
      </c>
      <c r="F22">
        <v>1</v>
      </c>
      <c r="G22">
        <v>1</v>
      </c>
      <c r="H22">
        <v>2</v>
      </c>
      <c r="I22" t="s">
        <v>533</v>
      </c>
      <c r="J22" t="s">
        <v>534</v>
      </c>
      <c r="K22" t="s">
        <v>535</v>
      </c>
      <c r="L22">
        <v>1368</v>
      </c>
      <c r="N22">
        <v>1011</v>
      </c>
      <c r="O22" t="s">
        <v>505</v>
      </c>
      <c r="P22" t="s">
        <v>505</v>
      </c>
      <c r="Q22">
        <v>1</v>
      </c>
      <c r="X22">
        <v>2.1</v>
      </c>
      <c r="Y22">
        <v>0</v>
      </c>
      <c r="Z22">
        <v>70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52</v>
      </c>
      <c r="AG22">
        <v>3.0187499999999998</v>
      </c>
      <c r="AH22">
        <v>2</v>
      </c>
      <c r="AI22">
        <v>47631703</v>
      </c>
      <c r="AJ22">
        <v>20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ROW(Source!A36)</f>
        <v>36</v>
      </c>
      <c r="B23">
        <v>47631718</v>
      </c>
      <c r="C23">
        <v>47631695</v>
      </c>
      <c r="D23">
        <v>36884528</v>
      </c>
      <c r="E23">
        <v>1</v>
      </c>
      <c r="F23">
        <v>1</v>
      </c>
      <c r="G23">
        <v>1</v>
      </c>
      <c r="H23">
        <v>2</v>
      </c>
      <c r="I23" t="s">
        <v>536</v>
      </c>
      <c r="J23" t="s">
        <v>537</v>
      </c>
      <c r="K23" t="s">
        <v>538</v>
      </c>
      <c r="L23">
        <v>1368</v>
      </c>
      <c r="N23">
        <v>1011</v>
      </c>
      <c r="O23" t="s">
        <v>505</v>
      </c>
      <c r="P23" t="s">
        <v>505</v>
      </c>
      <c r="Q23">
        <v>1</v>
      </c>
      <c r="X23">
        <v>3</v>
      </c>
      <c r="Y23">
        <v>0</v>
      </c>
      <c r="Z23">
        <v>56.24</v>
      </c>
      <c r="AA23">
        <v>10.06</v>
      </c>
      <c r="AB23">
        <v>0</v>
      </c>
      <c r="AC23">
        <v>0</v>
      </c>
      <c r="AD23">
        <v>1</v>
      </c>
      <c r="AE23">
        <v>0</v>
      </c>
      <c r="AF23" t="s">
        <v>52</v>
      </c>
      <c r="AG23">
        <v>4.3125</v>
      </c>
      <c r="AH23">
        <v>2</v>
      </c>
      <c r="AI23">
        <v>47631704</v>
      </c>
      <c r="AJ23">
        <v>21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ROW(Source!A36)</f>
        <v>36</v>
      </c>
      <c r="B24">
        <v>47631719</v>
      </c>
      <c r="C24">
        <v>47631695</v>
      </c>
      <c r="D24">
        <v>36884663</v>
      </c>
      <c r="E24">
        <v>1</v>
      </c>
      <c r="F24">
        <v>1</v>
      </c>
      <c r="G24">
        <v>1</v>
      </c>
      <c r="H24">
        <v>2</v>
      </c>
      <c r="I24" t="s">
        <v>539</v>
      </c>
      <c r="J24" t="s">
        <v>540</v>
      </c>
      <c r="K24" t="s">
        <v>541</v>
      </c>
      <c r="L24">
        <v>1368</v>
      </c>
      <c r="N24">
        <v>1011</v>
      </c>
      <c r="O24" t="s">
        <v>505</v>
      </c>
      <c r="P24" t="s">
        <v>505</v>
      </c>
      <c r="Q24">
        <v>1</v>
      </c>
      <c r="X24">
        <v>1.4</v>
      </c>
      <c r="Y24">
        <v>0</v>
      </c>
      <c r="Z24">
        <v>14.38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52</v>
      </c>
      <c r="AG24">
        <v>2.0124999999999997</v>
      </c>
      <c r="AH24">
        <v>2</v>
      </c>
      <c r="AI24">
        <v>47631705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ROW(Source!A36)</f>
        <v>36</v>
      </c>
      <c r="B25">
        <v>47631720</v>
      </c>
      <c r="C25">
        <v>47631695</v>
      </c>
      <c r="D25">
        <v>36800159</v>
      </c>
      <c r="E25">
        <v>1</v>
      </c>
      <c r="F25">
        <v>1</v>
      </c>
      <c r="G25">
        <v>1</v>
      </c>
      <c r="H25">
        <v>3</v>
      </c>
      <c r="I25" t="s">
        <v>542</v>
      </c>
      <c r="J25" t="s">
        <v>543</v>
      </c>
      <c r="K25" t="s">
        <v>544</v>
      </c>
      <c r="L25">
        <v>1339</v>
      </c>
      <c r="N25">
        <v>1007</v>
      </c>
      <c r="O25" t="s">
        <v>96</v>
      </c>
      <c r="P25" t="s">
        <v>96</v>
      </c>
      <c r="Q25">
        <v>1</v>
      </c>
      <c r="X25">
        <v>1.1000000000000001</v>
      </c>
      <c r="Y25">
        <v>6.22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1.1000000000000001</v>
      </c>
      <c r="AH25">
        <v>2</v>
      </c>
      <c r="AI25">
        <v>47631706</v>
      </c>
      <c r="AJ25">
        <v>23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ROW(Source!A36)</f>
        <v>36</v>
      </c>
      <c r="B26">
        <v>47631721</v>
      </c>
      <c r="C26">
        <v>47631695</v>
      </c>
      <c r="D26">
        <v>36800166</v>
      </c>
      <c r="E26">
        <v>1</v>
      </c>
      <c r="F26">
        <v>1</v>
      </c>
      <c r="G26">
        <v>1</v>
      </c>
      <c r="H26">
        <v>3</v>
      </c>
      <c r="I26" t="s">
        <v>545</v>
      </c>
      <c r="J26" t="s">
        <v>546</v>
      </c>
      <c r="K26" t="s">
        <v>547</v>
      </c>
      <c r="L26">
        <v>1346</v>
      </c>
      <c r="N26">
        <v>1009</v>
      </c>
      <c r="O26" t="s">
        <v>400</v>
      </c>
      <c r="P26" t="s">
        <v>400</v>
      </c>
      <c r="Q26">
        <v>1</v>
      </c>
      <c r="X26">
        <v>0.3</v>
      </c>
      <c r="Y26">
        <v>6.09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0.3</v>
      </c>
      <c r="AH26">
        <v>2</v>
      </c>
      <c r="AI26">
        <v>47631707</v>
      </c>
      <c r="AJ26">
        <v>24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47631722</v>
      </c>
      <c r="C27">
        <v>47631695</v>
      </c>
      <c r="D27">
        <v>36803268</v>
      </c>
      <c r="E27">
        <v>1</v>
      </c>
      <c r="F27">
        <v>1</v>
      </c>
      <c r="G27">
        <v>1</v>
      </c>
      <c r="H27">
        <v>3</v>
      </c>
      <c r="I27" t="s">
        <v>548</v>
      </c>
      <c r="J27" t="s">
        <v>549</v>
      </c>
      <c r="K27" t="s">
        <v>550</v>
      </c>
      <c r="L27">
        <v>1348</v>
      </c>
      <c r="N27">
        <v>1009</v>
      </c>
      <c r="O27" t="s">
        <v>32</v>
      </c>
      <c r="P27" t="s">
        <v>32</v>
      </c>
      <c r="Q27">
        <v>1000</v>
      </c>
      <c r="X27">
        <v>4.7600000000000003E-2</v>
      </c>
      <c r="Y27">
        <v>9765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4.7600000000000003E-2</v>
      </c>
      <c r="AH27">
        <v>2</v>
      </c>
      <c r="AI27">
        <v>47631708</v>
      </c>
      <c r="AJ27">
        <v>25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47631723</v>
      </c>
      <c r="C28">
        <v>47631695</v>
      </c>
      <c r="D28">
        <v>36799065</v>
      </c>
      <c r="E28">
        <v>17</v>
      </c>
      <c r="F28">
        <v>1</v>
      </c>
      <c r="G28">
        <v>1</v>
      </c>
      <c r="H28">
        <v>3</v>
      </c>
      <c r="I28" t="s">
        <v>551</v>
      </c>
      <c r="J28" t="s">
        <v>3</v>
      </c>
      <c r="K28" t="s">
        <v>552</v>
      </c>
      <c r="L28">
        <v>1374</v>
      </c>
      <c r="N28">
        <v>1013</v>
      </c>
      <c r="O28" t="s">
        <v>553</v>
      </c>
      <c r="P28" t="s">
        <v>553</v>
      </c>
      <c r="Q28">
        <v>1</v>
      </c>
      <c r="X28">
        <v>36.47</v>
      </c>
      <c r="Y28">
        <v>1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36.47</v>
      </c>
      <c r="AH28">
        <v>2</v>
      </c>
      <c r="AI28">
        <v>47631709</v>
      </c>
      <c r="AJ28">
        <v>26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ROW(Source!A37)</f>
        <v>37</v>
      </c>
      <c r="B29">
        <v>47631743</v>
      </c>
      <c r="C29">
        <v>47631724</v>
      </c>
      <c r="D29">
        <v>37065248</v>
      </c>
      <c r="E29">
        <v>1</v>
      </c>
      <c r="F29">
        <v>1</v>
      </c>
      <c r="G29">
        <v>1</v>
      </c>
      <c r="H29">
        <v>1</v>
      </c>
      <c r="I29" t="s">
        <v>498</v>
      </c>
      <c r="J29" t="s">
        <v>3</v>
      </c>
      <c r="K29" t="s">
        <v>499</v>
      </c>
      <c r="L29">
        <v>1191</v>
      </c>
      <c r="N29">
        <v>1013</v>
      </c>
      <c r="O29" t="s">
        <v>487</v>
      </c>
      <c r="P29" t="s">
        <v>487</v>
      </c>
      <c r="Q29">
        <v>1</v>
      </c>
      <c r="X29">
        <v>50.79</v>
      </c>
      <c r="Y29">
        <v>0</v>
      </c>
      <c r="Z29">
        <v>0</v>
      </c>
      <c r="AA29">
        <v>0</v>
      </c>
      <c r="AB29">
        <v>8.5299999999999994</v>
      </c>
      <c r="AC29">
        <v>0</v>
      </c>
      <c r="AD29">
        <v>1</v>
      </c>
      <c r="AE29">
        <v>1</v>
      </c>
      <c r="AF29" t="s">
        <v>53</v>
      </c>
      <c r="AG29">
        <v>67.169774999999987</v>
      </c>
      <c r="AH29">
        <v>2</v>
      </c>
      <c r="AI29">
        <v>47631725</v>
      </c>
      <c r="AJ29">
        <v>27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ROW(Source!A37)</f>
        <v>37</v>
      </c>
      <c r="B30">
        <v>47631744</v>
      </c>
      <c r="C30">
        <v>47631724</v>
      </c>
      <c r="D30">
        <v>37064876</v>
      </c>
      <c r="E30">
        <v>1</v>
      </c>
      <c r="F30">
        <v>1</v>
      </c>
      <c r="G30">
        <v>1</v>
      </c>
      <c r="H30">
        <v>1</v>
      </c>
      <c r="I30" t="s">
        <v>500</v>
      </c>
      <c r="J30" t="s">
        <v>3</v>
      </c>
      <c r="K30" t="s">
        <v>501</v>
      </c>
      <c r="L30">
        <v>1191</v>
      </c>
      <c r="N30">
        <v>1013</v>
      </c>
      <c r="O30" t="s">
        <v>487</v>
      </c>
      <c r="P30" t="s">
        <v>487</v>
      </c>
      <c r="Q30">
        <v>1</v>
      </c>
      <c r="X30">
        <v>0.31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52</v>
      </c>
      <c r="AG30">
        <v>0.44562499999999999</v>
      </c>
      <c r="AH30">
        <v>2</v>
      </c>
      <c r="AI30">
        <v>47631726</v>
      </c>
      <c r="AJ30">
        <v>28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ROW(Source!A37)</f>
        <v>37</v>
      </c>
      <c r="B31">
        <v>47631745</v>
      </c>
      <c r="C31">
        <v>47631724</v>
      </c>
      <c r="D31">
        <v>36882159</v>
      </c>
      <c r="E31">
        <v>1</v>
      </c>
      <c r="F31">
        <v>1</v>
      </c>
      <c r="G31">
        <v>1</v>
      </c>
      <c r="H31">
        <v>2</v>
      </c>
      <c r="I31" t="s">
        <v>518</v>
      </c>
      <c r="J31" t="s">
        <v>519</v>
      </c>
      <c r="K31" t="s">
        <v>520</v>
      </c>
      <c r="L31">
        <v>1368</v>
      </c>
      <c r="N31">
        <v>1011</v>
      </c>
      <c r="O31" t="s">
        <v>505</v>
      </c>
      <c r="P31" t="s">
        <v>505</v>
      </c>
      <c r="Q31">
        <v>1</v>
      </c>
      <c r="X31">
        <v>0.12</v>
      </c>
      <c r="Y31">
        <v>0</v>
      </c>
      <c r="Z31">
        <v>111.99</v>
      </c>
      <c r="AA31">
        <v>13.5</v>
      </c>
      <c r="AB31">
        <v>0</v>
      </c>
      <c r="AC31">
        <v>0</v>
      </c>
      <c r="AD31">
        <v>1</v>
      </c>
      <c r="AE31">
        <v>0</v>
      </c>
      <c r="AF31" t="s">
        <v>52</v>
      </c>
      <c r="AG31">
        <v>0.17249999999999999</v>
      </c>
      <c r="AH31">
        <v>2</v>
      </c>
      <c r="AI31">
        <v>47631727</v>
      </c>
      <c r="AJ31">
        <v>29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47631746</v>
      </c>
      <c r="C32">
        <v>47631724</v>
      </c>
      <c r="D32">
        <v>36882358</v>
      </c>
      <c r="E32">
        <v>1</v>
      </c>
      <c r="F32">
        <v>1</v>
      </c>
      <c r="G32">
        <v>1</v>
      </c>
      <c r="H32">
        <v>2</v>
      </c>
      <c r="I32" t="s">
        <v>521</v>
      </c>
      <c r="J32" t="s">
        <v>522</v>
      </c>
      <c r="K32" t="s">
        <v>523</v>
      </c>
      <c r="L32">
        <v>1368</v>
      </c>
      <c r="N32">
        <v>1011</v>
      </c>
      <c r="O32" t="s">
        <v>505</v>
      </c>
      <c r="P32" t="s">
        <v>505</v>
      </c>
      <c r="Q32">
        <v>1</v>
      </c>
      <c r="X32">
        <v>10.53</v>
      </c>
      <c r="Y32">
        <v>0</v>
      </c>
      <c r="Z32">
        <v>6.9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52</v>
      </c>
      <c r="AG32">
        <v>15.136874999999998</v>
      </c>
      <c r="AH32">
        <v>2</v>
      </c>
      <c r="AI32">
        <v>47631728</v>
      </c>
      <c r="AJ32">
        <v>30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ROW(Source!A37)</f>
        <v>37</v>
      </c>
      <c r="B33">
        <v>47631747</v>
      </c>
      <c r="C33">
        <v>47631724</v>
      </c>
      <c r="D33">
        <v>36883554</v>
      </c>
      <c r="E33">
        <v>1</v>
      </c>
      <c r="F33">
        <v>1</v>
      </c>
      <c r="G33">
        <v>1</v>
      </c>
      <c r="H33">
        <v>2</v>
      </c>
      <c r="I33" t="s">
        <v>509</v>
      </c>
      <c r="J33" t="s">
        <v>510</v>
      </c>
      <c r="K33" t="s">
        <v>511</v>
      </c>
      <c r="L33">
        <v>1368</v>
      </c>
      <c r="N33">
        <v>1011</v>
      </c>
      <c r="O33" t="s">
        <v>505</v>
      </c>
      <c r="P33" t="s">
        <v>505</v>
      </c>
      <c r="Q33">
        <v>1</v>
      </c>
      <c r="X33">
        <v>0.19</v>
      </c>
      <c r="Y33">
        <v>0</v>
      </c>
      <c r="Z33">
        <v>65.709999999999994</v>
      </c>
      <c r="AA33">
        <v>11.6</v>
      </c>
      <c r="AB33">
        <v>0</v>
      </c>
      <c r="AC33">
        <v>0</v>
      </c>
      <c r="AD33">
        <v>1</v>
      </c>
      <c r="AE33">
        <v>0</v>
      </c>
      <c r="AF33" t="s">
        <v>52</v>
      </c>
      <c r="AG33">
        <v>0.27312499999999995</v>
      </c>
      <c r="AH33">
        <v>2</v>
      </c>
      <c r="AI33">
        <v>47631729</v>
      </c>
      <c r="AJ33">
        <v>31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ROW(Source!A37)</f>
        <v>37</v>
      </c>
      <c r="B34">
        <v>47631748</v>
      </c>
      <c r="C34">
        <v>47631724</v>
      </c>
      <c r="D34">
        <v>36883789</v>
      </c>
      <c r="E34">
        <v>1</v>
      </c>
      <c r="F34">
        <v>1</v>
      </c>
      <c r="G34">
        <v>1</v>
      </c>
      <c r="H34">
        <v>2</v>
      </c>
      <c r="I34" t="s">
        <v>530</v>
      </c>
      <c r="J34" t="s">
        <v>531</v>
      </c>
      <c r="K34" t="s">
        <v>532</v>
      </c>
      <c r="L34">
        <v>1368</v>
      </c>
      <c r="N34">
        <v>1011</v>
      </c>
      <c r="O34" t="s">
        <v>505</v>
      </c>
      <c r="P34" t="s">
        <v>505</v>
      </c>
      <c r="Q34">
        <v>1</v>
      </c>
      <c r="X34">
        <v>1.86</v>
      </c>
      <c r="Y34">
        <v>0</v>
      </c>
      <c r="Z34">
        <v>1.2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52</v>
      </c>
      <c r="AG34">
        <v>2.6737500000000001</v>
      </c>
      <c r="AH34">
        <v>2</v>
      </c>
      <c r="AI34">
        <v>47631730</v>
      </c>
      <c r="AJ34">
        <v>32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47631749</v>
      </c>
      <c r="C35">
        <v>47631724</v>
      </c>
      <c r="D35">
        <v>36883836</v>
      </c>
      <c r="E35">
        <v>1</v>
      </c>
      <c r="F35">
        <v>1</v>
      </c>
      <c r="G35">
        <v>1</v>
      </c>
      <c r="H35">
        <v>2</v>
      </c>
      <c r="I35" t="s">
        <v>554</v>
      </c>
      <c r="J35" t="s">
        <v>555</v>
      </c>
      <c r="K35" t="s">
        <v>556</v>
      </c>
      <c r="L35">
        <v>1368</v>
      </c>
      <c r="N35">
        <v>1011</v>
      </c>
      <c r="O35" t="s">
        <v>505</v>
      </c>
      <c r="P35" t="s">
        <v>505</v>
      </c>
      <c r="Q35">
        <v>1</v>
      </c>
      <c r="X35">
        <v>2.0299999999999998</v>
      </c>
      <c r="Y35">
        <v>0</v>
      </c>
      <c r="Z35">
        <v>12.31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52</v>
      </c>
      <c r="AG35">
        <v>2.9181249999999994</v>
      </c>
      <c r="AH35">
        <v>2</v>
      </c>
      <c r="AI35">
        <v>47631731</v>
      </c>
      <c r="AJ35">
        <v>33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47631750</v>
      </c>
      <c r="C36">
        <v>47631724</v>
      </c>
      <c r="D36">
        <v>36800159</v>
      </c>
      <c r="E36">
        <v>1</v>
      </c>
      <c r="F36">
        <v>1</v>
      </c>
      <c r="G36">
        <v>1</v>
      </c>
      <c r="H36">
        <v>3</v>
      </c>
      <c r="I36" t="s">
        <v>542</v>
      </c>
      <c r="J36" t="s">
        <v>543</v>
      </c>
      <c r="K36" t="s">
        <v>544</v>
      </c>
      <c r="L36">
        <v>1339</v>
      </c>
      <c r="N36">
        <v>1007</v>
      </c>
      <c r="O36" t="s">
        <v>96</v>
      </c>
      <c r="P36" t="s">
        <v>96</v>
      </c>
      <c r="Q36">
        <v>1</v>
      </c>
      <c r="X36">
        <v>1.5</v>
      </c>
      <c r="Y36">
        <v>6.22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1.5</v>
      </c>
      <c r="AH36">
        <v>2</v>
      </c>
      <c r="AI36">
        <v>47631732</v>
      </c>
      <c r="AJ36">
        <v>34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ROW(Source!A37)</f>
        <v>37</v>
      </c>
      <c r="B37">
        <v>47631751</v>
      </c>
      <c r="C37">
        <v>47631724</v>
      </c>
      <c r="D37">
        <v>36800166</v>
      </c>
      <c r="E37">
        <v>1</v>
      </c>
      <c r="F37">
        <v>1</v>
      </c>
      <c r="G37">
        <v>1</v>
      </c>
      <c r="H37">
        <v>3</v>
      </c>
      <c r="I37" t="s">
        <v>545</v>
      </c>
      <c r="J37" t="s">
        <v>546</v>
      </c>
      <c r="K37" t="s">
        <v>547</v>
      </c>
      <c r="L37">
        <v>1346</v>
      </c>
      <c r="N37">
        <v>1009</v>
      </c>
      <c r="O37" t="s">
        <v>400</v>
      </c>
      <c r="P37" t="s">
        <v>400</v>
      </c>
      <c r="Q37">
        <v>1</v>
      </c>
      <c r="X37">
        <v>0.45</v>
      </c>
      <c r="Y37">
        <v>6.09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0.45</v>
      </c>
      <c r="AH37">
        <v>2</v>
      </c>
      <c r="AI37">
        <v>47631733</v>
      </c>
      <c r="AJ37">
        <v>35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ROW(Source!A37)</f>
        <v>37</v>
      </c>
      <c r="B38">
        <v>47631752</v>
      </c>
      <c r="C38">
        <v>47631724</v>
      </c>
      <c r="D38">
        <v>36803259</v>
      </c>
      <c r="E38">
        <v>1</v>
      </c>
      <c r="F38">
        <v>1</v>
      </c>
      <c r="G38">
        <v>1</v>
      </c>
      <c r="H38">
        <v>3</v>
      </c>
      <c r="I38" t="s">
        <v>557</v>
      </c>
      <c r="J38" t="s">
        <v>558</v>
      </c>
      <c r="K38" t="s">
        <v>559</v>
      </c>
      <c r="L38">
        <v>1348</v>
      </c>
      <c r="N38">
        <v>1009</v>
      </c>
      <c r="O38" t="s">
        <v>32</v>
      </c>
      <c r="P38" t="s">
        <v>32</v>
      </c>
      <c r="Q38">
        <v>1000</v>
      </c>
      <c r="X38">
        <v>1.4E-3</v>
      </c>
      <c r="Y38">
        <v>10749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1.4E-3</v>
      </c>
      <c r="AH38">
        <v>2</v>
      </c>
      <c r="AI38">
        <v>47631734</v>
      </c>
      <c r="AJ38">
        <v>36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ROW(Source!A37)</f>
        <v>37</v>
      </c>
      <c r="B39">
        <v>47631753</v>
      </c>
      <c r="C39">
        <v>47631724</v>
      </c>
      <c r="D39">
        <v>36804447</v>
      </c>
      <c r="E39">
        <v>1</v>
      </c>
      <c r="F39">
        <v>1</v>
      </c>
      <c r="G39">
        <v>1</v>
      </c>
      <c r="H39">
        <v>3</v>
      </c>
      <c r="I39" t="s">
        <v>560</v>
      </c>
      <c r="J39" t="s">
        <v>561</v>
      </c>
      <c r="K39" t="s">
        <v>562</v>
      </c>
      <c r="L39">
        <v>1348</v>
      </c>
      <c r="N39">
        <v>1009</v>
      </c>
      <c r="O39" t="s">
        <v>32</v>
      </c>
      <c r="P39" t="s">
        <v>32</v>
      </c>
      <c r="Q39">
        <v>1000</v>
      </c>
      <c r="X39">
        <v>3.3E-3</v>
      </c>
      <c r="Y39">
        <v>9040.01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3.3E-3</v>
      </c>
      <c r="AH39">
        <v>2</v>
      </c>
      <c r="AI39">
        <v>47631735</v>
      </c>
      <c r="AJ39">
        <v>37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ROW(Source!A37)</f>
        <v>37</v>
      </c>
      <c r="B40">
        <v>47631754</v>
      </c>
      <c r="C40">
        <v>47631724</v>
      </c>
      <c r="D40">
        <v>36804545</v>
      </c>
      <c r="E40">
        <v>1</v>
      </c>
      <c r="F40">
        <v>1</v>
      </c>
      <c r="G40">
        <v>1</v>
      </c>
      <c r="H40">
        <v>3</v>
      </c>
      <c r="I40" t="s">
        <v>563</v>
      </c>
      <c r="J40" t="s">
        <v>564</v>
      </c>
      <c r="K40" t="s">
        <v>565</v>
      </c>
      <c r="L40">
        <v>1348</v>
      </c>
      <c r="N40">
        <v>1009</v>
      </c>
      <c r="O40" t="s">
        <v>32</v>
      </c>
      <c r="P40" t="s">
        <v>32</v>
      </c>
      <c r="Q40">
        <v>1000</v>
      </c>
      <c r="X40">
        <v>1.0000000000000001E-5</v>
      </c>
      <c r="Y40">
        <v>11978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1.0000000000000001E-5</v>
      </c>
      <c r="AH40">
        <v>2</v>
      </c>
      <c r="AI40">
        <v>47631736</v>
      </c>
      <c r="AJ40">
        <v>38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ROW(Source!A37)</f>
        <v>37</v>
      </c>
      <c r="B41">
        <v>47631755</v>
      </c>
      <c r="C41">
        <v>47631724</v>
      </c>
      <c r="D41">
        <v>36805527</v>
      </c>
      <c r="E41">
        <v>1</v>
      </c>
      <c r="F41">
        <v>1</v>
      </c>
      <c r="G41">
        <v>1</v>
      </c>
      <c r="H41">
        <v>3</v>
      </c>
      <c r="I41" t="s">
        <v>566</v>
      </c>
      <c r="J41" t="s">
        <v>567</v>
      </c>
      <c r="K41" t="s">
        <v>568</v>
      </c>
      <c r="L41">
        <v>1348</v>
      </c>
      <c r="N41">
        <v>1009</v>
      </c>
      <c r="O41" t="s">
        <v>32</v>
      </c>
      <c r="P41" t="s">
        <v>32</v>
      </c>
      <c r="Q41">
        <v>1000</v>
      </c>
      <c r="X41">
        <v>1E-4</v>
      </c>
      <c r="Y41">
        <v>37900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1E-4</v>
      </c>
      <c r="AH41">
        <v>2</v>
      </c>
      <c r="AI41">
        <v>47631737</v>
      </c>
      <c r="AJ41">
        <v>39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ROW(Source!A37)</f>
        <v>37</v>
      </c>
      <c r="B42">
        <v>47631756</v>
      </c>
      <c r="C42">
        <v>47631724</v>
      </c>
      <c r="D42">
        <v>36796332</v>
      </c>
      <c r="E42">
        <v>17</v>
      </c>
      <c r="F42">
        <v>1</v>
      </c>
      <c r="G42">
        <v>1</v>
      </c>
      <c r="H42">
        <v>3</v>
      </c>
      <c r="I42" t="s">
        <v>714</v>
      </c>
      <c r="J42" t="s">
        <v>3</v>
      </c>
      <c r="K42" t="s">
        <v>715</v>
      </c>
      <c r="L42">
        <v>1348</v>
      </c>
      <c r="N42">
        <v>1009</v>
      </c>
      <c r="O42" t="s">
        <v>32</v>
      </c>
      <c r="P42" t="s">
        <v>32</v>
      </c>
      <c r="Q42">
        <v>1000</v>
      </c>
      <c r="X42">
        <v>1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 t="s">
        <v>3</v>
      </c>
      <c r="AG42">
        <v>1</v>
      </c>
      <c r="AH42">
        <v>3</v>
      </c>
      <c r="AI42">
        <v>-1</v>
      </c>
      <c r="AJ42" t="s">
        <v>3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ROW(Source!A37)</f>
        <v>37</v>
      </c>
      <c r="B43">
        <v>47631757</v>
      </c>
      <c r="C43">
        <v>47631724</v>
      </c>
      <c r="D43">
        <v>36825287</v>
      </c>
      <c r="E43">
        <v>1</v>
      </c>
      <c r="F43">
        <v>1</v>
      </c>
      <c r="G43">
        <v>1</v>
      </c>
      <c r="H43">
        <v>3</v>
      </c>
      <c r="I43" t="s">
        <v>569</v>
      </c>
      <c r="J43" t="s">
        <v>570</v>
      </c>
      <c r="K43" t="s">
        <v>571</v>
      </c>
      <c r="L43">
        <v>1302</v>
      </c>
      <c r="N43">
        <v>1003</v>
      </c>
      <c r="O43" t="s">
        <v>572</v>
      </c>
      <c r="P43" t="s">
        <v>572</v>
      </c>
      <c r="Q43">
        <v>10</v>
      </c>
      <c r="X43">
        <v>1.8700000000000001E-2</v>
      </c>
      <c r="Y43">
        <v>50.24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1.8700000000000001E-2</v>
      </c>
      <c r="AH43">
        <v>2</v>
      </c>
      <c r="AI43">
        <v>47631738</v>
      </c>
      <c r="AJ43">
        <v>40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ROW(Source!A37)</f>
        <v>37</v>
      </c>
      <c r="B44">
        <v>47631758</v>
      </c>
      <c r="C44">
        <v>47631724</v>
      </c>
      <c r="D44">
        <v>36825646</v>
      </c>
      <c r="E44">
        <v>1</v>
      </c>
      <c r="F44">
        <v>1</v>
      </c>
      <c r="G44">
        <v>1</v>
      </c>
      <c r="H44">
        <v>3</v>
      </c>
      <c r="I44" t="s">
        <v>573</v>
      </c>
      <c r="J44" t="s">
        <v>574</v>
      </c>
      <c r="K44" t="s">
        <v>575</v>
      </c>
      <c r="L44">
        <v>1348</v>
      </c>
      <c r="N44">
        <v>1009</v>
      </c>
      <c r="O44" t="s">
        <v>32</v>
      </c>
      <c r="P44" t="s">
        <v>32</v>
      </c>
      <c r="Q44">
        <v>1000</v>
      </c>
      <c r="X44">
        <v>3.0000000000000001E-5</v>
      </c>
      <c r="Y44">
        <v>4455.2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3.0000000000000001E-5</v>
      </c>
      <c r="AH44">
        <v>2</v>
      </c>
      <c r="AI44">
        <v>47631739</v>
      </c>
      <c r="AJ44">
        <v>41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ROW(Source!A37)</f>
        <v>37</v>
      </c>
      <c r="B45">
        <v>47631759</v>
      </c>
      <c r="C45">
        <v>47631724</v>
      </c>
      <c r="D45">
        <v>36826406</v>
      </c>
      <c r="E45">
        <v>1</v>
      </c>
      <c r="F45">
        <v>1</v>
      </c>
      <c r="G45">
        <v>1</v>
      </c>
      <c r="H45">
        <v>3</v>
      </c>
      <c r="I45" t="s">
        <v>576</v>
      </c>
      <c r="J45" t="s">
        <v>577</v>
      </c>
      <c r="K45" t="s">
        <v>578</v>
      </c>
      <c r="L45">
        <v>1348</v>
      </c>
      <c r="N45">
        <v>1009</v>
      </c>
      <c r="O45" t="s">
        <v>32</v>
      </c>
      <c r="P45" t="s">
        <v>32</v>
      </c>
      <c r="Q45">
        <v>1000</v>
      </c>
      <c r="X45">
        <v>1.9400000000000001E-3</v>
      </c>
      <c r="Y45">
        <v>4920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1.9400000000000001E-3</v>
      </c>
      <c r="AH45">
        <v>2</v>
      </c>
      <c r="AI45">
        <v>47631740</v>
      </c>
      <c r="AJ45">
        <v>42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ROW(Source!A37)</f>
        <v>37</v>
      </c>
      <c r="B46">
        <v>47631760</v>
      </c>
      <c r="C46">
        <v>47631724</v>
      </c>
      <c r="D46">
        <v>36837948</v>
      </c>
      <c r="E46">
        <v>1</v>
      </c>
      <c r="F46">
        <v>1</v>
      </c>
      <c r="G46">
        <v>1</v>
      </c>
      <c r="H46">
        <v>3</v>
      </c>
      <c r="I46" t="s">
        <v>579</v>
      </c>
      <c r="J46" t="s">
        <v>580</v>
      </c>
      <c r="K46" t="s">
        <v>581</v>
      </c>
      <c r="L46">
        <v>1348</v>
      </c>
      <c r="N46">
        <v>1009</v>
      </c>
      <c r="O46" t="s">
        <v>32</v>
      </c>
      <c r="P46" t="s">
        <v>32</v>
      </c>
      <c r="Q46">
        <v>1000</v>
      </c>
      <c r="X46">
        <v>3.1E-4</v>
      </c>
      <c r="Y46">
        <v>15620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3.1E-4</v>
      </c>
      <c r="AH46">
        <v>2</v>
      </c>
      <c r="AI46">
        <v>47631741</v>
      </c>
      <c r="AJ46">
        <v>43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ROW(Source!A37)</f>
        <v>37</v>
      </c>
      <c r="B47">
        <v>47631761</v>
      </c>
      <c r="C47">
        <v>47631724</v>
      </c>
      <c r="D47">
        <v>36839146</v>
      </c>
      <c r="E47">
        <v>1</v>
      </c>
      <c r="F47">
        <v>1</v>
      </c>
      <c r="G47">
        <v>1</v>
      </c>
      <c r="H47">
        <v>3</v>
      </c>
      <c r="I47" t="s">
        <v>582</v>
      </c>
      <c r="J47" t="s">
        <v>583</v>
      </c>
      <c r="K47" t="s">
        <v>584</v>
      </c>
      <c r="L47">
        <v>1348</v>
      </c>
      <c r="N47">
        <v>1009</v>
      </c>
      <c r="O47" t="s">
        <v>32</v>
      </c>
      <c r="P47" t="s">
        <v>32</v>
      </c>
      <c r="Q47">
        <v>1000</v>
      </c>
      <c r="X47">
        <v>5.9999999999999995E-4</v>
      </c>
      <c r="Y47">
        <v>9420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5.9999999999999995E-4</v>
      </c>
      <c r="AH47">
        <v>2</v>
      </c>
      <c r="AI47">
        <v>47631742</v>
      </c>
      <c r="AJ47">
        <v>44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ROW(Source!A38)</f>
        <v>38</v>
      </c>
      <c r="B48">
        <v>47631766</v>
      </c>
      <c r="C48">
        <v>47631762</v>
      </c>
      <c r="D48">
        <v>37065248</v>
      </c>
      <c r="E48">
        <v>1</v>
      </c>
      <c r="F48">
        <v>1</v>
      </c>
      <c r="G48">
        <v>1</v>
      </c>
      <c r="H48">
        <v>1</v>
      </c>
      <c r="I48" t="s">
        <v>498</v>
      </c>
      <c r="J48" t="s">
        <v>3</v>
      </c>
      <c r="K48" t="s">
        <v>499</v>
      </c>
      <c r="L48">
        <v>1191</v>
      </c>
      <c r="N48">
        <v>1013</v>
      </c>
      <c r="O48" t="s">
        <v>487</v>
      </c>
      <c r="P48" t="s">
        <v>487</v>
      </c>
      <c r="Q48">
        <v>1</v>
      </c>
      <c r="X48">
        <v>106.8</v>
      </c>
      <c r="Y48">
        <v>0</v>
      </c>
      <c r="Z48">
        <v>0</v>
      </c>
      <c r="AA48">
        <v>0</v>
      </c>
      <c r="AB48">
        <v>8.5299999999999994</v>
      </c>
      <c r="AC48">
        <v>0</v>
      </c>
      <c r="AD48">
        <v>1</v>
      </c>
      <c r="AE48">
        <v>1</v>
      </c>
      <c r="AF48" t="s">
        <v>53</v>
      </c>
      <c r="AG48">
        <v>141.24299999999999</v>
      </c>
      <c r="AH48">
        <v>2</v>
      </c>
      <c r="AI48">
        <v>47631763</v>
      </c>
      <c r="AJ48">
        <v>45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ROW(Source!A38)</f>
        <v>38</v>
      </c>
      <c r="B49">
        <v>47631767</v>
      </c>
      <c r="C49">
        <v>47631762</v>
      </c>
      <c r="D49">
        <v>36796888</v>
      </c>
      <c r="E49">
        <v>17</v>
      </c>
      <c r="F49">
        <v>1</v>
      </c>
      <c r="G49">
        <v>1</v>
      </c>
      <c r="H49">
        <v>3</v>
      </c>
      <c r="I49" t="s">
        <v>716</v>
      </c>
      <c r="J49" t="s">
        <v>3</v>
      </c>
      <c r="K49" t="s">
        <v>717</v>
      </c>
      <c r="L49">
        <v>1035</v>
      </c>
      <c r="N49">
        <v>1013</v>
      </c>
      <c r="O49" t="s">
        <v>91</v>
      </c>
      <c r="P49" t="s">
        <v>91</v>
      </c>
      <c r="Q49">
        <v>1</v>
      </c>
      <c r="X49">
        <v>100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 t="s">
        <v>3</v>
      </c>
      <c r="AG49">
        <v>100</v>
      </c>
      <c r="AH49">
        <v>3</v>
      </c>
      <c r="AI49">
        <v>-1</v>
      </c>
      <c r="AJ49" t="s">
        <v>3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ROW(Source!A38)</f>
        <v>38</v>
      </c>
      <c r="B50">
        <v>47631768</v>
      </c>
      <c r="C50">
        <v>47631762</v>
      </c>
      <c r="D50">
        <v>36804943</v>
      </c>
      <c r="E50">
        <v>1</v>
      </c>
      <c r="F50">
        <v>1</v>
      </c>
      <c r="G50">
        <v>1</v>
      </c>
      <c r="H50">
        <v>3</v>
      </c>
      <c r="I50" t="s">
        <v>585</v>
      </c>
      <c r="J50" t="s">
        <v>586</v>
      </c>
      <c r="K50" t="s">
        <v>587</v>
      </c>
      <c r="L50">
        <v>1348</v>
      </c>
      <c r="N50">
        <v>1009</v>
      </c>
      <c r="O50" t="s">
        <v>32</v>
      </c>
      <c r="P50" t="s">
        <v>32</v>
      </c>
      <c r="Q50">
        <v>1000</v>
      </c>
      <c r="X50">
        <v>8.0000000000000002E-3</v>
      </c>
      <c r="Y50">
        <v>16974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8.0000000000000002E-3</v>
      </c>
      <c r="AH50">
        <v>2</v>
      </c>
      <c r="AI50">
        <v>47631764</v>
      </c>
      <c r="AJ50">
        <v>47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47631778</v>
      </c>
      <c r="C51">
        <v>47631770</v>
      </c>
      <c r="D51">
        <v>37066717</v>
      </c>
      <c r="E51">
        <v>1</v>
      </c>
      <c r="F51">
        <v>1</v>
      </c>
      <c r="G51">
        <v>1</v>
      </c>
      <c r="H51">
        <v>1</v>
      </c>
      <c r="I51" t="s">
        <v>485</v>
      </c>
      <c r="J51" t="s">
        <v>3</v>
      </c>
      <c r="K51" t="s">
        <v>486</v>
      </c>
      <c r="L51">
        <v>1191</v>
      </c>
      <c r="N51">
        <v>1013</v>
      </c>
      <c r="O51" t="s">
        <v>487</v>
      </c>
      <c r="P51" t="s">
        <v>487</v>
      </c>
      <c r="Q51">
        <v>1</v>
      </c>
      <c r="X51">
        <v>2.2999999999999998</v>
      </c>
      <c r="Y51">
        <v>0</v>
      </c>
      <c r="Z51">
        <v>0</v>
      </c>
      <c r="AA51">
        <v>0</v>
      </c>
      <c r="AB51">
        <v>8.17</v>
      </c>
      <c r="AC51">
        <v>0</v>
      </c>
      <c r="AD51">
        <v>1</v>
      </c>
      <c r="AE51">
        <v>1</v>
      </c>
      <c r="AF51" t="s">
        <v>53</v>
      </c>
      <c r="AG51">
        <v>3.0417499999999991</v>
      </c>
      <c r="AH51">
        <v>2</v>
      </c>
      <c r="AI51">
        <v>47631771</v>
      </c>
      <c r="AJ51">
        <v>48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47631779</v>
      </c>
      <c r="C52">
        <v>47631770</v>
      </c>
      <c r="D52">
        <v>37064876</v>
      </c>
      <c r="E52">
        <v>1</v>
      </c>
      <c r="F52">
        <v>1</v>
      </c>
      <c r="G52">
        <v>1</v>
      </c>
      <c r="H52">
        <v>1</v>
      </c>
      <c r="I52" t="s">
        <v>500</v>
      </c>
      <c r="J52" t="s">
        <v>3</v>
      </c>
      <c r="K52" t="s">
        <v>501</v>
      </c>
      <c r="L52">
        <v>1191</v>
      </c>
      <c r="N52">
        <v>1013</v>
      </c>
      <c r="O52" t="s">
        <v>487</v>
      </c>
      <c r="P52" t="s">
        <v>487</v>
      </c>
      <c r="Q52">
        <v>1</v>
      </c>
      <c r="X52">
        <v>0.28999999999999998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2</v>
      </c>
      <c r="AF52" t="s">
        <v>52</v>
      </c>
      <c r="AG52">
        <v>0.41687499999999994</v>
      </c>
      <c r="AH52">
        <v>2</v>
      </c>
      <c r="AI52">
        <v>47631772</v>
      </c>
      <c r="AJ52">
        <v>49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47631780</v>
      </c>
      <c r="C53">
        <v>47631770</v>
      </c>
      <c r="D53">
        <v>36882421</v>
      </c>
      <c r="E53">
        <v>1</v>
      </c>
      <c r="F53">
        <v>1</v>
      </c>
      <c r="G53">
        <v>1</v>
      </c>
      <c r="H53">
        <v>2</v>
      </c>
      <c r="I53" t="s">
        <v>588</v>
      </c>
      <c r="J53" t="s">
        <v>589</v>
      </c>
      <c r="K53" t="s">
        <v>590</v>
      </c>
      <c r="L53">
        <v>1368</v>
      </c>
      <c r="N53">
        <v>1011</v>
      </c>
      <c r="O53" t="s">
        <v>505</v>
      </c>
      <c r="P53" t="s">
        <v>505</v>
      </c>
      <c r="Q53">
        <v>1</v>
      </c>
      <c r="X53">
        <v>0.08</v>
      </c>
      <c r="Y53">
        <v>0</v>
      </c>
      <c r="Z53">
        <v>90.4</v>
      </c>
      <c r="AA53">
        <v>11.6</v>
      </c>
      <c r="AB53">
        <v>0</v>
      </c>
      <c r="AC53">
        <v>0</v>
      </c>
      <c r="AD53">
        <v>1</v>
      </c>
      <c r="AE53">
        <v>0</v>
      </c>
      <c r="AF53" t="s">
        <v>52</v>
      </c>
      <c r="AG53">
        <v>0.11499999999999999</v>
      </c>
      <c r="AH53">
        <v>2</v>
      </c>
      <c r="AI53">
        <v>47631773</v>
      </c>
      <c r="AJ53">
        <v>50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47631781</v>
      </c>
      <c r="C54">
        <v>47631770</v>
      </c>
      <c r="D54">
        <v>36882890</v>
      </c>
      <c r="E54">
        <v>1</v>
      </c>
      <c r="F54">
        <v>1</v>
      </c>
      <c r="G54">
        <v>1</v>
      </c>
      <c r="H54">
        <v>2</v>
      </c>
      <c r="I54" t="s">
        <v>591</v>
      </c>
      <c r="J54" t="s">
        <v>592</v>
      </c>
      <c r="K54" t="s">
        <v>593</v>
      </c>
      <c r="L54">
        <v>1368</v>
      </c>
      <c r="N54">
        <v>1011</v>
      </c>
      <c r="O54" t="s">
        <v>505</v>
      </c>
      <c r="P54" t="s">
        <v>505</v>
      </c>
      <c r="Q54">
        <v>1</v>
      </c>
      <c r="X54">
        <v>0.42</v>
      </c>
      <c r="Y54">
        <v>0</v>
      </c>
      <c r="Z54">
        <v>0.55000000000000004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52</v>
      </c>
      <c r="AG54">
        <v>0.60375000000000001</v>
      </c>
      <c r="AH54">
        <v>2</v>
      </c>
      <c r="AI54">
        <v>47631774</v>
      </c>
      <c r="AJ54">
        <v>51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47631782</v>
      </c>
      <c r="C55">
        <v>47631770</v>
      </c>
      <c r="D55">
        <v>36883878</v>
      </c>
      <c r="E55">
        <v>1</v>
      </c>
      <c r="F55">
        <v>1</v>
      </c>
      <c r="G55">
        <v>1</v>
      </c>
      <c r="H55">
        <v>2</v>
      </c>
      <c r="I55" t="s">
        <v>594</v>
      </c>
      <c r="J55" t="s">
        <v>595</v>
      </c>
      <c r="K55" t="s">
        <v>596</v>
      </c>
      <c r="L55">
        <v>1368</v>
      </c>
      <c r="N55">
        <v>1011</v>
      </c>
      <c r="O55" t="s">
        <v>505</v>
      </c>
      <c r="P55" t="s">
        <v>505</v>
      </c>
      <c r="Q55">
        <v>1</v>
      </c>
      <c r="X55">
        <v>0.21</v>
      </c>
      <c r="Y55">
        <v>0</v>
      </c>
      <c r="Z55">
        <v>90</v>
      </c>
      <c r="AA55">
        <v>10.06</v>
      </c>
      <c r="AB55">
        <v>0</v>
      </c>
      <c r="AC55">
        <v>0</v>
      </c>
      <c r="AD55">
        <v>1</v>
      </c>
      <c r="AE55">
        <v>0</v>
      </c>
      <c r="AF55" t="s">
        <v>52</v>
      </c>
      <c r="AG55">
        <v>0.301875</v>
      </c>
      <c r="AH55">
        <v>2</v>
      </c>
      <c r="AI55">
        <v>47631775</v>
      </c>
      <c r="AJ55">
        <v>52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47631783</v>
      </c>
      <c r="C56">
        <v>47631770</v>
      </c>
      <c r="D56">
        <v>36801792</v>
      </c>
      <c r="E56">
        <v>1</v>
      </c>
      <c r="F56">
        <v>1</v>
      </c>
      <c r="G56">
        <v>1</v>
      </c>
      <c r="H56">
        <v>3</v>
      </c>
      <c r="I56" t="s">
        <v>597</v>
      </c>
      <c r="J56" t="s">
        <v>598</v>
      </c>
      <c r="K56" t="s">
        <v>599</v>
      </c>
      <c r="L56">
        <v>1339</v>
      </c>
      <c r="N56">
        <v>1007</v>
      </c>
      <c r="O56" t="s">
        <v>96</v>
      </c>
      <c r="P56" t="s">
        <v>96</v>
      </c>
      <c r="Q56">
        <v>1</v>
      </c>
      <c r="X56">
        <v>0.15</v>
      </c>
      <c r="Y56">
        <v>2.44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3</v>
      </c>
      <c r="AG56">
        <v>0.15</v>
      </c>
      <c r="AH56">
        <v>2</v>
      </c>
      <c r="AI56">
        <v>47631776</v>
      </c>
      <c r="AJ56">
        <v>53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ROW(Source!A40)</f>
        <v>40</v>
      </c>
      <c r="B57">
        <v>47631784</v>
      </c>
      <c r="C57">
        <v>47631770</v>
      </c>
      <c r="D57">
        <v>36796087</v>
      </c>
      <c r="E57">
        <v>17</v>
      </c>
      <c r="F57">
        <v>1</v>
      </c>
      <c r="G57">
        <v>1</v>
      </c>
      <c r="H57">
        <v>3</v>
      </c>
      <c r="I57" t="s">
        <v>718</v>
      </c>
      <c r="J57" t="s">
        <v>3</v>
      </c>
      <c r="K57" t="s">
        <v>719</v>
      </c>
      <c r="L57">
        <v>1339</v>
      </c>
      <c r="N57">
        <v>1007</v>
      </c>
      <c r="O57" t="s">
        <v>96</v>
      </c>
      <c r="P57" t="s">
        <v>96</v>
      </c>
      <c r="Q57">
        <v>1</v>
      </c>
      <c r="X57">
        <v>1.2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 t="s">
        <v>3</v>
      </c>
      <c r="AG57">
        <v>1.2</v>
      </c>
      <c r="AH57">
        <v>3</v>
      </c>
      <c r="AI57">
        <v>-1</v>
      </c>
      <c r="AJ57" t="s">
        <v>3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ROW(Source!A42)</f>
        <v>42</v>
      </c>
      <c r="B58">
        <v>47631791</v>
      </c>
      <c r="C58">
        <v>47631786</v>
      </c>
      <c r="D58">
        <v>37065248</v>
      </c>
      <c r="E58">
        <v>1</v>
      </c>
      <c r="F58">
        <v>1</v>
      </c>
      <c r="G58">
        <v>1</v>
      </c>
      <c r="H58">
        <v>1</v>
      </c>
      <c r="I58" t="s">
        <v>498</v>
      </c>
      <c r="J58" t="s">
        <v>3</v>
      </c>
      <c r="K58" t="s">
        <v>499</v>
      </c>
      <c r="L58">
        <v>1191</v>
      </c>
      <c r="N58">
        <v>1013</v>
      </c>
      <c r="O58" t="s">
        <v>487</v>
      </c>
      <c r="P58" t="s">
        <v>487</v>
      </c>
      <c r="Q58">
        <v>1</v>
      </c>
      <c r="X58">
        <v>3.45</v>
      </c>
      <c r="Y58">
        <v>0</v>
      </c>
      <c r="Z58">
        <v>0</v>
      </c>
      <c r="AA58">
        <v>0</v>
      </c>
      <c r="AB58">
        <v>8.5299999999999994</v>
      </c>
      <c r="AC58">
        <v>0</v>
      </c>
      <c r="AD58">
        <v>1</v>
      </c>
      <c r="AE58">
        <v>1</v>
      </c>
      <c r="AF58" t="s">
        <v>53</v>
      </c>
      <c r="AG58">
        <v>4.5626249999999997</v>
      </c>
      <c r="AH58">
        <v>2</v>
      </c>
      <c r="AI58">
        <v>47631787</v>
      </c>
      <c r="AJ58">
        <v>55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ROW(Source!A42)</f>
        <v>42</v>
      </c>
      <c r="B59">
        <v>47631792</v>
      </c>
      <c r="C59">
        <v>47631786</v>
      </c>
      <c r="D59">
        <v>37064876</v>
      </c>
      <c r="E59">
        <v>1</v>
      </c>
      <c r="F59">
        <v>1</v>
      </c>
      <c r="G59">
        <v>1</v>
      </c>
      <c r="H59">
        <v>1</v>
      </c>
      <c r="I59" t="s">
        <v>500</v>
      </c>
      <c r="J59" t="s">
        <v>3</v>
      </c>
      <c r="K59" t="s">
        <v>501</v>
      </c>
      <c r="L59">
        <v>1191</v>
      </c>
      <c r="N59">
        <v>1013</v>
      </c>
      <c r="O59" t="s">
        <v>487</v>
      </c>
      <c r="P59" t="s">
        <v>487</v>
      </c>
      <c r="Q59">
        <v>1</v>
      </c>
      <c r="X59">
        <v>0.02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2</v>
      </c>
      <c r="AF59" t="s">
        <v>52</v>
      </c>
      <c r="AG59">
        <v>2.8749999999999998E-2</v>
      </c>
      <c r="AH59">
        <v>2</v>
      </c>
      <c r="AI59">
        <v>47631788</v>
      </c>
      <c r="AJ59">
        <v>56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ROW(Source!A42)</f>
        <v>42</v>
      </c>
      <c r="B60">
        <v>47631793</v>
      </c>
      <c r="C60">
        <v>47631786</v>
      </c>
      <c r="D60">
        <v>36883554</v>
      </c>
      <c r="E60">
        <v>1</v>
      </c>
      <c r="F60">
        <v>1</v>
      </c>
      <c r="G60">
        <v>1</v>
      </c>
      <c r="H60">
        <v>2</v>
      </c>
      <c r="I60" t="s">
        <v>509</v>
      </c>
      <c r="J60" t="s">
        <v>510</v>
      </c>
      <c r="K60" t="s">
        <v>511</v>
      </c>
      <c r="L60">
        <v>1368</v>
      </c>
      <c r="N60">
        <v>1011</v>
      </c>
      <c r="O60" t="s">
        <v>505</v>
      </c>
      <c r="P60" t="s">
        <v>505</v>
      </c>
      <c r="Q60">
        <v>1</v>
      </c>
      <c r="X60">
        <v>0.02</v>
      </c>
      <c r="Y60">
        <v>0</v>
      </c>
      <c r="Z60">
        <v>65.709999999999994</v>
      </c>
      <c r="AA60">
        <v>11.6</v>
      </c>
      <c r="AB60">
        <v>0</v>
      </c>
      <c r="AC60">
        <v>0</v>
      </c>
      <c r="AD60">
        <v>1</v>
      </c>
      <c r="AE60">
        <v>0</v>
      </c>
      <c r="AF60" t="s">
        <v>52</v>
      </c>
      <c r="AG60">
        <v>2.8749999999999998E-2</v>
      </c>
      <c r="AH60">
        <v>2</v>
      </c>
      <c r="AI60">
        <v>47631789</v>
      </c>
      <c r="AJ60">
        <v>57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ROW(Source!A42)</f>
        <v>42</v>
      </c>
      <c r="B61">
        <v>47631794</v>
      </c>
      <c r="C61">
        <v>47631786</v>
      </c>
      <c r="D61">
        <v>36802302</v>
      </c>
      <c r="E61">
        <v>1</v>
      </c>
      <c r="F61">
        <v>1</v>
      </c>
      <c r="G61">
        <v>1</v>
      </c>
      <c r="H61">
        <v>3</v>
      </c>
      <c r="I61" t="s">
        <v>600</v>
      </c>
      <c r="J61" t="s">
        <v>601</v>
      </c>
      <c r="K61" t="s">
        <v>602</v>
      </c>
      <c r="L61">
        <v>1327</v>
      </c>
      <c r="N61">
        <v>1005</v>
      </c>
      <c r="O61" t="s">
        <v>603</v>
      </c>
      <c r="P61" t="s">
        <v>603</v>
      </c>
      <c r="Q61">
        <v>1</v>
      </c>
      <c r="X61">
        <v>122.4</v>
      </c>
      <c r="Y61">
        <v>12.19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122.4</v>
      </c>
      <c r="AH61">
        <v>2</v>
      </c>
      <c r="AI61">
        <v>47631790</v>
      </c>
      <c r="AJ61">
        <v>58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ROW(Source!A43)</f>
        <v>43</v>
      </c>
      <c r="B62">
        <v>47631801</v>
      </c>
      <c r="C62">
        <v>47631795</v>
      </c>
      <c r="D62">
        <v>37065248</v>
      </c>
      <c r="E62">
        <v>1</v>
      </c>
      <c r="F62">
        <v>1</v>
      </c>
      <c r="G62">
        <v>1</v>
      </c>
      <c r="H62">
        <v>1</v>
      </c>
      <c r="I62" t="s">
        <v>498</v>
      </c>
      <c r="J62" t="s">
        <v>3</v>
      </c>
      <c r="K62" t="s">
        <v>499</v>
      </c>
      <c r="L62">
        <v>1191</v>
      </c>
      <c r="N62">
        <v>1013</v>
      </c>
      <c r="O62" t="s">
        <v>487</v>
      </c>
      <c r="P62" t="s">
        <v>487</v>
      </c>
      <c r="Q62">
        <v>1</v>
      </c>
      <c r="X62">
        <v>77.39</v>
      </c>
      <c r="Y62">
        <v>0</v>
      </c>
      <c r="Z62">
        <v>0</v>
      </c>
      <c r="AA62">
        <v>0</v>
      </c>
      <c r="AB62">
        <v>8.5299999999999994</v>
      </c>
      <c r="AC62">
        <v>0</v>
      </c>
      <c r="AD62">
        <v>1</v>
      </c>
      <c r="AE62">
        <v>1</v>
      </c>
      <c r="AF62" t="s">
        <v>53</v>
      </c>
      <c r="AG62">
        <v>102.34827499999999</v>
      </c>
      <c r="AH62">
        <v>2</v>
      </c>
      <c r="AI62">
        <v>47631796</v>
      </c>
      <c r="AJ62">
        <v>59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ROW(Source!A43)</f>
        <v>43</v>
      </c>
      <c r="B63">
        <v>47631802</v>
      </c>
      <c r="C63">
        <v>47631795</v>
      </c>
      <c r="D63">
        <v>37064876</v>
      </c>
      <c r="E63">
        <v>1</v>
      </c>
      <c r="F63">
        <v>1</v>
      </c>
      <c r="G63">
        <v>1</v>
      </c>
      <c r="H63">
        <v>1</v>
      </c>
      <c r="I63" t="s">
        <v>500</v>
      </c>
      <c r="J63" t="s">
        <v>3</v>
      </c>
      <c r="K63" t="s">
        <v>501</v>
      </c>
      <c r="L63">
        <v>1191</v>
      </c>
      <c r="N63">
        <v>1013</v>
      </c>
      <c r="O63" t="s">
        <v>487</v>
      </c>
      <c r="P63" t="s">
        <v>487</v>
      </c>
      <c r="Q63">
        <v>1</v>
      </c>
      <c r="X63">
        <v>0.34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2</v>
      </c>
      <c r="AF63" t="s">
        <v>52</v>
      </c>
      <c r="AG63">
        <v>0.48875000000000002</v>
      </c>
      <c r="AH63">
        <v>2</v>
      </c>
      <c r="AI63">
        <v>47631797</v>
      </c>
      <c r="AJ63">
        <v>60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ROW(Source!A43)</f>
        <v>43</v>
      </c>
      <c r="B64">
        <v>47631803</v>
      </c>
      <c r="C64">
        <v>47631795</v>
      </c>
      <c r="D64">
        <v>36883554</v>
      </c>
      <c r="E64">
        <v>1</v>
      </c>
      <c r="F64">
        <v>1</v>
      </c>
      <c r="G64">
        <v>1</v>
      </c>
      <c r="H64">
        <v>2</v>
      </c>
      <c r="I64" t="s">
        <v>509</v>
      </c>
      <c r="J64" t="s">
        <v>510</v>
      </c>
      <c r="K64" t="s">
        <v>511</v>
      </c>
      <c r="L64">
        <v>1368</v>
      </c>
      <c r="N64">
        <v>1011</v>
      </c>
      <c r="O64" t="s">
        <v>505</v>
      </c>
      <c r="P64" t="s">
        <v>505</v>
      </c>
      <c r="Q64">
        <v>1</v>
      </c>
      <c r="X64">
        <v>0.34</v>
      </c>
      <c r="Y64">
        <v>0</v>
      </c>
      <c r="Z64">
        <v>65.709999999999994</v>
      </c>
      <c r="AA64">
        <v>11.6</v>
      </c>
      <c r="AB64">
        <v>0</v>
      </c>
      <c r="AC64">
        <v>0</v>
      </c>
      <c r="AD64">
        <v>1</v>
      </c>
      <c r="AE64">
        <v>0</v>
      </c>
      <c r="AF64" t="s">
        <v>52</v>
      </c>
      <c r="AG64">
        <v>0.48875000000000002</v>
      </c>
      <c r="AH64">
        <v>2</v>
      </c>
      <c r="AI64">
        <v>47631798</v>
      </c>
      <c r="AJ64">
        <v>61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ROW(Source!A43)</f>
        <v>43</v>
      </c>
      <c r="B65">
        <v>47631804</v>
      </c>
      <c r="C65">
        <v>47631795</v>
      </c>
      <c r="D65">
        <v>36883858</v>
      </c>
      <c r="E65">
        <v>1</v>
      </c>
      <c r="F65">
        <v>1</v>
      </c>
      <c r="G65">
        <v>1</v>
      </c>
      <c r="H65">
        <v>2</v>
      </c>
      <c r="I65" t="s">
        <v>604</v>
      </c>
      <c r="J65" t="s">
        <v>605</v>
      </c>
      <c r="K65" t="s">
        <v>606</v>
      </c>
      <c r="L65">
        <v>1368</v>
      </c>
      <c r="N65">
        <v>1011</v>
      </c>
      <c r="O65" t="s">
        <v>505</v>
      </c>
      <c r="P65" t="s">
        <v>505</v>
      </c>
      <c r="Q65">
        <v>1</v>
      </c>
      <c r="X65">
        <v>11.6</v>
      </c>
      <c r="Y65">
        <v>0</v>
      </c>
      <c r="Z65">
        <v>8.1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52</v>
      </c>
      <c r="AG65">
        <v>16.674999999999997</v>
      </c>
      <c r="AH65">
        <v>2</v>
      </c>
      <c r="AI65">
        <v>47631799</v>
      </c>
      <c r="AJ65">
        <v>62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ROW(Source!A43)</f>
        <v>43</v>
      </c>
      <c r="B66">
        <v>47631805</v>
      </c>
      <c r="C66">
        <v>47631795</v>
      </c>
      <c r="D66">
        <v>36803278</v>
      </c>
      <c r="E66">
        <v>1</v>
      </c>
      <c r="F66">
        <v>1</v>
      </c>
      <c r="G66">
        <v>1</v>
      </c>
      <c r="H66">
        <v>3</v>
      </c>
      <c r="I66" t="s">
        <v>607</v>
      </c>
      <c r="J66" t="s">
        <v>608</v>
      </c>
      <c r="K66" t="s">
        <v>609</v>
      </c>
      <c r="L66">
        <v>1348</v>
      </c>
      <c r="N66">
        <v>1009</v>
      </c>
      <c r="O66" t="s">
        <v>32</v>
      </c>
      <c r="P66" t="s">
        <v>32</v>
      </c>
      <c r="Q66">
        <v>1000</v>
      </c>
      <c r="X66">
        <v>0.02</v>
      </c>
      <c r="Y66">
        <v>9424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0.02</v>
      </c>
      <c r="AH66">
        <v>2</v>
      </c>
      <c r="AI66">
        <v>47631800</v>
      </c>
      <c r="AJ66">
        <v>63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ROW(Source!A43)</f>
        <v>43</v>
      </c>
      <c r="B67">
        <v>47631806</v>
      </c>
      <c r="C67">
        <v>47631795</v>
      </c>
      <c r="D67">
        <v>36796628</v>
      </c>
      <c r="E67">
        <v>17</v>
      </c>
      <c r="F67">
        <v>1</v>
      </c>
      <c r="G67">
        <v>1</v>
      </c>
      <c r="H67">
        <v>3</v>
      </c>
      <c r="I67" t="s">
        <v>720</v>
      </c>
      <c r="J67" t="s">
        <v>3</v>
      </c>
      <c r="K67" t="s">
        <v>721</v>
      </c>
      <c r="L67">
        <v>1354</v>
      </c>
      <c r="N67">
        <v>1010</v>
      </c>
      <c r="O67" t="s">
        <v>186</v>
      </c>
      <c r="P67" t="s">
        <v>186</v>
      </c>
      <c r="Q67">
        <v>1</v>
      </c>
      <c r="X67">
        <v>100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 t="s">
        <v>3</v>
      </c>
      <c r="AG67">
        <v>100</v>
      </c>
      <c r="AH67">
        <v>3</v>
      </c>
      <c r="AI67">
        <v>-1</v>
      </c>
      <c r="AJ67" t="s">
        <v>3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ROW(Source!A44)</f>
        <v>44</v>
      </c>
      <c r="B68">
        <v>47631818</v>
      </c>
      <c r="C68">
        <v>47631807</v>
      </c>
      <c r="D68">
        <v>37082223</v>
      </c>
      <c r="E68">
        <v>1</v>
      </c>
      <c r="F68">
        <v>1</v>
      </c>
      <c r="G68">
        <v>1</v>
      </c>
      <c r="H68">
        <v>1</v>
      </c>
      <c r="I68" t="s">
        <v>610</v>
      </c>
      <c r="J68" t="s">
        <v>3</v>
      </c>
      <c r="K68" t="s">
        <v>611</v>
      </c>
      <c r="L68">
        <v>1191</v>
      </c>
      <c r="N68">
        <v>1013</v>
      </c>
      <c r="O68" t="s">
        <v>487</v>
      </c>
      <c r="P68" t="s">
        <v>487</v>
      </c>
      <c r="Q68">
        <v>1</v>
      </c>
      <c r="X68">
        <v>1940.2</v>
      </c>
      <c r="Y68">
        <v>0</v>
      </c>
      <c r="Z68">
        <v>0</v>
      </c>
      <c r="AA68">
        <v>0</v>
      </c>
      <c r="AB68">
        <v>9.76</v>
      </c>
      <c r="AC68">
        <v>0</v>
      </c>
      <c r="AD68">
        <v>1</v>
      </c>
      <c r="AE68">
        <v>1</v>
      </c>
      <c r="AF68" t="s">
        <v>53</v>
      </c>
      <c r="AG68">
        <v>2565.9144999999999</v>
      </c>
      <c r="AH68">
        <v>2</v>
      </c>
      <c r="AI68">
        <v>47631808</v>
      </c>
      <c r="AJ68">
        <v>64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ROW(Source!A44)</f>
        <v>44</v>
      </c>
      <c r="B69">
        <v>47631819</v>
      </c>
      <c r="C69">
        <v>47631807</v>
      </c>
      <c r="D69">
        <v>37064876</v>
      </c>
      <c r="E69">
        <v>1</v>
      </c>
      <c r="F69">
        <v>1</v>
      </c>
      <c r="G69">
        <v>1</v>
      </c>
      <c r="H69">
        <v>1</v>
      </c>
      <c r="I69" t="s">
        <v>500</v>
      </c>
      <c r="J69" t="s">
        <v>3</v>
      </c>
      <c r="K69" t="s">
        <v>501</v>
      </c>
      <c r="L69">
        <v>1191</v>
      </c>
      <c r="N69">
        <v>1013</v>
      </c>
      <c r="O69" t="s">
        <v>487</v>
      </c>
      <c r="P69" t="s">
        <v>487</v>
      </c>
      <c r="Q69">
        <v>1</v>
      </c>
      <c r="X69">
        <v>117.88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2</v>
      </c>
      <c r="AF69" t="s">
        <v>52</v>
      </c>
      <c r="AG69">
        <v>169.45249999999999</v>
      </c>
      <c r="AH69">
        <v>2</v>
      </c>
      <c r="AI69">
        <v>47631809</v>
      </c>
      <c r="AJ69">
        <v>65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ROW(Source!A44)</f>
        <v>44</v>
      </c>
      <c r="B70">
        <v>47631820</v>
      </c>
      <c r="C70">
        <v>47631807</v>
      </c>
      <c r="D70">
        <v>36881483</v>
      </c>
      <c r="E70">
        <v>1</v>
      </c>
      <c r="F70">
        <v>1</v>
      </c>
      <c r="G70">
        <v>1</v>
      </c>
      <c r="H70">
        <v>2</v>
      </c>
      <c r="I70" t="s">
        <v>612</v>
      </c>
      <c r="J70" t="s">
        <v>613</v>
      </c>
      <c r="K70" t="s">
        <v>614</v>
      </c>
      <c r="L70">
        <v>1368</v>
      </c>
      <c r="N70">
        <v>1011</v>
      </c>
      <c r="O70" t="s">
        <v>505</v>
      </c>
      <c r="P70" t="s">
        <v>505</v>
      </c>
      <c r="Q70">
        <v>1</v>
      </c>
      <c r="X70">
        <v>6.63</v>
      </c>
      <c r="Y70">
        <v>0</v>
      </c>
      <c r="Z70">
        <v>70.010000000000005</v>
      </c>
      <c r="AA70">
        <v>11.6</v>
      </c>
      <c r="AB70">
        <v>0</v>
      </c>
      <c r="AC70">
        <v>0</v>
      </c>
      <c r="AD70">
        <v>1</v>
      </c>
      <c r="AE70">
        <v>0</v>
      </c>
      <c r="AF70" t="s">
        <v>52</v>
      </c>
      <c r="AG70">
        <v>9.5306249999999988</v>
      </c>
      <c r="AH70">
        <v>2</v>
      </c>
      <c r="AI70">
        <v>47631810</v>
      </c>
      <c r="AJ70">
        <v>66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ROW(Source!A44)</f>
        <v>44</v>
      </c>
      <c r="B71">
        <v>47631821</v>
      </c>
      <c r="C71">
        <v>47631807</v>
      </c>
      <c r="D71">
        <v>36882159</v>
      </c>
      <c r="E71">
        <v>1</v>
      </c>
      <c r="F71">
        <v>1</v>
      </c>
      <c r="G71">
        <v>1</v>
      </c>
      <c r="H71">
        <v>2</v>
      </c>
      <c r="I71" t="s">
        <v>518</v>
      </c>
      <c r="J71" t="s">
        <v>519</v>
      </c>
      <c r="K71" t="s">
        <v>520</v>
      </c>
      <c r="L71">
        <v>1368</v>
      </c>
      <c r="N71">
        <v>1011</v>
      </c>
      <c r="O71" t="s">
        <v>505</v>
      </c>
      <c r="P71" t="s">
        <v>505</v>
      </c>
      <c r="Q71">
        <v>1</v>
      </c>
      <c r="X71">
        <v>102.24</v>
      </c>
      <c r="Y71">
        <v>0</v>
      </c>
      <c r="Z71">
        <v>111.99</v>
      </c>
      <c r="AA71">
        <v>13.5</v>
      </c>
      <c r="AB71">
        <v>0</v>
      </c>
      <c r="AC71">
        <v>0</v>
      </c>
      <c r="AD71">
        <v>1</v>
      </c>
      <c r="AE71">
        <v>0</v>
      </c>
      <c r="AF71" t="s">
        <v>52</v>
      </c>
      <c r="AG71">
        <v>146.97</v>
      </c>
      <c r="AH71">
        <v>2</v>
      </c>
      <c r="AI71">
        <v>47631811</v>
      </c>
      <c r="AJ71">
        <v>67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ROW(Source!A44)</f>
        <v>44</v>
      </c>
      <c r="B72">
        <v>47631822</v>
      </c>
      <c r="C72">
        <v>47631807</v>
      </c>
      <c r="D72">
        <v>36882567</v>
      </c>
      <c r="E72">
        <v>1</v>
      </c>
      <c r="F72">
        <v>1</v>
      </c>
      <c r="G72">
        <v>1</v>
      </c>
      <c r="H72">
        <v>2</v>
      </c>
      <c r="I72" t="s">
        <v>615</v>
      </c>
      <c r="J72" t="s">
        <v>616</v>
      </c>
      <c r="K72" t="s">
        <v>617</v>
      </c>
      <c r="L72">
        <v>1368</v>
      </c>
      <c r="N72">
        <v>1011</v>
      </c>
      <c r="O72" t="s">
        <v>505</v>
      </c>
      <c r="P72" t="s">
        <v>505</v>
      </c>
      <c r="Q72">
        <v>1</v>
      </c>
      <c r="X72">
        <v>23.79</v>
      </c>
      <c r="Y72">
        <v>0</v>
      </c>
      <c r="Z72">
        <v>1.9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52</v>
      </c>
      <c r="AG72">
        <v>34.198124999999997</v>
      </c>
      <c r="AH72">
        <v>2</v>
      </c>
      <c r="AI72">
        <v>47631812</v>
      </c>
      <c r="AJ72">
        <v>68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ROW(Source!A44)</f>
        <v>44</v>
      </c>
      <c r="B73">
        <v>47631823</v>
      </c>
      <c r="C73">
        <v>47631807</v>
      </c>
      <c r="D73">
        <v>36883554</v>
      </c>
      <c r="E73">
        <v>1</v>
      </c>
      <c r="F73">
        <v>1</v>
      </c>
      <c r="G73">
        <v>1</v>
      </c>
      <c r="H73">
        <v>2</v>
      </c>
      <c r="I73" t="s">
        <v>509</v>
      </c>
      <c r="J73" t="s">
        <v>510</v>
      </c>
      <c r="K73" t="s">
        <v>511</v>
      </c>
      <c r="L73">
        <v>1368</v>
      </c>
      <c r="N73">
        <v>1011</v>
      </c>
      <c r="O73" t="s">
        <v>505</v>
      </c>
      <c r="P73" t="s">
        <v>505</v>
      </c>
      <c r="Q73">
        <v>1</v>
      </c>
      <c r="X73">
        <v>9.01</v>
      </c>
      <c r="Y73">
        <v>0</v>
      </c>
      <c r="Z73">
        <v>65.709999999999994</v>
      </c>
      <c r="AA73">
        <v>11.6</v>
      </c>
      <c r="AB73">
        <v>0</v>
      </c>
      <c r="AC73">
        <v>0</v>
      </c>
      <c r="AD73">
        <v>1</v>
      </c>
      <c r="AE73">
        <v>0</v>
      </c>
      <c r="AF73" t="s">
        <v>52</v>
      </c>
      <c r="AG73">
        <v>12.951874999999998</v>
      </c>
      <c r="AH73">
        <v>2</v>
      </c>
      <c r="AI73">
        <v>47631813</v>
      </c>
      <c r="AJ73">
        <v>69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ROW(Source!A44)</f>
        <v>44</v>
      </c>
      <c r="B74">
        <v>47631824</v>
      </c>
      <c r="C74">
        <v>47631807</v>
      </c>
      <c r="D74">
        <v>36883858</v>
      </c>
      <c r="E74">
        <v>1</v>
      </c>
      <c r="F74">
        <v>1</v>
      </c>
      <c r="G74">
        <v>1</v>
      </c>
      <c r="H74">
        <v>2</v>
      </c>
      <c r="I74" t="s">
        <v>604</v>
      </c>
      <c r="J74" t="s">
        <v>605</v>
      </c>
      <c r="K74" t="s">
        <v>606</v>
      </c>
      <c r="L74">
        <v>1368</v>
      </c>
      <c r="N74">
        <v>1011</v>
      </c>
      <c r="O74" t="s">
        <v>505</v>
      </c>
      <c r="P74" t="s">
        <v>505</v>
      </c>
      <c r="Q74">
        <v>1</v>
      </c>
      <c r="X74">
        <v>40.33</v>
      </c>
      <c r="Y74">
        <v>0</v>
      </c>
      <c r="Z74">
        <v>8.1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52</v>
      </c>
      <c r="AG74">
        <v>57.974374999999988</v>
      </c>
      <c r="AH74">
        <v>2</v>
      </c>
      <c r="AI74">
        <v>47631814</v>
      </c>
      <c r="AJ74">
        <v>70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ROW(Source!A44)</f>
        <v>44</v>
      </c>
      <c r="B75">
        <v>47631825</v>
      </c>
      <c r="C75">
        <v>47631807</v>
      </c>
      <c r="D75">
        <v>36803278</v>
      </c>
      <c r="E75">
        <v>1</v>
      </c>
      <c r="F75">
        <v>1</v>
      </c>
      <c r="G75">
        <v>1</v>
      </c>
      <c r="H75">
        <v>3</v>
      </c>
      <c r="I75" t="s">
        <v>607</v>
      </c>
      <c r="J75" t="s">
        <v>608</v>
      </c>
      <c r="K75" t="s">
        <v>609</v>
      </c>
      <c r="L75">
        <v>1348</v>
      </c>
      <c r="N75">
        <v>1009</v>
      </c>
      <c r="O75" t="s">
        <v>32</v>
      </c>
      <c r="P75" t="s">
        <v>32</v>
      </c>
      <c r="Q75">
        <v>1000</v>
      </c>
      <c r="X75">
        <v>0.03</v>
      </c>
      <c r="Y75">
        <v>9424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0.03</v>
      </c>
      <c r="AH75">
        <v>2</v>
      </c>
      <c r="AI75">
        <v>47631815</v>
      </c>
      <c r="AJ75">
        <v>71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ROW(Source!A44)</f>
        <v>44</v>
      </c>
      <c r="B76">
        <v>47631826</v>
      </c>
      <c r="C76">
        <v>47631807</v>
      </c>
      <c r="D76">
        <v>36804447</v>
      </c>
      <c r="E76">
        <v>1</v>
      </c>
      <c r="F76">
        <v>1</v>
      </c>
      <c r="G76">
        <v>1</v>
      </c>
      <c r="H76">
        <v>3</v>
      </c>
      <c r="I76" t="s">
        <v>560</v>
      </c>
      <c r="J76" t="s">
        <v>561</v>
      </c>
      <c r="K76" t="s">
        <v>562</v>
      </c>
      <c r="L76">
        <v>1348</v>
      </c>
      <c r="N76">
        <v>1009</v>
      </c>
      <c r="O76" t="s">
        <v>32</v>
      </c>
      <c r="P76" t="s">
        <v>32</v>
      </c>
      <c r="Q76">
        <v>1000</v>
      </c>
      <c r="X76">
        <v>0.16</v>
      </c>
      <c r="Y76">
        <v>9040.01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0.16</v>
      </c>
      <c r="AH76">
        <v>2</v>
      </c>
      <c r="AI76">
        <v>47631816</v>
      </c>
      <c r="AJ76">
        <v>72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ROW(Source!A44)</f>
        <v>44</v>
      </c>
      <c r="B77">
        <v>47631827</v>
      </c>
      <c r="C77">
        <v>47631807</v>
      </c>
      <c r="D77">
        <v>36796108</v>
      </c>
      <c r="E77">
        <v>17</v>
      </c>
      <c r="F77">
        <v>1</v>
      </c>
      <c r="G77">
        <v>1</v>
      </c>
      <c r="H77">
        <v>3</v>
      </c>
      <c r="I77" t="s">
        <v>710</v>
      </c>
      <c r="J77" t="s">
        <v>3</v>
      </c>
      <c r="K77" t="s">
        <v>711</v>
      </c>
      <c r="L77">
        <v>1339</v>
      </c>
      <c r="N77">
        <v>1007</v>
      </c>
      <c r="O77" t="s">
        <v>96</v>
      </c>
      <c r="P77" t="s">
        <v>96</v>
      </c>
      <c r="Q77">
        <v>1</v>
      </c>
      <c r="X77">
        <v>29.1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 t="s">
        <v>3</v>
      </c>
      <c r="AG77">
        <v>29.1</v>
      </c>
      <c r="AH77">
        <v>3</v>
      </c>
      <c r="AI77">
        <v>-1</v>
      </c>
      <c r="AJ77" t="s">
        <v>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ROW(Source!A44)</f>
        <v>44</v>
      </c>
      <c r="B78">
        <v>47631828</v>
      </c>
      <c r="C78">
        <v>47631807</v>
      </c>
      <c r="D78">
        <v>36807339</v>
      </c>
      <c r="E78">
        <v>1</v>
      </c>
      <c r="F78">
        <v>1</v>
      </c>
      <c r="G78">
        <v>1</v>
      </c>
      <c r="H78">
        <v>3</v>
      </c>
      <c r="I78" t="s">
        <v>618</v>
      </c>
      <c r="J78" t="s">
        <v>619</v>
      </c>
      <c r="K78" t="s">
        <v>620</v>
      </c>
      <c r="L78">
        <v>1339</v>
      </c>
      <c r="N78">
        <v>1007</v>
      </c>
      <c r="O78" t="s">
        <v>96</v>
      </c>
      <c r="P78" t="s">
        <v>96</v>
      </c>
      <c r="Q78">
        <v>1</v>
      </c>
      <c r="X78">
        <v>3.1E-2</v>
      </c>
      <c r="Y78">
        <v>463.3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</v>
      </c>
      <c r="AG78">
        <v>3.1E-2</v>
      </c>
      <c r="AH78">
        <v>2</v>
      </c>
      <c r="AI78">
        <v>47631817</v>
      </c>
      <c r="AJ78">
        <v>73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ROW(Source!A44)</f>
        <v>44</v>
      </c>
      <c r="B79">
        <v>47631829</v>
      </c>
      <c r="C79">
        <v>47631807</v>
      </c>
      <c r="D79">
        <v>36796619</v>
      </c>
      <c r="E79">
        <v>17</v>
      </c>
      <c r="F79">
        <v>1</v>
      </c>
      <c r="G79">
        <v>1</v>
      </c>
      <c r="H79">
        <v>3</v>
      </c>
      <c r="I79" t="s">
        <v>722</v>
      </c>
      <c r="J79" t="s">
        <v>3</v>
      </c>
      <c r="K79" t="s">
        <v>723</v>
      </c>
      <c r="L79">
        <v>1356</v>
      </c>
      <c r="N79">
        <v>1010</v>
      </c>
      <c r="O79" t="s">
        <v>724</v>
      </c>
      <c r="P79" t="s">
        <v>724</v>
      </c>
      <c r="Q79">
        <v>1000</v>
      </c>
      <c r="X79">
        <v>0.106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 t="s">
        <v>3</v>
      </c>
      <c r="AG79">
        <v>0.106</v>
      </c>
      <c r="AH79">
        <v>3</v>
      </c>
      <c r="AI79">
        <v>-1</v>
      </c>
      <c r="AJ79" t="s">
        <v>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ROW(Source!A44)</f>
        <v>44</v>
      </c>
      <c r="B80">
        <v>47631830</v>
      </c>
      <c r="C80">
        <v>47631807</v>
      </c>
      <c r="D80">
        <v>39065559</v>
      </c>
      <c r="E80">
        <v>17</v>
      </c>
      <c r="F80">
        <v>1</v>
      </c>
      <c r="G80">
        <v>1</v>
      </c>
      <c r="H80">
        <v>3</v>
      </c>
      <c r="I80" t="s">
        <v>712</v>
      </c>
      <c r="J80" t="s">
        <v>3</v>
      </c>
      <c r="K80" t="s">
        <v>713</v>
      </c>
      <c r="L80">
        <v>1354</v>
      </c>
      <c r="N80">
        <v>1010</v>
      </c>
      <c r="O80" t="s">
        <v>186</v>
      </c>
      <c r="P80" t="s">
        <v>186</v>
      </c>
      <c r="Q80">
        <v>1</v>
      </c>
      <c r="X80">
        <v>200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 t="s">
        <v>3</v>
      </c>
      <c r="AG80">
        <v>200</v>
      </c>
      <c r="AH80">
        <v>3</v>
      </c>
      <c r="AI80">
        <v>-1</v>
      </c>
      <c r="AJ80" t="s">
        <v>3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ROW(Source!A44)</f>
        <v>44</v>
      </c>
      <c r="B81">
        <v>47631831</v>
      </c>
      <c r="C81">
        <v>47631807</v>
      </c>
      <c r="D81">
        <v>39065553</v>
      </c>
      <c r="E81">
        <v>17</v>
      </c>
      <c r="F81">
        <v>1</v>
      </c>
      <c r="G81">
        <v>1</v>
      </c>
      <c r="H81">
        <v>3</v>
      </c>
      <c r="I81" t="s">
        <v>725</v>
      </c>
      <c r="J81" t="s">
        <v>3</v>
      </c>
      <c r="K81" t="s">
        <v>726</v>
      </c>
      <c r="L81">
        <v>1354</v>
      </c>
      <c r="N81">
        <v>1010</v>
      </c>
      <c r="O81" t="s">
        <v>186</v>
      </c>
      <c r="P81" t="s">
        <v>186</v>
      </c>
      <c r="Q81">
        <v>1</v>
      </c>
      <c r="X81">
        <v>200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 t="s">
        <v>3</v>
      </c>
      <c r="AG81">
        <v>200</v>
      </c>
      <c r="AH81">
        <v>3</v>
      </c>
      <c r="AI81">
        <v>-1</v>
      </c>
      <c r="AJ81" t="s">
        <v>3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ROW(Source!A45)</f>
        <v>45</v>
      </c>
      <c r="B82">
        <v>47631839</v>
      </c>
      <c r="C82">
        <v>47631832</v>
      </c>
      <c r="D82">
        <v>37064978</v>
      </c>
      <c r="E82">
        <v>1</v>
      </c>
      <c r="F82">
        <v>1</v>
      </c>
      <c r="G82">
        <v>1</v>
      </c>
      <c r="H82">
        <v>1</v>
      </c>
      <c r="I82" t="s">
        <v>488</v>
      </c>
      <c r="J82" t="s">
        <v>3</v>
      </c>
      <c r="K82" t="s">
        <v>489</v>
      </c>
      <c r="L82">
        <v>1191</v>
      </c>
      <c r="N82">
        <v>1013</v>
      </c>
      <c r="O82" t="s">
        <v>487</v>
      </c>
      <c r="P82" t="s">
        <v>487</v>
      </c>
      <c r="Q82">
        <v>1</v>
      </c>
      <c r="X82">
        <v>1056.8399999999999</v>
      </c>
      <c r="Y82">
        <v>0</v>
      </c>
      <c r="Z82">
        <v>0</v>
      </c>
      <c r="AA82">
        <v>0</v>
      </c>
      <c r="AB82">
        <v>8.86</v>
      </c>
      <c r="AC82">
        <v>0</v>
      </c>
      <c r="AD82">
        <v>1</v>
      </c>
      <c r="AE82">
        <v>1</v>
      </c>
      <c r="AF82" t="s">
        <v>53</v>
      </c>
      <c r="AG82">
        <v>1397.6708999999996</v>
      </c>
      <c r="AH82">
        <v>2</v>
      </c>
      <c r="AI82">
        <v>47631833</v>
      </c>
      <c r="AJ82">
        <v>74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ROW(Source!A45)</f>
        <v>45</v>
      </c>
      <c r="B83">
        <v>47631840</v>
      </c>
      <c r="C83">
        <v>47631832</v>
      </c>
      <c r="D83">
        <v>37064876</v>
      </c>
      <c r="E83">
        <v>1</v>
      </c>
      <c r="F83">
        <v>1</v>
      </c>
      <c r="G83">
        <v>1</v>
      </c>
      <c r="H83">
        <v>1</v>
      </c>
      <c r="I83" t="s">
        <v>500</v>
      </c>
      <c r="J83" t="s">
        <v>3</v>
      </c>
      <c r="K83" t="s">
        <v>501</v>
      </c>
      <c r="L83">
        <v>1191</v>
      </c>
      <c r="N83">
        <v>1013</v>
      </c>
      <c r="O83" t="s">
        <v>487</v>
      </c>
      <c r="P83" t="s">
        <v>487</v>
      </c>
      <c r="Q83">
        <v>1</v>
      </c>
      <c r="X83">
        <v>10.49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 t="s">
        <v>52</v>
      </c>
      <c r="AG83">
        <v>15.079374999999999</v>
      </c>
      <c r="AH83">
        <v>2</v>
      </c>
      <c r="AI83">
        <v>47631834</v>
      </c>
      <c r="AJ83">
        <v>75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ROW(Source!A45)</f>
        <v>45</v>
      </c>
      <c r="B84">
        <v>47631841</v>
      </c>
      <c r="C84">
        <v>47631832</v>
      </c>
      <c r="D84">
        <v>36881483</v>
      </c>
      <c r="E84">
        <v>1</v>
      </c>
      <c r="F84">
        <v>1</v>
      </c>
      <c r="G84">
        <v>1</v>
      </c>
      <c r="H84">
        <v>2</v>
      </c>
      <c r="I84" t="s">
        <v>612</v>
      </c>
      <c r="J84" t="s">
        <v>613</v>
      </c>
      <c r="K84" t="s">
        <v>614</v>
      </c>
      <c r="L84">
        <v>1368</v>
      </c>
      <c r="N84">
        <v>1011</v>
      </c>
      <c r="O84" t="s">
        <v>505</v>
      </c>
      <c r="P84" t="s">
        <v>505</v>
      </c>
      <c r="Q84">
        <v>1</v>
      </c>
      <c r="X84">
        <v>10.33</v>
      </c>
      <c r="Y84">
        <v>0</v>
      </c>
      <c r="Z84">
        <v>70.010000000000005</v>
      </c>
      <c r="AA84">
        <v>11.6</v>
      </c>
      <c r="AB84">
        <v>0</v>
      </c>
      <c r="AC84">
        <v>0</v>
      </c>
      <c r="AD84">
        <v>1</v>
      </c>
      <c r="AE84">
        <v>0</v>
      </c>
      <c r="AF84" t="s">
        <v>52</v>
      </c>
      <c r="AG84">
        <v>14.849374999999998</v>
      </c>
      <c r="AH84">
        <v>2</v>
      </c>
      <c r="AI84">
        <v>47631835</v>
      </c>
      <c r="AJ84">
        <v>76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ROW(Source!A45)</f>
        <v>45</v>
      </c>
      <c r="B85">
        <v>47631842</v>
      </c>
      <c r="C85">
        <v>47631832</v>
      </c>
      <c r="D85">
        <v>36882157</v>
      </c>
      <c r="E85">
        <v>1</v>
      </c>
      <c r="F85">
        <v>1</v>
      </c>
      <c r="G85">
        <v>1</v>
      </c>
      <c r="H85">
        <v>2</v>
      </c>
      <c r="I85" t="s">
        <v>621</v>
      </c>
      <c r="J85" t="s">
        <v>622</v>
      </c>
      <c r="K85" t="s">
        <v>623</v>
      </c>
      <c r="L85">
        <v>1368</v>
      </c>
      <c r="N85">
        <v>1011</v>
      </c>
      <c r="O85" t="s">
        <v>505</v>
      </c>
      <c r="P85" t="s">
        <v>505</v>
      </c>
      <c r="Q85">
        <v>1</v>
      </c>
      <c r="X85">
        <v>0.16</v>
      </c>
      <c r="Y85">
        <v>0</v>
      </c>
      <c r="Z85">
        <v>88.01</v>
      </c>
      <c r="AA85">
        <v>11.6</v>
      </c>
      <c r="AB85">
        <v>0</v>
      </c>
      <c r="AC85">
        <v>0</v>
      </c>
      <c r="AD85">
        <v>1</v>
      </c>
      <c r="AE85">
        <v>0</v>
      </c>
      <c r="AF85" t="s">
        <v>52</v>
      </c>
      <c r="AG85">
        <v>0.22999999999999998</v>
      </c>
      <c r="AH85">
        <v>2</v>
      </c>
      <c r="AI85">
        <v>47631836</v>
      </c>
      <c r="AJ85">
        <v>77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ROW(Source!A45)</f>
        <v>45</v>
      </c>
      <c r="B86">
        <v>47631843</v>
      </c>
      <c r="C86">
        <v>47631832</v>
      </c>
      <c r="D86">
        <v>36883858</v>
      </c>
      <c r="E86">
        <v>1</v>
      </c>
      <c r="F86">
        <v>1</v>
      </c>
      <c r="G86">
        <v>1</v>
      </c>
      <c r="H86">
        <v>2</v>
      </c>
      <c r="I86" t="s">
        <v>604</v>
      </c>
      <c r="J86" t="s">
        <v>605</v>
      </c>
      <c r="K86" t="s">
        <v>606</v>
      </c>
      <c r="L86">
        <v>1368</v>
      </c>
      <c r="N86">
        <v>1011</v>
      </c>
      <c r="O86" t="s">
        <v>505</v>
      </c>
      <c r="P86" t="s">
        <v>505</v>
      </c>
      <c r="Q86">
        <v>1</v>
      </c>
      <c r="X86">
        <v>76.44</v>
      </c>
      <c r="Y86">
        <v>0</v>
      </c>
      <c r="Z86">
        <v>8.1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52</v>
      </c>
      <c r="AG86">
        <v>109.88249999999999</v>
      </c>
      <c r="AH86">
        <v>2</v>
      </c>
      <c r="AI86">
        <v>47631837</v>
      </c>
      <c r="AJ86">
        <v>78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ROW(Source!A45)</f>
        <v>45</v>
      </c>
      <c r="B87">
        <v>47631844</v>
      </c>
      <c r="C87">
        <v>47631832</v>
      </c>
      <c r="D87">
        <v>36803278</v>
      </c>
      <c r="E87">
        <v>1</v>
      </c>
      <c r="F87">
        <v>1</v>
      </c>
      <c r="G87">
        <v>1</v>
      </c>
      <c r="H87">
        <v>3</v>
      </c>
      <c r="I87" t="s">
        <v>607</v>
      </c>
      <c r="J87" t="s">
        <v>608</v>
      </c>
      <c r="K87" t="s">
        <v>609</v>
      </c>
      <c r="L87">
        <v>1348</v>
      </c>
      <c r="N87">
        <v>1009</v>
      </c>
      <c r="O87" t="s">
        <v>32</v>
      </c>
      <c r="P87" t="s">
        <v>32</v>
      </c>
      <c r="Q87">
        <v>1000</v>
      </c>
      <c r="X87">
        <v>0.03</v>
      </c>
      <c r="Y87">
        <v>9424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0.03</v>
      </c>
      <c r="AH87">
        <v>2</v>
      </c>
      <c r="AI87">
        <v>47631838</v>
      </c>
      <c r="AJ87">
        <v>79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ROW(Source!A45)</f>
        <v>45</v>
      </c>
      <c r="B88">
        <v>47631845</v>
      </c>
      <c r="C88">
        <v>47631832</v>
      </c>
      <c r="D88">
        <v>39065561</v>
      </c>
      <c r="E88">
        <v>17</v>
      </c>
      <c r="F88">
        <v>1</v>
      </c>
      <c r="G88">
        <v>1</v>
      </c>
      <c r="H88">
        <v>3</v>
      </c>
      <c r="I88" t="s">
        <v>727</v>
      </c>
      <c r="J88" t="s">
        <v>3</v>
      </c>
      <c r="K88" t="s">
        <v>728</v>
      </c>
      <c r="L88">
        <v>1339</v>
      </c>
      <c r="N88">
        <v>1007</v>
      </c>
      <c r="O88" t="s">
        <v>96</v>
      </c>
      <c r="P88" t="s">
        <v>96</v>
      </c>
      <c r="Q88">
        <v>1</v>
      </c>
      <c r="X88">
        <v>249.57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3</v>
      </c>
      <c r="AG88">
        <v>249.57</v>
      </c>
      <c r="AH88">
        <v>3</v>
      </c>
      <c r="AI88">
        <v>-1</v>
      </c>
      <c r="AJ88" t="s">
        <v>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ROW(Source!A45)</f>
        <v>45</v>
      </c>
      <c r="B89">
        <v>47631846</v>
      </c>
      <c r="C89">
        <v>47631832</v>
      </c>
      <c r="D89">
        <v>39065559</v>
      </c>
      <c r="E89">
        <v>17</v>
      </c>
      <c r="F89">
        <v>1</v>
      </c>
      <c r="G89">
        <v>1</v>
      </c>
      <c r="H89">
        <v>3</v>
      </c>
      <c r="I89" t="s">
        <v>712</v>
      </c>
      <c r="J89" t="s">
        <v>3</v>
      </c>
      <c r="K89" t="s">
        <v>713</v>
      </c>
      <c r="L89">
        <v>1354</v>
      </c>
      <c r="N89">
        <v>1010</v>
      </c>
      <c r="O89" t="s">
        <v>186</v>
      </c>
      <c r="P89" t="s">
        <v>186</v>
      </c>
      <c r="Q89">
        <v>1</v>
      </c>
      <c r="X89">
        <v>200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 t="s">
        <v>3</v>
      </c>
      <c r="AG89">
        <v>200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ROW(Source!A45)</f>
        <v>45</v>
      </c>
      <c r="B90">
        <v>47631847</v>
      </c>
      <c r="C90">
        <v>47631832</v>
      </c>
      <c r="D90">
        <v>39065553</v>
      </c>
      <c r="E90">
        <v>17</v>
      </c>
      <c r="F90">
        <v>1</v>
      </c>
      <c r="G90">
        <v>1</v>
      </c>
      <c r="H90">
        <v>3</v>
      </c>
      <c r="I90" t="s">
        <v>725</v>
      </c>
      <c r="J90" t="s">
        <v>3</v>
      </c>
      <c r="K90" t="s">
        <v>726</v>
      </c>
      <c r="L90">
        <v>1354</v>
      </c>
      <c r="N90">
        <v>1010</v>
      </c>
      <c r="O90" t="s">
        <v>186</v>
      </c>
      <c r="P90" t="s">
        <v>186</v>
      </c>
      <c r="Q90">
        <v>1</v>
      </c>
      <c r="X90">
        <v>100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t="s">
        <v>3</v>
      </c>
      <c r="AG90">
        <v>100</v>
      </c>
      <c r="AH90">
        <v>3</v>
      </c>
      <c r="AI90">
        <v>-1</v>
      </c>
      <c r="AJ90" t="s">
        <v>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ROW(Source!A45)</f>
        <v>45</v>
      </c>
      <c r="B91">
        <v>47631848</v>
      </c>
      <c r="C91">
        <v>47631832</v>
      </c>
      <c r="D91">
        <v>36796377</v>
      </c>
      <c r="E91">
        <v>17</v>
      </c>
      <c r="F91">
        <v>1</v>
      </c>
      <c r="G91">
        <v>1</v>
      </c>
      <c r="H91">
        <v>3</v>
      </c>
      <c r="I91" t="s">
        <v>729</v>
      </c>
      <c r="J91" t="s">
        <v>3</v>
      </c>
      <c r="K91" t="s">
        <v>730</v>
      </c>
      <c r="L91">
        <v>1348</v>
      </c>
      <c r="N91">
        <v>1009</v>
      </c>
      <c r="O91" t="s">
        <v>32</v>
      </c>
      <c r="P91" t="s">
        <v>32</v>
      </c>
      <c r="Q91">
        <v>1000</v>
      </c>
      <c r="X91">
        <v>9.6999999999999993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 t="s">
        <v>3</v>
      </c>
      <c r="AG91">
        <v>9.6999999999999993</v>
      </c>
      <c r="AH91">
        <v>3</v>
      </c>
      <c r="AI91">
        <v>-1</v>
      </c>
      <c r="AJ91" t="s">
        <v>3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ROW(Source!A46)</f>
        <v>46</v>
      </c>
      <c r="B92">
        <v>47631858</v>
      </c>
      <c r="C92">
        <v>47631849</v>
      </c>
      <c r="D92">
        <v>37072442</v>
      </c>
      <c r="E92">
        <v>1</v>
      </c>
      <c r="F92">
        <v>1</v>
      </c>
      <c r="G92">
        <v>1</v>
      </c>
      <c r="H92">
        <v>1</v>
      </c>
      <c r="I92" t="s">
        <v>624</v>
      </c>
      <c r="J92" t="s">
        <v>3</v>
      </c>
      <c r="K92" t="s">
        <v>625</v>
      </c>
      <c r="L92">
        <v>1191</v>
      </c>
      <c r="N92">
        <v>1013</v>
      </c>
      <c r="O92" t="s">
        <v>487</v>
      </c>
      <c r="P92" t="s">
        <v>487</v>
      </c>
      <c r="Q92">
        <v>1</v>
      </c>
      <c r="X92">
        <v>5.31</v>
      </c>
      <c r="Y92">
        <v>0</v>
      </c>
      <c r="Z92">
        <v>0</v>
      </c>
      <c r="AA92">
        <v>0</v>
      </c>
      <c r="AB92">
        <v>10.65</v>
      </c>
      <c r="AC92">
        <v>0</v>
      </c>
      <c r="AD92">
        <v>1</v>
      </c>
      <c r="AE92">
        <v>1</v>
      </c>
      <c r="AF92" t="s">
        <v>131</v>
      </c>
      <c r="AG92">
        <v>7.7247224999999986</v>
      </c>
      <c r="AH92">
        <v>2</v>
      </c>
      <c r="AI92">
        <v>47631850</v>
      </c>
      <c r="AJ92">
        <v>80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ROW(Source!A46)</f>
        <v>46</v>
      </c>
      <c r="B93">
        <v>47631859</v>
      </c>
      <c r="C93">
        <v>47631849</v>
      </c>
      <c r="D93">
        <v>37064876</v>
      </c>
      <c r="E93">
        <v>1</v>
      </c>
      <c r="F93">
        <v>1</v>
      </c>
      <c r="G93">
        <v>1</v>
      </c>
      <c r="H93">
        <v>1</v>
      </c>
      <c r="I93" t="s">
        <v>500</v>
      </c>
      <c r="J93" t="s">
        <v>3</v>
      </c>
      <c r="K93" t="s">
        <v>501</v>
      </c>
      <c r="L93">
        <v>1191</v>
      </c>
      <c r="N93">
        <v>1013</v>
      </c>
      <c r="O93" t="s">
        <v>487</v>
      </c>
      <c r="P93" t="s">
        <v>487</v>
      </c>
      <c r="Q93">
        <v>1</v>
      </c>
      <c r="X93">
        <v>0.02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2</v>
      </c>
      <c r="AF93" t="s">
        <v>130</v>
      </c>
      <c r="AG93">
        <v>3.1625E-2</v>
      </c>
      <c r="AH93">
        <v>2</v>
      </c>
      <c r="AI93">
        <v>47631851</v>
      </c>
      <c r="AJ93">
        <v>81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ROW(Source!A46)</f>
        <v>46</v>
      </c>
      <c r="B94">
        <v>47631860</v>
      </c>
      <c r="C94">
        <v>47631849</v>
      </c>
      <c r="D94">
        <v>36882356</v>
      </c>
      <c r="E94">
        <v>1</v>
      </c>
      <c r="F94">
        <v>1</v>
      </c>
      <c r="G94">
        <v>1</v>
      </c>
      <c r="H94">
        <v>2</v>
      </c>
      <c r="I94" t="s">
        <v>626</v>
      </c>
      <c r="J94" t="s">
        <v>627</v>
      </c>
      <c r="K94" t="s">
        <v>628</v>
      </c>
      <c r="L94">
        <v>1368</v>
      </c>
      <c r="N94">
        <v>1011</v>
      </c>
      <c r="O94" t="s">
        <v>505</v>
      </c>
      <c r="P94" t="s">
        <v>505</v>
      </c>
      <c r="Q94">
        <v>1</v>
      </c>
      <c r="X94">
        <v>0.01</v>
      </c>
      <c r="Y94">
        <v>0</v>
      </c>
      <c r="Z94">
        <v>1.7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130</v>
      </c>
      <c r="AG94">
        <v>1.58125E-2</v>
      </c>
      <c r="AH94">
        <v>2</v>
      </c>
      <c r="AI94">
        <v>47631852</v>
      </c>
      <c r="AJ94">
        <v>82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ROW(Source!A46)</f>
        <v>46</v>
      </c>
      <c r="B95">
        <v>47631861</v>
      </c>
      <c r="C95">
        <v>47631849</v>
      </c>
      <c r="D95">
        <v>36882383</v>
      </c>
      <c r="E95">
        <v>1</v>
      </c>
      <c r="F95">
        <v>1</v>
      </c>
      <c r="G95">
        <v>1</v>
      </c>
      <c r="H95">
        <v>2</v>
      </c>
      <c r="I95" t="s">
        <v>629</v>
      </c>
      <c r="J95" t="s">
        <v>630</v>
      </c>
      <c r="K95" t="s">
        <v>631</v>
      </c>
      <c r="L95">
        <v>1368</v>
      </c>
      <c r="N95">
        <v>1011</v>
      </c>
      <c r="O95" t="s">
        <v>505</v>
      </c>
      <c r="P95" t="s">
        <v>505</v>
      </c>
      <c r="Q95">
        <v>1</v>
      </c>
      <c r="X95">
        <v>0.01</v>
      </c>
      <c r="Y95">
        <v>0</v>
      </c>
      <c r="Z95">
        <v>89.99</v>
      </c>
      <c r="AA95">
        <v>10.06</v>
      </c>
      <c r="AB95">
        <v>0</v>
      </c>
      <c r="AC95">
        <v>0</v>
      </c>
      <c r="AD95">
        <v>1</v>
      </c>
      <c r="AE95">
        <v>0</v>
      </c>
      <c r="AF95" t="s">
        <v>130</v>
      </c>
      <c r="AG95">
        <v>1.58125E-2</v>
      </c>
      <c r="AH95">
        <v>2</v>
      </c>
      <c r="AI95">
        <v>47631853</v>
      </c>
      <c r="AJ95">
        <v>83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ROW(Source!A46)</f>
        <v>46</v>
      </c>
      <c r="B96">
        <v>47631862</v>
      </c>
      <c r="C96">
        <v>47631849</v>
      </c>
      <c r="D96">
        <v>36883554</v>
      </c>
      <c r="E96">
        <v>1</v>
      </c>
      <c r="F96">
        <v>1</v>
      </c>
      <c r="G96">
        <v>1</v>
      </c>
      <c r="H96">
        <v>2</v>
      </c>
      <c r="I96" t="s">
        <v>509</v>
      </c>
      <c r="J96" t="s">
        <v>510</v>
      </c>
      <c r="K96" t="s">
        <v>511</v>
      </c>
      <c r="L96">
        <v>1368</v>
      </c>
      <c r="N96">
        <v>1011</v>
      </c>
      <c r="O96" t="s">
        <v>505</v>
      </c>
      <c r="P96" t="s">
        <v>505</v>
      </c>
      <c r="Q96">
        <v>1</v>
      </c>
      <c r="X96">
        <v>0.01</v>
      </c>
      <c r="Y96">
        <v>0</v>
      </c>
      <c r="Z96">
        <v>65.709999999999994</v>
      </c>
      <c r="AA96">
        <v>11.6</v>
      </c>
      <c r="AB96">
        <v>0</v>
      </c>
      <c r="AC96">
        <v>0</v>
      </c>
      <c r="AD96">
        <v>1</v>
      </c>
      <c r="AE96">
        <v>0</v>
      </c>
      <c r="AF96" t="s">
        <v>130</v>
      </c>
      <c r="AG96">
        <v>1.58125E-2</v>
      </c>
      <c r="AH96">
        <v>2</v>
      </c>
      <c r="AI96">
        <v>47631854</v>
      </c>
      <c r="AJ96">
        <v>84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ROW(Source!A46)</f>
        <v>46</v>
      </c>
      <c r="B97">
        <v>47631863</v>
      </c>
      <c r="C97">
        <v>47631849</v>
      </c>
      <c r="D97">
        <v>36884416</v>
      </c>
      <c r="E97">
        <v>1</v>
      </c>
      <c r="F97">
        <v>1</v>
      </c>
      <c r="G97">
        <v>1</v>
      </c>
      <c r="H97">
        <v>2</v>
      </c>
      <c r="I97" t="s">
        <v>632</v>
      </c>
      <c r="J97" t="s">
        <v>633</v>
      </c>
      <c r="K97" t="s">
        <v>634</v>
      </c>
      <c r="L97">
        <v>1368</v>
      </c>
      <c r="N97">
        <v>1011</v>
      </c>
      <c r="O97" t="s">
        <v>505</v>
      </c>
      <c r="P97" t="s">
        <v>505</v>
      </c>
      <c r="Q97">
        <v>1</v>
      </c>
      <c r="X97">
        <v>1.1200000000000001</v>
      </c>
      <c r="Y97">
        <v>0</v>
      </c>
      <c r="Z97">
        <v>6.82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130</v>
      </c>
      <c r="AG97">
        <v>1.7710000000000001</v>
      </c>
      <c r="AH97">
        <v>2</v>
      </c>
      <c r="AI97">
        <v>47631855</v>
      </c>
      <c r="AJ97">
        <v>85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ROW(Source!A46)</f>
        <v>46</v>
      </c>
      <c r="B98">
        <v>47631864</v>
      </c>
      <c r="C98">
        <v>47631849</v>
      </c>
      <c r="D98">
        <v>36837948</v>
      </c>
      <c r="E98">
        <v>1</v>
      </c>
      <c r="F98">
        <v>1</v>
      </c>
      <c r="G98">
        <v>1</v>
      </c>
      <c r="H98">
        <v>3</v>
      </c>
      <c r="I98" t="s">
        <v>579</v>
      </c>
      <c r="J98" t="s">
        <v>580</v>
      </c>
      <c r="K98" t="s">
        <v>581</v>
      </c>
      <c r="L98">
        <v>1348</v>
      </c>
      <c r="N98">
        <v>1009</v>
      </c>
      <c r="O98" t="s">
        <v>32</v>
      </c>
      <c r="P98" t="s">
        <v>32</v>
      </c>
      <c r="Q98">
        <v>1000</v>
      </c>
      <c r="X98">
        <v>1.2E-2</v>
      </c>
      <c r="Y98">
        <v>15620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129</v>
      </c>
      <c r="AG98">
        <v>1.3200000000000002E-2</v>
      </c>
      <c r="AH98">
        <v>2</v>
      </c>
      <c r="AI98">
        <v>47631856</v>
      </c>
      <c r="AJ98">
        <v>86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ROW(Source!A46)</f>
        <v>46</v>
      </c>
      <c r="B99">
        <v>47631865</v>
      </c>
      <c r="C99">
        <v>47631849</v>
      </c>
      <c r="D99">
        <v>36839083</v>
      </c>
      <c r="E99">
        <v>1</v>
      </c>
      <c r="F99">
        <v>1</v>
      </c>
      <c r="G99">
        <v>1</v>
      </c>
      <c r="H99">
        <v>3</v>
      </c>
      <c r="I99" t="s">
        <v>635</v>
      </c>
      <c r="J99" t="s">
        <v>636</v>
      </c>
      <c r="K99" t="s">
        <v>637</v>
      </c>
      <c r="L99">
        <v>1348</v>
      </c>
      <c r="N99">
        <v>1009</v>
      </c>
      <c r="O99" t="s">
        <v>32</v>
      </c>
      <c r="P99" t="s">
        <v>32</v>
      </c>
      <c r="Q99">
        <v>1000</v>
      </c>
      <c r="X99">
        <v>2E-3</v>
      </c>
      <c r="Y99">
        <v>7640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129</v>
      </c>
      <c r="AG99">
        <v>2.2000000000000001E-3</v>
      </c>
      <c r="AH99">
        <v>2</v>
      </c>
      <c r="AI99">
        <v>47631857</v>
      </c>
      <c r="AJ99">
        <v>87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ROW(Source!A47)</f>
        <v>47</v>
      </c>
      <c r="B100">
        <v>47631876</v>
      </c>
      <c r="C100">
        <v>47631866</v>
      </c>
      <c r="D100">
        <v>37064928</v>
      </c>
      <c r="E100">
        <v>1</v>
      </c>
      <c r="F100">
        <v>1</v>
      </c>
      <c r="G100">
        <v>1</v>
      </c>
      <c r="H100">
        <v>1</v>
      </c>
      <c r="I100" t="s">
        <v>638</v>
      </c>
      <c r="J100" t="s">
        <v>3</v>
      </c>
      <c r="K100" t="s">
        <v>639</v>
      </c>
      <c r="L100">
        <v>1191</v>
      </c>
      <c r="N100">
        <v>1013</v>
      </c>
      <c r="O100" t="s">
        <v>487</v>
      </c>
      <c r="P100" t="s">
        <v>487</v>
      </c>
      <c r="Q100">
        <v>1</v>
      </c>
      <c r="X100">
        <v>3.83</v>
      </c>
      <c r="Y100">
        <v>0</v>
      </c>
      <c r="Z100">
        <v>0</v>
      </c>
      <c r="AA100">
        <v>0</v>
      </c>
      <c r="AB100">
        <v>9.07</v>
      </c>
      <c r="AC100">
        <v>0</v>
      </c>
      <c r="AD100">
        <v>1</v>
      </c>
      <c r="AE100">
        <v>1</v>
      </c>
      <c r="AF100" t="s">
        <v>141</v>
      </c>
      <c r="AG100">
        <v>11.143384999999999</v>
      </c>
      <c r="AH100">
        <v>2</v>
      </c>
      <c r="AI100">
        <v>47631867</v>
      </c>
      <c r="AJ100">
        <v>88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ROW(Source!A47)</f>
        <v>47</v>
      </c>
      <c r="B101">
        <v>47631877</v>
      </c>
      <c r="C101">
        <v>47631866</v>
      </c>
      <c r="D101">
        <v>37064876</v>
      </c>
      <c r="E101">
        <v>1</v>
      </c>
      <c r="F101">
        <v>1</v>
      </c>
      <c r="G101">
        <v>1</v>
      </c>
      <c r="H101">
        <v>1</v>
      </c>
      <c r="I101" t="s">
        <v>500</v>
      </c>
      <c r="J101" t="s">
        <v>3</v>
      </c>
      <c r="K101" t="s">
        <v>501</v>
      </c>
      <c r="L101">
        <v>1191</v>
      </c>
      <c r="N101">
        <v>1013</v>
      </c>
      <c r="O101" t="s">
        <v>487</v>
      </c>
      <c r="P101" t="s">
        <v>487</v>
      </c>
      <c r="Q101">
        <v>1</v>
      </c>
      <c r="X101">
        <v>0.02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2</v>
      </c>
      <c r="AF101" t="s">
        <v>140</v>
      </c>
      <c r="AG101">
        <v>6.3250000000000001E-2</v>
      </c>
      <c r="AH101">
        <v>2</v>
      </c>
      <c r="AI101">
        <v>47631868</v>
      </c>
      <c r="AJ101">
        <v>89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ROW(Source!A47)</f>
        <v>47</v>
      </c>
      <c r="B102">
        <v>47631878</v>
      </c>
      <c r="C102">
        <v>47631866</v>
      </c>
      <c r="D102">
        <v>36882356</v>
      </c>
      <c r="E102">
        <v>1</v>
      </c>
      <c r="F102">
        <v>1</v>
      </c>
      <c r="G102">
        <v>1</v>
      </c>
      <c r="H102">
        <v>2</v>
      </c>
      <c r="I102" t="s">
        <v>626</v>
      </c>
      <c r="J102" t="s">
        <v>627</v>
      </c>
      <c r="K102" t="s">
        <v>628</v>
      </c>
      <c r="L102">
        <v>1368</v>
      </c>
      <c r="N102">
        <v>1011</v>
      </c>
      <c r="O102" t="s">
        <v>505</v>
      </c>
      <c r="P102" t="s">
        <v>505</v>
      </c>
      <c r="Q102">
        <v>1</v>
      </c>
      <c r="X102">
        <v>0.01</v>
      </c>
      <c r="Y102">
        <v>0</v>
      </c>
      <c r="Z102">
        <v>1.7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140</v>
      </c>
      <c r="AG102">
        <v>3.1625E-2</v>
      </c>
      <c r="AH102">
        <v>2</v>
      </c>
      <c r="AI102">
        <v>47631869</v>
      </c>
      <c r="AJ102">
        <v>90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ROW(Source!A47)</f>
        <v>47</v>
      </c>
      <c r="B103">
        <v>47631879</v>
      </c>
      <c r="C103">
        <v>47631866</v>
      </c>
      <c r="D103">
        <v>36882383</v>
      </c>
      <c r="E103">
        <v>1</v>
      </c>
      <c r="F103">
        <v>1</v>
      </c>
      <c r="G103">
        <v>1</v>
      </c>
      <c r="H103">
        <v>2</v>
      </c>
      <c r="I103" t="s">
        <v>629</v>
      </c>
      <c r="J103" t="s">
        <v>630</v>
      </c>
      <c r="K103" t="s">
        <v>631</v>
      </c>
      <c r="L103">
        <v>1368</v>
      </c>
      <c r="N103">
        <v>1011</v>
      </c>
      <c r="O103" t="s">
        <v>505</v>
      </c>
      <c r="P103" t="s">
        <v>505</v>
      </c>
      <c r="Q103">
        <v>1</v>
      </c>
      <c r="X103">
        <v>0.01</v>
      </c>
      <c r="Y103">
        <v>0</v>
      </c>
      <c r="Z103">
        <v>89.99</v>
      </c>
      <c r="AA103">
        <v>10.06</v>
      </c>
      <c r="AB103">
        <v>0</v>
      </c>
      <c r="AC103">
        <v>0</v>
      </c>
      <c r="AD103">
        <v>1</v>
      </c>
      <c r="AE103">
        <v>0</v>
      </c>
      <c r="AF103" t="s">
        <v>140</v>
      </c>
      <c r="AG103">
        <v>3.1625E-2</v>
      </c>
      <c r="AH103">
        <v>2</v>
      </c>
      <c r="AI103">
        <v>47631870</v>
      </c>
      <c r="AJ103">
        <v>91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ROW(Source!A47)</f>
        <v>47</v>
      </c>
      <c r="B104">
        <v>47631880</v>
      </c>
      <c r="C104">
        <v>47631866</v>
      </c>
      <c r="D104">
        <v>36883554</v>
      </c>
      <c r="E104">
        <v>1</v>
      </c>
      <c r="F104">
        <v>1</v>
      </c>
      <c r="G104">
        <v>1</v>
      </c>
      <c r="H104">
        <v>2</v>
      </c>
      <c r="I104" t="s">
        <v>509</v>
      </c>
      <c r="J104" t="s">
        <v>510</v>
      </c>
      <c r="K104" t="s">
        <v>511</v>
      </c>
      <c r="L104">
        <v>1368</v>
      </c>
      <c r="N104">
        <v>1011</v>
      </c>
      <c r="O104" t="s">
        <v>505</v>
      </c>
      <c r="P104" t="s">
        <v>505</v>
      </c>
      <c r="Q104">
        <v>1</v>
      </c>
      <c r="X104">
        <v>0.01</v>
      </c>
      <c r="Y104">
        <v>0</v>
      </c>
      <c r="Z104">
        <v>65.709999999999994</v>
      </c>
      <c r="AA104">
        <v>11.6</v>
      </c>
      <c r="AB104">
        <v>0</v>
      </c>
      <c r="AC104">
        <v>0</v>
      </c>
      <c r="AD104">
        <v>1</v>
      </c>
      <c r="AE104">
        <v>0</v>
      </c>
      <c r="AF104" t="s">
        <v>140</v>
      </c>
      <c r="AG104">
        <v>3.1625E-2</v>
      </c>
      <c r="AH104">
        <v>2</v>
      </c>
      <c r="AI104">
        <v>47631871</v>
      </c>
      <c r="AJ104">
        <v>92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ROW(Source!A47)</f>
        <v>47</v>
      </c>
      <c r="B105">
        <v>47631881</v>
      </c>
      <c r="C105">
        <v>47631866</v>
      </c>
      <c r="D105">
        <v>36884416</v>
      </c>
      <c r="E105">
        <v>1</v>
      </c>
      <c r="F105">
        <v>1</v>
      </c>
      <c r="G105">
        <v>1</v>
      </c>
      <c r="H105">
        <v>2</v>
      </c>
      <c r="I105" t="s">
        <v>632</v>
      </c>
      <c r="J105" t="s">
        <v>633</v>
      </c>
      <c r="K105" t="s">
        <v>634</v>
      </c>
      <c r="L105">
        <v>1368</v>
      </c>
      <c r="N105">
        <v>1011</v>
      </c>
      <c r="O105" t="s">
        <v>505</v>
      </c>
      <c r="P105" t="s">
        <v>505</v>
      </c>
      <c r="Q105">
        <v>1</v>
      </c>
      <c r="X105">
        <v>0.65</v>
      </c>
      <c r="Y105">
        <v>0</v>
      </c>
      <c r="Z105">
        <v>6.82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140</v>
      </c>
      <c r="AG105">
        <v>2.055625</v>
      </c>
      <c r="AH105">
        <v>2</v>
      </c>
      <c r="AI105">
        <v>47631872</v>
      </c>
      <c r="AJ105">
        <v>93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ROW(Source!A47)</f>
        <v>47</v>
      </c>
      <c r="B106">
        <v>47631882</v>
      </c>
      <c r="C106">
        <v>47631866</v>
      </c>
      <c r="D106">
        <v>36838546</v>
      </c>
      <c r="E106">
        <v>1</v>
      </c>
      <c r="F106">
        <v>1</v>
      </c>
      <c r="G106">
        <v>1</v>
      </c>
      <c r="H106">
        <v>3</v>
      </c>
      <c r="I106" t="s">
        <v>148</v>
      </c>
      <c r="J106" t="s">
        <v>150</v>
      </c>
      <c r="K106" t="s">
        <v>149</v>
      </c>
      <c r="L106">
        <v>1348</v>
      </c>
      <c r="N106">
        <v>1009</v>
      </c>
      <c r="O106" t="s">
        <v>32</v>
      </c>
      <c r="P106" t="s">
        <v>32</v>
      </c>
      <c r="Q106">
        <v>1000</v>
      </c>
      <c r="X106">
        <v>1.9E-2</v>
      </c>
      <c r="Y106">
        <v>14312.87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139</v>
      </c>
      <c r="AG106">
        <v>4.1800000000000004E-2</v>
      </c>
      <c r="AH106">
        <v>2</v>
      </c>
      <c r="AI106">
        <v>47631873</v>
      </c>
      <c r="AJ106">
        <v>94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ROW(Source!A47)</f>
        <v>47</v>
      </c>
      <c r="B107">
        <v>47631883</v>
      </c>
      <c r="C107">
        <v>47631866</v>
      </c>
      <c r="D107">
        <v>36839186</v>
      </c>
      <c r="E107">
        <v>1</v>
      </c>
      <c r="F107">
        <v>1</v>
      </c>
      <c r="G107">
        <v>1</v>
      </c>
      <c r="H107">
        <v>3</v>
      </c>
      <c r="I107" t="s">
        <v>640</v>
      </c>
      <c r="J107" t="s">
        <v>641</v>
      </c>
      <c r="K107" t="s">
        <v>642</v>
      </c>
      <c r="L107">
        <v>1348</v>
      </c>
      <c r="N107">
        <v>1009</v>
      </c>
      <c r="O107" t="s">
        <v>32</v>
      </c>
      <c r="P107" t="s">
        <v>32</v>
      </c>
      <c r="Q107">
        <v>1000</v>
      </c>
      <c r="X107">
        <v>1.4E-3</v>
      </c>
      <c r="Y107">
        <v>6667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139</v>
      </c>
      <c r="AG107">
        <v>3.0800000000000003E-3</v>
      </c>
      <c r="AH107">
        <v>2</v>
      </c>
      <c r="AI107">
        <v>47631874</v>
      </c>
      <c r="AJ107">
        <v>96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ROW(Source!A50)</f>
        <v>50</v>
      </c>
      <c r="B108">
        <v>47631888</v>
      </c>
      <c r="C108">
        <v>47631886</v>
      </c>
      <c r="D108">
        <v>37064998</v>
      </c>
      <c r="E108">
        <v>1</v>
      </c>
      <c r="F108">
        <v>1</v>
      </c>
      <c r="G108">
        <v>1</v>
      </c>
      <c r="H108">
        <v>1</v>
      </c>
      <c r="I108" t="s">
        <v>496</v>
      </c>
      <c r="J108" t="s">
        <v>3</v>
      </c>
      <c r="K108" t="s">
        <v>497</v>
      </c>
      <c r="L108">
        <v>1191</v>
      </c>
      <c r="N108">
        <v>1013</v>
      </c>
      <c r="O108" t="s">
        <v>487</v>
      </c>
      <c r="P108" t="s">
        <v>487</v>
      </c>
      <c r="Q108">
        <v>1</v>
      </c>
      <c r="X108">
        <v>248</v>
      </c>
      <c r="Y108">
        <v>0</v>
      </c>
      <c r="Z108">
        <v>0</v>
      </c>
      <c r="AA108">
        <v>0</v>
      </c>
      <c r="AB108">
        <v>7.8</v>
      </c>
      <c r="AC108">
        <v>0</v>
      </c>
      <c r="AD108">
        <v>1</v>
      </c>
      <c r="AE108">
        <v>1</v>
      </c>
      <c r="AF108" t="s">
        <v>53</v>
      </c>
      <c r="AG108">
        <v>327.97999999999996</v>
      </c>
      <c r="AH108">
        <v>2</v>
      </c>
      <c r="AI108">
        <v>47631887</v>
      </c>
      <c r="AJ108">
        <v>97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ROW(Source!A51)</f>
        <v>51</v>
      </c>
      <c r="B109">
        <v>47631897</v>
      </c>
      <c r="C109">
        <v>47631889</v>
      </c>
      <c r="D109">
        <v>37064998</v>
      </c>
      <c r="E109">
        <v>1</v>
      </c>
      <c r="F109">
        <v>1</v>
      </c>
      <c r="G109">
        <v>1</v>
      </c>
      <c r="H109">
        <v>1</v>
      </c>
      <c r="I109" t="s">
        <v>496</v>
      </c>
      <c r="J109" t="s">
        <v>3</v>
      </c>
      <c r="K109" t="s">
        <v>497</v>
      </c>
      <c r="L109">
        <v>1191</v>
      </c>
      <c r="N109">
        <v>1013</v>
      </c>
      <c r="O109" t="s">
        <v>487</v>
      </c>
      <c r="P109" t="s">
        <v>487</v>
      </c>
      <c r="Q109">
        <v>1</v>
      </c>
      <c r="X109">
        <v>180</v>
      </c>
      <c r="Y109">
        <v>0</v>
      </c>
      <c r="Z109">
        <v>0</v>
      </c>
      <c r="AA109">
        <v>0</v>
      </c>
      <c r="AB109">
        <v>7.8</v>
      </c>
      <c r="AC109">
        <v>0</v>
      </c>
      <c r="AD109">
        <v>1</v>
      </c>
      <c r="AE109">
        <v>1</v>
      </c>
      <c r="AF109" t="s">
        <v>53</v>
      </c>
      <c r="AG109">
        <v>238.04999999999995</v>
      </c>
      <c r="AH109">
        <v>2</v>
      </c>
      <c r="AI109">
        <v>47631890</v>
      </c>
      <c r="AJ109">
        <v>98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ROW(Source!A51)</f>
        <v>51</v>
      </c>
      <c r="B110">
        <v>47631898</v>
      </c>
      <c r="C110">
        <v>47631889</v>
      </c>
      <c r="D110">
        <v>37064876</v>
      </c>
      <c r="E110">
        <v>1</v>
      </c>
      <c r="F110">
        <v>1</v>
      </c>
      <c r="G110">
        <v>1</v>
      </c>
      <c r="H110">
        <v>1</v>
      </c>
      <c r="I110" t="s">
        <v>500</v>
      </c>
      <c r="J110" t="s">
        <v>3</v>
      </c>
      <c r="K110" t="s">
        <v>501</v>
      </c>
      <c r="L110">
        <v>1191</v>
      </c>
      <c r="N110">
        <v>1013</v>
      </c>
      <c r="O110" t="s">
        <v>487</v>
      </c>
      <c r="P110" t="s">
        <v>487</v>
      </c>
      <c r="Q110">
        <v>1</v>
      </c>
      <c r="X110">
        <v>18.13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2</v>
      </c>
      <c r="AF110" t="s">
        <v>52</v>
      </c>
      <c r="AG110">
        <v>26.061874999999997</v>
      </c>
      <c r="AH110">
        <v>2</v>
      </c>
      <c r="AI110">
        <v>47631891</v>
      </c>
      <c r="AJ110">
        <v>99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ROW(Source!A51)</f>
        <v>51</v>
      </c>
      <c r="B111">
        <v>47631899</v>
      </c>
      <c r="C111">
        <v>47631889</v>
      </c>
      <c r="D111">
        <v>36882057</v>
      </c>
      <c r="E111">
        <v>1</v>
      </c>
      <c r="F111">
        <v>1</v>
      </c>
      <c r="G111">
        <v>1</v>
      </c>
      <c r="H111">
        <v>2</v>
      </c>
      <c r="I111" t="s">
        <v>643</v>
      </c>
      <c r="J111" t="s">
        <v>644</v>
      </c>
      <c r="K111" t="s">
        <v>645</v>
      </c>
      <c r="L111">
        <v>1368</v>
      </c>
      <c r="N111">
        <v>1011</v>
      </c>
      <c r="O111" t="s">
        <v>505</v>
      </c>
      <c r="P111" t="s">
        <v>505</v>
      </c>
      <c r="Q111">
        <v>1</v>
      </c>
      <c r="X111">
        <v>18</v>
      </c>
      <c r="Y111">
        <v>0</v>
      </c>
      <c r="Z111">
        <v>86.4</v>
      </c>
      <c r="AA111">
        <v>13.5</v>
      </c>
      <c r="AB111">
        <v>0</v>
      </c>
      <c r="AC111">
        <v>0</v>
      </c>
      <c r="AD111">
        <v>1</v>
      </c>
      <c r="AE111">
        <v>0</v>
      </c>
      <c r="AF111" t="s">
        <v>52</v>
      </c>
      <c r="AG111">
        <v>25.874999999999996</v>
      </c>
      <c r="AH111">
        <v>2</v>
      </c>
      <c r="AI111">
        <v>47631892</v>
      </c>
      <c r="AJ111">
        <v>100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ROW(Source!A51)</f>
        <v>51</v>
      </c>
      <c r="B112">
        <v>47631900</v>
      </c>
      <c r="C112">
        <v>47631889</v>
      </c>
      <c r="D112">
        <v>36882569</v>
      </c>
      <c r="E112">
        <v>1</v>
      </c>
      <c r="F112">
        <v>1</v>
      </c>
      <c r="G112">
        <v>1</v>
      </c>
      <c r="H112">
        <v>2</v>
      </c>
      <c r="I112" t="s">
        <v>646</v>
      </c>
      <c r="J112" t="s">
        <v>647</v>
      </c>
      <c r="K112" t="s">
        <v>648</v>
      </c>
      <c r="L112">
        <v>1368</v>
      </c>
      <c r="N112">
        <v>1011</v>
      </c>
      <c r="O112" t="s">
        <v>505</v>
      </c>
      <c r="P112" t="s">
        <v>505</v>
      </c>
      <c r="Q112">
        <v>1</v>
      </c>
      <c r="X112">
        <v>48</v>
      </c>
      <c r="Y112">
        <v>0</v>
      </c>
      <c r="Z112">
        <v>0.5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52</v>
      </c>
      <c r="AG112">
        <v>69</v>
      </c>
      <c r="AH112">
        <v>2</v>
      </c>
      <c r="AI112">
        <v>47631893</v>
      </c>
      <c r="AJ112">
        <v>101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ROW(Source!A51)</f>
        <v>51</v>
      </c>
      <c r="B113">
        <v>47631901</v>
      </c>
      <c r="C113">
        <v>47631889</v>
      </c>
      <c r="D113">
        <v>36883554</v>
      </c>
      <c r="E113">
        <v>1</v>
      </c>
      <c r="F113">
        <v>1</v>
      </c>
      <c r="G113">
        <v>1</v>
      </c>
      <c r="H113">
        <v>2</v>
      </c>
      <c r="I113" t="s">
        <v>509</v>
      </c>
      <c r="J113" t="s">
        <v>510</v>
      </c>
      <c r="K113" t="s">
        <v>511</v>
      </c>
      <c r="L113">
        <v>1368</v>
      </c>
      <c r="N113">
        <v>1011</v>
      </c>
      <c r="O113" t="s">
        <v>505</v>
      </c>
      <c r="P113" t="s">
        <v>505</v>
      </c>
      <c r="Q113">
        <v>1</v>
      </c>
      <c r="X113">
        <v>0.13</v>
      </c>
      <c r="Y113">
        <v>0</v>
      </c>
      <c r="Z113">
        <v>65.709999999999994</v>
      </c>
      <c r="AA113">
        <v>11.6</v>
      </c>
      <c r="AB113">
        <v>0</v>
      </c>
      <c r="AC113">
        <v>0</v>
      </c>
      <c r="AD113">
        <v>1</v>
      </c>
      <c r="AE113">
        <v>0</v>
      </c>
      <c r="AF113" t="s">
        <v>52</v>
      </c>
      <c r="AG113">
        <v>0.18687499999999999</v>
      </c>
      <c r="AH113">
        <v>2</v>
      </c>
      <c r="AI113">
        <v>47631894</v>
      </c>
      <c r="AJ113">
        <v>102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ROW(Source!A51)</f>
        <v>51</v>
      </c>
      <c r="B114">
        <v>47631902</v>
      </c>
      <c r="C114">
        <v>47631889</v>
      </c>
      <c r="D114">
        <v>36801792</v>
      </c>
      <c r="E114">
        <v>1</v>
      </c>
      <c r="F114">
        <v>1</v>
      </c>
      <c r="G114">
        <v>1</v>
      </c>
      <c r="H114">
        <v>3</v>
      </c>
      <c r="I114" t="s">
        <v>597</v>
      </c>
      <c r="J114" t="s">
        <v>598</v>
      </c>
      <c r="K114" t="s">
        <v>599</v>
      </c>
      <c r="L114">
        <v>1339</v>
      </c>
      <c r="N114">
        <v>1007</v>
      </c>
      <c r="O114" t="s">
        <v>96</v>
      </c>
      <c r="P114" t="s">
        <v>96</v>
      </c>
      <c r="Q114">
        <v>1</v>
      </c>
      <c r="X114">
        <v>0.2</v>
      </c>
      <c r="Y114">
        <v>2.44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0.2</v>
      </c>
      <c r="AH114">
        <v>2</v>
      </c>
      <c r="AI114">
        <v>47631895</v>
      </c>
      <c r="AJ114">
        <v>103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ROW(Source!A51)</f>
        <v>51</v>
      </c>
      <c r="B115">
        <v>47631903</v>
      </c>
      <c r="C115">
        <v>47631889</v>
      </c>
      <c r="D115">
        <v>36802304</v>
      </c>
      <c r="E115">
        <v>1</v>
      </c>
      <c r="F115">
        <v>1</v>
      </c>
      <c r="G115">
        <v>1</v>
      </c>
      <c r="H115">
        <v>3</v>
      </c>
      <c r="I115" t="s">
        <v>649</v>
      </c>
      <c r="J115" t="s">
        <v>650</v>
      </c>
      <c r="K115" t="s">
        <v>651</v>
      </c>
      <c r="L115">
        <v>1327</v>
      </c>
      <c r="N115">
        <v>1005</v>
      </c>
      <c r="O115" t="s">
        <v>603</v>
      </c>
      <c r="P115" t="s">
        <v>603</v>
      </c>
      <c r="Q115">
        <v>1</v>
      </c>
      <c r="X115">
        <v>250</v>
      </c>
      <c r="Y115">
        <v>3.62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250</v>
      </c>
      <c r="AH115">
        <v>2</v>
      </c>
      <c r="AI115">
        <v>47631896</v>
      </c>
      <c r="AJ115">
        <v>104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ROW(Source!A51)</f>
        <v>51</v>
      </c>
      <c r="B116">
        <v>47631904</v>
      </c>
      <c r="C116">
        <v>47631889</v>
      </c>
      <c r="D116">
        <v>36796108</v>
      </c>
      <c r="E116">
        <v>17</v>
      </c>
      <c r="F116">
        <v>1</v>
      </c>
      <c r="G116">
        <v>1</v>
      </c>
      <c r="H116">
        <v>3</v>
      </c>
      <c r="I116" t="s">
        <v>710</v>
      </c>
      <c r="J116" t="s">
        <v>3</v>
      </c>
      <c r="K116" t="s">
        <v>711</v>
      </c>
      <c r="L116">
        <v>1339</v>
      </c>
      <c r="N116">
        <v>1007</v>
      </c>
      <c r="O116" t="s">
        <v>96</v>
      </c>
      <c r="P116" t="s">
        <v>96</v>
      </c>
      <c r="Q116">
        <v>1</v>
      </c>
      <c r="X116">
        <v>102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3</v>
      </c>
      <c r="AG116">
        <v>102</v>
      </c>
      <c r="AH116">
        <v>3</v>
      </c>
      <c r="AI116">
        <v>-1</v>
      </c>
      <c r="AJ116" t="s">
        <v>3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ROW(Source!A52)</f>
        <v>52</v>
      </c>
      <c r="B117">
        <v>47631907</v>
      </c>
      <c r="C117">
        <v>47631905</v>
      </c>
      <c r="D117">
        <v>37071503</v>
      </c>
      <c r="E117">
        <v>1</v>
      </c>
      <c r="F117">
        <v>1</v>
      </c>
      <c r="G117">
        <v>1</v>
      </c>
      <c r="H117">
        <v>1</v>
      </c>
      <c r="I117" t="s">
        <v>652</v>
      </c>
      <c r="J117" t="s">
        <v>3</v>
      </c>
      <c r="K117" t="s">
        <v>653</v>
      </c>
      <c r="L117">
        <v>1191</v>
      </c>
      <c r="N117">
        <v>1013</v>
      </c>
      <c r="O117" t="s">
        <v>487</v>
      </c>
      <c r="P117" t="s">
        <v>487</v>
      </c>
      <c r="Q117">
        <v>1</v>
      </c>
      <c r="X117">
        <v>83.43</v>
      </c>
      <c r="Y117">
        <v>0</v>
      </c>
      <c r="Z117">
        <v>0</v>
      </c>
      <c r="AA117">
        <v>0</v>
      </c>
      <c r="AB117">
        <v>7.5</v>
      </c>
      <c r="AC117">
        <v>0</v>
      </c>
      <c r="AD117">
        <v>1</v>
      </c>
      <c r="AE117">
        <v>1</v>
      </c>
      <c r="AF117" t="s">
        <v>53</v>
      </c>
      <c r="AG117">
        <v>110.336175</v>
      </c>
      <c r="AH117">
        <v>2</v>
      </c>
      <c r="AI117">
        <v>47631906</v>
      </c>
      <c r="AJ117">
        <v>105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ROW(Source!A102)</f>
        <v>102</v>
      </c>
      <c r="B118">
        <v>47635804</v>
      </c>
      <c r="C118">
        <v>47635803</v>
      </c>
      <c r="D118">
        <v>37066837</v>
      </c>
      <c r="E118">
        <v>1</v>
      </c>
      <c r="F118">
        <v>1</v>
      </c>
      <c r="G118">
        <v>1</v>
      </c>
      <c r="H118">
        <v>1</v>
      </c>
      <c r="I118" t="s">
        <v>654</v>
      </c>
      <c r="J118" t="s">
        <v>3</v>
      </c>
      <c r="K118" t="s">
        <v>655</v>
      </c>
      <c r="L118">
        <v>1191</v>
      </c>
      <c r="N118">
        <v>1013</v>
      </c>
      <c r="O118" t="s">
        <v>487</v>
      </c>
      <c r="P118" t="s">
        <v>487</v>
      </c>
      <c r="Q118">
        <v>1</v>
      </c>
      <c r="X118">
        <v>57.76</v>
      </c>
      <c r="Y118">
        <v>0</v>
      </c>
      <c r="Z118">
        <v>0</v>
      </c>
      <c r="AA118">
        <v>0</v>
      </c>
      <c r="AB118">
        <v>8.31</v>
      </c>
      <c r="AC118">
        <v>0</v>
      </c>
      <c r="AD118">
        <v>1</v>
      </c>
      <c r="AE118">
        <v>1</v>
      </c>
      <c r="AF118" t="s">
        <v>24</v>
      </c>
      <c r="AG118">
        <v>66.423999999999992</v>
      </c>
      <c r="AH118">
        <v>2</v>
      </c>
      <c r="AI118">
        <v>47635804</v>
      </c>
      <c r="AJ118">
        <v>106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ROW(Source!A102)</f>
        <v>102</v>
      </c>
      <c r="B119">
        <v>47635805</v>
      </c>
      <c r="C119">
        <v>47635803</v>
      </c>
      <c r="D119">
        <v>37064876</v>
      </c>
      <c r="E119">
        <v>1</v>
      </c>
      <c r="F119">
        <v>1</v>
      </c>
      <c r="G119">
        <v>1</v>
      </c>
      <c r="H119">
        <v>1</v>
      </c>
      <c r="I119" t="s">
        <v>500</v>
      </c>
      <c r="J119" t="s">
        <v>3</v>
      </c>
      <c r="K119" t="s">
        <v>501</v>
      </c>
      <c r="L119">
        <v>1191</v>
      </c>
      <c r="N119">
        <v>1013</v>
      </c>
      <c r="O119" t="s">
        <v>487</v>
      </c>
      <c r="P119" t="s">
        <v>487</v>
      </c>
      <c r="Q119">
        <v>1</v>
      </c>
      <c r="X119">
        <v>15.7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2</v>
      </c>
      <c r="AF119" t="s">
        <v>24</v>
      </c>
      <c r="AG119">
        <v>18.054999999999996</v>
      </c>
      <c r="AH119">
        <v>2</v>
      </c>
      <c r="AI119">
        <v>47635805</v>
      </c>
      <c r="AJ119">
        <v>107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ROW(Source!A102)</f>
        <v>102</v>
      </c>
      <c r="B120">
        <v>47635806</v>
      </c>
      <c r="C120">
        <v>47635803</v>
      </c>
      <c r="D120">
        <v>36883878</v>
      </c>
      <c r="E120">
        <v>1</v>
      </c>
      <c r="F120">
        <v>1</v>
      </c>
      <c r="G120">
        <v>1</v>
      </c>
      <c r="H120">
        <v>2</v>
      </c>
      <c r="I120" t="s">
        <v>594</v>
      </c>
      <c r="J120" t="s">
        <v>595</v>
      </c>
      <c r="K120" t="s">
        <v>596</v>
      </c>
      <c r="L120">
        <v>1368</v>
      </c>
      <c r="N120">
        <v>1011</v>
      </c>
      <c r="O120" t="s">
        <v>505</v>
      </c>
      <c r="P120" t="s">
        <v>505</v>
      </c>
      <c r="Q120">
        <v>1</v>
      </c>
      <c r="X120">
        <v>15.7</v>
      </c>
      <c r="Y120">
        <v>0</v>
      </c>
      <c r="Z120">
        <v>90</v>
      </c>
      <c r="AA120">
        <v>10.06</v>
      </c>
      <c r="AB120">
        <v>0</v>
      </c>
      <c r="AC120">
        <v>0</v>
      </c>
      <c r="AD120">
        <v>1</v>
      </c>
      <c r="AE120">
        <v>0</v>
      </c>
      <c r="AF120" t="s">
        <v>24</v>
      </c>
      <c r="AG120">
        <v>18.054999999999996</v>
      </c>
      <c r="AH120">
        <v>2</v>
      </c>
      <c r="AI120">
        <v>47635806</v>
      </c>
      <c r="AJ120">
        <v>108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ROW(Source!A102)</f>
        <v>102</v>
      </c>
      <c r="B121">
        <v>47635807</v>
      </c>
      <c r="C121">
        <v>47635803</v>
      </c>
      <c r="D121">
        <v>36884481</v>
      </c>
      <c r="E121">
        <v>1</v>
      </c>
      <c r="F121">
        <v>1</v>
      </c>
      <c r="G121">
        <v>1</v>
      </c>
      <c r="H121">
        <v>2</v>
      </c>
      <c r="I121" t="s">
        <v>656</v>
      </c>
      <c r="J121" t="s">
        <v>657</v>
      </c>
      <c r="K121" t="s">
        <v>658</v>
      </c>
      <c r="L121">
        <v>1368</v>
      </c>
      <c r="N121">
        <v>1011</v>
      </c>
      <c r="O121" t="s">
        <v>505</v>
      </c>
      <c r="P121" t="s">
        <v>505</v>
      </c>
      <c r="Q121">
        <v>1</v>
      </c>
      <c r="X121">
        <v>47.1</v>
      </c>
      <c r="Y121">
        <v>0</v>
      </c>
      <c r="Z121">
        <v>1.53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24</v>
      </c>
      <c r="AG121">
        <v>54.164999999999999</v>
      </c>
      <c r="AH121">
        <v>2</v>
      </c>
      <c r="AI121">
        <v>47635807</v>
      </c>
      <c r="AJ121">
        <v>109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ROW(Source!A103)</f>
        <v>103</v>
      </c>
      <c r="B122">
        <v>47635814</v>
      </c>
      <c r="C122">
        <v>47635813</v>
      </c>
      <c r="D122">
        <v>37065946</v>
      </c>
      <c r="E122">
        <v>1</v>
      </c>
      <c r="F122">
        <v>1</v>
      </c>
      <c r="G122">
        <v>1</v>
      </c>
      <c r="H122">
        <v>1</v>
      </c>
      <c r="I122" t="s">
        <v>659</v>
      </c>
      <c r="J122" t="s">
        <v>3</v>
      </c>
      <c r="K122" t="s">
        <v>660</v>
      </c>
      <c r="L122">
        <v>1191</v>
      </c>
      <c r="N122">
        <v>1013</v>
      </c>
      <c r="O122" t="s">
        <v>487</v>
      </c>
      <c r="P122" t="s">
        <v>487</v>
      </c>
      <c r="Q122">
        <v>1</v>
      </c>
      <c r="X122">
        <v>18.37</v>
      </c>
      <c r="Y122">
        <v>0</v>
      </c>
      <c r="Z122">
        <v>0</v>
      </c>
      <c r="AA122">
        <v>0</v>
      </c>
      <c r="AB122">
        <v>7.87</v>
      </c>
      <c r="AC122">
        <v>0</v>
      </c>
      <c r="AD122">
        <v>1</v>
      </c>
      <c r="AE122">
        <v>1</v>
      </c>
      <c r="AF122" t="s">
        <v>24</v>
      </c>
      <c r="AG122">
        <v>21.125499999999999</v>
      </c>
      <c r="AH122">
        <v>2</v>
      </c>
      <c r="AI122">
        <v>47635814</v>
      </c>
      <c r="AJ122">
        <v>110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ROW(Source!A103)</f>
        <v>103</v>
      </c>
      <c r="B123">
        <v>47635815</v>
      </c>
      <c r="C123">
        <v>47635813</v>
      </c>
      <c r="D123">
        <v>37064876</v>
      </c>
      <c r="E123">
        <v>1</v>
      </c>
      <c r="F123">
        <v>1</v>
      </c>
      <c r="G123">
        <v>1</v>
      </c>
      <c r="H123">
        <v>1</v>
      </c>
      <c r="I123" t="s">
        <v>500</v>
      </c>
      <c r="J123" t="s">
        <v>3</v>
      </c>
      <c r="K123" t="s">
        <v>501</v>
      </c>
      <c r="L123">
        <v>1191</v>
      </c>
      <c r="N123">
        <v>1013</v>
      </c>
      <c r="O123" t="s">
        <v>487</v>
      </c>
      <c r="P123" t="s">
        <v>487</v>
      </c>
      <c r="Q123">
        <v>1</v>
      </c>
      <c r="X123">
        <v>4.6500000000000004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2</v>
      </c>
      <c r="AF123" t="s">
        <v>24</v>
      </c>
      <c r="AG123">
        <v>5.3475000000000001</v>
      </c>
      <c r="AH123">
        <v>2</v>
      </c>
      <c r="AI123">
        <v>47635815</v>
      </c>
      <c r="AJ123">
        <v>111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ROW(Source!A103)</f>
        <v>103</v>
      </c>
      <c r="B124">
        <v>47635816</v>
      </c>
      <c r="C124">
        <v>47635813</v>
      </c>
      <c r="D124">
        <v>36881380</v>
      </c>
      <c r="E124">
        <v>1</v>
      </c>
      <c r="F124">
        <v>1</v>
      </c>
      <c r="G124">
        <v>1</v>
      </c>
      <c r="H124">
        <v>2</v>
      </c>
      <c r="I124" t="s">
        <v>661</v>
      </c>
      <c r="J124" t="s">
        <v>662</v>
      </c>
      <c r="K124" t="s">
        <v>663</v>
      </c>
      <c r="L124">
        <v>1368</v>
      </c>
      <c r="N124">
        <v>1011</v>
      </c>
      <c r="O124" t="s">
        <v>505</v>
      </c>
      <c r="P124" t="s">
        <v>505</v>
      </c>
      <c r="Q124">
        <v>1</v>
      </c>
      <c r="X124">
        <v>2.67</v>
      </c>
      <c r="Y124">
        <v>0</v>
      </c>
      <c r="Z124">
        <v>123</v>
      </c>
      <c r="AA124">
        <v>13.5</v>
      </c>
      <c r="AB124">
        <v>0</v>
      </c>
      <c r="AC124">
        <v>0</v>
      </c>
      <c r="AD124">
        <v>1</v>
      </c>
      <c r="AE124">
        <v>0</v>
      </c>
      <c r="AF124" t="s">
        <v>24</v>
      </c>
      <c r="AG124">
        <v>3.0704999999999996</v>
      </c>
      <c r="AH124">
        <v>2</v>
      </c>
      <c r="AI124">
        <v>47635816</v>
      </c>
      <c r="AJ124">
        <v>112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ROW(Source!A103)</f>
        <v>103</v>
      </c>
      <c r="B125">
        <v>47635817</v>
      </c>
      <c r="C125">
        <v>47635813</v>
      </c>
      <c r="D125">
        <v>36883489</v>
      </c>
      <c r="E125">
        <v>1</v>
      </c>
      <c r="F125">
        <v>1</v>
      </c>
      <c r="G125">
        <v>1</v>
      </c>
      <c r="H125">
        <v>2</v>
      </c>
      <c r="I125" t="s">
        <v>664</v>
      </c>
      <c r="J125" t="s">
        <v>665</v>
      </c>
      <c r="K125" t="s">
        <v>666</v>
      </c>
      <c r="L125">
        <v>1368</v>
      </c>
      <c r="N125">
        <v>1011</v>
      </c>
      <c r="O125" t="s">
        <v>505</v>
      </c>
      <c r="P125" t="s">
        <v>505</v>
      </c>
      <c r="Q125">
        <v>1</v>
      </c>
      <c r="X125">
        <v>1.98</v>
      </c>
      <c r="Y125">
        <v>0</v>
      </c>
      <c r="Z125">
        <v>62.3</v>
      </c>
      <c r="AA125">
        <v>11.6</v>
      </c>
      <c r="AB125">
        <v>0</v>
      </c>
      <c r="AC125">
        <v>0</v>
      </c>
      <c r="AD125">
        <v>1</v>
      </c>
      <c r="AE125">
        <v>0</v>
      </c>
      <c r="AF125" t="s">
        <v>24</v>
      </c>
      <c r="AG125">
        <v>2.2769999999999997</v>
      </c>
      <c r="AH125">
        <v>2</v>
      </c>
      <c r="AI125">
        <v>47635817</v>
      </c>
      <c r="AJ125">
        <v>113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ROW(Source!A106)</f>
        <v>106</v>
      </c>
      <c r="B126">
        <v>47635821</v>
      </c>
      <c r="C126">
        <v>47635820</v>
      </c>
      <c r="D126">
        <v>37066491</v>
      </c>
      <c r="E126">
        <v>1</v>
      </c>
      <c r="F126">
        <v>1</v>
      </c>
      <c r="G126">
        <v>1</v>
      </c>
      <c r="H126">
        <v>1</v>
      </c>
      <c r="I126" t="s">
        <v>667</v>
      </c>
      <c r="J126" t="s">
        <v>3</v>
      </c>
      <c r="K126" t="s">
        <v>668</v>
      </c>
      <c r="L126">
        <v>1191</v>
      </c>
      <c r="N126">
        <v>1013</v>
      </c>
      <c r="O126" t="s">
        <v>487</v>
      </c>
      <c r="P126" t="s">
        <v>487</v>
      </c>
      <c r="Q126">
        <v>1</v>
      </c>
      <c r="X126">
        <v>15.72</v>
      </c>
      <c r="Y126">
        <v>0</v>
      </c>
      <c r="Z126">
        <v>0</v>
      </c>
      <c r="AA126">
        <v>0</v>
      </c>
      <c r="AB126">
        <v>8.02</v>
      </c>
      <c r="AC126">
        <v>0</v>
      </c>
      <c r="AD126">
        <v>1</v>
      </c>
      <c r="AE126">
        <v>1</v>
      </c>
      <c r="AF126" t="s">
        <v>53</v>
      </c>
      <c r="AG126">
        <v>20.789699999999996</v>
      </c>
      <c r="AH126">
        <v>2</v>
      </c>
      <c r="AI126">
        <v>47635821</v>
      </c>
      <c r="AJ126">
        <v>114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ROW(Source!A106)</f>
        <v>106</v>
      </c>
      <c r="B127">
        <v>47635822</v>
      </c>
      <c r="C127">
        <v>47635820</v>
      </c>
      <c r="D127">
        <v>37064876</v>
      </c>
      <c r="E127">
        <v>1</v>
      </c>
      <c r="F127">
        <v>1</v>
      </c>
      <c r="G127">
        <v>1</v>
      </c>
      <c r="H127">
        <v>1</v>
      </c>
      <c r="I127" t="s">
        <v>500</v>
      </c>
      <c r="J127" t="s">
        <v>3</v>
      </c>
      <c r="K127" t="s">
        <v>501</v>
      </c>
      <c r="L127">
        <v>1191</v>
      </c>
      <c r="N127">
        <v>1013</v>
      </c>
      <c r="O127" t="s">
        <v>487</v>
      </c>
      <c r="P127" t="s">
        <v>487</v>
      </c>
      <c r="Q127">
        <v>1</v>
      </c>
      <c r="X127">
        <v>13.88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2</v>
      </c>
      <c r="AF127" t="s">
        <v>280</v>
      </c>
      <c r="AG127">
        <v>19.952500000000001</v>
      </c>
      <c r="AH127">
        <v>2</v>
      </c>
      <c r="AI127">
        <v>47635822</v>
      </c>
      <c r="AJ127">
        <v>115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ROW(Source!A106)</f>
        <v>106</v>
      </c>
      <c r="B128">
        <v>47635823</v>
      </c>
      <c r="C128">
        <v>47635820</v>
      </c>
      <c r="D128">
        <v>36881380</v>
      </c>
      <c r="E128">
        <v>1</v>
      </c>
      <c r="F128">
        <v>1</v>
      </c>
      <c r="G128">
        <v>1</v>
      </c>
      <c r="H128">
        <v>2</v>
      </c>
      <c r="I128" t="s">
        <v>661</v>
      </c>
      <c r="J128" t="s">
        <v>662</v>
      </c>
      <c r="K128" t="s">
        <v>663</v>
      </c>
      <c r="L128">
        <v>1368</v>
      </c>
      <c r="N128">
        <v>1011</v>
      </c>
      <c r="O128" t="s">
        <v>505</v>
      </c>
      <c r="P128" t="s">
        <v>505</v>
      </c>
      <c r="Q128">
        <v>1</v>
      </c>
      <c r="X128">
        <v>1.77</v>
      </c>
      <c r="Y128">
        <v>0</v>
      </c>
      <c r="Z128">
        <v>123</v>
      </c>
      <c r="AA128">
        <v>13.5</v>
      </c>
      <c r="AB128">
        <v>0</v>
      </c>
      <c r="AC128">
        <v>0</v>
      </c>
      <c r="AD128">
        <v>1</v>
      </c>
      <c r="AE128">
        <v>0</v>
      </c>
      <c r="AF128" t="s">
        <v>280</v>
      </c>
      <c r="AG128">
        <v>2.5443749999999996</v>
      </c>
      <c r="AH128">
        <v>2</v>
      </c>
      <c r="AI128">
        <v>47635823</v>
      </c>
      <c r="AJ128">
        <v>116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ROW(Source!A106)</f>
        <v>106</v>
      </c>
      <c r="B129">
        <v>47635824</v>
      </c>
      <c r="C129">
        <v>47635820</v>
      </c>
      <c r="D129">
        <v>36882383</v>
      </c>
      <c r="E129">
        <v>1</v>
      </c>
      <c r="F129">
        <v>1</v>
      </c>
      <c r="G129">
        <v>1</v>
      </c>
      <c r="H129">
        <v>2</v>
      </c>
      <c r="I129" t="s">
        <v>629</v>
      </c>
      <c r="J129" t="s">
        <v>630</v>
      </c>
      <c r="K129" t="s">
        <v>631</v>
      </c>
      <c r="L129">
        <v>1368</v>
      </c>
      <c r="N129">
        <v>1011</v>
      </c>
      <c r="O129" t="s">
        <v>505</v>
      </c>
      <c r="P129" t="s">
        <v>505</v>
      </c>
      <c r="Q129">
        <v>1</v>
      </c>
      <c r="X129">
        <v>4.29</v>
      </c>
      <c r="Y129">
        <v>0</v>
      </c>
      <c r="Z129">
        <v>89.99</v>
      </c>
      <c r="AA129">
        <v>10.06</v>
      </c>
      <c r="AB129">
        <v>0</v>
      </c>
      <c r="AC129">
        <v>0</v>
      </c>
      <c r="AD129">
        <v>1</v>
      </c>
      <c r="AE129">
        <v>0</v>
      </c>
      <c r="AF129" t="s">
        <v>280</v>
      </c>
      <c r="AG129">
        <v>6.1668749999999992</v>
      </c>
      <c r="AH129">
        <v>2</v>
      </c>
      <c r="AI129">
        <v>47635824</v>
      </c>
      <c r="AJ129">
        <v>117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ROW(Source!A106)</f>
        <v>106</v>
      </c>
      <c r="B130">
        <v>47635825</v>
      </c>
      <c r="C130">
        <v>47635820</v>
      </c>
      <c r="D130">
        <v>36882750</v>
      </c>
      <c r="E130">
        <v>1</v>
      </c>
      <c r="F130">
        <v>1</v>
      </c>
      <c r="G130">
        <v>1</v>
      </c>
      <c r="H130">
        <v>2</v>
      </c>
      <c r="I130" t="s">
        <v>669</v>
      </c>
      <c r="J130" t="s">
        <v>670</v>
      </c>
      <c r="K130" t="s">
        <v>671</v>
      </c>
      <c r="L130">
        <v>1368</v>
      </c>
      <c r="N130">
        <v>1011</v>
      </c>
      <c r="O130" t="s">
        <v>505</v>
      </c>
      <c r="P130" t="s">
        <v>505</v>
      </c>
      <c r="Q130">
        <v>1</v>
      </c>
      <c r="X130">
        <v>7.08</v>
      </c>
      <c r="Y130">
        <v>0</v>
      </c>
      <c r="Z130">
        <v>206.01</v>
      </c>
      <c r="AA130">
        <v>14.4</v>
      </c>
      <c r="AB130">
        <v>0</v>
      </c>
      <c r="AC130">
        <v>0</v>
      </c>
      <c r="AD130">
        <v>1</v>
      </c>
      <c r="AE130">
        <v>0</v>
      </c>
      <c r="AF130" t="s">
        <v>280</v>
      </c>
      <c r="AG130">
        <v>10.177499999999998</v>
      </c>
      <c r="AH130">
        <v>2</v>
      </c>
      <c r="AI130">
        <v>47635825</v>
      </c>
      <c r="AJ130">
        <v>118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ROW(Source!A106)</f>
        <v>106</v>
      </c>
      <c r="B131">
        <v>47635826</v>
      </c>
      <c r="C131">
        <v>47635820</v>
      </c>
      <c r="D131">
        <v>36883483</v>
      </c>
      <c r="E131">
        <v>1</v>
      </c>
      <c r="F131">
        <v>1</v>
      </c>
      <c r="G131">
        <v>1</v>
      </c>
      <c r="H131">
        <v>2</v>
      </c>
      <c r="I131" t="s">
        <v>672</v>
      </c>
      <c r="J131" t="s">
        <v>673</v>
      </c>
      <c r="K131" t="s">
        <v>674</v>
      </c>
      <c r="L131">
        <v>1368</v>
      </c>
      <c r="N131">
        <v>1011</v>
      </c>
      <c r="O131" t="s">
        <v>505</v>
      </c>
      <c r="P131" t="s">
        <v>505</v>
      </c>
      <c r="Q131">
        <v>1</v>
      </c>
      <c r="X131">
        <v>0.74</v>
      </c>
      <c r="Y131">
        <v>0</v>
      </c>
      <c r="Z131">
        <v>110</v>
      </c>
      <c r="AA131">
        <v>11.6</v>
      </c>
      <c r="AB131">
        <v>0</v>
      </c>
      <c r="AC131">
        <v>0</v>
      </c>
      <c r="AD131">
        <v>1</v>
      </c>
      <c r="AE131">
        <v>0</v>
      </c>
      <c r="AF131" t="s">
        <v>280</v>
      </c>
      <c r="AG131">
        <v>1.06375</v>
      </c>
      <c r="AH131">
        <v>2</v>
      </c>
      <c r="AI131">
        <v>47635826</v>
      </c>
      <c r="AJ131">
        <v>119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ROW(Source!A106)</f>
        <v>106</v>
      </c>
      <c r="B132">
        <v>47635827</v>
      </c>
      <c r="C132">
        <v>47635820</v>
      </c>
      <c r="D132">
        <v>36801792</v>
      </c>
      <c r="E132">
        <v>1</v>
      </c>
      <c r="F132">
        <v>1</v>
      </c>
      <c r="G132">
        <v>1</v>
      </c>
      <c r="H132">
        <v>3</v>
      </c>
      <c r="I132" t="s">
        <v>597</v>
      </c>
      <c r="J132" t="s">
        <v>598</v>
      </c>
      <c r="K132" t="s">
        <v>599</v>
      </c>
      <c r="L132">
        <v>1339</v>
      </c>
      <c r="N132">
        <v>1007</v>
      </c>
      <c r="O132" t="s">
        <v>96</v>
      </c>
      <c r="P132" t="s">
        <v>96</v>
      </c>
      <c r="Q132">
        <v>1</v>
      </c>
      <c r="X132">
        <v>5</v>
      </c>
      <c r="Y132">
        <v>2.44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5</v>
      </c>
      <c r="AH132">
        <v>2</v>
      </c>
      <c r="AI132">
        <v>47635827</v>
      </c>
      <c r="AJ132">
        <v>120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ROW(Source!A106)</f>
        <v>106</v>
      </c>
      <c r="B133">
        <v>47635828</v>
      </c>
      <c r="C133">
        <v>47635820</v>
      </c>
      <c r="D133">
        <v>36796087</v>
      </c>
      <c r="E133">
        <v>17</v>
      </c>
      <c r="F133">
        <v>1</v>
      </c>
      <c r="G133">
        <v>1</v>
      </c>
      <c r="H133">
        <v>3</v>
      </c>
      <c r="I133" t="s">
        <v>718</v>
      </c>
      <c r="J133" t="s">
        <v>3</v>
      </c>
      <c r="K133" t="s">
        <v>719</v>
      </c>
      <c r="L133">
        <v>1339</v>
      </c>
      <c r="N133">
        <v>1007</v>
      </c>
      <c r="O133" t="s">
        <v>96</v>
      </c>
      <c r="P133" t="s">
        <v>96</v>
      </c>
      <c r="Q133">
        <v>1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1</v>
      </c>
      <c r="AD133">
        <v>0</v>
      </c>
      <c r="AE133">
        <v>0</v>
      </c>
      <c r="AF133" t="s">
        <v>3</v>
      </c>
      <c r="AG133">
        <v>0</v>
      </c>
      <c r="AH133">
        <v>3</v>
      </c>
      <c r="AI133">
        <v>-1</v>
      </c>
      <c r="AJ133" t="s">
        <v>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ROW(Source!A108)</f>
        <v>108</v>
      </c>
      <c r="B134">
        <v>47635877</v>
      </c>
      <c r="C134">
        <v>47635841</v>
      </c>
      <c r="D134">
        <v>37066739</v>
      </c>
      <c r="E134">
        <v>1</v>
      </c>
      <c r="F134">
        <v>1</v>
      </c>
      <c r="G134">
        <v>1</v>
      </c>
      <c r="H134">
        <v>1</v>
      </c>
      <c r="I134" t="s">
        <v>675</v>
      </c>
      <c r="J134" t="s">
        <v>3</v>
      </c>
      <c r="K134" t="s">
        <v>676</v>
      </c>
      <c r="L134">
        <v>1191</v>
      </c>
      <c r="N134">
        <v>1013</v>
      </c>
      <c r="O134" t="s">
        <v>487</v>
      </c>
      <c r="P134" t="s">
        <v>487</v>
      </c>
      <c r="Q134">
        <v>1</v>
      </c>
      <c r="X134">
        <v>26.24</v>
      </c>
      <c r="Y134">
        <v>0</v>
      </c>
      <c r="Z134">
        <v>0</v>
      </c>
      <c r="AA134">
        <v>0</v>
      </c>
      <c r="AB134">
        <v>8.4600000000000009</v>
      </c>
      <c r="AC134">
        <v>0</v>
      </c>
      <c r="AD134">
        <v>1</v>
      </c>
      <c r="AE134">
        <v>1</v>
      </c>
      <c r="AF134" t="s">
        <v>53</v>
      </c>
      <c r="AG134">
        <v>34.70239999999999</v>
      </c>
      <c r="AH134">
        <v>2</v>
      </c>
      <c r="AI134">
        <v>47635877</v>
      </c>
      <c r="AJ134">
        <v>122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ROW(Source!A108)</f>
        <v>108</v>
      </c>
      <c r="B135">
        <v>47635878</v>
      </c>
      <c r="C135">
        <v>47635841</v>
      </c>
      <c r="D135">
        <v>37064876</v>
      </c>
      <c r="E135">
        <v>1</v>
      </c>
      <c r="F135">
        <v>1</v>
      </c>
      <c r="G135">
        <v>1</v>
      </c>
      <c r="H135">
        <v>1</v>
      </c>
      <c r="I135" t="s">
        <v>500</v>
      </c>
      <c r="J135" t="s">
        <v>3</v>
      </c>
      <c r="K135" t="s">
        <v>501</v>
      </c>
      <c r="L135">
        <v>1191</v>
      </c>
      <c r="N135">
        <v>1013</v>
      </c>
      <c r="O135" t="s">
        <v>487</v>
      </c>
      <c r="P135" t="s">
        <v>487</v>
      </c>
      <c r="Q135">
        <v>1</v>
      </c>
      <c r="X135">
        <v>3.17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2</v>
      </c>
      <c r="AF135" t="s">
        <v>280</v>
      </c>
      <c r="AG135">
        <v>4.5568749999999998</v>
      </c>
      <c r="AH135">
        <v>2</v>
      </c>
      <c r="AI135">
        <v>47635878</v>
      </c>
      <c r="AJ135">
        <v>123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ROW(Source!A108)</f>
        <v>108</v>
      </c>
      <c r="B136">
        <v>47635879</v>
      </c>
      <c r="C136">
        <v>47635841</v>
      </c>
      <c r="D136">
        <v>36882383</v>
      </c>
      <c r="E136">
        <v>1</v>
      </c>
      <c r="F136">
        <v>1</v>
      </c>
      <c r="G136">
        <v>1</v>
      </c>
      <c r="H136">
        <v>2</v>
      </c>
      <c r="I136" t="s">
        <v>629</v>
      </c>
      <c r="J136" t="s">
        <v>630</v>
      </c>
      <c r="K136" t="s">
        <v>631</v>
      </c>
      <c r="L136">
        <v>1368</v>
      </c>
      <c r="N136">
        <v>1011</v>
      </c>
      <c r="O136" t="s">
        <v>505</v>
      </c>
      <c r="P136" t="s">
        <v>505</v>
      </c>
      <c r="Q136">
        <v>1</v>
      </c>
      <c r="X136">
        <v>1.1499999999999999</v>
      </c>
      <c r="Y136">
        <v>0</v>
      </c>
      <c r="Z136">
        <v>89.99</v>
      </c>
      <c r="AA136">
        <v>10.06</v>
      </c>
      <c r="AB136">
        <v>0</v>
      </c>
      <c r="AC136">
        <v>0</v>
      </c>
      <c r="AD136">
        <v>1</v>
      </c>
      <c r="AE136">
        <v>0</v>
      </c>
      <c r="AF136" t="s">
        <v>280</v>
      </c>
      <c r="AG136">
        <v>1.6531249999999997</v>
      </c>
      <c r="AH136">
        <v>2</v>
      </c>
      <c r="AI136">
        <v>47635879</v>
      </c>
      <c r="AJ136">
        <v>124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ROW(Source!A108)</f>
        <v>108</v>
      </c>
      <c r="B137">
        <v>47635880</v>
      </c>
      <c r="C137">
        <v>47635841</v>
      </c>
      <c r="D137">
        <v>36882722</v>
      </c>
      <c r="E137">
        <v>1</v>
      </c>
      <c r="F137">
        <v>1</v>
      </c>
      <c r="G137">
        <v>1</v>
      </c>
      <c r="H137">
        <v>2</v>
      </c>
      <c r="I137" t="s">
        <v>677</v>
      </c>
      <c r="J137" t="s">
        <v>678</v>
      </c>
      <c r="K137" t="s">
        <v>679</v>
      </c>
      <c r="L137">
        <v>1368</v>
      </c>
      <c r="N137">
        <v>1011</v>
      </c>
      <c r="O137" t="s">
        <v>505</v>
      </c>
      <c r="P137" t="s">
        <v>505</v>
      </c>
      <c r="Q137">
        <v>1</v>
      </c>
      <c r="X137">
        <v>1.48</v>
      </c>
      <c r="Y137">
        <v>0</v>
      </c>
      <c r="Z137">
        <v>75</v>
      </c>
      <c r="AA137">
        <v>11.6</v>
      </c>
      <c r="AB137">
        <v>0</v>
      </c>
      <c r="AC137">
        <v>0</v>
      </c>
      <c r="AD137">
        <v>1</v>
      </c>
      <c r="AE137">
        <v>0</v>
      </c>
      <c r="AF137" t="s">
        <v>280</v>
      </c>
      <c r="AG137">
        <v>2.1274999999999999</v>
      </c>
      <c r="AH137">
        <v>2</v>
      </c>
      <c r="AI137">
        <v>47635880</v>
      </c>
      <c r="AJ137">
        <v>125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ROW(Source!A108)</f>
        <v>108</v>
      </c>
      <c r="B138">
        <v>47635881</v>
      </c>
      <c r="C138">
        <v>47635841</v>
      </c>
      <c r="D138">
        <v>36883483</v>
      </c>
      <c r="E138">
        <v>1</v>
      </c>
      <c r="F138">
        <v>1</v>
      </c>
      <c r="G138">
        <v>1</v>
      </c>
      <c r="H138">
        <v>2</v>
      </c>
      <c r="I138" t="s">
        <v>672</v>
      </c>
      <c r="J138" t="s">
        <v>673</v>
      </c>
      <c r="K138" t="s">
        <v>674</v>
      </c>
      <c r="L138">
        <v>1368</v>
      </c>
      <c r="N138">
        <v>1011</v>
      </c>
      <c r="O138" t="s">
        <v>505</v>
      </c>
      <c r="P138" t="s">
        <v>505</v>
      </c>
      <c r="Q138">
        <v>1</v>
      </c>
      <c r="X138">
        <v>0.54</v>
      </c>
      <c r="Y138">
        <v>0</v>
      </c>
      <c r="Z138">
        <v>110</v>
      </c>
      <c r="AA138">
        <v>11.6</v>
      </c>
      <c r="AB138">
        <v>0</v>
      </c>
      <c r="AC138">
        <v>0</v>
      </c>
      <c r="AD138">
        <v>1</v>
      </c>
      <c r="AE138">
        <v>0</v>
      </c>
      <c r="AF138" t="s">
        <v>280</v>
      </c>
      <c r="AG138">
        <v>0.77625</v>
      </c>
      <c r="AH138">
        <v>2</v>
      </c>
      <c r="AI138">
        <v>47635881</v>
      </c>
      <c r="AJ138">
        <v>126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ROW(Source!A108)</f>
        <v>108</v>
      </c>
      <c r="B139">
        <v>47635882</v>
      </c>
      <c r="C139">
        <v>47635841</v>
      </c>
      <c r="D139">
        <v>36801792</v>
      </c>
      <c r="E139">
        <v>1</v>
      </c>
      <c r="F139">
        <v>1</v>
      </c>
      <c r="G139">
        <v>1</v>
      </c>
      <c r="H139">
        <v>3</v>
      </c>
      <c r="I139" t="s">
        <v>597</v>
      </c>
      <c r="J139" t="s">
        <v>598</v>
      </c>
      <c r="K139" t="s">
        <v>599</v>
      </c>
      <c r="L139">
        <v>1339</v>
      </c>
      <c r="N139">
        <v>1007</v>
      </c>
      <c r="O139" t="s">
        <v>96</v>
      </c>
      <c r="P139" t="s">
        <v>96</v>
      </c>
      <c r="Q139">
        <v>1</v>
      </c>
      <c r="X139">
        <v>2</v>
      </c>
      <c r="Y139">
        <v>2.44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2</v>
      </c>
      <c r="AH139">
        <v>2</v>
      </c>
      <c r="AI139">
        <v>47635882</v>
      </c>
      <c r="AJ139">
        <v>127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ROW(Source!A108)</f>
        <v>108</v>
      </c>
      <c r="B140">
        <v>47635883</v>
      </c>
      <c r="C140">
        <v>47635841</v>
      </c>
      <c r="D140">
        <v>36798335</v>
      </c>
      <c r="E140">
        <v>17</v>
      </c>
      <c r="F140">
        <v>1</v>
      </c>
      <c r="G140">
        <v>1</v>
      </c>
      <c r="H140">
        <v>3</v>
      </c>
      <c r="I140" t="s">
        <v>731</v>
      </c>
      <c r="J140" t="s">
        <v>3</v>
      </c>
      <c r="K140" t="s">
        <v>732</v>
      </c>
      <c r="L140">
        <v>1339</v>
      </c>
      <c r="N140">
        <v>1007</v>
      </c>
      <c r="O140" t="s">
        <v>96</v>
      </c>
      <c r="P140" t="s">
        <v>96</v>
      </c>
      <c r="Q140">
        <v>1</v>
      </c>
      <c r="X140">
        <v>17.399999999999999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 t="s">
        <v>3</v>
      </c>
      <c r="AG140">
        <v>17.399999999999999</v>
      </c>
      <c r="AH140">
        <v>3</v>
      </c>
      <c r="AI140">
        <v>-1</v>
      </c>
      <c r="AJ140" t="s">
        <v>3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ROW(Source!A110)</f>
        <v>110</v>
      </c>
      <c r="B141">
        <v>47635851</v>
      </c>
      <c r="C141">
        <v>47635850</v>
      </c>
      <c r="D141">
        <v>37066739</v>
      </c>
      <c r="E141">
        <v>1</v>
      </c>
      <c r="F141">
        <v>1</v>
      </c>
      <c r="G141">
        <v>1</v>
      </c>
      <c r="H141">
        <v>1</v>
      </c>
      <c r="I141" t="s">
        <v>675</v>
      </c>
      <c r="J141" t="s">
        <v>3</v>
      </c>
      <c r="K141" t="s">
        <v>676</v>
      </c>
      <c r="L141">
        <v>1191</v>
      </c>
      <c r="N141">
        <v>1013</v>
      </c>
      <c r="O141" t="s">
        <v>487</v>
      </c>
      <c r="P141" t="s">
        <v>487</v>
      </c>
      <c r="Q141">
        <v>1</v>
      </c>
      <c r="X141">
        <v>0.54</v>
      </c>
      <c r="Y141">
        <v>0</v>
      </c>
      <c r="Z141">
        <v>0</v>
      </c>
      <c r="AA141">
        <v>0</v>
      </c>
      <c r="AB141">
        <v>8.4600000000000009</v>
      </c>
      <c r="AC141">
        <v>0</v>
      </c>
      <c r="AD141">
        <v>1</v>
      </c>
      <c r="AE141">
        <v>1</v>
      </c>
      <c r="AF141" t="s">
        <v>53</v>
      </c>
      <c r="AG141">
        <v>0.71414999999999995</v>
      </c>
      <c r="AH141">
        <v>2</v>
      </c>
      <c r="AI141">
        <v>47635851</v>
      </c>
      <c r="AJ141">
        <v>129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ROW(Source!A110)</f>
        <v>110</v>
      </c>
      <c r="B142">
        <v>47635852</v>
      </c>
      <c r="C142">
        <v>47635850</v>
      </c>
      <c r="D142">
        <v>37064876</v>
      </c>
      <c r="E142">
        <v>1</v>
      </c>
      <c r="F142">
        <v>1</v>
      </c>
      <c r="G142">
        <v>1</v>
      </c>
      <c r="H142">
        <v>1</v>
      </c>
      <c r="I142" t="s">
        <v>500</v>
      </c>
      <c r="J142" t="s">
        <v>3</v>
      </c>
      <c r="K142" t="s">
        <v>501</v>
      </c>
      <c r="L142">
        <v>1191</v>
      </c>
      <c r="N142">
        <v>1013</v>
      </c>
      <c r="O142" t="s">
        <v>487</v>
      </c>
      <c r="P142" t="s">
        <v>487</v>
      </c>
      <c r="Q142">
        <v>1</v>
      </c>
      <c r="X142">
        <v>0.1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2</v>
      </c>
      <c r="AF142" t="s">
        <v>280</v>
      </c>
      <c r="AG142">
        <v>0.14374999999999999</v>
      </c>
      <c r="AH142">
        <v>2</v>
      </c>
      <c r="AI142">
        <v>47635852</v>
      </c>
      <c r="AJ142">
        <v>130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ROW(Source!A110)</f>
        <v>110</v>
      </c>
      <c r="B143">
        <v>47635853</v>
      </c>
      <c r="C143">
        <v>47635850</v>
      </c>
      <c r="D143">
        <v>36882383</v>
      </c>
      <c r="E143">
        <v>1</v>
      </c>
      <c r="F143">
        <v>1</v>
      </c>
      <c r="G143">
        <v>1</v>
      </c>
      <c r="H143">
        <v>2</v>
      </c>
      <c r="I143" t="s">
        <v>629</v>
      </c>
      <c r="J143" t="s">
        <v>630</v>
      </c>
      <c r="K143" t="s">
        <v>631</v>
      </c>
      <c r="L143">
        <v>1368</v>
      </c>
      <c r="N143">
        <v>1011</v>
      </c>
      <c r="O143" t="s">
        <v>505</v>
      </c>
      <c r="P143" t="s">
        <v>505</v>
      </c>
      <c r="Q143">
        <v>1</v>
      </c>
      <c r="X143">
        <v>0.1</v>
      </c>
      <c r="Y143">
        <v>0</v>
      </c>
      <c r="Z143">
        <v>89.99</v>
      </c>
      <c r="AA143">
        <v>10.06</v>
      </c>
      <c r="AB143">
        <v>0</v>
      </c>
      <c r="AC143">
        <v>0</v>
      </c>
      <c r="AD143">
        <v>1</v>
      </c>
      <c r="AE143">
        <v>0</v>
      </c>
      <c r="AF143" t="s">
        <v>280</v>
      </c>
      <c r="AG143">
        <v>0.14374999999999999</v>
      </c>
      <c r="AH143">
        <v>2</v>
      </c>
      <c r="AI143">
        <v>47635853</v>
      </c>
      <c r="AJ143">
        <v>131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ROW(Source!A110)</f>
        <v>110</v>
      </c>
      <c r="B144">
        <v>47635854</v>
      </c>
      <c r="C144">
        <v>47635850</v>
      </c>
      <c r="D144">
        <v>36798335</v>
      </c>
      <c r="E144">
        <v>17</v>
      </c>
      <c r="F144">
        <v>1</v>
      </c>
      <c r="G144">
        <v>1</v>
      </c>
      <c r="H144">
        <v>3</v>
      </c>
      <c r="I144" t="s">
        <v>731</v>
      </c>
      <c r="J144" t="s">
        <v>3</v>
      </c>
      <c r="K144" t="s">
        <v>732</v>
      </c>
      <c r="L144">
        <v>1339</v>
      </c>
      <c r="N144">
        <v>1007</v>
      </c>
      <c r="O144" t="s">
        <v>96</v>
      </c>
      <c r="P144" t="s">
        <v>96</v>
      </c>
      <c r="Q144">
        <v>1</v>
      </c>
      <c r="X144">
        <v>1.5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 t="s">
        <v>297</v>
      </c>
      <c r="AG144">
        <v>4.5</v>
      </c>
      <c r="AH144">
        <v>3</v>
      </c>
      <c r="AI144">
        <v>-1</v>
      </c>
      <c r="AJ144" t="s">
        <v>3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ROW(Source!A112)</f>
        <v>112</v>
      </c>
      <c r="B145">
        <v>47635858</v>
      </c>
      <c r="C145">
        <v>47635857</v>
      </c>
      <c r="D145">
        <v>37070164</v>
      </c>
      <c r="E145">
        <v>1</v>
      </c>
      <c r="F145">
        <v>1</v>
      </c>
      <c r="G145">
        <v>1</v>
      </c>
      <c r="H145">
        <v>1</v>
      </c>
      <c r="I145" t="s">
        <v>680</v>
      </c>
      <c r="J145" t="s">
        <v>3</v>
      </c>
      <c r="K145" t="s">
        <v>681</v>
      </c>
      <c r="L145">
        <v>1191</v>
      </c>
      <c r="N145">
        <v>1013</v>
      </c>
      <c r="O145" t="s">
        <v>487</v>
      </c>
      <c r="P145" t="s">
        <v>487</v>
      </c>
      <c r="Q145">
        <v>1</v>
      </c>
      <c r="X145">
        <v>15.12</v>
      </c>
      <c r="Y145">
        <v>0</v>
      </c>
      <c r="Z145">
        <v>0</v>
      </c>
      <c r="AA145">
        <v>0</v>
      </c>
      <c r="AB145">
        <v>9.2899999999999991</v>
      </c>
      <c r="AC145">
        <v>0</v>
      </c>
      <c r="AD145">
        <v>1</v>
      </c>
      <c r="AE145">
        <v>1</v>
      </c>
      <c r="AF145" t="s">
        <v>53</v>
      </c>
      <c r="AG145">
        <v>19.996199999999995</v>
      </c>
      <c r="AH145">
        <v>2</v>
      </c>
      <c r="AI145">
        <v>47635858</v>
      </c>
      <c r="AJ145">
        <v>133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ROW(Source!A112)</f>
        <v>112</v>
      </c>
      <c r="B146">
        <v>47635859</v>
      </c>
      <c r="C146">
        <v>47635857</v>
      </c>
      <c r="D146">
        <v>37064876</v>
      </c>
      <c r="E146">
        <v>1</v>
      </c>
      <c r="F146">
        <v>1</v>
      </c>
      <c r="G146">
        <v>1</v>
      </c>
      <c r="H146">
        <v>1</v>
      </c>
      <c r="I146" t="s">
        <v>500</v>
      </c>
      <c r="J146" t="s">
        <v>3</v>
      </c>
      <c r="K146" t="s">
        <v>501</v>
      </c>
      <c r="L146">
        <v>1191</v>
      </c>
      <c r="N146">
        <v>1013</v>
      </c>
      <c r="O146" t="s">
        <v>487</v>
      </c>
      <c r="P146" t="s">
        <v>487</v>
      </c>
      <c r="Q146">
        <v>1</v>
      </c>
      <c r="X146">
        <v>7.0000000000000007E-2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2</v>
      </c>
      <c r="AF146" t="s">
        <v>280</v>
      </c>
      <c r="AG146">
        <v>0.10062500000000001</v>
      </c>
      <c r="AH146">
        <v>2</v>
      </c>
      <c r="AI146">
        <v>47635859</v>
      </c>
      <c r="AJ146">
        <v>134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ROW(Source!A112)</f>
        <v>112</v>
      </c>
      <c r="B147">
        <v>47635860</v>
      </c>
      <c r="C147">
        <v>47635857</v>
      </c>
      <c r="D147">
        <v>36882159</v>
      </c>
      <c r="E147">
        <v>1</v>
      </c>
      <c r="F147">
        <v>1</v>
      </c>
      <c r="G147">
        <v>1</v>
      </c>
      <c r="H147">
        <v>2</v>
      </c>
      <c r="I147" t="s">
        <v>518</v>
      </c>
      <c r="J147" t="s">
        <v>519</v>
      </c>
      <c r="K147" t="s">
        <v>520</v>
      </c>
      <c r="L147">
        <v>1368</v>
      </c>
      <c r="N147">
        <v>1011</v>
      </c>
      <c r="O147" t="s">
        <v>505</v>
      </c>
      <c r="P147" t="s">
        <v>505</v>
      </c>
      <c r="Q147">
        <v>1</v>
      </c>
      <c r="X147">
        <v>0.02</v>
      </c>
      <c r="Y147">
        <v>0</v>
      </c>
      <c r="Z147">
        <v>111.99</v>
      </c>
      <c r="AA147">
        <v>13.5</v>
      </c>
      <c r="AB147">
        <v>0</v>
      </c>
      <c r="AC147">
        <v>0</v>
      </c>
      <c r="AD147">
        <v>1</v>
      </c>
      <c r="AE147">
        <v>0</v>
      </c>
      <c r="AF147" t="s">
        <v>280</v>
      </c>
      <c r="AG147">
        <v>2.8749999999999998E-2</v>
      </c>
      <c r="AH147">
        <v>2</v>
      </c>
      <c r="AI147">
        <v>47635860</v>
      </c>
      <c r="AJ147">
        <v>135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ROW(Source!A112)</f>
        <v>112</v>
      </c>
      <c r="B148">
        <v>47635861</v>
      </c>
      <c r="C148">
        <v>47635857</v>
      </c>
      <c r="D148">
        <v>36882383</v>
      </c>
      <c r="E148">
        <v>1</v>
      </c>
      <c r="F148">
        <v>1</v>
      </c>
      <c r="G148">
        <v>1</v>
      </c>
      <c r="H148">
        <v>2</v>
      </c>
      <c r="I148" t="s">
        <v>629</v>
      </c>
      <c r="J148" t="s">
        <v>630</v>
      </c>
      <c r="K148" t="s">
        <v>631</v>
      </c>
      <c r="L148">
        <v>1368</v>
      </c>
      <c r="N148">
        <v>1011</v>
      </c>
      <c r="O148" t="s">
        <v>505</v>
      </c>
      <c r="P148" t="s">
        <v>505</v>
      </c>
      <c r="Q148">
        <v>1</v>
      </c>
      <c r="X148">
        <v>0.03</v>
      </c>
      <c r="Y148">
        <v>0</v>
      </c>
      <c r="Z148">
        <v>89.99</v>
      </c>
      <c r="AA148">
        <v>10.06</v>
      </c>
      <c r="AB148">
        <v>0</v>
      </c>
      <c r="AC148">
        <v>0</v>
      </c>
      <c r="AD148">
        <v>1</v>
      </c>
      <c r="AE148">
        <v>0</v>
      </c>
      <c r="AF148" t="s">
        <v>280</v>
      </c>
      <c r="AG148">
        <v>4.3124999999999997E-2</v>
      </c>
      <c r="AH148">
        <v>2</v>
      </c>
      <c r="AI148">
        <v>47635861</v>
      </c>
      <c r="AJ148">
        <v>136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ROW(Source!A112)</f>
        <v>112</v>
      </c>
      <c r="B149">
        <v>47635862</v>
      </c>
      <c r="C149">
        <v>47635857</v>
      </c>
      <c r="D149">
        <v>36882881</v>
      </c>
      <c r="E149">
        <v>1</v>
      </c>
      <c r="F149">
        <v>1</v>
      </c>
      <c r="G149">
        <v>1</v>
      </c>
      <c r="H149">
        <v>2</v>
      </c>
      <c r="I149" t="s">
        <v>682</v>
      </c>
      <c r="J149" t="s">
        <v>683</v>
      </c>
      <c r="K149" t="s">
        <v>684</v>
      </c>
      <c r="L149">
        <v>1368</v>
      </c>
      <c r="N149">
        <v>1011</v>
      </c>
      <c r="O149" t="s">
        <v>505</v>
      </c>
      <c r="P149" t="s">
        <v>505</v>
      </c>
      <c r="Q149">
        <v>1</v>
      </c>
      <c r="X149">
        <v>0.85</v>
      </c>
      <c r="Y149">
        <v>0</v>
      </c>
      <c r="Z149">
        <v>60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280</v>
      </c>
      <c r="AG149">
        <v>1.2218749999999998</v>
      </c>
      <c r="AH149">
        <v>2</v>
      </c>
      <c r="AI149">
        <v>47635862</v>
      </c>
      <c r="AJ149">
        <v>137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ROW(Source!A112)</f>
        <v>112</v>
      </c>
      <c r="B150">
        <v>47635863</v>
      </c>
      <c r="C150">
        <v>47635857</v>
      </c>
      <c r="D150">
        <v>36883554</v>
      </c>
      <c r="E150">
        <v>1</v>
      </c>
      <c r="F150">
        <v>1</v>
      </c>
      <c r="G150">
        <v>1</v>
      </c>
      <c r="H150">
        <v>2</v>
      </c>
      <c r="I150" t="s">
        <v>509</v>
      </c>
      <c r="J150" t="s">
        <v>510</v>
      </c>
      <c r="K150" t="s">
        <v>511</v>
      </c>
      <c r="L150">
        <v>1368</v>
      </c>
      <c r="N150">
        <v>1011</v>
      </c>
      <c r="O150" t="s">
        <v>505</v>
      </c>
      <c r="P150" t="s">
        <v>505</v>
      </c>
      <c r="Q150">
        <v>1</v>
      </c>
      <c r="X150">
        <v>0.02</v>
      </c>
      <c r="Y150">
        <v>0</v>
      </c>
      <c r="Z150">
        <v>65.709999999999994</v>
      </c>
      <c r="AA150">
        <v>11.6</v>
      </c>
      <c r="AB150">
        <v>0</v>
      </c>
      <c r="AC150">
        <v>0</v>
      </c>
      <c r="AD150">
        <v>1</v>
      </c>
      <c r="AE150">
        <v>0</v>
      </c>
      <c r="AF150" t="s">
        <v>280</v>
      </c>
      <c r="AG150">
        <v>2.8749999999999998E-2</v>
      </c>
      <c r="AH150">
        <v>2</v>
      </c>
      <c r="AI150">
        <v>47635863</v>
      </c>
      <c r="AJ150">
        <v>138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ROW(Source!A112)</f>
        <v>112</v>
      </c>
      <c r="B151">
        <v>47635864</v>
      </c>
      <c r="C151">
        <v>47635857</v>
      </c>
      <c r="D151">
        <v>36799835</v>
      </c>
      <c r="E151">
        <v>1</v>
      </c>
      <c r="F151">
        <v>1</v>
      </c>
      <c r="G151">
        <v>1</v>
      </c>
      <c r="H151">
        <v>3</v>
      </c>
      <c r="I151" t="s">
        <v>685</v>
      </c>
      <c r="J151" t="s">
        <v>686</v>
      </c>
      <c r="K151" t="s">
        <v>687</v>
      </c>
      <c r="L151">
        <v>1348</v>
      </c>
      <c r="N151">
        <v>1009</v>
      </c>
      <c r="O151" t="s">
        <v>32</v>
      </c>
      <c r="P151" t="s">
        <v>32</v>
      </c>
      <c r="Q151">
        <v>1000</v>
      </c>
      <c r="X151">
        <v>0.06</v>
      </c>
      <c r="Y151">
        <v>1690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0.06</v>
      </c>
      <c r="AH151">
        <v>2</v>
      </c>
      <c r="AI151">
        <v>47635864</v>
      </c>
      <c r="AJ151">
        <v>139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ROW(Source!A112)</f>
        <v>112</v>
      </c>
      <c r="B152">
        <v>47635865</v>
      </c>
      <c r="C152">
        <v>47635857</v>
      </c>
      <c r="D152">
        <v>36796087</v>
      </c>
      <c r="E152">
        <v>17</v>
      </c>
      <c r="F152">
        <v>1</v>
      </c>
      <c r="G152">
        <v>1</v>
      </c>
      <c r="H152">
        <v>3</v>
      </c>
      <c r="I152" t="s">
        <v>718</v>
      </c>
      <c r="J152" t="s">
        <v>3</v>
      </c>
      <c r="K152" t="s">
        <v>719</v>
      </c>
      <c r="L152">
        <v>1339</v>
      </c>
      <c r="N152">
        <v>1007</v>
      </c>
      <c r="O152" t="s">
        <v>96</v>
      </c>
      <c r="P152" t="s">
        <v>96</v>
      </c>
      <c r="Q152">
        <v>1</v>
      </c>
      <c r="X152">
        <v>0.5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3</v>
      </c>
      <c r="AG152">
        <v>0.5</v>
      </c>
      <c r="AH152">
        <v>3</v>
      </c>
      <c r="AI152">
        <v>-1</v>
      </c>
      <c r="AJ152" t="s">
        <v>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ROW(Source!A112)</f>
        <v>112</v>
      </c>
      <c r="B153">
        <v>47635866</v>
      </c>
      <c r="C153">
        <v>47635857</v>
      </c>
      <c r="D153">
        <v>36797302</v>
      </c>
      <c r="E153">
        <v>17</v>
      </c>
      <c r="F153">
        <v>1</v>
      </c>
      <c r="G153">
        <v>1</v>
      </c>
      <c r="H153">
        <v>3</v>
      </c>
      <c r="I153" t="s">
        <v>733</v>
      </c>
      <c r="J153" t="s">
        <v>3</v>
      </c>
      <c r="K153" t="s">
        <v>734</v>
      </c>
      <c r="L153">
        <v>1348</v>
      </c>
      <c r="N153">
        <v>1009</v>
      </c>
      <c r="O153" t="s">
        <v>32</v>
      </c>
      <c r="P153" t="s">
        <v>32</v>
      </c>
      <c r="Q153">
        <v>1000</v>
      </c>
      <c r="X153">
        <v>7.14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 t="s">
        <v>3</v>
      </c>
      <c r="AG153">
        <v>7.14</v>
      </c>
      <c r="AH153">
        <v>3</v>
      </c>
      <c r="AI153">
        <v>-1</v>
      </c>
      <c r="AJ153" t="s">
        <v>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ROW(Source!A115)</f>
        <v>115</v>
      </c>
      <c r="B154">
        <v>47635870</v>
      </c>
      <c r="C154">
        <v>47635869</v>
      </c>
      <c r="D154">
        <v>37070164</v>
      </c>
      <c r="E154">
        <v>1</v>
      </c>
      <c r="F154">
        <v>1</v>
      </c>
      <c r="G154">
        <v>1</v>
      </c>
      <c r="H154">
        <v>1</v>
      </c>
      <c r="I154" t="s">
        <v>680</v>
      </c>
      <c r="J154" t="s">
        <v>3</v>
      </c>
      <c r="K154" t="s">
        <v>681</v>
      </c>
      <c r="L154">
        <v>1191</v>
      </c>
      <c r="N154">
        <v>1013</v>
      </c>
      <c r="O154" t="s">
        <v>487</v>
      </c>
      <c r="P154" t="s">
        <v>487</v>
      </c>
      <c r="Q154">
        <v>1</v>
      </c>
      <c r="X154">
        <v>2.3199999999999998</v>
      </c>
      <c r="Y154">
        <v>0</v>
      </c>
      <c r="Z154">
        <v>0</v>
      </c>
      <c r="AA154">
        <v>0</v>
      </c>
      <c r="AB154">
        <v>9.2899999999999991</v>
      </c>
      <c r="AC154">
        <v>0</v>
      </c>
      <c r="AD154">
        <v>1</v>
      </c>
      <c r="AE154">
        <v>1</v>
      </c>
      <c r="AF154" t="s">
        <v>53</v>
      </c>
      <c r="AG154">
        <v>3.0681999999999996</v>
      </c>
      <c r="AH154">
        <v>2</v>
      </c>
      <c r="AI154">
        <v>47635870</v>
      </c>
      <c r="AJ154">
        <v>142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ROW(Source!A115)</f>
        <v>115</v>
      </c>
      <c r="B155">
        <v>47635871</v>
      </c>
      <c r="C155">
        <v>47635869</v>
      </c>
      <c r="D155">
        <v>36882881</v>
      </c>
      <c r="E155">
        <v>1</v>
      </c>
      <c r="F155">
        <v>1</v>
      </c>
      <c r="G155">
        <v>1</v>
      </c>
      <c r="H155">
        <v>2</v>
      </c>
      <c r="I155" t="s">
        <v>682</v>
      </c>
      <c r="J155" t="s">
        <v>683</v>
      </c>
      <c r="K155" t="s">
        <v>684</v>
      </c>
      <c r="L155">
        <v>1368</v>
      </c>
      <c r="N155">
        <v>1011</v>
      </c>
      <c r="O155" t="s">
        <v>505</v>
      </c>
      <c r="P155" t="s">
        <v>505</v>
      </c>
      <c r="Q155">
        <v>1</v>
      </c>
      <c r="X155">
        <v>0.14000000000000001</v>
      </c>
      <c r="Y155">
        <v>0</v>
      </c>
      <c r="Z155">
        <v>60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280</v>
      </c>
      <c r="AG155">
        <v>0.20125000000000001</v>
      </c>
      <c r="AH155">
        <v>2</v>
      </c>
      <c r="AI155">
        <v>47635871</v>
      </c>
      <c r="AJ155">
        <v>143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ROW(Source!A115)</f>
        <v>115</v>
      </c>
      <c r="B156">
        <v>47635872</v>
      </c>
      <c r="C156">
        <v>47635869</v>
      </c>
      <c r="D156">
        <v>36797302</v>
      </c>
      <c r="E156">
        <v>17</v>
      </c>
      <c r="F156">
        <v>1</v>
      </c>
      <c r="G156">
        <v>1</v>
      </c>
      <c r="H156">
        <v>3</v>
      </c>
      <c r="I156" t="s">
        <v>733</v>
      </c>
      <c r="J156" t="s">
        <v>3</v>
      </c>
      <c r="K156" t="s">
        <v>734</v>
      </c>
      <c r="L156">
        <v>1348</v>
      </c>
      <c r="N156">
        <v>1009</v>
      </c>
      <c r="O156" t="s">
        <v>32</v>
      </c>
      <c r="P156" t="s">
        <v>32</v>
      </c>
      <c r="Q156">
        <v>1000</v>
      </c>
      <c r="X156">
        <v>1.21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 t="s">
        <v>3</v>
      </c>
      <c r="AG156">
        <v>1.21</v>
      </c>
      <c r="AH156">
        <v>3</v>
      </c>
      <c r="AI156">
        <v>-1</v>
      </c>
      <c r="AJ156" t="s">
        <v>3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ROW(Source!A151)</f>
        <v>151</v>
      </c>
      <c r="B157">
        <v>47635966</v>
      </c>
      <c r="C157">
        <v>47635961</v>
      </c>
      <c r="D157">
        <v>37066837</v>
      </c>
      <c r="E157">
        <v>1</v>
      </c>
      <c r="F157">
        <v>1</v>
      </c>
      <c r="G157">
        <v>1</v>
      </c>
      <c r="H157">
        <v>1</v>
      </c>
      <c r="I157" t="s">
        <v>654</v>
      </c>
      <c r="J157" t="s">
        <v>3</v>
      </c>
      <c r="K157" t="s">
        <v>655</v>
      </c>
      <c r="L157">
        <v>1191</v>
      </c>
      <c r="N157">
        <v>1013</v>
      </c>
      <c r="O157" t="s">
        <v>487</v>
      </c>
      <c r="P157" t="s">
        <v>487</v>
      </c>
      <c r="Q157">
        <v>1</v>
      </c>
      <c r="X157">
        <v>57.76</v>
      </c>
      <c r="Y157">
        <v>0</v>
      </c>
      <c r="Z157">
        <v>0</v>
      </c>
      <c r="AA157">
        <v>0</v>
      </c>
      <c r="AB157">
        <v>8.31</v>
      </c>
      <c r="AC157">
        <v>0</v>
      </c>
      <c r="AD157">
        <v>1</v>
      </c>
      <c r="AE157">
        <v>1</v>
      </c>
      <c r="AF157" t="s">
        <v>24</v>
      </c>
      <c r="AG157">
        <v>66.423999999999992</v>
      </c>
      <c r="AH157">
        <v>2</v>
      </c>
      <c r="AI157">
        <v>47635962</v>
      </c>
      <c r="AJ157">
        <v>145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ROW(Source!A151)</f>
        <v>151</v>
      </c>
      <c r="B158">
        <v>47635967</v>
      </c>
      <c r="C158">
        <v>47635961</v>
      </c>
      <c r="D158">
        <v>37064876</v>
      </c>
      <c r="E158">
        <v>1</v>
      </c>
      <c r="F158">
        <v>1</v>
      </c>
      <c r="G158">
        <v>1</v>
      </c>
      <c r="H158">
        <v>1</v>
      </c>
      <c r="I158" t="s">
        <v>500</v>
      </c>
      <c r="J158" t="s">
        <v>3</v>
      </c>
      <c r="K158" t="s">
        <v>501</v>
      </c>
      <c r="L158">
        <v>1191</v>
      </c>
      <c r="N158">
        <v>1013</v>
      </c>
      <c r="O158" t="s">
        <v>487</v>
      </c>
      <c r="P158" t="s">
        <v>487</v>
      </c>
      <c r="Q158">
        <v>1</v>
      </c>
      <c r="X158">
        <v>15.7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2</v>
      </c>
      <c r="AF158" t="s">
        <v>24</v>
      </c>
      <c r="AG158">
        <v>18.054999999999996</v>
      </c>
      <c r="AH158">
        <v>2</v>
      </c>
      <c r="AI158">
        <v>47635963</v>
      </c>
      <c r="AJ158">
        <v>146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ROW(Source!A151)</f>
        <v>151</v>
      </c>
      <c r="B159">
        <v>47635968</v>
      </c>
      <c r="C159">
        <v>47635961</v>
      </c>
      <c r="D159">
        <v>36883878</v>
      </c>
      <c r="E159">
        <v>1</v>
      </c>
      <c r="F159">
        <v>1</v>
      </c>
      <c r="G159">
        <v>1</v>
      </c>
      <c r="H159">
        <v>2</v>
      </c>
      <c r="I159" t="s">
        <v>594</v>
      </c>
      <c r="J159" t="s">
        <v>595</v>
      </c>
      <c r="K159" t="s">
        <v>596</v>
      </c>
      <c r="L159">
        <v>1368</v>
      </c>
      <c r="N159">
        <v>1011</v>
      </c>
      <c r="O159" t="s">
        <v>505</v>
      </c>
      <c r="P159" t="s">
        <v>505</v>
      </c>
      <c r="Q159">
        <v>1</v>
      </c>
      <c r="X159">
        <v>15.7</v>
      </c>
      <c r="Y159">
        <v>0</v>
      </c>
      <c r="Z159">
        <v>90</v>
      </c>
      <c r="AA159">
        <v>10.06</v>
      </c>
      <c r="AB159">
        <v>0</v>
      </c>
      <c r="AC159">
        <v>0</v>
      </c>
      <c r="AD159">
        <v>1</v>
      </c>
      <c r="AE159">
        <v>0</v>
      </c>
      <c r="AF159" t="s">
        <v>24</v>
      </c>
      <c r="AG159">
        <v>18.054999999999996</v>
      </c>
      <c r="AH159">
        <v>2</v>
      </c>
      <c r="AI159">
        <v>47635964</v>
      </c>
      <c r="AJ159">
        <v>147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ROW(Source!A151)</f>
        <v>151</v>
      </c>
      <c r="B160">
        <v>47635969</v>
      </c>
      <c r="C160">
        <v>47635961</v>
      </c>
      <c r="D160">
        <v>36884481</v>
      </c>
      <c r="E160">
        <v>1</v>
      </c>
      <c r="F160">
        <v>1</v>
      </c>
      <c r="G160">
        <v>1</v>
      </c>
      <c r="H160">
        <v>2</v>
      </c>
      <c r="I160" t="s">
        <v>656</v>
      </c>
      <c r="J160" t="s">
        <v>657</v>
      </c>
      <c r="K160" t="s">
        <v>658</v>
      </c>
      <c r="L160">
        <v>1368</v>
      </c>
      <c r="N160">
        <v>1011</v>
      </c>
      <c r="O160" t="s">
        <v>505</v>
      </c>
      <c r="P160" t="s">
        <v>505</v>
      </c>
      <c r="Q160">
        <v>1</v>
      </c>
      <c r="X160">
        <v>47.1</v>
      </c>
      <c r="Y160">
        <v>0</v>
      </c>
      <c r="Z160">
        <v>1.53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24</v>
      </c>
      <c r="AG160">
        <v>54.164999999999999</v>
      </c>
      <c r="AH160">
        <v>2</v>
      </c>
      <c r="AI160">
        <v>47635965</v>
      </c>
      <c r="AJ160">
        <v>148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ROW(Source!A152)</f>
        <v>152</v>
      </c>
      <c r="B161">
        <v>47636059</v>
      </c>
      <c r="C161">
        <v>47636054</v>
      </c>
      <c r="D161">
        <v>37066837</v>
      </c>
      <c r="E161">
        <v>1</v>
      </c>
      <c r="F161">
        <v>1</v>
      </c>
      <c r="G161">
        <v>1</v>
      </c>
      <c r="H161">
        <v>1</v>
      </c>
      <c r="I161" t="s">
        <v>654</v>
      </c>
      <c r="J161" t="s">
        <v>3</v>
      </c>
      <c r="K161" t="s">
        <v>655</v>
      </c>
      <c r="L161">
        <v>1191</v>
      </c>
      <c r="N161">
        <v>1013</v>
      </c>
      <c r="O161" t="s">
        <v>487</v>
      </c>
      <c r="P161" t="s">
        <v>487</v>
      </c>
      <c r="Q161">
        <v>1</v>
      </c>
      <c r="X161">
        <v>57.76</v>
      </c>
      <c r="Y161">
        <v>0</v>
      </c>
      <c r="Z161">
        <v>0</v>
      </c>
      <c r="AA161">
        <v>0</v>
      </c>
      <c r="AB161">
        <v>8.31</v>
      </c>
      <c r="AC161">
        <v>0</v>
      </c>
      <c r="AD161">
        <v>1</v>
      </c>
      <c r="AE161">
        <v>1</v>
      </c>
      <c r="AF161" t="s">
        <v>24</v>
      </c>
      <c r="AG161">
        <v>66.423999999999992</v>
      </c>
      <c r="AH161">
        <v>2</v>
      </c>
      <c r="AI161">
        <v>47636055</v>
      </c>
      <c r="AJ161">
        <v>149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ROW(Source!A152)</f>
        <v>152</v>
      </c>
      <c r="B162">
        <v>47636060</v>
      </c>
      <c r="C162">
        <v>47636054</v>
      </c>
      <c r="D162">
        <v>37064876</v>
      </c>
      <c r="E162">
        <v>1</v>
      </c>
      <c r="F162">
        <v>1</v>
      </c>
      <c r="G162">
        <v>1</v>
      </c>
      <c r="H162">
        <v>1</v>
      </c>
      <c r="I162" t="s">
        <v>500</v>
      </c>
      <c r="J162" t="s">
        <v>3</v>
      </c>
      <c r="K162" t="s">
        <v>501</v>
      </c>
      <c r="L162">
        <v>1191</v>
      </c>
      <c r="N162">
        <v>1013</v>
      </c>
      <c r="O162" t="s">
        <v>487</v>
      </c>
      <c r="P162" t="s">
        <v>487</v>
      </c>
      <c r="Q162">
        <v>1</v>
      </c>
      <c r="X162">
        <v>15.7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2</v>
      </c>
      <c r="AF162" t="s">
        <v>24</v>
      </c>
      <c r="AG162">
        <v>18.054999999999996</v>
      </c>
      <c r="AH162">
        <v>2</v>
      </c>
      <c r="AI162">
        <v>47636056</v>
      </c>
      <c r="AJ162">
        <v>150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ROW(Source!A152)</f>
        <v>152</v>
      </c>
      <c r="B163">
        <v>47636061</v>
      </c>
      <c r="C163">
        <v>47636054</v>
      </c>
      <c r="D163">
        <v>36883878</v>
      </c>
      <c r="E163">
        <v>1</v>
      </c>
      <c r="F163">
        <v>1</v>
      </c>
      <c r="G163">
        <v>1</v>
      </c>
      <c r="H163">
        <v>2</v>
      </c>
      <c r="I163" t="s">
        <v>594</v>
      </c>
      <c r="J163" t="s">
        <v>595</v>
      </c>
      <c r="K163" t="s">
        <v>596</v>
      </c>
      <c r="L163">
        <v>1368</v>
      </c>
      <c r="N163">
        <v>1011</v>
      </c>
      <c r="O163" t="s">
        <v>505</v>
      </c>
      <c r="P163" t="s">
        <v>505</v>
      </c>
      <c r="Q163">
        <v>1</v>
      </c>
      <c r="X163">
        <v>15.7</v>
      </c>
      <c r="Y163">
        <v>0</v>
      </c>
      <c r="Z163">
        <v>90</v>
      </c>
      <c r="AA163">
        <v>10.06</v>
      </c>
      <c r="AB163">
        <v>0</v>
      </c>
      <c r="AC163">
        <v>0</v>
      </c>
      <c r="AD163">
        <v>1</v>
      </c>
      <c r="AE163">
        <v>0</v>
      </c>
      <c r="AF163" t="s">
        <v>24</v>
      </c>
      <c r="AG163">
        <v>18.054999999999996</v>
      </c>
      <c r="AH163">
        <v>2</v>
      </c>
      <c r="AI163">
        <v>47636057</v>
      </c>
      <c r="AJ163">
        <v>151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ROW(Source!A152)</f>
        <v>152</v>
      </c>
      <c r="B164">
        <v>47636062</v>
      </c>
      <c r="C164">
        <v>47636054</v>
      </c>
      <c r="D164">
        <v>36884481</v>
      </c>
      <c r="E164">
        <v>1</v>
      </c>
      <c r="F164">
        <v>1</v>
      </c>
      <c r="G164">
        <v>1</v>
      </c>
      <c r="H164">
        <v>2</v>
      </c>
      <c r="I164" t="s">
        <v>656</v>
      </c>
      <c r="J164" t="s">
        <v>657</v>
      </c>
      <c r="K164" t="s">
        <v>658</v>
      </c>
      <c r="L164">
        <v>1368</v>
      </c>
      <c r="N164">
        <v>1011</v>
      </c>
      <c r="O164" t="s">
        <v>505</v>
      </c>
      <c r="P164" t="s">
        <v>505</v>
      </c>
      <c r="Q164">
        <v>1</v>
      </c>
      <c r="X164">
        <v>47.1</v>
      </c>
      <c r="Y164">
        <v>0</v>
      </c>
      <c r="Z164">
        <v>1.53</v>
      </c>
      <c r="AA164">
        <v>0</v>
      </c>
      <c r="AB164">
        <v>0</v>
      </c>
      <c r="AC164">
        <v>0</v>
      </c>
      <c r="AD164">
        <v>1</v>
      </c>
      <c r="AE164">
        <v>0</v>
      </c>
      <c r="AF164" t="s">
        <v>24</v>
      </c>
      <c r="AG164">
        <v>54.164999999999999</v>
      </c>
      <c r="AH164">
        <v>2</v>
      </c>
      <c r="AI164">
        <v>47636058</v>
      </c>
      <c r="AJ164">
        <v>152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ROW(Source!A153)</f>
        <v>153</v>
      </c>
      <c r="B165">
        <v>47635975</v>
      </c>
      <c r="C165">
        <v>47635970</v>
      </c>
      <c r="D165">
        <v>37065946</v>
      </c>
      <c r="E165">
        <v>1</v>
      </c>
      <c r="F165">
        <v>1</v>
      </c>
      <c r="G165">
        <v>1</v>
      </c>
      <c r="H165">
        <v>1</v>
      </c>
      <c r="I165" t="s">
        <v>659</v>
      </c>
      <c r="J165" t="s">
        <v>3</v>
      </c>
      <c r="K165" t="s">
        <v>660</v>
      </c>
      <c r="L165">
        <v>1191</v>
      </c>
      <c r="N165">
        <v>1013</v>
      </c>
      <c r="O165" t="s">
        <v>487</v>
      </c>
      <c r="P165" t="s">
        <v>487</v>
      </c>
      <c r="Q165">
        <v>1</v>
      </c>
      <c r="X165">
        <v>18.37</v>
      </c>
      <c r="Y165">
        <v>0</v>
      </c>
      <c r="Z165">
        <v>0</v>
      </c>
      <c r="AA165">
        <v>0</v>
      </c>
      <c r="AB165">
        <v>7.87</v>
      </c>
      <c r="AC165">
        <v>0</v>
      </c>
      <c r="AD165">
        <v>1</v>
      </c>
      <c r="AE165">
        <v>1</v>
      </c>
      <c r="AF165" t="s">
        <v>24</v>
      </c>
      <c r="AG165">
        <v>21.125499999999999</v>
      </c>
      <c r="AH165">
        <v>2</v>
      </c>
      <c r="AI165">
        <v>47635971</v>
      </c>
      <c r="AJ165">
        <v>153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ROW(Source!A153)</f>
        <v>153</v>
      </c>
      <c r="B166">
        <v>47635976</v>
      </c>
      <c r="C166">
        <v>47635970</v>
      </c>
      <c r="D166">
        <v>37064876</v>
      </c>
      <c r="E166">
        <v>1</v>
      </c>
      <c r="F166">
        <v>1</v>
      </c>
      <c r="G166">
        <v>1</v>
      </c>
      <c r="H166">
        <v>1</v>
      </c>
      <c r="I166" t="s">
        <v>500</v>
      </c>
      <c r="J166" t="s">
        <v>3</v>
      </c>
      <c r="K166" t="s">
        <v>501</v>
      </c>
      <c r="L166">
        <v>1191</v>
      </c>
      <c r="N166">
        <v>1013</v>
      </c>
      <c r="O166" t="s">
        <v>487</v>
      </c>
      <c r="P166" t="s">
        <v>487</v>
      </c>
      <c r="Q166">
        <v>1</v>
      </c>
      <c r="X166">
        <v>4.6500000000000004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2</v>
      </c>
      <c r="AF166" t="s">
        <v>24</v>
      </c>
      <c r="AG166">
        <v>5.3475000000000001</v>
      </c>
      <c r="AH166">
        <v>2</v>
      </c>
      <c r="AI166">
        <v>47635972</v>
      </c>
      <c r="AJ166">
        <v>154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ROW(Source!A153)</f>
        <v>153</v>
      </c>
      <c r="B167">
        <v>47635977</v>
      </c>
      <c r="C167">
        <v>47635970</v>
      </c>
      <c r="D167">
        <v>36881380</v>
      </c>
      <c r="E167">
        <v>1</v>
      </c>
      <c r="F167">
        <v>1</v>
      </c>
      <c r="G167">
        <v>1</v>
      </c>
      <c r="H167">
        <v>2</v>
      </c>
      <c r="I167" t="s">
        <v>661</v>
      </c>
      <c r="J167" t="s">
        <v>662</v>
      </c>
      <c r="K167" t="s">
        <v>663</v>
      </c>
      <c r="L167">
        <v>1368</v>
      </c>
      <c r="N167">
        <v>1011</v>
      </c>
      <c r="O167" t="s">
        <v>505</v>
      </c>
      <c r="P167" t="s">
        <v>505</v>
      </c>
      <c r="Q167">
        <v>1</v>
      </c>
      <c r="X167">
        <v>2.67</v>
      </c>
      <c r="Y167">
        <v>0</v>
      </c>
      <c r="Z167">
        <v>123</v>
      </c>
      <c r="AA167">
        <v>13.5</v>
      </c>
      <c r="AB167">
        <v>0</v>
      </c>
      <c r="AC167">
        <v>0</v>
      </c>
      <c r="AD167">
        <v>1</v>
      </c>
      <c r="AE167">
        <v>0</v>
      </c>
      <c r="AF167" t="s">
        <v>24</v>
      </c>
      <c r="AG167">
        <v>3.0704999999999996</v>
      </c>
      <c r="AH167">
        <v>2</v>
      </c>
      <c r="AI167">
        <v>47635973</v>
      </c>
      <c r="AJ167">
        <v>155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ROW(Source!A153)</f>
        <v>153</v>
      </c>
      <c r="B168">
        <v>47635978</v>
      </c>
      <c r="C168">
        <v>47635970</v>
      </c>
      <c r="D168">
        <v>36883489</v>
      </c>
      <c r="E168">
        <v>1</v>
      </c>
      <c r="F168">
        <v>1</v>
      </c>
      <c r="G168">
        <v>1</v>
      </c>
      <c r="H168">
        <v>2</v>
      </c>
      <c r="I168" t="s">
        <v>664</v>
      </c>
      <c r="J168" t="s">
        <v>665</v>
      </c>
      <c r="K168" t="s">
        <v>666</v>
      </c>
      <c r="L168">
        <v>1368</v>
      </c>
      <c r="N168">
        <v>1011</v>
      </c>
      <c r="O168" t="s">
        <v>505</v>
      </c>
      <c r="P168" t="s">
        <v>505</v>
      </c>
      <c r="Q168">
        <v>1</v>
      </c>
      <c r="X168">
        <v>1.98</v>
      </c>
      <c r="Y168">
        <v>0</v>
      </c>
      <c r="Z168">
        <v>62.3</v>
      </c>
      <c r="AA168">
        <v>11.6</v>
      </c>
      <c r="AB168">
        <v>0</v>
      </c>
      <c r="AC168">
        <v>0</v>
      </c>
      <c r="AD168">
        <v>1</v>
      </c>
      <c r="AE168">
        <v>0</v>
      </c>
      <c r="AF168" t="s">
        <v>24</v>
      </c>
      <c r="AG168">
        <v>2.2769999999999997</v>
      </c>
      <c r="AH168">
        <v>2</v>
      </c>
      <c r="AI168">
        <v>47635974</v>
      </c>
      <c r="AJ168">
        <v>156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ROW(Source!A156)</f>
        <v>156</v>
      </c>
      <c r="B169">
        <v>47635990</v>
      </c>
      <c r="C169">
        <v>47635981</v>
      </c>
      <c r="D169">
        <v>37066491</v>
      </c>
      <c r="E169">
        <v>1</v>
      </c>
      <c r="F169">
        <v>1</v>
      </c>
      <c r="G169">
        <v>1</v>
      </c>
      <c r="H169">
        <v>1</v>
      </c>
      <c r="I169" t="s">
        <v>667</v>
      </c>
      <c r="J169" t="s">
        <v>3</v>
      </c>
      <c r="K169" t="s">
        <v>668</v>
      </c>
      <c r="L169">
        <v>1191</v>
      </c>
      <c r="N169">
        <v>1013</v>
      </c>
      <c r="O169" t="s">
        <v>487</v>
      </c>
      <c r="P169" t="s">
        <v>487</v>
      </c>
      <c r="Q169">
        <v>1</v>
      </c>
      <c r="X169">
        <v>15.72</v>
      </c>
      <c r="Y169">
        <v>0</v>
      </c>
      <c r="Z169">
        <v>0</v>
      </c>
      <c r="AA169">
        <v>0</v>
      </c>
      <c r="AB169">
        <v>8.02</v>
      </c>
      <c r="AC169">
        <v>0</v>
      </c>
      <c r="AD169">
        <v>1</v>
      </c>
      <c r="AE169">
        <v>1</v>
      </c>
      <c r="AF169" t="s">
        <v>53</v>
      </c>
      <c r="AG169">
        <v>20.789699999999996</v>
      </c>
      <c r="AH169">
        <v>2</v>
      </c>
      <c r="AI169">
        <v>47635982</v>
      </c>
      <c r="AJ169">
        <v>157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ROW(Source!A156)</f>
        <v>156</v>
      </c>
      <c r="B170">
        <v>47635991</v>
      </c>
      <c r="C170">
        <v>47635981</v>
      </c>
      <c r="D170">
        <v>37064876</v>
      </c>
      <c r="E170">
        <v>1</v>
      </c>
      <c r="F170">
        <v>1</v>
      </c>
      <c r="G170">
        <v>1</v>
      </c>
      <c r="H170">
        <v>1</v>
      </c>
      <c r="I170" t="s">
        <v>500</v>
      </c>
      <c r="J170" t="s">
        <v>3</v>
      </c>
      <c r="K170" t="s">
        <v>501</v>
      </c>
      <c r="L170">
        <v>1191</v>
      </c>
      <c r="N170">
        <v>1013</v>
      </c>
      <c r="O170" t="s">
        <v>487</v>
      </c>
      <c r="P170" t="s">
        <v>487</v>
      </c>
      <c r="Q170">
        <v>1</v>
      </c>
      <c r="X170">
        <v>13.88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2</v>
      </c>
      <c r="AF170" t="s">
        <v>280</v>
      </c>
      <c r="AG170">
        <v>19.952500000000001</v>
      </c>
      <c r="AH170">
        <v>2</v>
      </c>
      <c r="AI170">
        <v>47635983</v>
      </c>
      <c r="AJ170">
        <v>158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ROW(Source!A156)</f>
        <v>156</v>
      </c>
      <c r="B171">
        <v>47635992</v>
      </c>
      <c r="C171">
        <v>47635981</v>
      </c>
      <c r="D171">
        <v>36881380</v>
      </c>
      <c r="E171">
        <v>1</v>
      </c>
      <c r="F171">
        <v>1</v>
      </c>
      <c r="G171">
        <v>1</v>
      </c>
      <c r="H171">
        <v>2</v>
      </c>
      <c r="I171" t="s">
        <v>661</v>
      </c>
      <c r="J171" t="s">
        <v>662</v>
      </c>
      <c r="K171" t="s">
        <v>663</v>
      </c>
      <c r="L171">
        <v>1368</v>
      </c>
      <c r="N171">
        <v>1011</v>
      </c>
      <c r="O171" t="s">
        <v>505</v>
      </c>
      <c r="P171" t="s">
        <v>505</v>
      </c>
      <c r="Q171">
        <v>1</v>
      </c>
      <c r="X171">
        <v>1.77</v>
      </c>
      <c r="Y171">
        <v>0</v>
      </c>
      <c r="Z171">
        <v>123</v>
      </c>
      <c r="AA171">
        <v>13.5</v>
      </c>
      <c r="AB171">
        <v>0</v>
      </c>
      <c r="AC171">
        <v>0</v>
      </c>
      <c r="AD171">
        <v>1</v>
      </c>
      <c r="AE171">
        <v>0</v>
      </c>
      <c r="AF171" t="s">
        <v>280</v>
      </c>
      <c r="AG171">
        <v>2.5443749999999996</v>
      </c>
      <c r="AH171">
        <v>2</v>
      </c>
      <c r="AI171">
        <v>47635984</v>
      </c>
      <c r="AJ171">
        <v>159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ROW(Source!A156)</f>
        <v>156</v>
      </c>
      <c r="B172">
        <v>47635993</v>
      </c>
      <c r="C172">
        <v>47635981</v>
      </c>
      <c r="D172">
        <v>36882383</v>
      </c>
      <c r="E172">
        <v>1</v>
      </c>
      <c r="F172">
        <v>1</v>
      </c>
      <c r="G172">
        <v>1</v>
      </c>
      <c r="H172">
        <v>2</v>
      </c>
      <c r="I172" t="s">
        <v>629</v>
      </c>
      <c r="J172" t="s">
        <v>630</v>
      </c>
      <c r="K172" t="s">
        <v>631</v>
      </c>
      <c r="L172">
        <v>1368</v>
      </c>
      <c r="N172">
        <v>1011</v>
      </c>
      <c r="O172" t="s">
        <v>505</v>
      </c>
      <c r="P172" t="s">
        <v>505</v>
      </c>
      <c r="Q172">
        <v>1</v>
      </c>
      <c r="X172">
        <v>4.29</v>
      </c>
      <c r="Y172">
        <v>0</v>
      </c>
      <c r="Z172">
        <v>89.99</v>
      </c>
      <c r="AA172">
        <v>10.06</v>
      </c>
      <c r="AB172">
        <v>0</v>
      </c>
      <c r="AC172">
        <v>0</v>
      </c>
      <c r="AD172">
        <v>1</v>
      </c>
      <c r="AE172">
        <v>0</v>
      </c>
      <c r="AF172" t="s">
        <v>280</v>
      </c>
      <c r="AG172">
        <v>6.1668749999999992</v>
      </c>
      <c r="AH172">
        <v>2</v>
      </c>
      <c r="AI172">
        <v>47635985</v>
      </c>
      <c r="AJ172">
        <v>160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ROW(Source!A156)</f>
        <v>156</v>
      </c>
      <c r="B173">
        <v>47635994</v>
      </c>
      <c r="C173">
        <v>47635981</v>
      </c>
      <c r="D173">
        <v>36882750</v>
      </c>
      <c r="E173">
        <v>1</v>
      </c>
      <c r="F173">
        <v>1</v>
      </c>
      <c r="G173">
        <v>1</v>
      </c>
      <c r="H173">
        <v>2</v>
      </c>
      <c r="I173" t="s">
        <v>669</v>
      </c>
      <c r="J173" t="s">
        <v>670</v>
      </c>
      <c r="K173" t="s">
        <v>671</v>
      </c>
      <c r="L173">
        <v>1368</v>
      </c>
      <c r="N173">
        <v>1011</v>
      </c>
      <c r="O173" t="s">
        <v>505</v>
      </c>
      <c r="P173" t="s">
        <v>505</v>
      </c>
      <c r="Q173">
        <v>1</v>
      </c>
      <c r="X173">
        <v>7.08</v>
      </c>
      <c r="Y173">
        <v>0</v>
      </c>
      <c r="Z173">
        <v>206.01</v>
      </c>
      <c r="AA173">
        <v>14.4</v>
      </c>
      <c r="AB173">
        <v>0</v>
      </c>
      <c r="AC173">
        <v>0</v>
      </c>
      <c r="AD173">
        <v>1</v>
      </c>
      <c r="AE173">
        <v>0</v>
      </c>
      <c r="AF173" t="s">
        <v>280</v>
      </c>
      <c r="AG173">
        <v>10.177499999999998</v>
      </c>
      <c r="AH173">
        <v>2</v>
      </c>
      <c r="AI173">
        <v>47635986</v>
      </c>
      <c r="AJ173">
        <v>161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ROW(Source!A156)</f>
        <v>156</v>
      </c>
      <c r="B174">
        <v>47635995</v>
      </c>
      <c r="C174">
        <v>47635981</v>
      </c>
      <c r="D174">
        <v>36883483</v>
      </c>
      <c r="E174">
        <v>1</v>
      </c>
      <c r="F174">
        <v>1</v>
      </c>
      <c r="G174">
        <v>1</v>
      </c>
      <c r="H174">
        <v>2</v>
      </c>
      <c r="I174" t="s">
        <v>672</v>
      </c>
      <c r="J174" t="s">
        <v>673</v>
      </c>
      <c r="K174" t="s">
        <v>674</v>
      </c>
      <c r="L174">
        <v>1368</v>
      </c>
      <c r="N174">
        <v>1011</v>
      </c>
      <c r="O174" t="s">
        <v>505</v>
      </c>
      <c r="P174" t="s">
        <v>505</v>
      </c>
      <c r="Q174">
        <v>1</v>
      </c>
      <c r="X174">
        <v>0.74</v>
      </c>
      <c r="Y174">
        <v>0</v>
      </c>
      <c r="Z174">
        <v>110</v>
      </c>
      <c r="AA174">
        <v>11.6</v>
      </c>
      <c r="AB174">
        <v>0</v>
      </c>
      <c r="AC174">
        <v>0</v>
      </c>
      <c r="AD174">
        <v>1</v>
      </c>
      <c r="AE174">
        <v>0</v>
      </c>
      <c r="AF174" t="s">
        <v>280</v>
      </c>
      <c r="AG174">
        <v>1.06375</v>
      </c>
      <c r="AH174">
        <v>2</v>
      </c>
      <c r="AI174">
        <v>47635987</v>
      </c>
      <c r="AJ174">
        <v>162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ROW(Source!A156)</f>
        <v>156</v>
      </c>
      <c r="B175">
        <v>47635996</v>
      </c>
      <c r="C175">
        <v>47635981</v>
      </c>
      <c r="D175">
        <v>36801792</v>
      </c>
      <c r="E175">
        <v>1</v>
      </c>
      <c r="F175">
        <v>1</v>
      </c>
      <c r="G175">
        <v>1</v>
      </c>
      <c r="H175">
        <v>3</v>
      </c>
      <c r="I175" t="s">
        <v>597</v>
      </c>
      <c r="J175" t="s">
        <v>598</v>
      </c>
      <c r="K175" t="s">
        <v>599</v>
      </c>
      <c r="L175">
        <v>1339</v>
      </c>
      <c r="N175">
        <v>1007</v>
      </c>
      <c r="O175" t="s">
        <v>96</v>
      </c>
      <c r="P175" t="s">
        <v>96</v>
      </c>
      <c r="Q175">
        <v>1</v>
      </c>
      <c r="X175">
        <v>5</v>
      </c>
      <c r="Y175">
        <v>2.44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</v>
      </c>
      <c r="AG175">
        <v>5</v>
      </c>
      <c r="AH175">
        <v>2</v>
      </c>
      <c r="AI175">
        <v>47635988</v>
      </c>
      <c r="AJ175">
        <v>163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ROW(Source!A156)</f>
        <v>156</v>
      </c>
      <c r="B176">
        <v>47635997</v>
      </c>
      <c r="C176">
        <v>47635981</v>
      </c>
      <c r="D176">
        <v>36796087</v>
      </c>
      <c r="E176">
        <v>17</v>
      </c>
      <c r="F176">
        <v>1</v>
      </c>
      <c r="G176">
        <v>1</v>
      </c>
      <c r="H176">
        <v>3</v>
      </c>
      <c r="I176" t="s">
        <v>718</v>
      </c>
      <c r="J176" t="s">
        <v>3</v>
      </c>
      <c r="K176" t="s">
        <v>719</v>
      </c>
      <c r="L176">
        <v>1339</v>
      </c>
      <c r="N176">
        <v>1007</v>
      </c>
      <c r="O176" t="s">
        <v>96</v>
      </c>
      <c r="P176" t="s">
        <v>96</v>
      </c>
      <c r="Q176">
        <v>1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3</v>
      </c>
      <c r="AG176">
        <v>0</v>
      </c>
      <c r="AH176">
        <v>3</v>
      </c>
      <c r="AI176">
        <v>-1</v>
      </c>
      <c r="AJ176" t="s">
        <v>3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ROW(Source!A158)</f>
        <v>158</v>
      </c>
      <c r="B177">
        <v>47636067</v>
      </c>
      <c r="C177">
        <v>47635999</v>
      </c>
      <c r="D177">
        <v>37068148</v>
      </c>
      <c r="E177">
        <v>1</v>
      </c>
      <c r="F177">
        <v>1</v>
      </c>
      <c r="G177">
        <v>1</v>
      </c>
      <c r="H177">
        <v>1</v>
      </c>
      <c r="I177" t="s">
        <v>688</v>
      </c>
      <c r="J177" t="s">
        <v>3</v>
      </c>
      <c r="K177" t="s">
        <v>689</v>
      </c>
      <c r="L177">
        <v>1191</v>
      </c>
      <c r="N177">
        <v>1013</v>
      </c>
      <c r="O177" t="s">
        <v>487</v>
      </c>
      <c r="P177" t="s">
        <v>487</v>
      </c>
      <c r="Q177">
        <v>1</v>
      </c>
      <c r="X177">
        <v>24.19</v>
      </c>
      <c r="Y177">
        <v>0</v>
      </c>
      <c r="Z177">
        <v>0</v>
      </c>
      <c r="AA177">
        <v>0</v>
      </c>
      <c r="AB177">
        <v>8.09</v>
      </c>
      <c r="AC177">
        <v>0</v>
      </c>
      <c r="AD177">
        <v>1</v>
      </c>
      <c r="AE177">
        <v>1</v>
      </c>
      <c r="AF177" t="s">
        <v>53</v>
      </c>
      <c r="AG177">
        <v>31.991274999999998</v>
      </c>
      <c r="AH177">
        <v>2</v>
      </c>
      <c r="AI177">
        <v>47636067</v>
      </c>
      <c r="AJ177">
        <v>165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ROW(Source!A158)</f>
        <v>158</v>
      </c>
      <c r="B178">
        <v>47636068</v>
      </c>
      <c r="C178">
        <v>47635999</v>
      </c>
      <c r="D178">
        <v>37064876</v>
      </c>
      <c r="E178">
        <v>1</v>
      </c>
      <c r="F178">
        <v>1</v>
      </c>
      <c r="G178">
        <v>1</v>
      </c>
      <c r="H178">
        <v>1</v>
      </c>
      <c r="I178" t="s">
        <v>500</v>
      </c>
      <c r="J178" t="s">
        <v>3</v>
      </c>
      <c r="K178" t="s">
        <v>501</v>
      </c>
      <c r="L178">
        <v>1191</v>
      </c>
      <c r="N178">
        <v>1013</v>
      </c>
      <c r="O178" t="s">
        <v>487</v>
      </c>
      <c r="P178" t="s">
        <v>487</v>
      </c>
      <c r="Q178">
        <v>1</v>
      </c>
      <c r="X178">
        <v>20.6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2</v>
      </c>
      <c r="AF178" t="s">
        <v>280</v>
      </c>
      <c r="AG178">
        <v>29.612500000000001</v>
      </c>
      <c r="AH178">
        <v>2</v>
      </c>
      <c r="AI178">
        <v>47636068</v>
      </c>
      <c r="AJ178">
        <v>166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ROW(Source!A158)</f>
        <v>158</v>
      </c>
      <c r="B179">
        <v>47636069</v>
      </c>
      <c r="C179">
        <v>47635999</v>
      </c>
      <c r="D179">
        <v>36881356</v>
      </c>
      <c r="E179">
        <v>1</v>
      </c>
      <c r="F179">
        <v>1</v>
      </c>
      <c r="G179">
        <v>1</v>
      </c>
      <c r="H179">
        <v>2</v>
      </c>
      <c r="I179" t="s">
        <v>690</v>
      </c>
      <c r="J179" t="s">
        <v>691</v>
      </c>
      <c r="K179" t="s">
        <v>692</v>
      </c>
      <c r="L179">
        <v>1368</v>
      </c>
      <c r="N179">
        <v>1011</v>
      </c>
      <c r="O179" t="s">
        <v>505</v>
      </c>
      <c r="P179" t="s">
        <v>505</v>
      </c>
      <c r="Q179">
        <v>1</v>
      </c>
      <c r="X179">
        <v>2.59</v>
      </c>
      <c r="Y179">
        <v>0</v>
      </c>
      <c r="Z179">
        <v>79.069999999999993</v>
      </c>
      <c r="AA179">
        <v>13.5</v>
      </c>
      <c r="AB179">
        <v>0</v>
      </c>
      <c r="AC179">
        <v>0</v>
      </c>
      <c r="AD179">
        <v>1</v>
      </c>
      <c r="AE179">
        <v>0</v>
      </c>
      <c r="AF179" t="s">
        <v>280</v>
      </c>
      <c r="AG179">
        <v>3.7231249999999996</v>
      </c>
      <c r="AH179">
        <v>2</v>
      </c>
      <c r="AI179">
        <v>47636069</v>
      </c>
      <c r="AJ179">
        <v>167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ROW(Source!A158)</f>
        <v>158</v>
      </c>
      <c r="B180">
        <v>47636070</v>
      </c>
      <c r="C180">
        <v>47635999</v>
      </c>
      <c r="D180">
        <v>36881380</v>
      </c>
      <c r="E180">
        <v>1</v>
      </c>
      <c r="F180">
        <v>1</v>
      </c>
      <c r="G180">
        <v>1</v>
      </c>
      <c r="H180">
        <v>2</v>
      </c>
      <c r="I180" t="s">
        <v>661</v>
      </c>
      <c r="J180" t="s">
        <v>662</v>
      </c>
      <c r="K180" t="s">
        <v>663</v>
      </c>
      <c r="L180">
        <v>1368</v>
      </c>
      <c r="N180">
        <v>1011</v>
      </c>
      <c r="O180" t="s">
        <v>505</v>
      </c>
      <c r="P180" t="s">
        <v>505</v>
      </c>
      <c r="Q180">
        <v>1</v>
      </c>
      <c r="X180">
        <v>2.2999999999999998</v>
      </c>
      <c r="Y180">
        <v>0</v>
      </c>
      <c r="Z180">
        <v>123</v>
      </c>
      <c r="AA180">
        <v>13.5</v>
      </c>
      <c r="AB180">
        <v>0</v>
      </c>
      <c r="AC180">
        <v>0</v>
      </c>
      <c r="AD180">
        <v>1</v>
      </c>
      <c r="AE180">
        <v>0</v>
      </c>
      <c r="AF180" t="s">
        <v>280</v>
      </c>
      <c r="AG180">
        <v>3.3062499999999995</v>
      </c>
      <c r="AH180">
        <v>2</v>
      </c>
      <c r="AI180">
        <v>47636070</v>
      </c>
      <c r="AJ180">
        <v>168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ROW(Source!A158)</f>
        <v>158</v>
      </c>
      <c r="B181">
        <v>47636071</v>
      </c>
      <c r="C181">
        <v>47635999</v>
      </c>
      <c r="D181">
        <v>36882383</v>
      </c>
      <c r="E181">
        <v>1</v>
      </c>
      <c r="F181">
        <v>1</v>
      </c>
      <c r="G181">
        <v>1</v>
      </c>
      <c r="H181">
        <v>2</v>
      </c>
      <c r="I181" t="s">
        <v>629</v>
      </c>
      <c r="J181" t="s">
        <v>630</v>
      </c>
      <c r="K181" t="s">
        <v>631</v>
      </c>
      <c r="L181">
        <v>1368</v>
      </c>
      <c r="N181">
        <v>1011</v>
      </c>
      <c r="O181" t="s">
        <v>505</v>
      </c>
      <c r="P181" t="s">
        <v>505</v>
      </c>
      <c r="Q181">
        <v>1</v>
      </c>
      <c r="X181">
        <v>2.46</v>
      </c>
      <c r="Y181">
        <v>0</v>
      </c>
      <c r="Z181">
        <v>89.99</v>
      </c>
      <c r="AA181">
        <v>10.06</v>
      </c>
      <c r="AB181">
        <v>0</v>
      </c>
      <c r="AC181">
        <v>0</v>
      </c>
      <c r="AD181">
        <v>1</v>
      </c>
      <c r="AE181">
        <v>0</v>
      </c>
      <c r="AF181" t="s">
        <v>280</v>
      </c>
      <c r="AG181">
        <v>3.5362499999999999</v>
      </c>
      <c r="AH181">
        <v>2</v>
      </c>
      <c r="AI181">
        <v>47636071</v>
      </c>
      <c r="AJ181">
        <v>169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ROW(Source!A158)</f>
        <v>158</v>
      </c>
      <c r="B182">
        <v>47636072</v>
      </c>
      <c r="C182">
        <v>47635999</v>
      </c>
      <c r="D182">
        <v>36882750</v>
      </c>
      <c r="E182">
        <v>1</v>
      </c>
      <c r="F182">
        <v>1</v>
      </c>
      <c r="G182">
        <v>1</v>
      </c>
      <c r="H182">
        <v>2</v>
      </c>
      <c r="I182" t="s">
        <v>669</v>
      </c>
      <c r="J182" t="s">
        <v>670</v>
      </c>
      <c r="K182" t="s">
        <v>671</v>
      </c>
      <c r="L182">
        <v>1368</v>
      </c>
      <c r="N182">
        <v>1011</v>
      </c>
      <c r="O182" t="s">
        <v>505</v>
      </c>
      <c r="P182" t="s">
        <v>505</v>
      </c>
      <c r="Q182">
        <v>1</v>
      </c>
      <c r="X182">
        <v>12.21</v>
      </c>
      <c r="Y182">
        <v>0</v>
      </c>
      <c r="Z182">
        <v>206.01</v>
      </c>
      <c r="AA182">
        <v>14.4</v>
      </c>
      <c r="AB182">
        <v>0</v>
      </c>
      <c r="AC182">
        <v>0</v>
      </c>
      <c r="AD182">
        <v>1</v>
      </c>
      <c r="AE182">
        <v>0</v>
      </c>
      <c r="AF182" t="s">
        <v>280</v>
      </c>
      <c r="AG182">
        <v>17.551874999999999</v>
      </c>
      <c r="AH182">
        <v>2</v>
      </c>
      <c r="AI182">
        <v>47636072</v>
      </c>
      <c r="AJ182">
        <v>170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ROW(Source!A158)</f>
        <v>158</v>
      </c>
      <c r="B183">
        <v>47636073</v>
      </c>
      <c r="C183">
        <v>47635999</v>
      </c>
      <c r="D183">
        <v>36883483</v>
      </c>
      <c r="E183">
        <v>1</v>
      </c>
      <c r="F183">
        <v>1</v>
      </c>
      <c r="G183">
        <v>1</v>
      </c>
      <c r="H183">
        <v>2</v>
      </c>
      <c r="I183" t="s">
        <v>672</v>
      </c>
      <c r="J183" t="s">
        <v>673</v>
      </c>
      <c r="K183" t="s">
        <v>674</v>
      </c>
      <c r="L183">
        <v>1368</v>
      </c>
      <c r="N183">
        <v>1011</v>
      </c>
      <c r="O183" t="s">
        <v>505</v>
      </c>
      <c r="P183" t="s">
        <v>505</v>
      </c>
      <c r="Q183">
        <v>1</v>
      </c>
      <c r="X183">
        <v>1.04</v>
      </c>
      <c r="Y183">
        <v>0</v>
      </c>
      <c r="Z183">
        <v>110</v>
      </c>
      <c r="AA183">
        <v>11.6</v>
      </c>
      <c r="AB183">
        <v>0</v>
      </c>
      <c r="AC183">
        <v>0</v>
      </c>
      <c r="AD183">
        <v>1</v>
      </c>
      <c r="AE183">
        <v>0</v>
      </c>
      <c r="AF183" t="s">
        <v>280</v>
      </c>
      <c r="AG183">
        <v>1.4949999999999999</v>
      </c>
      <c r="AH183">
        <v>2</v>
      </c>
      <c r="AI183">
        <v>47636073</v>
      </c>
      <c r="AJ183">
        <v>171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ROW(Source!A158)</f>
        <v>158</v>
      </c>
      <c r="B184">
        <v>47636074</v>
      </c>
      <c r="C184">
        <v>47635999</v>
      </c>
      <c r="D184">
        <v>36801792</v>
      </c>
      <c r="E184">
        <v>1</v>
      </c>
      <c r="F184">
        <v>1</v>
      </c>
      <c r="G184">
        <v>1</v>
      </c>
      <c r="H184">
        <v>3</v>
      </c>
      <c r="I184" t="s">
        <v>597</v>
      </c>
      <c r="J184" t="s">
        <v>598</v>
      </c>
      <c r="K184" t="s">
        <v>599</v>
      </c>
      <c r="L184">
        <v>1339</v>
      </c>
      <c r="N184">
        <v>1007</v>
      </c>
      <c r="O184" t="s">
        <v>96</v>
      </c>
      <c r="P184" t="s">
        <v>96</v>
      </c>
      <c r="Q184">
        <v>1</v>
      </c>
      <c r="X184">
        <v>7</v>
      </c>
      <c r="Y184">
        <v>2.44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7</v>
      </c>
      <c r="AH184">
        <v>2</v>
      </c>
      <c r="AI184">
        <v>47636074</v>
      </c>
      <c r="AJ184">
        <v>172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ROW(Source!A158)</f>
        <v>158</v>
      </c>
      <c r="B185">
        <v>47636075</v>
      </c>
      <c r="C185">
        <v>47635999</v>
      </c>
      <c r="D185">
        <v>36796092</v>
      </c>
      <c r="E185">
        <v>17</v>
      </c>
      <c r="F185">
        <v>1</v>
      </c>
      <c r="G185">
        <v>1</v>
      </c>
      <c r="H185">
        <v>3</v>
      </c>
      <c r="I185" t="s">
        <v>731</v>
      </c>
      <c r="J185" t="s">
        <v>3</v>
      </c>
      <c r="K185" t="s">
        <v>735</v>
      </c>
      <c r="L185">
        <v>1339</v>
      </c>
      <c r="N185">
        <v>1007</v>
      </c>
      <c r="O185" t="s">
        <v>96</v>
      </c>
      <c r="P185" t="s">
        <v>96</v>
      </c>
      <c r="Q185">
        <v>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1</v>
      </c>
      <c r="AD185">
        <v>0</v>
      </c>
      <c r="AE185">
        <v>0</v>
      </c>
      <c r="AF185" t="s">
        <v>3</v>
      </c>
      <c r="AG185">
        <v>0</v>
      </c>
      <c r="AH185">
        <v>3</v>
      </c>
      <c r="AI185">
        <v>-1</v>
      </c>
      <c r="AJ185" t="s">
        <v>3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ROW(Source!A160)</f>
        <v>160</v>
      </c>
      <c r="B186">
        <v>47636164</v>
      </c>
      <c r="C186">
        <v>47636098</v>
      </c>
      <c r="D186">
        <v>37071037</v>
      </c>
      <c r="E186">
        <v>1</v>
      </c>
      <c r="F186">
        <v>1</v>
      </c>
      <c r="G186">
        <v>1</v>
      </c>
      <c r="H186">
        <v>1</v>
      </c>
      <c r="I186" t="s">
        <v>693</v>
      </c>
      <c r="J186" t="s">
        <v>3</v>
      </c>
      <c r="K186" t="s">
        <v>694</v>
      </c>
      <c r="L186">
        <v>1191</v>
      </c>
      <c r="N186">
        <v>1013</v>
      </c>
      <c r="O186" t="s">
        <v>487</v>
      </c>
      <c r="P186" t="s">
        <v>487</v>
      </c>
      <c r="Q186">
        <v>1</v>
      </c>
      <c r="X186">
        <v>38.299999999999997</v>
      </c>
      <c r="Y186">
        <v>0</v>
      </c>
      <c r="Z186">
        <v>0</v>
      </c>
      <c r="AA186">
        <v>0</v>
      </c>
      <c r="AB186">
        <v>9.6199999999999992</v>
      </c>
      <c r="AC186">
        <v>0</v>
      </c>
      <c r="AD186">
        <v>1</v>
      </c>
      <c r="AE186">
        <v>1</v>
      </c>
      <c r="AF186" t="s">
        <v>53</v>
      </c>
      <c r="AG186">
        <v>50.651749999999993</v>
      </c>
      <c r="AH186">
        <v>2</v>
      </c>
      <c r="AI186">
        <v>47636164</v>
      </c>
      <c r="AJ186">
        <v>174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ROW(Source!A160)</f>
        <v>160</v>
      </c>
      <c r="B187">
        <v>47636165</v>
      </c>
      <c r="C187">
        <v>47636098</v>
      </c>
      <c r="D187">
        <v>37064876</v>
      </c>
      <c r="E187">
        <v>1</v>
      </c>
      <c r="F187">
        <v>1</v>
      </c>
      <c r="G187">
        <v>1</v>
      </c>
      <c r="H187">
        <v>1</v>
      </c>
      <c r="I187" t="s">
        <v>500</v>
      </c>
      <c r="J187" t="s">
        <v>3</v>
      </c>
      <c r="K187" t="s">
        <v>501</v>
      </c>
      <c r="L187">
        <v>1191</v>
      </c>
      <c r="N187">
        <v>1013</v>
      </c>
      <c r="O187" t="s">
        <v>487</v>
      </c>
      <c r="P187" t="s">
        <v>487</v>
      </c>
      <c r="Q187">
        <v>1</v>
      </c>
      <c r="X187">
        <v>19.12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1</v>
      </c>
      <c r="AE187">
        <v>2</v>
      </c>
      <c r="AF187" t="s">
        <v>280</v>
      </c>
      <c r="AG187">
        <v>27.484999999999999</v>
      </c>
      <c r="AH187">
        <v>2</v>
      </c>
      <c r="AI187">
        <v>47636165</v>
      </c>
      <c r="AJ187">
        <v>175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ROW(Source!A160)</f>
        <v>160</v>
      </c>
      <c r="B188">
        <v>47636166</v>
      </c>
      <c r="C188">
        <v>47636098</v>
      </c>
      <c r="D188">
        <v>36882159</v>
      </c>
      <c r="E188">
        <v>1</v>
      </c>
      <c r="F188">
        <v>1</v>
      </c>
      <c r="G188">
        <v>1</v>
      </c>
      <c r="H188">
        <v>2</v>
      </c>
      <c r="I188" t="s">
        <v>518</v>
      </c>
      <c r="J188" t="s">
        <v>519</v>
      </c>
      <c r="K188" t="s">
        <v>520</v>
      </c>
      <c r="L188">
        <v>1368</v>
      </c>
      <c r="N188">
        <v>1011</v>
      </c>
      <c r="O188" t="s">
        <v>505</v>
      </c>
      <c r="P188" t="s">
        <v>505</v>
      </c>
      <c r="Q188">
        <v>1</v>
      </c>
      <c r="X188">
        <v>0.03</v>
      </c>
      <c r="Y188">
        <v>0</v>
      </c>
      <c r="Z188">
        <v>111.99</v>
      </c>
      <c r="AA188">
        <v>13.5</v>
      </c>
      <c r="AB188">
        <v>0</v>
      </c>
      <c r="AC188">
        <v>0</v>
      </c>
      <c r="AD188">
        <v>1</v>
      </c>
      <c r="AE188">
        <v>0</v>
      </c>
      <c r="AF188" t="s">
        <v>280</v>
      </c>
      <c r="AG188">
        <v>4.3124999999999997E-2</v>
      </c>
      <c r="AH188">
        <v>2</v>
      </c>
      <c r="AI188">
        <v>47636166</v>
      </c>
      <c r="AJ188">
        <v>176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ROW(Source!A160)</f>
        <v>160</v>
      </c>
      <c r="B189">
        <v>47636167</v>
      </c>
      <c r="C189">
        <v>47636098</v>
      </c>
      <c r="D189">
        <v>36882672</v>
      </c>
      <c r="E189">
        <v>1</v>
      </c>
      <c r="F189">
        <v>1</v>
      </c>
      <c r="G189">
        <v>1</v>
      </c>
      <c r="H189">
        <v>2</v>
      </c>
      <c r="I189" t="s">
        <v>695</v>
      </c>
      <c r="J189" t="s">
        <v>696</v>
      </c>
      <c r="K189" t="s">
        <v>697</v>
      </c>
      <c r="L189">
        <v>1368</v>
      </c>
      <c r="N189">
        <v>1011</v>
      </c>
      <c r="O189" t="s">
        <v>505</v>
      </c>
      <c r="P189" t="s">
        <v>505</v>
      </c>
      <c r="Q189">
        <v>1</v>
      </c>
      <c r="X189">
        <v>3.19</v>
      </c>
      <c r="Y189">
        <v>0</v>
      </c>
      <c r="Z189">
        <v>195.2</v>
      </c>
      <c r="AA189">
        <v>14.4</v>
      </c>
      <c r="AB189">
        <v>0</v>
      </c>
      <c r="AC189">
        <v>0</v>
      </c>
      <c r="AD189">
        <v>1</v>
      </c>
      <c r="AE189">
        <v>0</v>
      </c>
      <c r="AF189" t="s">
        <v>280</v>
      </c>
      <c r="AG189">
        <v>4.5856250000000003</v>
      </c>
      <c r="AH189">
        <v>2</v>
      </c>
      <c r="AI189">
        <v>47636167</v>
      </c>
      <c r="AJ189">
        <v>177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ROW(Source!A160)</f>
        <v>160</v>
      </c>
      <c r="B190">
        <v>47636168</v>
      </c>
      <c r="C190">
        <v>47636098</v>
      </c>
      <c r="D190">
        <v>36882688</v>
      </c>
      <c r="E190">
        <v>1</v>
      </c>
      <c r="F190">
        <v>1</v>
      </c>
      <c r="G190">
        <v>1</v>
      </c>
      <c r="H190">
        <v>2</v>
      </c>
      <c r="I190" t="s">
        <v>698</v>
      </c>
      <c r="J190" t="s">
        <v>699</v>
      </c>
      <c r="K190" t="s">
        <v>700</v>
      </c>
      <c r="L190">
        <v>1368</v>
      </c>
      <c r="N190">
        <v>1011</v>
      </c>
      <c r="O190" t="s">
        <v>505</v>
      </c>
      <c r="P190" t="s">
        <v>505</v>
      </c>
      <c r="Q190">
        <v>1</v>
      </c>
      <c r="X190">
        <v>1.4</v>
      </c>
      <c r="Y190">
        <v>0</v>
      </c>
      <c r="Z190">
        <v>17.2</v>
      </c>
      <c r="AA190">
        <v>0</v>
      </c>
      <c r="AB190">
        <v>0</v>
      </c>
      <c r="AC190">
        <v>0</v>
      </c>
      <c r="AD190">
        <v>1</v>
      </c>
      <c r="AE190">
        <v>0</v>
      </c>
      <c r="AF190" t="s">
        <v>280</v>
      </c>
      <c r="AG190">
        <v>2.0124999999999997</v>
      </c>
      <c r="AH190">
        <v>2</v>
      </c>
      <c r="AI190">
        <v>47636168</v>
      </c>
      <c r="AJ190">
        <v>178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ROW(Source!A160)</f>
        <v>160</v>
      </c>
      <c r="B191">
        <v>47636169</v>
      </c>
      <c r="C191">
        <v>47636098</v>
      </c>
      <c r="D191">
        <v>36882722</v>
      </c>
      <c r="E191">
        <v>1</v>
      </c>
      <c r="F191">
        <v>1</v>
      </c>
      <c r="G191">
        <v>1</v>
      </c>
      <c r="H191">
        <v>2</v>
      </c>
      <c r="I191" t="s">
        <v>677</v>
      </c>
      <c r="J191" t="s">
        <v>678</v>
      </c>
      <c r="K191" t="s">
        <v>679</v>
      </c>
      <c r="L191">
        <v>1368</v>
      </c>
      <c r="N191">
        <v>1011</v>
      </c>
      <c r="O191" t="s">
        <v>505</v>
      </c>
      <c r="P191" t="s">
        <v>505</v>
      </c>
      <c r="Q191">
        <v>1</v>
      </c>
      <c r="X191">
        <v>3.96</v>
      </c>
      <c r="Y191">
        <v>0</v>
      </c>
      <c r="Z191">
        <v>75</v>
      </c>
      <c r="AA191">
        <v>11.6</v>
      </c>
      <c r="AB191">
        <v>0</v>
      </c>
      <c r="AC191">
        <v>0</v>
      </c>
      <c r="AD191">
        <v>1</v>
      </c>
      <c r="AE191">
        <v>0</v>
      </c>
      <c r="AF191" t="s">
        <v>280</v>
      </c>
      <c r="AG191">
        <v>5.692499999999999</v>
      </c>
      <c r="AH191">
        <v>2</v>
      </c>
      <c r="AI191">
        <v>47636169</v>
      </c>
      <c r="AJ191">
        <v>179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ROW(Source!A160)</f>
        <v>160</v>
      </c>
      <c r="B192">
        <v>47636170</v>
      </c>
      <c r="C192">
        <v>47636098</v>
      </c>
      <c r="D192">
        <v>36882726</v>
      </c>
      <c r="E192">
        <v>1</v>
      </c>
      <c r="F192">
        <v>1</v>
      </c>
      <c r="G192">
        <v>1</v>
      </c>
      <c r="H192">
        <v>2</v>
      </c>
      <c r="I192" t="s">
        <v>701</v>
      </c>
      <c r="J192" t="s">
        <v>702</v>
      </c>
      <c r="K192" t="s">
        <v>703</v>
      </c>
      <c r="L192">
        <v>1368</v>
      </c>
      <c r="N192">
        <v>1011</v>
      </c>
      <c r="O192" t="s">
        <v>505</v>
      </c>
      <c r="P192" t="s">
        <v>505</v>
      </c>
      <c r="Q192">
        <v>1</v>
      </c>
      <c r="X192">
        <v>11.51</v>
      </c>
      <c r="Y192">
        <v>0</v>
      </c>
      <c r="Z192">
        <v>121</v>
      </c>
      <c r="AA192">
        <v>14.4</v>
      </c>
      <c r="AB192">
        <v>0</v>
      </c>
      <c r="AC192">
        <v>0</v>
      </c>
      <c r="AD192">
        <v>1</v>
      </c>
      <c r="AE192">
        <v>0</v>
      </c>
      <c r="AF192" t="s">
        <v>280</v>
      </c>
      <c r="AG192">
        <v>16.545625000000001</v>
      </c>
      <c r="AH192">
        <v>2</v>
      </c>
      <c r="AI192">
        <v>47636170</v>
      </c>
      <c r="AJ192">
        <v>180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ROW(Source!A160)</f>
        <v>160</v>
      </c>
      <c r="B193">
        <v>47636171</v>
      </c>
      <c r="C193">
        <v>47636098</v>
      </c>
      <c r="D193">
        <v>36883483</v>
      </c>
      <c r="E193">
        <v>1</v>
      </c>
      <c r="F193">
        <v>1</v>
      </c>
      <c r="G193">
        <v>1</v>
      </c>
      <c r="H193">
        <v>2</v>
      </c>
      <c r="I193" t="s">
        <v>672</v>
      </c>
      <c r="J193" t="s">
        <v>673</v>
      </c>
      <c r="K193" t="s">
        <v>674</v>
      </c>
      <c r="L193">
        <v>1368</v>
      </c>
      <c r="N193">
        <v>1011</v>
      </c>
      <c r="O193" t="s">
        <v>505</v>
      </c>
      <c r="P193" t="s">
        <v>505</v>
      </c>
      <c r="Q193">
        <v>1</v>
      </c>
      <c r="X193">
        <v>0.39</v>
      </c>
      <c r="Y193">
        <v>0</v>
      </c>
      <c r="Z193">
        <v>110</v>
      </c>
      <c r="AA193">
        <v>11.6</v>
      </c>
      <c r="AB193">
        <v>0</v>
      </c>
      <c r="AC193">
        <v>0</v>
      </c>
      <c r="AD193">
        <v>1</v>
      </c>
      <c r="AE193">
        <v>0</v>
      </c>
      <c r="AF193" t="s">
        <v>280</v>
      </c>
      <c r="AG193">
        <v>0.56062499999999993</v>
      </c>
      <c r="AH193">
        <v>2</v>
      </c>
      <c r="AI193">
        <v>47636171</v>
      </c>
      <c r="AJ193">
        <v>181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ROW(Source!A160)</f>
        <v>160</v>
      </c>
      <c r="B194">
        <v>47636172</v>
      </c>
      <c r="C194">
        <v>47636098</v>
      </c>
      <c r="D194">
        <v>36883554</v>
      </c>
      <c r="E194">
        <v>1</v>
      </c>
      <c r="F194">
        <v>1</v>
      </c>
      <c r="G194">
        <v>1</v>
      </c>
      <c r="H194">
        <v>2</v>
      </c>
      <c r="I194" t="s">
        <v>509</v>
      </c>
      <c r="J194" t="s">
        <v>510</v>
      </c>
      <c r="K194" t="s">
        <v>511</v>
      </c>
      <c r="L194">
        <v>1368</v>
      </c>
      <c r="N194">
        <v>1011</v>
      </c>
      <c r="O194" t="s">
        <v>505</v>
      </c>
      <c r="P194" t="s">
        <v>505</v>
      </c>
      <c r="Q194">
        <v>1</v>
      </c>
      <c r="X194">
        <v>0.04</v>
      </c>
      <c r="Y194">
        <v>0</v>
      </c>
      <c r="Z194">
        <v>65.709999999999994</v>
      </c>
      <c r="AA194">
        <v>11.6</v>
      </c>
      <c r="AB194">
        <v>0</v>
      </c>
      <c r="AC194">
        <v>0</v>
      </c>
      <c r="AD194">
        <v>1</v>
      </c>
      <c r="AE194">
        <v>0</v>
      </c>
      <c r="AF194" t="s">
        <v>280</v>
      </c>
      <c r="AG194">
        <v>5.7499999999999996E-2</v>
      </c>
      <c r="AH194">
        <v>2</v>
      </c>
      <c r="AI194">
        <v>47636172</v>
      </c>
      <c r="AJ194">
        <v>182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ROW(Source!A160)</f>
        <v>160</v>
      </c>
      <c r="B195">
        <v>47636173</v>
      </c>
      <c r="C195">
        <v>47636098</v>
      </c>
      <c r="D195">
        <v>36798264</v>
      </c>
      <c r="E195">
        <v>17</v>
      </c>
      <c r="F195">
        <v>1</v>
      </c>
      <c r="G195">
        <v>1</v>
      </c>
      <c r="H195">
        <v>3</v>
      </c>
      <c r="I195" t="s">
        <v>736</v>
      </c>
      <c r="J195" t="s">
        <v>3</v>
      </c>
      <c r="K195" t="s">
        <v>737</v>
      </c>
      <c r="L195">
        <v>1348</v>
      </c>
      <c r="N195">
        <v>1009</v>
      </c>
      <c r="O195" t="s">
        <v>32</v>
      </c>
      <c r="P195" t="s">
        <v>32</v>
      </c>
      <c r="Q195">
        <v>1000</v>
      </c>
      <c r="X195">
        <v>1.0800000000000001E-2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 t="s">
        <v>3</v>
      </c>
      <c r="AG195">
        <v>1.0800000000000001E-2</v>
      </c>
      <c r="AH195">
        <v>3</v>
      </c>
      <c r="AI195">
        <v>-1</v>
      </c>
      <c r="AJ195" t="s">
        <v>3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ROW(Source!A160)</f>
        <v>160</v>
      </c>
      <c r="B196">
        <v>47636174</v>
      </c>
      <c r="C196">
        <v>47636098</v>
      </c>
      <c r="D196">
        <v>36801792</v>
      </c>
      <c r="E196">
        <v>1</v>
      </c>
      <c r="F196">
        <v>1</v>
      </c>
      <c r="G196">
        <v>1</v>
      </c>
      <c r="H196">
        <v>3</v>
      </c>
      <c r="I196" t="s">
        <v>597</v>
      </c>
      <c r="J196" t="s">
        <v>598</v>
      </c>
      <c r="K196" t="s">
        <v>599</v>
      </c>
      <c r="L196">
        <v>1339</v>
      </c>
      <c r="N196">
        <v>1007</v>
      </c>
      <c r="O196" t="s">
        <v>96</v>
      </c>
      <c r="P196" t="s">
        <v>96</v>
      </c>
      <c r="Q196">
        <v>1</v>
      </c>
      <c r="X196">
        <v>0.2</v>
      </c>
      <c r="Y196">
        <v>2.44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0.2</v>
      </c>
      <c r="AH196">
        <v>2</v>
      </c>
      <c r="AI196">
        <v>47636174</v>
      </c>
      <c r="AJ196">
        <v>184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ROW(Source!A160)</f>
        <v>160</v>
      </c>
      <c r="B197">
        <v>47636175</v>
      </c>
      <c r="C197">
        <v>47636098</v>
      </c>
      <c r="D197">
        <v>36797302</v>
      </c>
      <c r="E197">
        <v>17</v>
      </c>
      <c r="F197">
        <v>1</v>
      </c>
      <c r="G197">
        <v>1</v>
      </c>
      <c r="H197">
        <v>3</v>
      </c>
      <c r="I197" t="s">
        <v>733</v>
      </c>
      <c r="J197" t="s">
        <v>3</v>
      </c>
      <c r="K197" t="s">
        <v>734</v>
      </c>
      <c r="L197">
        <v>1348</v>
      </c>
      <c r="N197">
        <v>1009</v>
      </c>
      <c r="O197" t="s">
        <v>32</v>
      </c>
      <c r="P197" t="s">
        <v>32</v>
      </c>
      <c r="Q197">
        <v>1000</v>
      </c>
      <c r="X197">
        <v>95.8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 t="s">
        <v>3</v>
      </c>
      <c r="AG197">
        <v>95.8</v>
      </c>
      <c r="AH197">
        <v>3</v>
      </c>
      <c r="AI197">
        <v>-1</v>
      </c>
      <c r="AJ197" t="s">
        <v>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ROW(Source!A160)</f>
        <v>160</v>
      </c>
      <c r="B198">
        <v>47636176</v>
      </c>
      <c r="C198">
        <v>47636098</v>
      </c>
      <c r="D198">
        <v>36824289</v>
      </c>
      <c r="E198">
        <v>1</v>
      </c>
      <c r="F198">
        <v>1</v>
      </c>
      <c r="G198">
        <v>1</v>
      </c>
      <c r="H198">
        <v>3</v>
      </c>
      <c r="I198" t="s">
        <v>704</v>
      </c>
      <c r="J198" t="s">
        <v>705</v>
      </c>
      <c r="K198" t="s">
        <v>706</v>
      </c>
      <c r="L198">
        <v>1348</v>
      </c>
      <c r="N198">
        <v>1009</v>
      </c>
      <c r="O198" t="s">
        <v>32</v>
      </c>
      <c r="P198" t="s">
        <v>32</v>
      </c>
      <c r="Q198">
        <v>1000</v>
      </c>
      <c r="X198">
        <v>6.1999999999999998E-3</v>
      </c>
      <c r="Y198">
        <v>5989</v>
      </c>
      <c r="Z198">
        <v>0</v>
      </c>
      <c r="AA198">
        <v>0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6.1999999999999998E-3</v>
      </c>
      <c r="AH198">
        <v>2</v>
      </c>
      <c r="AI198">
        <v>47636176</v>
      </c>
      <c r="AJ198">
        <v>186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ROW(Source!A160)</f>
        <v>160</v>
      </c>
      <c r="B199">
        <v>47636177</v>
      </c>
      <c r="C199">
        <v>47636098</v>
      </c>
      <c r="D199">
        <v>36830315</v>
      </c>
      <c r="E199">
        <v>1</v>
      </c>
      <c r="F199">
        <v>1</v>
      </c>
      <c r="G199">
        <v>1</v>
      </c>
      <c r="H199">
        <v>3</v>
      </c>
      <c r="I199" t="s">
        <v>707</v>
      </c>
      <c r="J199" t="s">
        <v>708</v>
      </c>
      <c r="K199" t="s">
        <v>709</v>
      </c>
      <c r="L199">
        <v>1339</v>
      </c>
      <c r="N199">
        <v>1007</v>
      </c>
      <c r="O199" t="s">
        <v>96</v>
      </c>
      <c r="P199" t="s">
        <v>96</v>
      </c>
      <c r="Q199">
        <v>1</v>
      </c>
      <c r="X199">
        <v>0.15</v>
      </c>
      <c r="Y199">
        <v>1287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0.15</v>
      </c>
      <c r="AH199">
        <v>2</v>
      </c>
      <c r="AI199">
        <v>47636177</v>
      </c>
      <c r="AJ199">
        <v>187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ROW(Source!A163)</f>
        <v>163</v>
      </c>
      <c r="B200">
        <v>47636150</v>
      </c>
      <c r="C200">
        <v>47636149</v>
      </c>
      <c r="D200">
        <v>37071037</v>
      </c>
      <c r="E200">
        <v>1</v>
      </c>
      <c r="F200">
        <v>1</v>
      </c>
      <c r="G200">
        <v>1</v>
      </c>
      <c r="H200">
        <v>1</v>
      </c>
      <c r="I200" t="s">
        <v>693</v>
      </c>
      <c r="J200" t="s">
        <v>3</v>
      </c>
      <c r="K200" t="s">
        <v>694</v>
      </c>
      <c r="L200">
        <v>1191</v>
      </c>
      <c r="N200">
        <v>1013</v>
      </c>
      <c r="O200" t="s">
        <v>487</v>
      </c>
      <c r="P200" t="s">
        <v>487</v>
      </c>
      <c r="Q200">
        <v>1</v>
      </c>
      <c r="X200">
        <v>0.09</v>
      </c>
      <c r="Y200">
        <v>0</v>
      </c>
      <c r="Z200">
        <v>0</v>
      </c>
      <c r="AA200">
        <v>0</v>
      </c>
      <c r="AB200">
        <v>9.6199999999999992</v>
      </c>
      <c r="AC200">
        <v>0</v>
      </c>
      <c r="AD200">
        <v>1</v>
      </c>
      <c r="AE200">
        <v>1</v>
      </c>
      <c r="AF200" t="s">
        <v>346</v>
      </c>
      <c r="AG200">
        <v>0.36</v>
      </c>
      <c r="AH200">
        <v>2</v>
      </c>
      <c r="AI200">
        <v>47636150</v>
      </c>
      <c r="AJ200">
        <v>188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ROW(Source!A163)</f>
        <v>163</v>
      </c>
      <c r="B201">
        <v>47636151</v>
      </c>
      <c r="C201">
        <v>47636149</v>
      </c>
      <c r="D201">
        <v>36882688</v>
      </c>
      <c r="E201">
        <v>1</v>
      </c>
      <c r="F201">
        <v>1</v>
      </c>
      <c r="G201">
        <v>1</v>
      </c>
      <c r="H201">
        <v>2</v>
      </c>
      <c r="I201" t="s">
        <v>698</v>
      </c>
      <c r="J201" t="s">
        <v>699</v>
      </c>
      <c r="K201" t="s">
        <v>700</v>
      </c>
      <c r="L201">
        <v>1368</v>
      </c>
      <c r="N201">
        <v>1011</v>
      </c>
      <c r="O201" t="s">
        <v>505</v>
      </c>
      <c r="P201" t="s">
        <v>505</v>
      </c>
      <c r="Q201">
        <v>1</v>
      </c>
      <c r="X201">
        <v>0.17</v>
      </c>
      <c r="Y201">
        <v>0</v>
      </c>
      <c r="Z201">
        <v>17.2</v>
      </c>
      <c r="AA201">
        <v>0</v>
      </c>
      <c r="AB201">
        <v>0</v>
      </c>
      <c r="AC201">
        <v>0</v>
      </c>
      <c r="AD201">
        <v>1</v>
      </c>
      <c r="AE201">
        <v>0</v>
      </c>
      <c r="AF201" t="s">
        <v>346</v>
      </c>
      <c r="AG201">
        <v>0.68</v>
      </c>
      <c r="AH201">
        <v>2</v>
      </c>
      <c r="AI201">
        <v>47636151</v>
      </c>
      <c r="AJ201">
        <v>189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ROW(Source!A163)</f>
        <v>163</v>
      </c>
      <c r="B202">
        <v>47636152</v>
      </c>
      <c r="C202">
        <v>47636149</v>
      </c>
      <c r="D202">
        <v>36798264</v>
      </c>
      <c r="E202">
        <v>17</v>
      </c>
      <c r="F202">
        <v>1</v>
      </c>
      <c r="G202">
        <v>1</v>
      </c>
      <c r="H202">
        <v>3</v>
      </c>
      <c r="I202" t="s">
        <v>736</v>
      </c>
      <c r="J202" t="s">
        <v>3</v>
      </c>
      <c r="K202" t="s">
        <v>737</v>
      </c>
      <c r="L202">
        <v>1348</v>
      </c>
      <c r="N202">
        <v>1009</v>
      </c>
      <c r="O202" t="s">
        <v>32</v>
      </c>
      <c r="P202" t="s">
        <v>32</v>
      </c>
      <c r="Q202">
        <v>1000</v>
      </c>
      <c r="X202">
        <v>1.4E-3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 t="s">
        <v>346</v>
      </c>
      <c r="AG202">
        <v>5.5999999999999999E-3</v>
      </c>
      <c r="AH202">
        <v>3</v>
      </c>
      <c r="AI202">
        <v>-1</v>
      </c>
      <c r="AJ202" t="s">
        <v>3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ROW(Source!A163)</f>
        <v>163</v>
      </c>
      <c r="B203">
        <v>47636153</v>
      </c>
      <c r="C203">
        <v>47636149</v>
      </c>
      <c r="D203">
        <v>36797302</v>
      </c>
      <c r="E203">
        <v>17</v>
      </c>
      <c r="F203">
        <v>1</v>
      </c>
      <c r="G203">
        <v>1</v>
      </c>
      <c r="H203">
        <v>3</v>
      </c>
      <c r="I203" t="s">
        <v>733</v>
      </c>
      <c r="J203" t="s">
        <v>3</v>
      </c>
      <c r="K203" t="s">
        <v>734</v>
      </c>
      <c r="L203">
        <v>1348</v>
      </c>
      <c r="N203">
        <v>1009</v>
      </c>
      <c r="O203" t="s">
        <v>32</v>
      </c>
      <c r="P203" t="s">
        <v>32</v>
      </c>
      <c r="Q203">
        <v>1000</v>
      </c>
      <c r="X203">
        <v>12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 t="s">
        <v>346</v>
      </c>
      <c r="AG203">
        <v>48</v>
      </c>
      <c r="AH203">
        <v>3</v>
      </c>
      <c r="AI203">
        <v>-1</v>
      </c>
      <c r="AJ203" t="s">
        <v>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ROW(Source!A166)</f>
        <v>166</v>
      </c>
      <c r="B204">
        <v>47636082</v>
      </c>
      <c r="C204">
        <v>47636081</v>
      </c>
      <c r="D204">
        <v>37071037</v>
      </c>
      <c r="E204">
        <v>1</v>
      </c>
      <c r="F204">
        <v>1</v>
      </c>
      <c r="G204">
        <v>1</v>
      </c>
      <c r="H204">
        <v>1</v>
      </c>
      <c r="I204" t="s">
        <v>693</v>
      </c>
      <c r="J204" t="s">
        <v>3</v>
      </c>
      <c r="K204" t="s">
        <v>694</v>
      </c>
      <c r="L204">
        <v>1191</v>
      </c>
      <c r="N204">
        <v>1013</v>
      </c>
      <c r="O204" t="s">
        <v>487</v>
      </c>
      <c r="P204" t="s">
        <v>487</v>
      </c>
      <c r="Q204">
        <v>1</v>
      </c>
      <c r="X204">
        <v>38.299999999999997</v>
      </c>
      <c r="Y204">
        <v>0</v>
      </c>
      <c r="Z204">
        <v>0</v>
      </c>
      <c r="AA204">
        <v>0</v>
      </c>
      <c r="AB204">
        <v>9.6199999999999992</v>
      </c>
      <c r="AC204">
        <v>0</v>
      </c>
      <c r="AD204">
        <v>1</v>
      </c>
      <c r="AE204">
        <v>1</v>
      </c>
      <c r="AF204" t="s">
        <v>53</v>
      </c>
      <c r="AG204">
        <v>50.651749999999993</v>
      </c>
      <c r="AH204">
        <v>2</v>
      </c>
      <c r="AI204">
        <v>47636082</v>
      </c>
      <c r="AJ204">
        <v>192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ROW(Source!A166)</f>
        <v>166</v>
      </c>
      <c r="B205">
        <v>47636083</v>
      </c>
      <c r="C205">
        <v>47636081</v>
      </c>
      <c r="D205">
        <v>37064876</v>
      </c>
      <c r="E205">
        <v>1</v>
      </c>
      <c r="F205">
        <v>1</v>
      </c>
      <c r="G205">
        <v>1</v>
      </c>
      <c r="H205">
        <v>1</v>
      </c>
      <c r="I205" t="s">
        <v>500</v>
      </c>
      <c r="J205" t="s">
        <v>3</v>
      </c>
      <c r="K205" t="s">
        <v>501</v>
      </c>
      <c r="L205">
        <v>1191</v>
      </c>
      <c r="N205">
        <v>1013</v>
      </c>
      <c r="O205" t="s">
        <v>487</v>
      </c>
      <c r="P205" t="s">
        <v>487</v>
      </c>
      <c r="Q205">
        <v>1</v>
      </c>
      <c r="X205">
        <v>19.12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2</v>
      </c>
      <c r="AF205" t="s">
        <v>280</v>
      </c>
      <c r="AG205">
        <v>27.484999999999999</v>
      </c>
      <c r="AH205">
        <v>2</v>
      </c>
      <c r="AI205">
        <v>47636083</v>
      </c>
      <c r="AJ205">
        <v>193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ROW(Source!A166)</f>
        <v>166</v>
      </c>
      <c r="B206">
        <v>47636084</v>
      </c>
      <c r="C206">
        <v>47636081</v>
      </c>
      <c r="D206">
        <v>36882159</v>
      </c>
      <c r="E206">
        <v>1</v>
      </c>
      <c r="F206">
        <v>1</v>
      </c>
      <c r="G206">
        <v>1</v>
      </c>
      <c r="H206">
        <v>2</v>
      </c>
      <c r="I206" t="s">
        <v>518</v>
      </c>
      <c r="J206" t="s">
        <v>519</v>
      </c>
      <c r="K206" t="s">
        <v>520</v>
      </c>
      <c r="L206">
        <v>1368</v>
      </c>
      <c r="N206">
        <v>1011</v>
      </c>
      <c r="O206" t="s">
        <v>505</v>
      </c>
      <c r="P206" t="s">
        <v>505</v>
      </c>
      <c r="Q206">
        <v>1</v>
      </c>
      <c r="X206">
        <v>0.03</v>
      </c>
      <c r="Y206">
        <v>0</v>
      </c>
      <c r="Z206">
        <v>111.99</v>
      </c>
      <c r="AA206">
        <v>13.5</v>
      </c>
      <c r="AB206">
        <v>0</v>
      </c>
      <c r="AC206">
        <v>0</v>
      </c>
      <c r="AD206">
        <v>1</v>
      </c>
      <c r="AE206">
        <v>0</v>
      </c>
      <c r="AF206" t="s">
        <v>280</v>
      </c>
      <c r="AG206">
        <v>4.3124999999999997E-2</v>
      </c>
      <c r="AH206">
        <v>2</v>
      </c>
      <c r="AI206">
        <v>47636084</v>
      </c>
      <c r="AJ206">
        <v>194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ROW(Source!A166)</f>
        <v>166</v>
      </c>
      <c r="B207">
        <v>47636085</v>
      </c>
      <c r="C207">
        <v>47636081</v>
      </c>
      <c r="D207">
        <v>36882672</v>
      </c>
      <c r="E207">
        <v>1</v>
      </c>
      <c r="F207">
        <v>1</v>
      </c>
      <c r="G207">
        <v>1</v>
      </c>
      <c r="H207">
        <v>2</v>
      </c>
      <c r="I207" t="s">
        <v>695</v>
      </c>
      <c r="J207" t="s">
        <v>696</v>
      </c>
      <c r="K207" t="s">
        <v>697</v>
      </c>
      <c r="L207">
        <v>1368</v>
      </c>
      <c r="N207">
        <v>1011</v>
      </c>
      <c r="O207" t="s">
        <v>505</v>
      </c>
      <c r="P207" t="s">
        <v>505</v>
      </c>
      <c r="Q207">
        <v>1</v>
      </c>
      <c r="X207">
        <v>3.19</v>
      </c>
      <c r="Y207">
        <v>0</v>
      </c>
      <c r="Z207">
        <v>195.2</v>
      </c>
      <c r="AA207">
        <v>14.4</v>
      </c>
      <c r="AB207">
        <v>0</v>
      </c>
      <c r="AC207">
        <v>0</v>
      </c>
      <c r="AD207">
        <v>1</v>
      </c>
      <c r="AE207">
        <v>0</v>
      </c>
      <c r="AF207" t="s">
        <v>280</v>
      </c>
      <c r="AG207">
        <v>4.5856250000000003</v>
      </c>
      <c r="AH207">
        <v>2</v>
      </c>
      <c r="AI207">
        <v>47636085</v>
      </c>
      <c r="AJ207">
        <v>195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ROW(Source!A166)</f>
        <v>166</v>
      </c>
      <c r="B208">
        <v>47636086</v>
      </c>
      <c r="C208">
        <v>47636081</v>
      </c>
      <c r="D208">
        <v>36882688</v>
      </c>
      <c r="E208">
        <v>1</v>
      </c>
      <c r="F208">
        <v>1</v>
      </c>
      <c r="G208">
        <v>1</v>
      </c>
      <c r="H208">
        <v>2</v>
      </c>
      <c r="I208" t="s">
        <v>698</v>
      </c>
      <c r="J208" t="s">
        <v>699</v>
      </c>
      <c r="K208" t="s">
        <v>700</v>
      </c>
      <c r="L208">
        <v>1368</v>
      </c>
      <c r="N208">
        <v>1011</v>
      </c>
      <c r="O208" t="s">
        <v>505</v>
      </c>
      <c r="P208" t="s">
        <v>505</v>
      </c>
      <c r="Q208">
        <v>1</v>
      </c>
      <c r="X208">
        <v>1.4</v>
      </c>
      <c r="Y208">
        <v>0</v>
      </c>
      <c r="Z208">
        <v>17.2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280</v>
      </c>
      <c r="AG208">
        <v>2.0124999999999997</v>
      </c>
      <c r="AH208">
        <v>2</v>
      </c>
      <c r="AI208">
        <v>47636086</v>
      </c>
      <c r="AJ208">
        <v>196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ROW(Source!A166)</f>
        <v>166</v>
      </c>
      <c r="B209">
        <v>47636087</v>
      </c>
      <c r="C209">
        <v>47636081</v>
      </c>
      <c r="D209">
        <v>36882722</v>
      </c>
      <c r="E209">
        <v>1</v>
      </c>
      <c r="F209">
        <v>1</v>
      </c>
      <c r="G209">
        <v>1</v>
      </c>
      <c r="H209">
        <v>2</v>
      </c>
      <c r="I209" t="s">
        <v>677</v>
      </c>
      <c r="J209" t="s">
        <v>678</v>
      </c>
      <c r="K209" t="s">
        <v>679</v>
      </c>
      <c r="L209">
        <v>1368</v>
      </c>
      <c r="N209">
        <v>1011</v>
      </c>
      <c r="O209" t="s">
        <v>505</v>
      </c>
      <c r="P209" t="s">
        <v>505</v>
      </c>
      <c r="Q209">
        <v>1</v>
      </c>
      <c r="X209">
        <v>3.96</v>
      </c>
      <c r="Y209">
        <v>0</v>
      </c>
      <c r="Z209">
        <v>75</v>
      </c>
      <c r="AA209">
        <v>11.6</v>
      </c>
      <c r="AB209">
        <v>0</v>
      </c>
      <c r="AC209">
        <v>0</v>
      </c>
      <c r="AD209">
        <v>1</v>
      </c>
      <c r="AE209">
        <v>0</v>
      </c>
      <c r="AF209" t="s">
        <v>280</v>
      </c>
      <c r="AG209">
        <v>5.692499999999999</v>
      </c>
      <c r="AH209">
        <v>2</v>
      </c>
      <c r="AI209">
        <v>47636087</v>
      </c>
      <c r="AJ209">
        <v>197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ROW(Source!A166)</f>
        <v>166</v>
      </c>
      <c r="B210">
        <v>47636088</v>
      </c>
      <c r="C210">
        <v>47636081</v>
      </c>
      <c r="D210">
        <v>36882726</v>
      </c>
      <c r="E210">
        <v>1</v>
      </c>
      <c r="F210">
        <v>1</v>
      </c>
      <c r="G210">
        <v>1</v>
      </c>
      <c r="H210">
        <v>2</v>
      </c>
      <c r="I210" t="s">
        <v>701</v>
      </c>
      <c r="J210" t="s">
        <v>702</v>
      </c>
      <c r="K210" t="s">
        <v>703</v>
      </c>
      <c r="L210">
        <v>1368</v>
      </c>
      <c r="N210">
        <v>1011</v>
      </c>
      <c r="O210" t="s">
        <v>505</v>
      </c>
      <c r="P210" t="s">
        <v>505</v>
      </c>
      <c r="Q210">
        <v>1</v>
      </c>
      <c r="X210">
        <v>11.51</v>
      </c>
      <c r="Y210">
        <v>0</v>
      </c>
      <c r="Z210">
        <v>121</v>
      </c>
      <c r="AA210">
        <v>14.4</v>
      </c>
      <c r="AB210">
        <v>0</v>
      </c>
      <c r="AC210">
        <v>0</v>
      </c>
      <c r="AD210">
        <v>1</v>
      </c>
      <c r="AE210">
        <v>0</v>
      </c>
      <c r="AF210" t="s">
        <v>280</v>
      </c>
      <c r="AG210">
        <v>16.545625000000001</v>
      </c>
      <c r="AH210">
        <v>2</v>
      </c>
      <c r="AI210">
        <v>47636088</v>
      </c>
      <c r="AJ210">
        <v>198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ROW(Source!A166)</f>
        <v>166</v>
      </c>
      <c r="B211">
        <v>47636089</v>
      </c>
      <c r="C211">
        <v>47636081</v>
      </c>
      <c r="D211">
        <v>36883483</v>
      </c>
      <c r="E211">
        <v>1</v>
      </c>
      <c r="F211">
        <v>1</v>
      </c>
      <c r="G211">
        <v>1</v>
      </c>
      <c r="H211">
        <v>2</v>
      </c>
      <c r="I211" t="s">
        <v>672</v>
      </c>
      <c r="J211" t="s">
        <v>673</v>
      </c>
      <c r="K211" t="s">
        <v>674</v>
      </c>
      <c r="L211">
        <v>1368</v>
      </c>
      <c r="N211">
        <v>1011</v>
      </c>
      <c r="O211" t="s">
        <v>505</v>
      </c>
      <c r="P211" t="s">
        <v>505</v>
      </c>
      <c r="Q211">
        <v>1</v>
      </c>
      <c r="X211">
        <v>0.39</v>
      </c>
      <c r="Y211">
        <v>0</v>
      </c>
      <c r="Z211">
        <v>110</v>
      </c>
      <c r="AA211">
        <v>11.6</v>
      </c>
      <c r="AB211">
        <v>0</v>
      </c>
      <c r="AC211">
        <v>0</v>
      </c>
      <c r="AD211">
        <v>1</v>
      </c>
      <c r="AE211">
        <v>0</v>
      </c>
      <c r="AF211" t="s">
        <v>280</v>
      </c>
      <c r="AG211">
        <v>0.56062499999999993</v>
      </c>
      <c r="AH211">
        <v>2</v>
      </c>
      <c r="AI211">
        <v>47636089</v>
      </c>
      <c r="AJ211">
        <v>199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ROW(Source!A166)</f>
        <v>166</v>
      </c>
      <c r="B212">
        <v>47636090</v>
      </c>
      <c r="C212">
        <v>47636081</v>
      </c>
      <c r="D212">
        <v>36883554</v>
      </c>
      <c r="E212">
        <v>1</v>
      </c>
      <c r="F212">
        <v>1</v>
      </c>
      <c r="G212">
        <v>1</v>
      </c>
      <c r="H212">
        <v>2</v>
      </c>
      <c r="I212" t="s">
        <v>509</v>
      </c>
      <c r="J212" t="s">
        <v>510</v>
      </c>
      <c r="K212" t="s">
        <v>511</v>
      </c>
      <c r="L212">
        <v>1368</v>
      </c>
      <c r="N212">
        <v>1011</v>
      </c>
      <c r="O212" t="s">
        <v>505</v>
      </c>
      <c r="P212" t="s">
        <v>505</v>
      </c>
      <c r="Q212">
        <v>1</v>
      </c>
      <c r="X212">
        <v>0.04</v>
      </c>
      <c r="Y212">
        <v>0</v>
      </c>
      <c r="Z212">
        <v>65.709999999999994</v>
      </c>
      <c r="AA212">
        <v>11.6</v>
      </c>
      <c r="AB212">
        <v>0</v>
      </c>
      <c r="AC212">
        <v>0</v>
      </c>
      <c r="AD212">
        <v>1</v>
      </c>
      <c r="AE212">
        <v>0</v>
      </c>
      <c r="AF212" t="s">
        <v>280</v>
      </c>
      <c r="AG212">
        <v>5.7499999999999996E-2</v>
      </c>
      <c r="AH212">
        <v>2</v>
      </c>
      <c r="AI212">
        <v>47636090</v>
      </c>
      <c r="AJ212">
        <v>200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ROW(Source!A166)</f>
        <v>166</v>
      </c>
      <c r="B213">
        <v>47636091</v>
      </c>
      <c r="C213">
        <v>47636081</v>
      </c>
      <c r="D213">
        <v>36798264</v>
      </c>
      <c r="E213">
        <v>17</v>
      </c>
      <c r="F213">
        <v>1</v>
      </c>
      <c r="G213">
        <v>1</v>
      </c>
      <c r="H213">
        <v>3</v>
      </c>
      <c r="I213" t="s">
        <v>736</v>
      </c>
      <c r="J213" t="s">
        <v>3</v>
      </c>
      <c r="K213" t="s">
        <v>737</v>
      </c>
      <c r="L213">
        <v>1348</v>
      </c>
      <c r="N213">
        <v>1009</v>
      </c>
      <c r="O213" t="s">
        <v>32</v>
      </c>
      <c r="P213" t="s">
        <v>32</v>
      </c>
      <c r="Q213">
        <v>1000</v>
      </c>
      <c r="X213">
        <v>1.0800000000000001E-2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 t="s">
        <v>3</v>
      </c>
      <c r="AG213">
        <v>1.0800000000000001E-2</v>
      </c>
      <c r="AH213">
        <v>3</v>
      </c>
      <c r="AI213">
        <v>-1</v>
      </c>
      <c r="AJ213" t="s">
        <v>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ROW(Source!A166)</f>
        <v>166</v>
      </c>
      <c r="B214">
        <v>47636092</v>
      </c>
      <c r="C214">
        <v>47636081</v>
      </c>
      <c r="D214">
        <v>36801792</v>
      </c>
      <c r="E214">
        <v>1</v>
      </c>
      <c r="F214">
        <v>1</v>
      </c>
      <c r="G214">
        <v>1</v>
      </c>
      <c r="H214">
        <v>3</v>
      </c>
      <c r="I214" t="s">
        <v>597</v>
      </c>
      <c r="J214" t="s">
        <v>598</v>
      </c>
      <c r="K214" t="s">
        <v>599</v>
      </c>
      <c r="L214">
        <v>1339</v>
      </c>
      <c r="N214">
        <v>1007</v>
      </c>
      <c r="O214" t="s">
        <v>96</v>
      </c>
      <c r="P214" t="s">
        <v>96</v>
      </c>
      <c r="Q214">
        <v>1</v>
      </c>
      <c r="X214">
        <v>0.2</v>
      </c>
      <c r="Y214">
        <v>2.44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0.2</v>
      </c>
      <c r="AH214">
        <v>2</v>
      </c>
      <c r="AI214">
        <v>47636092</v>
      </c>
      <c r="AJ214">
        <v>202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ROW(Source!A166)</f>
        <v>166</v>
      </c>
      <c r="B215">
        <v>47636093</v>
      </c>
      <c r="C215">
        <v>47636081</v>
      </c>
      <c r="D215">
        <v>36797302</v>
      </c>
      <c r="E215">
        <v>17</v>
      </c>
      <c r="F215">
        <v>1</v>
      </c>
      <c r="G215">
        <v>1</v>
      </c>
      <c r="H215">
        <v>3</v>
      </c>
      <c r="I215" t="s">
        <v>733</v>
      </c>
      <c r="J215" t="s">
        <v>3</v>
      </c>
      <c r="K215" t="s">
        <v>734</v>
      </c>
      <c r="L215">
        <v>1348</v>
      </c>
      <c r="N215">
        <v>1009</v>
      </c>
      <c r="O215" t="s">
        <v>32</v>
      </c>
      <c r="P215" t="s">
        <v>32</v>
      </c>
      <c r="Q215">
        <v>1000</v>
      </c>
      <c r="X215">
        <v>96.6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 t="s">
        <v>3</v>
      </c>
      <c r="AG215">
        <v>96.6</v>
      </c>
      <c r="AH215">
        <v>3</v>
      </c>
      <c r="AI215">
        <v>-1</v>
      </c>
      <c r="AJ215" t="s">
        <v>3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ROW(Source!A166)</f>
        <v>166</v>
      </c>
      <c r="B216">
        <v>47636094</v>
      </c>
      <c r="C216">
        <v>47636081</v>
      </c>
      <c r="D216">
        <v>36824289</v>
      </c>
      <c r="E216">
        <v>1</v>
      </c>
      <c r="F216">
        <v>1</v>
      </c>
      <c r="G216">
        <v>1</v>
      </c>
      <c r="H216">
        <v>3</v>
      </c>
      <c r="I216" t="s">
        <v>704</v>
      </c>
      <c r="J216" t="s">
        <v>705</v>
      </c>
      <c r="K216" t="s">
        <v>706</v>
      </c>
      <c r="L216">
        <v>1348</v>
      </c>
      <c r="N216">
        <v>1009</v>
      </c>
      <c r="O216" t="s">
        <v>32</v>
      </c>
      <c r="P216" t="s">
        <v>32</v>
      </c>
      <c r="Q216">
        <v>1000</v>
      </c>
      <c r="X216">
        <v>6.1999999999999998E-3</v>
      </c>
      <c r="Y216">
        <v>5989</v>
      </c>
      <c r="Z216">
        <v>0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3</v>
      </c>
      <c r="AG216">
        <v>6.1999999999999998E-3</v>
      </c>
      <c r="AH216">
        <v>2</v>
      </c>
      <c r="AI216">
        <v>47636094</v>
      </c>
      <c r="AJ216">
        <v>204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ROW(Source!A166)</f>
        <v>166</v>
      </c>
      <c r="B217">
        <v>47636095</v>
      </c>
      <c r="C217">
        <v>47636081</v>
      </c>
      <c r="D217">
        <v>36830315</v>
      </c>
      <c r="E217">
        <v>1</v>
      </c>
      <c r="F217">
        <v>1</v>
      </c>
      <c r="G217">
        <v>1</v>
      </c>
      <c r="H217">
        <v>3</v>
      </c>
      <c r="I217" t="s">
        <v>707</v>
      </c>
      <c r="J217" t="s">
        <v>708</v>
      </c>
      <c r="K217" t="s">
        <v>709</v>
      </c>
      <c r="L217">
        <v>1339</v>
      </c>
      <c r="N217">
        <v>1007</v>
      </c>
      <c r="O217" t="s">
        <v>96</v>
      </c>
      <c r="P217" t="s">
        <v>96</v>
      </c>
      <c r="Q217">
        <v>1</v>
      </c>
      <c r="X217">
        <v>0.15</v>
      </c>
      <c r="Y217">
        <v>1287</v>
      </c>
      <c r="Z217">
        <v>0</v>
      </c>
      <c r="AA217">
        <v>0</v>
      </c>
      <c r="AB217">
        <v>0</v>
      </c>
      <c r="AC217">
        <v>0</v>
      </c>
      <c r="AD217">
        <v>1</v>
      </c>
      <c r="AE217">
        <v>0</v>
      </c>
      <c r="AF217" t="s">
        <v>3</v>
      </c>
      <c r="AG217">
        <v>0.15</v>
      </c>
      <c r="AH217">
        <v>2</v>
      </c>
      <c r="AI217">
        <v>47636095</v>
      </c>
      <c r="AJ217">
        <v>205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ROW(Source!A203)</f>
        <v>203</v>
      </c>
      <c r="B218">
        <v>47636252</v>
      </c>
      <c r="C218">
        <v>47636247</v>
      </c>
      <c r="D218">
        <v>37066837</v>
      </c>
      <c r="E218">
        <v>1</v>
      </c>
      <c r="F218">
        <v>1</v>
      </c>
      <c r="G218">
        <v>1</v>
      </c>
      <c r="H218">
        <v>1</v>
      </c>
      <c r="I218" t="s">
        <v>654</v>
      </c>
      <c r="J218" t="s">
        <v>3</v>
      </c>
      <c r="K218" t="s">
        <v>655</v>
      </c>
      <c r="L218">
        <v>1191</v>
      </c>
      <c r="N218">
        <v>1013</v>
      </c>
      <c r="O218" t="s">
        <v>487</v>
      </c>
      <c r="P218" t="s">
        <v>487</v>
      </c>
      <c r="Q218">
        <v>1</v>
      </c>
      <c r="X218">
        <v>57.76</v>
      </c>
      <c r="Y218">
        <v>0</v>
      </c>
      <c r="Z218">
        <v>0</v>
      </c>
      <c r="AA218">
        <v>0</v>
      </c>
      <c r="AB218">
        <v>8.31</v>
      </c>
      <c r="AC218">
        <v>0</v>
      </c>
      <c r="AD218">
        <v>1</v>
      </c>
      <c r="AE218">
        <v>1</v>
      </c>
      <c r="AF218" t="s">
        <v>24</v>
      </c>
      <c r="AG218">
        <v>66.423999999999992</v>
      </c>
      <c r="AH218">
        <v>2</v>
      </c>
      <c r="AI218">
        <v>47636248</v>
      </c>
      <c r="AJ218">
        <v>206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ROW(Source!A203)</f>
        <v>203</v>
      </c>
      <c r="B219">
        <v>47636253</v>
      </c>
      <c r="C219">
        <v>47636247</v>
      </c>
      <c r="D219">
        <v>37064876</v>
      </c>
      <c r="E219">
        <v>1</v>
      </c>
      <c r="F219">
        <v>1</v>
      </c>
      <c r="G219">
        <v>1</v>
      </c>
      <c r="H219">
        <v>1</v>
      </c>
      <c r="I219" t="s">
        <v>500</v>
      </c>
      <c r="J219" t="s">
        <v>3</v>
      </c>
      <c r="K219" t="s">
        <v>501</v>
      </c>
      <c r="L219">
        <v>1191</v>
      </c>
      <c r="N219">
        <v>1013</v>
      </c>
      <c r="O219" t="s">
        <v>487</v>
      </c>
      <c r="P219" t="s">
        <v>487</v>
      </c>
      <c r="Q219">
        <v>1</v>
      </c>
      <c r="X219">
        <v>15.7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1</v>
      </c>
      <c r="AE219">
        <v>2</v>
      </c>
      <c r="AF219" t="s">
        <v>24</v>
      </c>
      <c r="AG219">
        <v>18.054999999999996</v>
      </c>
      <c r="AH219">
        <v>2</v>
      </c>
      <c r="AI219">
        <v>47636249</v>
      </c>
      <c r="AJ219">
        <v>207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ROW(Source!A203)</f>
        <v>203</v>
      </c>
      <c r="B220">
        <v>47636254</v>
      </c>
      <c r="C220">
        <v>47636247</v>
      </c>
      <c r="D220">
        <v>36883878</v>
      </c>
      <c r="E220">
        <v>1</v>
      </c>
      <c r="F220">
        <v>1</v>
      </c>
      <c r="G220">
        <v>1</v>
      </c>
      <c r="H220">
        <v>2</v>
      </c>
      <c r="I220" t="s">
        <v>594</v>
      </c>
      <c r="J220" t="s">
        <v>595</v>
      </c>
      <c r="K220" t="s">
        <v>596</v>
      </c>
      <c r="L220">
        <v>1368</v>
      </c>
      <c r="N220">
        <v>1011</v>
      </c>
      <c r="O220" t="s">
        <v>505</v>
      </c>
      <c r="P220" t="s">
        <v>505</v>
      </c>
      <c r="Q220">
        <v>1</v>
      </c>
      <c r="X220">
        <v>15.7</v>
      </c>
      <c r="Y220">
        <v>0</v>
      </c>
      <c r="Z220">
        <v>90</v>
      </c>
      <c r="AA220">
        <v>10.06</v>
      </c>
      <c r="AB220">
        <v>0</v>
      </c>
      <c r="AC220">
        <v>0</v>
      </c>
      <c r="AD220">
        <v>1</v>
      </c>
      <c r="AE220">
        <v>0</v>
      </c>
      <c r="AF220" t="s">
        <v>24</v>
      </c>
      <c r="AG220">
        <v>18.054999999999996</v>
      </c>
      <c r="AH220">
        <v>2</v>
      </c>
      <c r="AI220">
        <v>47636250</v>
      </c>
      <c r="AJ220">
        <v>208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ROW(Source!A203)</f>
        <v>203</v>
      </c>
      <c r="B221">
        <v>47636255</v>
      </c>
      <c r="C221">
        <v>47636247</v>
      </c>
      <c r="D221">
        <v>36884481</v>
      </c>
      <c r="E221">
        <v>1</v>
      </c>
      <c r="F221">
        <v>1</v>
      </c>
      <c r="G221">
        <v>1</v>
      </c>
      <c r="H221">
        <v>2</v>
      </c>
      <c r="I221" t="s">
        <v>656</v>
      </c>
      <c r="J221" t="s">
        <v>657</v>
      </c>
      <c r="K221" t="s">
        <v>658</v>
      </c>
      <c r="L221">
        <v>1368</v>
      </c>
      <c r="N221">
        <v>1011</v>
      </c>
      <c r="O221" t="s">
        <v>505</v>
      </c>
      <c r="P221" t="s">
        <v>505</v>
      </c>
      <c r="Q221">
        <v>1</v>
      </c>
      <c r="X221">
        <v>47.1</v>
      </c>
      <c r="Y221">
        <v>0</v>
      </c>
      <c r="Z221">
        <v>1.53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24</v>
      </c>
      <c r="AG221">
        <v>54.164999999999999</v>
      </c>
      <c r="AH221">
        <v>2</v>
      </c>
      <c r="AI221">
        <v>47636251</v>
      </c>
      <c r="AJ221">
        <v>209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ROW(Source!A204)</f>
        <v>204</v>
      </c>
      <c r="B222">
        <v>47636261</v>
      </c>
      <c r="C222">
        <v>47636256</v>
      </c>
      <c r="D222">
        <v>37066837</v>
      </c>
      <c r="E222">
        <v>1</v>
      </c>
      <c r="F222">
        <v>1</v>
      </c>
      <c r="G222">
        <v>1</v>
      </c>
      <c r="H222">
        <v>1</v>
      </c>
      <c r="I222" t="s">
        <v>654</v>
      </c>
      <c r="J222" t="s">
        <v>3</v>
      </c>
      <c r="K222" t="s">
        <v>655</v>
      </c>
      <c r="L222">
        <v>1191</v>
      </c>
      <c r="N222">
        <v>1013</v>
      </c>
      <c r="O222" t="s">
        <v>487</v>
      </c>
      <c r="P222" t="s">
        <v>487</v>
      </c>
      <c r="Q222">
        <v>1</v>
      </c>
      <c r="X222">
        <v>57.76</v>
      </c>
      <c r="Y222">
        <v>0</v>
      </c>
      <c r="Z222">
        <v>0</v>
      </c>
      <c r="AA222">
        <v>0</v>
      </c>
      <c r="AB222">
        <v>8.31</v>
      </c>
      <c r="AC222">
        <v>0</v>
      </c>
      <c r="AD222">
        <v>1</v>
      </c>
      <c r="AE222">
        <v>1</v>
      </c>
      <c r="AF222" t="s">
        <v>24</v>
      </c>
      <c r="AG222">
        <v>66.423999999999992</v>
      </c>
      <c r="AH222">
        <v>2</v>
      </c>
      <c r="AI222">
        <v>47636257</v>
      </c>
      <c r="AJ222">
        <v>210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ROW(Source!A204)</f>
        <v>204</v>
      </c>
      <c r="B223">
        <v>47636262</v>
      </c>
      <c r="C223">
        <v>47636256</v>
      </c>
      <c r="D223">
        <v>37064876</v>
      </c>
      <c r="E223">
        <v>1</v>
      </c>
      <c r="F223">
        <v>1</v>
      </c>
      <c r="G223">
        <v>1</v>
      </c>
      <c r="H223">
        <v>1</v>
      </c>
      <c r="I223" t="s">
        <v>500</v>
      </c>
      <c r="J223" t="s">
        <v>3</v>
      </c>
      <c r="K223" t="s">
        <v>501</v>
      </c>
      <c r="L223">
        <v>1191</v>
      </c>
      <c r="N223">
        <v>1013</v>
      </c>
      <c r="O223" t="s">
        <v>487</v>
      </c>
      <c r="P223" t="s">
        <v>487</v>
      </c>
      <c r="Q223">
        <v>1</v>
      </c>
      <c r="X223">
        <v>15.7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2</v>
      </c>
      <c r="AF223" t="s">
        <v>24</v>
      </c>
      <c r="AG223">
        <v>18.054999999999996</v>
      </c>
      <c r="AH223">
        <v>2</v>
      </c>
      <c r="AI223">
        <v>47636258</v>
      </c>
      <c r="AJ223">
        <v>211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ROW(Source!A204)</f>
        <v>204</v>
      </c>
      <c r="B224">
        <v>47636263</v>
      </c>
      <c r="C224">
        <v>47636256</v>
      </c>
      <c r="D224">
        <v>36883878</v>
      </c>
      <c r="E224">
        <v>1</v>
      </c>
      <c r="F224">
        <v>1</v>
      </c>
      <c r="G224">
        <v>1</v>
      </c>
      <c r="H224">
        <v>2</v>
      </c>
      <c r="I224" t="s">
        <v>594</v>
      </c>
      <c r="J224" t="s">
        <v>595</v>
      </c>
      <c r="K224" t="s">
        <v>596</v>
      </c>
      <c r="L224">
        <v>1368</v>
      </c>
      <c r="N224">
        <v>1011</v>
      </c>
      <c r="O224" t="s">
        <v>505</v>
      </c>
      <c r="P224" t="s">
        <v>505</v>
      </c>
      <c r="Q224">
        <v>1</v>
      </c>
      <c r="X224">
        <v>15.7</v>
      </c>
      <c r="Y224">
        <v>0</v>
      </c>
      <c r="Z224">
        <v>90</v>
      </c>
      <c r="AA224">
        <v>10.06</v>
      </c>
      <c r="AB224">
        <v>0</v>
      </c>
      <c r="AC224">
        <v>0</v>
      </c>
      <c r="AD224">
        <v>1</v>
      </c>
      <c r="AE224">
        <v>0</v>
      </c>
      <c r="AF224" t="s">
        <v>24</v>
      </c>
      <c r="AG224">
        <v>18.054999999999996</v>
      </c>
      <c r="AH224">
        <v>2</v>
      </c>
      <c r="AI224">
        <v>47636259</v>
      </c>
      <c r="AJ224">
        <v>212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ROW(Source!A204)</f>
        <v>204</v>
      </c>
      <c r="B225">
        <v>47636264</v>
      </c>
      <c r="C225">
        <v>47636256</v>
      </c>
      <c r="D225">
        <v>36884481</v>
      </c>
      <c r="E225">
        <v>1</v>
      </c>
      <c r="F225">
        <v>1</v>
      </c>
      <c r="G225">
        <v>1</v>
      </c>
      <c r="H225">
        <v>2</v>
      </c>
      <c r="I225" t="s">
        <v>656</v>
      </c>
      <c r="J225" t="s">
        <v>657</v>
      </c>
      <c r="K225" t="s">
        <v>658</v>
      </c>
      <c r="L225">
        <v>1368</v>
      </c>
      <c r="N225">
        <v>1011</v>
      </c>
      <c r="O225" t="s">
        <v>505</v>
      </c>
      <c r="P225" t="s">
        <v>505</v>
      </c>
      <c r="Q225">
        <v>1</v>
      </c>
      <c r="X225">
        <v>47.1</v>
      </c>
      <c r="Y225">
        <v>0</v>
      </c>
      <c r="Z225">
        <v>1.53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24</v>
      </c>
      <c r="AG225">
        <v>54.164999999999999</v>
      </c>
      <c r="AH225">
        <v>2</v>
      </c>
      <c r="AI225">
        <v>47636260</v>
      </c>
      <c r="AJ225">
        <v>213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ROW(Source!A205)</f>
        <v>205</v>
      </c>
      <c r="B226">
        <v>47636270</v>
      </c>
      <c r="C226">
        <v>47636265</v>
      </c>
      <c r="D226">
        <v>37065946</v>
      </c>
      <c r="E226">
        <v>1</v>
      </c>
      <c r="F226">
        <v>1</v>
      </c>
      <c r="G226">
        <v>1</v>
      </c>
      <c r="H226">
        <v>1</v>
      </c>
      <c r="I226" t="s">
        <v>659</v>
      </c>
      <c r="J226" t="s">
        <v>3</v>
      </c>
      <c r="K226" t="s">
        <v>660</v>
      </c>
      <c r="L226">
        <v>1191</v>
      </c>
      <c r="N226">
        <v>1013</v>
      </c>
      <c r="O226" t="s">
        <v>487</v>
      </c>
      <c r="P226" t="s">
        <v>487</v>
      </c>
      <c r="Q226">
        <v>1</v>
      </c>
      <c r="X226">
        <v>18.37</v>
      </c>
      <c r="Y226">
        <v>0</v>
      </c>
      <c r="Z226">
        <v>0</v>
      </c>
      <c r="AA226">
        <v>0</v>
      </c>
      <c r="AB226">
        <v>7.87</v>
      </c>
      <c r="AC226">
        <v>0</v>
      </c>
      <c r="AD226">
        <v>1</v>
      </c>
      <c r="AE226">
        <v>1</v>
      </c>
      <c r="AF226" t="s">
        <v>24</v>
      </c>
      <c r="AG226">
        <v>21.125499999999999</v>
      </c>
      <c r="AH226">
        <v>2</v>
      </c>
      <c r="AI226">
        <v>47636266</v>
      </c>
      <c r="AJ226">
        <v>214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ROW(Source!A205)</f>
        <v>205</v>
      </c>
      <c r="B227">
        <v>47636271</v>
      </c>
      <c r="C227">
        <v>47636265</v>
      </c>
      <c r="D227">
        <v>37064876</v>
      </c>
      <c r="E227">
        <v>1</v>
      </c>
      <c r="F227">
        <v>1</v>
      </c>
      <c r="G227">
        <v>1</v>
      </c>
      <c r="H227">
        <v>1</v>
      </c>
      <c r="I227" t="s">
        <v>500</v>
      </c>
      <c r="J227" t="s">
        <v>3</v>
      </c>
      <c r="K227" t="s">
        <v>501</v>
      </c>
      <c r="L227">
        <v>1191</v>
      </c>
      <c r="N227">
        <v>1013</v>
      </c>
      <c r="O227" t="s">
        <v>487</v>
      </c>
      <c r="P227" t="s">
        <v>487</v>
      </c>
      <c r="Q227">
        <v>1</v>
      </c>
      <c r="X227">
        <v>4.6500000000000004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2</v>
      </c>
      <c r="AF227" t="s">
        <v>24</v>
      </c>
      <c r="AG227">
        <v>5.3475000000000001</v>
      </c>
      <c r="AH227">
        <v>2</v>
      </c>
      <c r="AI227">
        <v>47636267</v>
      </c>
      <c r="AJ227">
        <v>215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ROW(Source!A205)</f>
        <v>205</v>
      </c>
      <c r="B228">
        <v>47636272</v>
      </c>
      <c r="C228">
        <v>47636265</v>
      </c>
      <c r="D228">
        <v>36881380</v>
      </c>
      <c r="E228">
        <v>1</v>
      </c>
      <c r="F228">
        <v>1</v>
      </c>
      <c r="G228">
        <v>1</v>
      </c>
      <c r="H228">
        <v>2</v>
      </c>
      <c r="I228" t="s">
        <v>661</v>
      </c>
      <c r="J228" t="s">
        <v>662</v>
      </c>
      <c r="K228" t="s">
        <v>663</v>
      </c>
      <c r="L228">
        <v>1368</v>
      </c>
      <c r="N228">
        <v>1011</v>
      </c>
      <c r="O228" t="s">
        <v>505</v>
      </c>
      <c r="P228" t="s">
        <v>505</v>
      </c>
      <c r="Q228">
        <v>1</v>
      </c>
      <c r="X228">
        <v>2.67</v>
      </c>
      <c r="Y228">
        <v>0</v>
      </c>
      <c r="Z228">
        <v>123</v>
      </c>
      <c r="AA228">
        <v>13.5</v>
      </c>
      <c r="AB228">
        <v>0</v>
      </c>
      <c r="AC228">
        <v>0</v>
      </c>
      <c r="AD228">
        <v>1</v>
      </c>
      <c r="AE228">
        <v>0</v>
      </c>
      <c r="AF228" t="s">
        <v>24</v>
      </c>
      <c r="AG228">
        <v>3.0704999999999996</v>
      </c>
      <c r="AH228">
        <v>2</v>
      </c>
      <c r="AI228">
        <v>47636268</v>
      </c>
      <c r="AJ228">
        <v>216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ROW(Source!A205)</f>
        <v>205</v>
      </c>
      <c r="B229">
        <v>47636273</v>
      </c>
      <c r="C229">
        <v>47636265</v>
      </c>
      <c r="D229">
        <v>36883489</v>
      </c>
      <c r="E229">
        <v>1</v>
      </c>
      <c r="F229">
        <v>1</v>
      </c>
      <c r="G229">
        <v>1</v>
      </c>
      <c r="H229">
        <v>2</v>
      </c>
      <c r="I229" t="s">
        <v>664</v>
      </c>
      <c r="J229" t="s">
        <v>665</v>
      </c>
      <c r="K229" t="s">
        <v>666</v>
      </c>
      <c r="L229">
        <v>1368</v>
      </c>
      <c r="N229">
        <v>1011</v>
      </c>
      <c r="O229" t="s">
        <v>505</v>
      </c>
      <c r="P229" t="s">
        <v>505</v>
      </c>
      <c r="Q229">
        <v>1</v>
      </c>
      <c r="X229">
        <v>1.98</v>
      </c>
      <c r="Y229">
        <v>0</v>
      </c>
      <c r="Z229">
        <v>62.3</v>
      </c>
      <c r="AA229">
        <v>11.6</v>
      </c>
      <c r="AB229">
        <v>0</v>
      </c>
      <c r="AC229">
        <v>0</v>
      </c>
      <c r="AD229">
        <v>1</v>
      </c>
      <c r="AE229">
        <v>0</v>
      </c>
      <c r="AF229" t="s">
        <v>24</v>
      </c>
      <c r="AG229">
        <v>2.2769999999999997</v>
      </c>
      <c r="AH229">
        <v>2</v>
      </c>
      <c r="AI229">
        <v>47636269</v>
      </c>
      <c r="AJ229">
        <v>217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ROW(Source!A209)</f>
        <v>209</v>
      </c>
      <c r="B230">
        <v>47636285</v>
      </c>
      <c r="C230">
        <v>47636276</v>
      </c>
      <c r="D230">
        <v>37066491</v>
      </c>
      <c r="E230">
        <v>1</v>
      </c>
      <c r="F230">
        <v>1</v>
      </c>
      <c r="G230">
        <v>1</v>
      </c>
      <c r="H230">
        <v>1</v>
      </c>
      <c r="I230" t="s">
        <v>667</v>
      </c>
      <c r="J230" t="s">
        <v>3</v>
      </c>
      <c r="K230" t="s">
        <v>668</v>
      </c>
      <c r="L230">
        <v>1191</v>
      </c>
      <c r="N230">
        <v>1013</v>
      </c>
      <c r="O230" t="s">
        <v>487</v>
      </c>
      <c r="P230" t="s">
        <v>487</v>
      </c>
      <c r="Q230">
        <v>1</v>
      </c>
      <c r="X230">
        <v>15.72</v>
      </c>
      <c r="Y230">
        <v>0</v>
      </c>
      <c r="Z230">
        <v>0</v>
      </c>
      <c r="AA230">
        <v>0</v>
      </c>
      <c r="AB230">
        <v>8.02</v>
      </c>
      <c r="AC230">
        <v>0</v>
      </c>
      <c r="AD230">
        <v>1</v>
      </c>
      <c r="AE230">
        <v>1</v>
      </c>
      <c r="AF230" t="s">
        <v>53</v>
      </c>
      <c r="AG230">
        <v>20.789699999999996</v>
      </c>
      <c r="AH230">
        <v>2</v>
      </c>
      <c r="AI230">
        <v>47636277</v>
      </c>
      <c r="AJ230">
        <v>218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ROW(Source!A209)</f>
        <v>209</v>
      </c>
      <c r="B231">
        <v>47636286</v>
      </c>
      <c r="C231">
        <v>47636276</v>
      </c>
      <c r="D231">
        <v>37064876</v>
      </c>
      <c r="E231">
        <v>1</v>
      </c>
      <c r="F231">
        <v>1</v>
      </c>
      <c r="G231">
        <v>1</v>
      </c>
      <c r="H231">
        <v>1</v>
      </c>
      <c r="I231" t="s">
        <v>500</v>
      </c>
      <c r="J231" t="s">
        <v>3</v>
      </c>
      <c r="K231" t="s">
        <v>501</v>
      </c>
      <c r="L231">
        <v>1191</v>
      </c>
      <c r="N231">
        <v>1013</v>
      </c>
      <c r="O231" t="s">
        <v>487</v>
      </c>
      <c r="P231" t="s">
        <v>487</v>
      </c>
      <c r="Q231">
        <v>1</v>
      </c>
      <c r="X231">
        <v>13.88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2</v>
      </c>
      <c r="AF231" t="s">
        <v>280</v>
      </c>
      <c r="AG231">
        <v>19.952500000000001</v>
      </c>
      <c r="AH231">
        <v>2</v>
      </c>
      <c r="AI231">
        <v>47636278</v>
      </c>
      <c r="AJ231">
        <v>219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ROW(Source!A209)</f>
        <v>209</v>
      </c>
      <c r="B232">
        <v>47636287</v>
      </c>
      <c r="C232">
        <v>47636276</v>
      </c>
      <c r="D232">
        <v>36881380</v>
      </c>
      <c r="E232">
        <v>1</v>
      </c>
      <c r="F232">
        <v>1</v>
      </c>
      <c r="G232">
        <v>1</v>
      </c>
      <c r="H232">
        <v>2</v>
      </c>
      <c r="I232" t="s">
        <v>661</v>
      </c>
      <c r="J232" t="s">
        <v>662</v>
      </c>
      <c r="K232" t="s">
        <v>663</v>
      </c>
      <c r="L232">
        <v>1368</v>
      </c>
      <c r="N232">
        <v>1011</v>
      </c>
      <c r="O232" t="s">
        <v>505</v>
      </c>
      <c r="P232" t="s">
        <v>505</v>
      </c>
      <c r="Q232">
        <v>1</v>
      </c>
      <c r="X232">
        <v>1.77</v>
      </c>
      <c r="Y232">
        <v>0</v>
      </c>
      <c r="Z232">
        <v>123</v>
      </c>
      <c r="AA232">
        <v>13.5</v>
      </c>
      <c r="AB232">
        <v>0</v>
      </c>
      <c r="AC232">
        <v>0</v>
      </c>
      <c r="AD232">
        <v>1</v>
      </c>
      <c r="AE232">
        <v>0</v>
      </c>
      <c r="AF232" t="s">
        <v>280</v>
      </c>
      <c r="AG232">
        <v>2.5443749999999996</v>
      </c>
      <c r="AH232">
        <v>2</v>
      </c>
      <c r="AI232">
        <v>47636279</v>
      </c>
      <c r="AJ232">
        <v>220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ROW(Source!A209)</f>
        <v>209</v>
      </c>
      <c r="B233">
        <v>47636288</v>
      </c>
      <c r="C233">
        <v>47636276</v>
      </c>
      <c r="D233">
        <v>36882383</v>
      </c>
      <c r="E233">
        <v>1</v>
      </c>
      <c r="F233">
        <v>1</v>
      </c>
      <c r="G233">
        <v>1</v>
      </c>
      <c r="H233">
        <v>2</v>
      </c>
      <c r="I233" t="s">
        <v>629</v>
      </c>
      <c r="J233" t="s">
        <v>630</v>
      </c>
      <c r="K233" t="s">
        <v>631</v>
      </c>
      <c r="L233">
        <v>1368</v>
      </c>
      <c r="N233">
        <v>1011</v>
      </c>
      <c r="O233" t="s">
        <v>505</v>
      </c>
      <c r="P233" t="s">
        <v>505</v>
      </c>
      <c r="Q233">
        <v>1</v>
      </c>
      <c r="X233">
        <v>4.29</v>
      </c>
      <c r="Y233">
        <v>0</v>
      </c>
      <c r="Z233">
        <v>89.99</v>
      </c>
      <c r="AA233">
        <v>10.06</v>
      </c>
      <c r="AB233">
        <v>0</v>
      </c>
      <c r="AC233">
        <v>0</v>
      </c>
      <c r="AD233">
        <v>1</v>
      </c>
      <c r="AE233">
        <v>0</v>
      </c>
      <c r="AF233" t="s">
        <v>280</v>
      </c>
      <c r="AG233">
        <v>6.1668749999999992</v>
      </c>
      <c r="AH233">
        <v>2</v>
      </c>
      <c r="AI233">
        <v>47636280</v>
      </c>
      <c r="AJ233">
        <v>221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ROW(Source!A209)</f>
        <v>209</v>
      </c>
      <c r="B234">
        <v>47636289</v>
      </c>
      <c r="C234">
        <v>47636276</v>
      </c>
      <c r="D234">
        <v>36882750</v>
      </c>
      <c r="E234">
        <v>1</v>
      </c>
      <c r="F234">
        <v>1</v>
      </c>
      <c r="G234">
        <v>1</v>
      </c>
      <c r="H234">
        <v>2</v>
      </c>
      <c r="I234" t="s">
        <v>669</v>
      </c>
      <c r="J234" t="s">
        <v>670</v>
      </c>
      <c r="K234" t="s">
        <v>671</v>
      </c>
      <c r="L234">
        <v>1368</v>
      </c>
      <c r="N234">
        <v>1011</v>
      </c>
      <c r="O234" t="s">
        <v>505</v>
      </c>
      <c r="P234" t="s">
        <v>505</v>
      </c>
      <c r="Q234">
        <v>1</v>
      </c>
      <c r="X234">
        <v>7.08</v>
      </c>
      <c r="Y234">
        <v>0</v>
      </c>
      <c r="Z234">
        <v>206.01</v>
      </c>
      <c r="AA234">
        <v>14.4</v>
      </c>
      <c r="AB234">
        <v>0</v>
      </c>
      <c r="AC234">
        <v>0</v>
      </c>
      <c r="AD234">
        <v>1</v>
      </c>
      <c r="AE234">
        <v>0</v>
      </c>
      <c r="AF234" t="s">
        <v>280</v>
      </c>
      <c r="AG234">
        <v>10.177499999999998</v>
      </c>
      <c r="AH234">
        <v>2</v>
      </c>
      <c r="AI234">
        <v>47636281</v>
      </c>
      <c r="AJ234">
        <v>222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ROW(Source!A209)</f>
        <v>209</v>
      </c>
      <c r="B235">
        <v>47636290</v>
      </c>
      <c r="C235">
        <v>47636276</v>
      </c>
      <c r="D235">
        <v>36883483</v>
      </c>
      <c r="E235">
        <v>1</v>
      </c>
      <c r="F235">
        <v>1</v>
      </c>
      <c r="G235">
        <v>1</v>
      </c>
      <c r="H235">
        <v>2</v>
      </c>
      <c r="I235" t="s">
        <v>672</v>
      </c>
      <c r="J235" t="s">
        <v>673</v>
      </c>
      <c r="K235" t="s">
        <v>674</v>
      </c>
      <c r="L235">
        <v>1368</v>
      </c>
      <c r="N235">
        <v>1011</v>
      </c>
      <c r="O235" t="s">
        <v>505</v>
      </c>
      <c r="P235" t="s">
        <v>505</v>
      </c>
      <c r="Q235">
        <v>1</v>
      </c>
      <c r="X235">
        <v>0.74</v>
      </c>
      <c r="Y235">
        <v>0</v>
      </c>
      <c r="Z235">
        <v>110</v>
      </c>
      <c r="AA235">
        <v>11.6</v>
      </c>
      <c r="AB235">
        <v>0</v>
      </c>
      <c r="AC235">
        <v>0</v>
      </c>
      <c r="AD235">
        <v>1</v>
      </c>
      <c r="AE235">
        <v>0</v>
      </c>
      <c r="AF235" t="s">
        <v>280</v>
      </c>
      <c r="AG235">
        <v>1.06375</v>
      </c>
      <c r="AH235">
        <v>2</v>
      </c>
      <c r="AI235">
        <v>47636282</v>
      </c>
      <c r="AJ235">
        <v>223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ROW(Source!A209)</f>
        <v>209</v>
      </c>
      <c r="B236">
        <v>47636291</v>
      </c>
      <c r="C236">
        <v>47636276</v>
      </c>
      <c r="D236">
        <v>36801792</v>
      </c>
      <c r="E236">
        <v>1</v>
      </c>
      <c r="F236">
        <v>1</v>
      </c>
      <c r="G236">
        <v>1</v>
      </c>
      <c r="H236">
        <v>3</v>
      </c>
      <c r="I236" t="s">
        <v>597</v>
      </c>
      <c r="J236" t="s">
        <v>598</v>
      </c>
      <c r="K236" t="s">
        <v>599</v>
      </c>
      <c r="L236">
        <v>1339</v>
      </c>
      <c r="N236">
        <v>1007</v>
      </c>
      <c r="O236" t="s">
        <v>96</v>
      </c>
      <c r="P236" t="s">
        <v>96</v>
      </c>
      <c r="Q236">
        <v>1</v>
      </c>
      <c r="X236">
        <v>5</v>
      </c>
      <c r="Y236">
        <v>2.44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</v>
      </c>
      <c r="AG236">
        <v>5</v>
      </c>
      <c r="AH236">
        <v>2</v>
      </c>
      <c r="AI236">
        <v>47636283</v>
      </c>
      <c r="AJ236">
        <v>224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ROW(Source!A209)</f>
        <v>209</v>
      </c>
      <c r="B237">
        <v>47636292</v>
      </c>
      <c r="C237">
        <v>47636276</v>
      </c>
      <c r="D237">
        <v>36796087</v>
      </c>
      <c r="E237">
        <v>17</v>
      </c>
      <c r="F237">
        <v>1</v>
      </c>
      <c r="G237">
        <v>1</v>
      </c>
      <c r="H237">
        <v>3</v>
      </c>
      <c r="I237" t="s">
        <v>718</v>
      </c>
      <c r="J237" t="s">
        <v>3</v>
      </c>
      <c r="K237" t="s">
        <v>719</v>
      </c>
      <c r="L237">
        <v>1339</v>
      </c>
      <c r="N237">
        <v>1007</v>
      </c>
      <c r="O237" t="s">
        <v>96</v>
      </c>
      <c r="P237" t="s">
        <v>96</v>
      </c>
      <c r="Q237">
        <v>1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1</v>
      </c>
      <c r="AD237">
        <v>0</v>
      </c>
      <c r="AE237">
        <v>0</v>
      </c>
      <c r="AF237" t="s">
        <v>3</v>
      </c>
      <c r="AG237">
        <v>0</v>
      </c>
      <c r="AH237">
        <v>3</v>
      </c>
      <c r="AI237">
        <v>-1</v>
      </c>
      <c r="AJ237" t="s">
        <v>3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ROW(Source!A211)</f>
        <v>211</v>
      </c>
      <c r="B238">
        <v>47636304</v>
      </c>
      <c r="C238">
        <v>47636294</v>
      </c>
      <c r="D238">
        <v>37068148</v>
      </c>
      <c r="E238">
        <v>1</v>
      </c>
      <c r="F238">
        <v>1</v>
      </c>
      <c r="G238">
        <v>1</v>
      </c>
      <c r="H238">
        <v>1</v>
      </c>
      <c r="I238" t="s">
        <v>688</v>
      </c>
      <c r="J238" t="s">
        <v>3</v>
      </c>
      <c r="K238" t="s">
        <v>689</v>
      </c>
      <c r="L238">
        <v>1191</v>
      </c>
      <c r="N238">
        <v>1013</v>
      </c>
      <c r="O238" t="s">
        <v>487</v>
      </c>
      <c r="P238" t="s">
        <v>487</v>
      </c>
      <c r="Q238">
        <v>1</v>
      </c>
      <c r="X238">
        <v>24.19</v>
      </c>
      <c r="Y238">
        <v>0</v>
      </c>
      <c r="Z238">
        <v>0</v>
      </c>
      <c r="AA238">
        <v>0</v>
      </c>
      <c r="AB238">
        <v>8.09</v>
      </c>
      <c r="AC238">
        <v>0</v>
      </c>
      <c r="AD238">
        <v>1</v>
      </c>
      <c r="AE238">
        <v>1</v>
      </c>
      <c r="AF238" t="s">
        <v>53</v>
      </c>
      <c r="AG238">
        <v>31.991274999999998</v>
      </c>
      <c r="AH238">
        <v>2</v>
      </c>
      <c r="AI238">
        <v>47636295</v>
      </c>
      <c r="AJ238">
        <v>226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ROW(Source!A211)</f>
        <v>211</v>
      </c>
      <c r="B239">
        <v>47636305</v>
      </c>
      <c r="C239">
        <v>47636294</v>
      </c>
      <c r="D239">
        <v>37064876</v>
      </c>
      <c r="E239">
        <v>1</v>
      </c>
      <c r="F239">
        <v>1</v>
      </c>
      <c r="G239">
        <v>1</v>
      </c>
      <c r="H239">
        <v>1</v>
      </c>
      <c r="I239" t="s">
        <v>500</v>
      </c>
      <c r="J239" t="s">
        <v>3</v>
      </c>
      <c r="K239" t="s">
        <v>501</v>
      </c>
      <c r="L239">
        <v>1191</v>
      </c>
      <c r="N239">
        <v>1013</v>
      </c>
      <c r="O239" t="s">
        <v>487</v>
      </c>
      <c r="P239" t="s">
        <v>487</v>
      </c>
      <c r="Q239">
        <v>1</v>
      </c>
      <c r="X239">
        <v>20.6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2</v>
      </c>
      <c r="AF239" t="s">
        <v>280</v>
      </c>
      <c r="AG239">
        <v>29.612500000000001</v>
      </c>
      <c r="AH239">
        <v>2</v>
      </c>
      <c r="AI239">
        <v>47636296</v>
      </c>
      <c r="AJ239">
        <v>227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ROW(Source!A211)</f>
        <v>211</v>
      </c>
      <c r="B240">
        <v>47636306</v>
      </c>
      <c r="C240">
        <v>47636294</v>
      </c>
      <c r="D240">
        <v>36881356</v>
      </c>
      <c r="E240">
        <v>1</v>
      </c>
      <c r="F240">
        <v>1</v>
      </c>
      <c r="G240">
        <v>1</v>
      </c>
      <c r="H240">
        <v>2</v>
      </c>
      <c r="I240" t="s">
        <v>690</v>
      </c>
      <c r="J240" t="s">
        <v>691</v>
      </c>
      <c r="K240" t="s">
        <v>692</v>
      </c>
      <c r="L240">
        <v>1368</v>
      </c>
      <c r="N240">
        <v>1011</v>
      </c>
      <c r="O240" t="s">
        <v>505</v>
      </c>
      <c r="P240" t="s">
        <v>505</v>
      </c>
      <c r="Q240">
        <v>1</v>
      </c>
      <c r="X240">
        <v>2.59</v>
      </c>
      <c r="Y240">
        <v>0</v>
      </c>
      <c r="Z240">
        <v>79.069999999999993</v>
      </c>
      <c r="AA240">
        <v>13.5</v>
      </c>
      <c r="AB240">
        <v>0</v>
      </c>
      <c r="AC240">
        <v>0</v>
      </c>
      <c r="AD240">
        <v>1</v>
      </c>
      <c r="AE240">
        <v>0</v>
      </c>
      <c r="AF240" t="s">
        <v>280</v>
      </c>
      <c r="AG240">
        <v>3.7231249999999996</v>
      </c>
      <c r="AH240">
        <v>2</v>
      </c>
      <c r="AI240">
        <v>47636297</v>
      </c>
      <c r="AJ240">
        <v>228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ROW(Source!A211)</f>
        <v>211</v>
      </c>
      <c r="B241">
        <v>47636307</v>
      </c>
      <c r="C241">
        <v>47636294</v>
      </c>
      <c r="D241">
        <v>36881380</v>
      </c>
      <c r="E241">
        <v>1</v>
      </c>
      <c r="F241">
        <v>1</v>
      </c>
      <c r="G241">
        <v>1</v>
      </c>
      <c r="H241">
        <v>2</v>
      </c>
      <c r="I241" t="s">
        <v>661</v>
      </c>
      <c r="J241" t="s">
        <v>662</v>
      </c>
      <c r="K241" t="s">
        <v>663</v>
      </c>
      <c r="L241">
        <v>1368</v>
      </c>
      <c r="N241">
        <v>1011</v>
      </c>
      <c r="O241" t="s">
        <v>505</v>
      </c>
      <c r="P241" t="s">
        <v>505</v>
      </c>
      <c r="Q241">
        <v>1</v>
      </c>
      <c r="X241">
        <v>2.2999999999999998</v>
      </c>
      <c r="Y241">
        <v>0</v>
      </c>
      <c r="Z241">
        <v>123</v>
      </c>
      <c r="AA241">
        <v>13.5</v>
      </c>
      <c r="AB241">
        <v>0</v>
      </c>
      <c r="AC241">
        <v>0</v>
      </c>
      <c r="AD241">
        <v>1</v>
      </c>
      <c r="AE241">
        <v>0</v>
      </c>
      <c r="AF241" t="s">
        <v>280</v>
      </c>
      <c r="AG241">
        <v>3.3062499999999995</v>
      </c>
      <c r="AH241">
        <v>2</v>
      </c>
      <c r="AI241">
        <v>47636298</v>
      </c>
      <c r="AJ241">
        <v>229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ROW(Source!A211)</f>
        <v>211</v>
      </c>
      <c r="B242">
        <v>47636308</v>
      </c>
      <c r="C242">
        <v>47636294</v>
      </c>
      <c r="D242">
        <v>36882383</v>
      </c>
      <c r="E242">
        <v>1</v>
      </c>
      <c r="F242">
        <v>1</v>
      </c>
      <c r="G242">
        <v>1</v>
      </c>
      <c r="H242">
        <v>2</v>
      </c>
      <c r="I242" t="s">
        <v>629</v>
      </c>
      <c r="J242" t="s">
        <v>630</v>
      </c>
      <c r="K242" t="s">
        <v>631</v>
      </c>
      <c r="L242">
        <v>1368</v>
      </c>
      <c r="N242">
        <v>1011</v>
      </c>
      <c r="O242" t="s">
        <v>505</v>
      </c>
      <c r="P242" t="s">
        <v>505</v>
      </c>
      <c r="Q242">
        <v>1</v>
      </c>
      <c r="X242">
        <v>2.46</v>
      </c>
      <c r="Y242">
        <v>0</v>
      </c>
      <c r="Z242">
        <v>89.99</v>
      </c>
      <c r="AA242">
        <v>10.06</v>
      </c>
      <c r="AB242">
        <v>0</v>
      </c>
      <c r="AC242">
        <v>0</v>
      </c>
      <c r="AD242">
        <v>1</v>
      </c>
      <c r="AE242">
        <v>0</v>
      </c>
      <c r="AF242" t="s">
        <v>280</v>
      </c>
      <c r="AG242">
        <v>3.5362499999999999</v>
      </c>
      <c r="AH242">
        <v>2</v>
      </c>
      <c r="AI242">
        <v>47636299</v>
      </c>
      <c r="AJ242">
        <v>230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ROW(Source!A211)</f>
        <v>211</v>
      </c>
      <c r="B243">
        <v>47636309</v>
      </c>
      <c r="C243">
        <v>47636294</v>
      </c>
      <c r="D243">
        <v>36882750</v>
      </c>
      <c r="E243">
        <v>1</v>
      </c>
      <c r="F243">
        <v>1</v>
      </c>
      <c r="G243">
        <v>1</v>
      </c>
      <c r="H243">
        <v>2</v>
      </c>
      <c r="I243" t="s">
        <v>669</v>
      </c>
      <c r="J243" t="s">
        <v>670</v>
      </c>
      <c r="K243" t="s">
        <v>671</v>
      </c>
      <c r="L243">
        <v>1368</v>
      </c>
      <c r="N243">
        <v>1011</v>
      </c>
      <c r="O243" t="s">
        <v>505</v>
      </c>
      <c r="P243" t="s">
        <v>505</v>
      </c>
      <c r="Q243">
        <v>1</v>
      </c>
      <c r="X243">
        <v>12.21</v>
      </c>
      <c r="Y243">
        <v>0</v>
      </c>
      <c r="Z243">
        <v>206.01</v>
      </c>
      <c r="AA243">
        <v>14.4</v>
      </c>
      <c r="AB243">
        <v>0</v>
      </c>
      <c r="AC243">
        <v>0</v>
      </c>
      <c r="AD243">
        <v>1</v>
      </c>
      <c r="AE243">
        <v>0</v>
      </c>
      <c r="AF243" t="s">
        <v>280</v>
      </c>
      <c r="AG243">
        <v>17.551874999999999</v>
      </c>
      <c r="AH243">
        <v>2</v>
      </c>
      <c r="AI243">
        <v>47636300</v>
      </c>
      <c r="AJ243">
        <v>231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ROW(Source!A211)</f>
        <v>211</v>
      </c>
      <c r="B244">
        <v>47636310</v>
      </c>
      <c r="C244">
        <v>47636294</v>
      </c>
      <c r="D244">
        <v>36883483</v>
      </c>
      <c r="E244">
        <v>1</v>
      </c>
      <c r="F244">
        <v>1</v>
      </c>
      <c r="G244">
        <v>1</v>
      </c>
      <c r="H244">
        <v>2</v>
      </c>
      <c r="I244" t="s">
        <v>672</v>
      </c>
      <c r="J244" t="s">
        <v>673</v>
      </c>
      <c r="K244" t="s">
        <v>674</v>
      </c>
      <c r="L244">
        <v>1368</v>
      </c>
      <c r="N244">
        <v>1011</v>
      </c>
      <c r="O244" t="s">
        <v>505</v>
      </c>
      <c r="P244" t="s">
        <v>505</v>
      </c>
      <c r="Q244">
        <v>1</v>
      </c>
      <c r="X244">
        <v>1.04</v>
      </c>
      <c r="Y244">
        <v>0</v>
      </c>
      <c r="Z244">
        <v>110</v>
      </c>
      <c r="AA244">
        <v>11.6</v>
      </c>
      <c r="AB244">
        <v>0</v>
      </c>
      <c r="AC244">
        <v>0</v>
      </c>
      <c r="AD244">
        <v>1</v>
      </c>
      <c r="AE244">
        <v>0</v>
      </c>
      <c r="AF244" t="s">
        <v>280</v>
      </c>
      <c r="AG244">
        <v>1.4949999999999999</v>
      </c>
      <c r="AH244">
        <v>2</v>
      </c>
      <c r="AI244">
        <v>47636301</v>
      </c>
      <c r="AJ244">
        <v>232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ROW(Source!A211)</f>
        <v>211</v>
      </c>
      <c r="B245">
        <v>47636311</v>
      </c>
      <c r="C245">
        <v>47636294</v>
      </c>
      <c r="D245">
        <v>36801792</v>
      </c>
      <c r="E245">
        <v>1</v>
      </c>
      <c r="F245">
        <v>1</v>
      </c>
      <c r="G245">
        <v>1</v>
      </c>
      <c r="H245">
        <v>3</v>
      </c>
      <c r="I245" t="s">
        <v>597</v>
      </c>
      <c r="J245" t="s">
        <v>598</v>
      </c>
      <c r="K245" t="s">
        <v>599</v>
      </c>
      <c r="L245">
        <v>1339</v>
      </c>
      <c r="N245">
        <v>1007</v>
      </c>
      <c r="O245" t="s">
        <v>96</v>
      </c>
      <c r="P245" t="s">
        <v>96</v>
      </c>
      <c r="Q245">
        <v>1</v>
      </c>
      <c r="X245">
        <v>7</v>
      </c>
      <c r="Y245">
        <v>2.44</v>
      </c>
      <c r="Z245">
        <v>0</v>
      </c>
      <c r="AA245">
        <v>0</v>
      </c>
      <c r="AB245">
        <v>0</v>
      </c>
      <c r="AC245">
        <v>0</v>
      </c>
      <c r="AD245">
        <v>1</v>
      </c>
      <c r="AE245">
        <v>0</v>
      </c>
      <c r="AF245" t="s">
        <v>3</v>
      </c>
      <c r="AG245">
        <v>7</v>
      </c>
      <c r="AH245">
        <v>2</v>
      </c>
      <c r="AI245">
        <v>47636302</v>
      </c>
      <c r="AJ245">
        <v>233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ROW(Source!A211)</f>
        <v>211</v>
      </c>
      <c r="B246">
        <v>47636312</v>
      </c>
      <c r="C246">
        <v>47636294</v>
      </c>
      <c r="D246">
        <v>36796092</v>
      </c>
      <c r="E246">
        <v>17</v>
      </c>
      <c r="F246">
        <v>1</v>
      </c>
      <c r="G246">
        <v>1</v>
      </c>
      <c r="H246">
        <v>3</v>
      </c>
      <c r="I246" t="s">
        <v>731</v>
      </c>
      <c r="J246" t="s">
        <v>3</v>
      </c>
      <c r="K246" t="s">
        <v>735</v>
      </c>
      <c r="L246">
        <v>1339</v>
      </c>
      <c r="N246">
        <v>1007</v>
      </c>
      <c r="O246" t="s">
        <v>96</v>
      </c>
      <c r="P246" t="s">
        <v>96</v>
      </c>
      <c r="Q246">
        <v>1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1</v>
      </c>
      <c r="AD246">
        <v>0</v>
      </c>
      <c r="AE246">
        <v>0</v>
      </c>
      <c r="AF246" t="s">
        <v>3</v>
      </c>
      <c r="AG246">
        <v>0</v>
      </c>
      <c r="AH246">
        <v>3</v>
      </c>
      <c r="AI246">
        <v>-1</v>
      </c>
      <c r="AJ246" t="s">
        <v>3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ROW(Source!A213)</f>
        <v>213</v>
      </c>
      <c r="B247">
        <v>47636329</v>
      </c>
      <c r="C247">
        <v>47636314</v>
      </c>
      <c r="D247">
        <v>37071037</v>
      </c>
      <c r="E247">
        <v>1</v>
      </c>
      <c r="F247">
        <v>1</v>
      </c>
      <c r="G247">
        <v>1</v>
      </c>
      <c r="H247">
        <v>1</v>
      </c>
      <c r="I247" t="s">
        <v>693</v>
      </c>
      <c r="J247" t="s">
        <v>3</v>
      </c>
      <c r="K247" t="s">
        <v>694</v>
      </c>
      <c r="L247">
        <v>1191</v>
      </c>
      <c r="N247">
        <v>1013</v>
      </c>
      <c r="O247" t="s">
        <v>487</v>
      </c>
      <c r="P247" t="s">
        <v>487</v>
      </c>
      <c r="Q247">
        <v>1</v>
      </c>
      <c r="X247">
        <v>38.299999999999997</v>
      </c>
      <c r="Y247">
        <v>0</v>
      </c>
      <c r="Z247">
        <v>0</v>
      </c>
      <c r="AA247">
        <v>0</v>
      </c>
      <c r="AB247">
        <v>9.6199999999999992</v>
      </c>
      <c r="AC247">
        <v>0</v>
      </c>
      <c r="AD247">
        <v>1</v>
      </c>
      <c r="AE247">
        <v>1</v>
      </c>
      <c r="AF247" t="s">
        <v>53</v>
      </c>
      <c r="AG247">
        <v>50.651749999999993</v>
      </c>
      <c r="AH247">
        <v>2</v>
      </c>
      <c r="AI247">
        <v>47636315</v>
      </c>
      <c r="AJ247">
        <v>235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ROW(Source!A213)</f>
        <v>213</v>
      </c>
      <c r="B248">
        <v>47636330</v>
      </c>
      <c r="C248">
        <v>47636314</v>
      </c>
      <c r="D248">
        <v>37064876</v>
      </c>
      <c r="E248">
        <v>1</v>
      </c>
      <c r="F248">
        <v>1</v>
      </c>
      <c r="G248">
        <v>1</v>
      </c>
      <c r="H248">
        <v>1</v>
      </c>
      <c r="I248" t="s">
        <v>500</v>
      </c>
      <c r="J248" t="s">
        <v>3</v>
      </c>
      <c r="K248" t="s">
        <v>501</v>
      </c>
      <c r="L248">
        <v>1191</v>
      </c>
      <c r="N248">
        <v>1013</v>
      </c>
      <c r="O248" t="s">
        <v>487</v>
      </c>
      <c r="P248" t="s">
        <v>487</v>
      </c>
      <c r="Q248">
        <v>1</v>
      </c>
      <c r="X248">
        <v>19.12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2</v>
      </c>
      <c r="AF248" t="s">
        <v>280</v>
      </c>
      <c r="AG248">
        <v>27.484999999999999</v>
      </c>
      <c r="AH248">
        <v>2</v>
      </c>
      <c r="AI248">
        <v>47636316</v>
      </c>
      <c r="AJ248">
        <v>236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ROW(Source!A213)</f>
        <v>213</v>
      </c>
      <c r="B249">
        <v>47636331</v>
      </c>
      <c r="C249">
        <v>47636314</v>
      </c>
      <c r="D249">
        <v>36882159</v>
      </c>
      <c r="E249">
        <v>1</v>
      </c>
      <c r="F249">
        <v>1</v>
      </c>
      <c r="G249">
        <v>1</v>
      </c>
      <c r="H249">
        <v>2</v>
      </c>
      <c r="I249" t="s">
        <v>518</v>
      </c>
      <c r="J249" t="s">
        <v>519</v>
      </c>
      <c r="K249" t="s">
        <v>520</v>
      </c>
      <c r="L249">
        <v>1368</v>
      </c>
      <c r="N249">
        <v>1011</v>
      </c>
      <c r="O249" t="s">
        <v>505</v>
      </c>
      <c r="P249" t="s">
        <v>505</v>
      </c>
      <c r="Q249">
        <v>1</v>
      </c>
      <c r="X249">
        <v>0.03</v>
      </c>
      <c r="Y249">
        <v>0</v>
      </c>
      <c r="Z249">
        <v>111.99</v>
      </c>
      <c r="AA249">
        <v>13.5</v>
      </c>
      <c r="AB249">
        <v>0</v>
      </c>
      <c r="AC249">
        <v>0</v>
      </c>
      <c r="AD249">
        <v>1</v>
      </c>
      <c r="AE249">
        <v>0</v>
      </c>
      <c r="AF249" t="s">
        <v>280</v>
      </c>
      <c r="AG249">
        <v>4.3124999999999997E-2</v>
      </c>
      <c r="AH249">
        <v>2</v>
      </c>
      <c r="AI249">
        <v>47636317</v>
      </c>
      <c r="AJ249">
        <v>237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ROW(Source!A213)</f>
        <v>213</v>
      </c>
      <c r="B250">
        <v>47636332</v>
      </c>
      <c r="C250">
        <v>47636314</v>
      </c>
      <c r="D250">
        <v>36882672</v>
      </c>
      <c r="E250">
        <v>1</v>
      </c>
      <c r="F250">
        <v>1</v>
      </c>
      <c r="G250">
        <v>1</v>
      </c>
      <c r="H250">
        <v>2</v>
      </c>
      <c r="I250" t="s">
        <v>695</v>
      </c>
      <c r="J250" t="s">
        <v>696</v>
      </c>
      <c r="K250" t="s">
        <v>697</v>
      </c>
      <c r="L250">
        <v>1368</v>
      </c>
      <c r="N250">
        <v>1011</v>
      </c>
      <c r="O250" t="s">
        <v>505</v>
      </c>
      <c r="P250" t="s">
        <v>505</v>
      </c>
      <c r="Q250">
        <v>1</v>
      </c>
      <c r="X250">
        <v>3.19</v>
      </c>
      <c r="Y250">
        <v>0</v>
      </c>
      <c r="Z250">
        <v>195.2</v>
      </c>
      <c r="AA250">
        <v>14.4</v>
      </c>
      <c r="AB250">
        <v>0</v>
      </c>
      <c r="AC250">
        <v>0</v>
      </c>
      <c r="AD250">
        <v>1</v>
      </c>
      <c r="AE250">
        <v>0</v>
      </c>
      <c r="AF250" t="s">
        <v>280</v>
      </c>
      <c r="AG250">
        <v>4.5856250000000003</v>
      </c>
      <c r="AH250">
        <v>2</v>
      </c>
      <c r="AI250">
        <v>47636318</v>
      </c>
      <c r="AJ250">
        <v>238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ROW(Source!A213)</f>
        <v>213</v>
      </c>
      <c r="B251">
        <v>47636333</v>
      </c>
      <c r="C251">
        <v>47636314</v>
      </c>
      <c r="D251">
        <v>36882688</v>
      </c>
      <c r="E251">
        <v>1</v>
      </c>
      <c r="F251">
        <v>1</v>
      </c>
      <c r="G251">
        <v>1</v>
      </c>
      <c r="H251">
        <v>2</v>
      </c>
      <c r="I251" t="s">
        <v>698</v>
      </c>
      <c r="J251" t="s">
        <v>699</v>
      </c>
      <c r="K251" t="s">
        <v>700</v>
      </c>
      <c r="L251">
        <v>1368</v>
      </c>
      <c r="N251">
        <v>1011</v>
      </c>
      <c r="O251" t="s">
        <v>505</v>
      </c>
      <c r="P251" t="s">
        <v>505</v>
      </c>
      <c r="Q251">
        <v>1</v>
      </c>
      <c r="X251">
        <v>1.4</v>
      </c>
      <c r="Y251">
        <v>0</v>
      </c>
      <c r="Z251">
        <v>17.2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280</v>
      </c>
      <c r="AG251">
        <v>2.0124999999999997</v>
      </c>
      <c r="AH251">
        <v>2</v>
      </c>
      <c r="AI251">
        <v>47636319</v>
      </c>
      <c r="AJ251">
        <v>239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ROW(Source!A213)</f>
        <v>213</v>
      </c>
      <c r="B252">
        <v>47636334</v>
      </c>
      <c r="C252">
        <v>47636314</v>
      </c>
      <c r="D252">
        <v>36882722</v>
      </c>
      <c r="E252">
        <v>1</v>
      </c>
      <c r="F252">
        <v>1</v>
      </c>
      <c r="G252">
        <v>1</v>
      </c>
      <c r="H252">
        <v>2</v>
      </c>
      <c r="I252" t="s">
        <v>677</v>
      </c>
      <c r="J252" t="s">
        <v>678</v>
      </c>
      <c r="K252" t="s">
        <v>679</v>
      </c>
      <c r="L252">
        <v>1368</v>
      </c>
      <c r="N252">
        <v>1011</v>
      </c>
      <c r="O252" t="s">
        <v>505</v>
      </c>
      <c r="P252" t="s">
        <v>505</v>
      </c>
      <c r="Q252">
        <v>1</v>
      </c>
      <c r="X252">
        <v>3.96</v>
      </c>
      <c r="Y252">
        <v>0</v>
      </c>
      <c r="Z252">
        <v>75</v>
      </c>
      <c r="AA252">
        <v>11.6</v>
      </c>
      <c r="AB252">
        <v>0</v>
      </c>
      <c r="AC252">
        <v>0</v>
      </c>
      <c r="AD252">
        <v>1</v>
      </c>
      <c r="AE252">
        <v>0</v>
      </c>
      <c r="AF252" t="s">
        <v>280</v>
      </c>
      <c r="AG252">
        <v>5.692499999999999</v>
      </c>
      <c r="AH252">
        <v>2</v>
      </c>
      <c r="AI252">
        <v>47636320</v>
      </c>
      <c r="AJ252">
        <v>240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ROW(Source!A213)</f>
        <v>213</v>
      </c>
      <c r="B253">
        <v>47636335</v>
      </c>
      <c r="C253">
        <v>47636314</v>
      </c>
      <c r="D253">
        <v>36882726</v>
      </c>
      <c r="E253">
        <v>1</v>
      </c>
      <c r="F253">
        <v>1</v>
      </c>
      <c r="G253">
        <v>1</v>
      </c>
      <c r="H253">
        <v>2</v>
      </c>
      <c r="I253" t="s">
        <v>701</v>
      </c>
      <c r="J253" t="s">
        <v>702</v>
      </c>
      <c r="K253" t="s">
        <v>703</v>
      </c>
      <c r="L253">
        <v>1368</v>
      </c>
      <c r="N253">
        <v>1011</v>
      </c>
      <c r="O253" t="s">
        <v>505</v>
      </c>
      <c r="P253" t="s">
        <v>505</v>
      </c>
      <c r="Q253">
        <v>1</v>
      </c>
      <c r="X253">
        <v>11.51</v>
      </c>
      <c r="Y253">
        <v>0</v>
      </c>
      <c r="Z253">
        <v>121</v>
      </c>
      <c r="AA253">
        <v>14.4</v>
      </c>
      <c r="AB253">
        <v>0</v>
      </c>
      <c r="AC253">
        <v>0</v>
      </c>
      <c r="AD253">
        <v>1</v>
      </c>
      <c r="AE253">
        <v>0</v>
      </c>
      <c r="AF253" t="s">
        <v>280</v>
      </c>
      <c r="AG253">
        <v>16.545625000000001</v>
      </c>
      <c r="AH253">
        <v>2</v>
      </c>
      <c r="AI253">
        <v>47636321</v>
      </c>
      <c r="AJ253">
        <v>241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ROW(Source!A213)</f>
        <v>213</v>
      </c>
      <c r="B254">
        <v>47636336</v>
      </c>
      <c r="C254">
        <v>47636314</v>
      </c>
      <c r="D254">
        <v>36883483</v>
      </c>
      <c r="E254">
        <v>1</v>
      </c>
      <c r="F254">
        <v>1</v>
      </c>
      <c r="G254">
        <v>1</v>
      </c>
      <c r="H254">
        <v>2</v>
      </c>
      <c r="I254" t="s">
        <v>672</v>
      </c>
      <c r="J254" t="s">
        <v>673</v>
      </c>
      <c r="K254" t="s">
        <v>674</v>
      </c>
      <c r="L254">
        <v>1368</v>
      </c>
      <c r="N254">
        <v>1011</v>
      </c>
      <c r="O254" t="s">
        <v>505</v>
      </c>
      <c r="P254" t="s">
        <v>505</v>
      </c>
      <c r="Q254">
        <v>1</v>
      </c>
      <c r="X254">
        <v>0.39</v>
      </c>
      <c r="Y254">
        <v>0</v>
      </c>
      <c r="Z254">
        <v>110</v>
      </c>
      <c r="AA254">
        <v>11.6</v>
      </c>
      <c r="AB254">
        <v>0</v>
      </c>
      <c r="AC254">
        <v>0</v>
      </c>
      <c r="AD254">
        <v>1</v>
      </c>
      <c r="AE254">
        <v>0</v>
      </c>
      <c r="AF254" t="s">
        <v>280</v>
      </c>
      <c r="AG254">
        <v>0.56062499999999993</v>
      </c>
      <c r="AH254">
        <v>2</v>
      </c>
      <c r="AI254">
        <v>47636322</v>
      </c>
      <c r="AJ254">
        <v>242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ROW(Source!A213)</f>
        <v>213</v>
      </c>
      <c r="B255">
        <v>47636337</v>
      </c>
      <c r="C255">
        <v>47636314</v>
      </c>
      <c r="D255">
        <v>36883554</v>
      </c>
      <c r="E255">
        <v>1</v>
      </c>
      <c r="F255">
        <v>1</v>
      </c>
      <c r="G255">
        <v>1</v>
      </c>
      <c r="H255">
        <v>2</v>
      </c>
      <c r="I255" t="s">
        <v>509</v>
      </c>
      <c r="J255" t="s">
        <v>510</v>
      </c>
      <c r="K255" t="s">
        <v>511</v>
      </c>
      <c r="L255">
        <v>1368</v>
      </c>
      <c r="N255">
        <v>1011</v>
      </c>
      <c r="O255" t="s">
        <v>505</v>
      </c>
      <c r="P255" t="s">
        <v>505</v>
      </c>
      <c r="Q255">
        <v>1</v>
      </c>
      <c r="X255">
        <v>0.04</v>
      </c>
      <c r="Y255">
        <v>0</v>
      </c>
      <c r="Z255">
        <v>65.709999999999994</v>
      </c>
      <c r="AA255">
        <v>11.6</v>
      </c>
      <c r="AB255">
        <v>0</v>
      </c>
      <c r="AC255">
        <v>0</v>
      </c>
      <c r="AD255">
        <v>1</v>
      </c>
      <c r="AE255">
        <v>0</v>
      </c>
      <c r="AF255" t="s">
        <v>280</v>
      </c>
      <c r="AG255">
        <v>5.7499999999999996E-2</v>
      </c>
      <c r="AH255">
        <v>2</v>
      </c>
      <c r="AI255">
        <v>47636323</v>
      </c>
      <c r="AJ255">
        <v>243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ROW(Source!A213)</f>
        <v>213</v>
      </c>
      <c r="B256">
        <v>47636338</v>
      </c>
      <c r="C256">
        <v>47636314</v>
      </c>
      <c r="D256">
        <v>36798264</v>
      </c>
      <c r="E256">
        <v>17</v>
      </c>
      <c r="F256">
        <v>1</v>
      </c>
      <c r="G256">
        <v>1</v>
      </c>
      <c r="H256">
        <v>3</v>
      </c>
      <c r="I256" t="s">
        <v>736</v>
      </c>
      <c r="J256" t="s">
        <v>3</v>
      </c>
      <c r="K256" t="s">
        <v>737</v>
      </c>
      <c r="L256">
        <v>1348</v>
      </c>
      <c r="N256">
        <v>1009</v>
      </c>
      <c r="O256" t="s">
        <v>32</v>
      </c>
      <c r="P256" t="s">
        <v>32</v>
      </c>
      <c r="Q256">
        <v>1000</v>
      </c>
      <c r="X256">
        <v>1.0800000000000001E-2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 t="s">
        <v>3</v>
      </c>
      <c r="AG256">
        <v>1.0800000000000001E-2</v>
      </c>
      <c r="AH256">
        <v>3</v>
      </c>
      <c r="AI256">
        <v>-1</v>
      </c>
      <c r="AJ256" t="s">
        <v>3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ROW(Source!A213)</f>
        <v>213</v>
      </c>
      <c r="B257">
        <v>47636339</v>
      </c>
      <c r="C257">
        <v>47636314</v>
      </c>
      <c r="D257">
        <v>36801792</v>
      </c>
      <c r="E257">
        <v>1</v>
      </c>
      <c r="F257">
        <v>1</v>
      </c>
      <c r="G257">
        <v>1</v>
      </c>
      <c r="H257">
        <v>3</v>
      </c>
      <c r="I257" t="s">
        <v>597</v>
      </c>
      <c r="J257" t="s">
        <v>598</v>
      </c>
      <c r="K257" t="s">
        <v>599</v>
      </c>
      <c r="L257">
        <v>1339</v>
      </c>
      <c r="N257">
        <v>1007</v>
      </c>
      <c r="O257" t="s">
        <v>96</v>
      </c>
      <c r="P257" t="s">
        <v>96</v>
      </c>
      <c r="Q257">
        <v>1</v>
      </c>
      <c r="X257">
        <v>0.2</v>
      </c>
      <c r="Y257">
        <v>2.44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3</v>
      </c>
      <c r="AG257">
        <v>0.2</v>
      </c>
      <c r="AH257">
        <v>2</v>
      </c>
      <c r="AI257">
        <v>47636325</v>
      </c>
      <c r="AJ257">
        <v>245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ROW(Source!A213)</f>
        <v>213</v>
      </c>
      <c r="B258">
        <v>47636340</v>
      </c>
      <c r="C258">
        <v>47636314</v>
      </c>
      <c r="D258">
        <v>36797302</v>
      </c>
      <c r="E258">
        <v>17</v>
      </c>
      <c r="F258">
        <v>1</v>
      </c>
      <c r="G258">
        <v>1</v>
      </c>
      <c r="H258">
        <v>3</v>
      </c>
      <c r="I258" t="s">
        <v>733</v>
      </c>
      <c r="J258" t="s">
        <v>3</v>
      </c>
      <c r="K258" t="s">
        <v>734</v>
      </c>
      <c r="L258">
        <v>1348</v>
      </c>
      <c r="N258">
        <v>1009</v>
      </c>
      <c r="O258" t="s">
        <v>32</v>
      </c>
      <c r="P258" t="s">
        <v>32</v>
      </c>
      <c r="Q258">
        <v>1000</v>
      </c>
      <c r="X258">
        <v>95.8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 t="s">
        <v>3</v>
      </c>
      <c r="AG258">
        <v>95.8</v>
      </c>
      <c r="AH258">
        <v>3</v>
      </c>
      <c r="AI258">
        <v>-1</v>
      </c>
      <c r="AJ258" t="s">
        <v>3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ROW(Source!A213)</f>
        <v>213</v>
      </c>
      <c r="B259">
        <v>47636341</v>
      </c>
      <c r="C259">
        <v>47636314</v>
      </c>
      <c r="D259">
        <v>36824289</v>
      </c>
      <c r="E259">
        <v>1</v>
      </c>
      <c r="F259">
        <v>1</v>
      </c>
      <c r="G259">
        <v>1</v>
      </c>
      <c r="H259">
        <v>3</v>
      </c>
      <c r="I259" t="s">
        <v>704</v>
      </c>
      <c r="J259" t="s">
        <v>705</v>
      </c>
      <c r="K259" t="s">
        <v>706</v>
      </c>
      <c r="L259">
        <v>1348</v>
      </c>
      <c r="N259">
        <v>1009</v>
      </c>
      <c r="O259" t="s">
        <v>32</v>
      </c>
      <c r="P259" t="s">
        <v>32</v>
      </c>
      <c r="Q259">
        <v>1000</v>
      </c>
      <c r="X259">
        <v>6.1999999999999998E-3</v>
      </c>
      <c r="Y259">
        <v>5989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3</v>
      </c>
      <c r="AG259">
        <v>6.1999999999999998E-3</v>
      </c>
      <c r="AH259">
        <v>2</v>
      </c>
      <c r="AI259">
        <v>47636327</v>
      </c>
      <c r="AJ259">
        <v>247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ROW(Source!A213)</f>
        <v>213</v>
      </c>
      <c r="B260">
        <v>47636342</v>
      </c>
      <c r="C260">
        <v>47636314</v>
      </c>
      <c r="D260">
        <v>36830315</v>
      </c>
      <c r="E260">
        <v>1</v>
      </c>
      <c r="F260">
        <v>1</v>
      </c>
      <c r="G260">
        <v>1</v>
      </c>
      <c r="H260">
        <v>3</v>
      </c>
      <c r="I260" t="s">
        <v>707</v>
      </c>
      <c r="J260" t="s">
        <v>708</v>
      </c>
      <c r="K260" t="s">
        <v>709</v>
      </c>
      <c r="L260">
        <v>1339</v>
      </c>
      <c r="N260">
        <v>1007</v>
      </c>
      <c r="O260" t="s">
        <v>96</v>
      </c>
      <c r="P260" t="s">
        <v>96</v>
      </c>
      <c r="Q260">
        <v>1</v>
      </c>
      <c r="X260">
        <v>0.15</v>
      </c>
      <c r="Y260">
        <v>1287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3</v>
      </c>
      <c r="AG260">
        <v>0.15</v>
      </c>
      <c r="AH260">
        <v>2</v>
      </c>
      <c r="AI260">
        <v>47636328</v>
      </c>
      <c r="AJ260">
        <v>248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ROW(Source!A216)</f>
        <v>216</v>
      </c>
      <c r="B261">
        <v>47636350</v>
      </c>
      <c r="C261">
        <v>47636345</v>
      </c>
      <c r="D261">
        <v>37071037</v>
      </c>
      <c r="E261">
        <v>1</v>
      </c>
      <c r="F261">
        <v>1</v>
      </c>
      <c r="G261">
        <v>1</v>
      </c>
      <c r="H261">
        <v>1</v>
      </c>
      <c r="I261" t="s">
        <v>693</v>
      </c>
      <c r="J261" t="s">
        <v>3</v>
      </c>
      <c r="K261" t="s">
        <v>694</v>
      </c>
      <c r="L261">
        <v>1191</v>
      </c>
      <c r="N261">
        <v>1013</v>
      </c>
      <c r="O261" t="s">
        <v>487</v>
      </c>
      <c r="P261" t="s">
        <v>487</v>
      </c>
      <c r="Q261">
        <v>1</v>
      </c>
      <c r="X261">
        <v>0.09</v>
      </c>
      <c r="Y261">
        <v>0</v>
      </c>
      <c r="Z261">
        <v>0</v>
      </c>
      <c r="AA261">
        <v>0</v>
      </c>
      <c r="AB261">
        <v>9.6199999999999992</v>
      </c>
      <c r="AC261">
        <v>0</v>
      </c>
      <c r="AD261">
        <v>1</v>
      </c>
      <c r="AE261">
        <v>1</v>
      </c>
      <c r="AF261" t="s">
        <v>346</v>
      </c>
      <c r="AG261">
        <v>0.36</v>
      </c>
      <c r="AH261">
        <v>2</v>
      </c>
      <c r="AI261">
        <v>47636346</v>
      </c>
      <c r="AJ261">
        <v>249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ROW(Source!A216)</f>
        <v>216</v>
      </c>
      <c r="B262">
        <v>47636351</v>
      </c>
      <c r="C262">
        <v>47636345</v>
      </c>
      <c r="D262">
        <v>36882688</v>
      </c>
      <c r="E262">
        <v>1</v>
      </c>
      <c r="F262">
        <v>1</v>
      </c>
      <c r="G262">
        <v>1</v>
      </c>
      <c r="H262">
        <v>2</v>
      </c>
      <c r="I262" t="s">
        <v>698</v>
      </c>
      <c r="J262" t="s">
        <v>699</v>
      </c>
      <c r="K262" t="s">
        <v>700</v>
      </c>
      <c r="L262">
        <v>1368</v>
      </c>
      <c r="N262">
        <v>1011</v>
      </c>
      <c r="O262" t="s">
        <v>505</v>
      </c>
      <c r="P262" t="s">
        <v>505</v>
      </c>
      <c r="Q262">
        <v>1</v>
      </c>
      <c r="X262">
        <v>0.17</v>
      </c>
      <c r="Y262">
        <v>0</v>
      </c>
      <c r="Z262">
        <v>17.2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346</v>
      </c>
      <c r="AG262">
        <v>0.68</v>
      </c>
      <c r="AH262">
        <v>2</v>
      </c>
      <c r="AI262">
        <v>47636347</v>
      </c>
      <c r="AJ262">
        <v>250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ROW(Source!A216)</f>
        <v>216</v>
      </c>
      <c r="B263">
        <v>47636352</v>
      </c>
      <c r="C263">
        <v>47636345</v>
      </c>
      <c r="D263">
        <v>36798264</v>
      </c>
      <c r="E263">
        <v>17</v>
      </c>
      <c r="F263">
        <v>1</v>
      </c>
      <c r="G263">
        <v>1</v>
      </c>
      <c r="H263">
        <v>3</v>
      </c>
      <c r="I263" t="s">
        <v>736</v>
      </c>
      <c r="J263" t="s">
        <v>3</v>
      </c>
      <c r="K263" t="s">
        <v>737</v>
      </c>
      <c r="L263">
        <v>1348</v>
      </c>
      <c r="N263">
        <v>1009</v>
      </c>
      <c r="O263" t="s">
        <v>32</v>
      </c>
      <c r="P263" t="s">
        <v>32</v>
      </c>
      <c r="Q263">
        <v>1000</v>
      </c>
      <c r="X263">
        <v>1.4E-3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 t="s">
        <v>346</v>
      </c>
      <c r="AG263">
        <v>5.5999999999999999E-3</v>
      </c>
      <c r="AH263">
        <v>3</v>
      </c>
      <c r="AI263">
        <v>-1</v>
      </c>
      <c r="AJ263" t="s">
        <v>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ROW(Source!A216)</f>
        <v>216</v>
      </c>
      <c r="B264">
        <v>47636353</v>
      </c>
      <c r="C264">
        <v>47636345</v>
      </c>
      <c r="D264">
        <v>36797302</v>
      </c>
      <c r="E264">
        <v>17</v>
      </c>
      <c r="F264">
        <v>1</v>
      </c>
      <c r="G264">
        <v>1</v>
      </c>
      <c r="H264">
        <v>3</v>
      </c>
      <c r="I264" t="s">
        <v>733</v>
      </c>
      <c r="J264" t="s">
        <v>3</v>
      </c>
      <c r="K264" t="s">
        <v>734</v>
      </c>
      <c r="L264">
        <v>1348</v>
      </c>
      <c r="N264">
        <v>1009</v>
      </c>
      <c r="O264" t="s">
        <v>32</v>
      </c>
      <c r="P264" t="s">
        <v>32</v>
      </c>
      <c r="Q264">
        <v>1000</v>
      </c>
      <c r="X264">
        <v>12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 t="s">
        <v>346</v>
      </c>
      <c r="AG264">
        <v>48</v>
      </c>
      <c r="AH264">
        <v>3</v>
      </c>
      <c r="AI264">
        <v>-1</v>
      </c>
      <c r="AJ264" t="s">
        <v>3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ROW(Source!A219)</f>
        <v>219</v>
      </c>
      <c r="B265">
        <v>47636371</v>
      </c>
      <c r="C265">
        <v>47636356</v>
      </c>
      <c r="D265">
        <v>37071037</v>
      </c>
      <c r="E265">
        <v>1</v>
      </c>
      <c r="F265">
        <v>1</v>
      </c>
      <c r="G265">
        <v>1</v>
      </c>
      <c r="H265">
        <v>1</v>
      </c>
      <c r="I265" t="s">
        <v>693</v>
      </c>
      <c r="J265" t="s">
        <v>3</v>
      </c>
      <c r="K265" t="s">
        <v>694</v>
      </c>
      <c r="L265">
        <v>1191</v>
      </c>
      <c r="N265">
        <v>1013</v>
      </c>
      <c r="O265" t="s">
        <v>487</v>
      </c>
      <c r="P265" t="s">
        <v>487</v>
      </c>
      <c r="Q265">
        <v>1</v>
      </c>
      <c r="X265">
        <v>38.299999999999997</v>
      </c>
      <c r="Y265">
        <v>0</v>
      </c>
      <c r="Z265">
        <v>0</v>
      </c>
      <c r="AA265">
        <v>0</v>
      </c>
      <c r="AB265">
        <v>9.6199999999999992</v>
      </c>
      <c r="AC265">
        <v>0</v>
      </c>
      <c r="AD265">
        <v>1</v>
      </c>
      <c r="AE265">
        <v>1</v>
      </c>
      <c r="AF265" t="s">
        <v>53</v>
      </c>
      <c r="AG265">
        <v>50.651749999999993</v>
      </c>
      <c r="AH265">
        <v>2</v>
      </c>
      <c r="AI265">
        <v>47636357</v>
      </c>
      <c r="AJ265">
        <v>253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ROW(Source!A219)</f>
        <v>219</v>
      </c>
      <c r="B266">
        <v>47636372</v>
      </c>
      <c r="C266">
        <v>47636356</v>
      </c>
      <c r="D266">
        <v>37064876</v>
      </c>
      <c r="E266">
        <v>1</v>
      </c>
      <c r="F266">
        <v>1</v>
      </c>
      <c r="G266">
        <v>1</v>
      </c>
      <c r="H266">
        <v>1</v>
      </c>
      <c r="I266" t="s">
        <v>500</v>
      </c>
      <c r="J266" t="s">
        <v>3</v>
      </c>
      <c r="K266" t="s">
        <v>501</v>
      </c>
      <c r="L266">
        <v>1191</v>
      </c>
      <c r="N266">
        <v>1013</v>
      </c>
      <c r="O266" t="s">
        <v>487</v>
      </c>
      <c r="P266" t="s">
        <v>487</v>
      </c>
      <c r="Q266">
        <v>1</v>
      </c>
      <c r="X266">
        <v>19.12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1</v>
      </c>
      <c r="AE266">
        <v>2</v>
      </c>
      <c r="AF266" t="s">
        <v>280</v>
      </c>
      <c r="AG266">
        <v>27.484999999999999</v>
      </c>
      <c r="AH266">
        <v>2</v>
      </c>
      <c r="AI266">
        <v>47636358</v>
      </c>
      <c r="AJ266">
        <v>254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ROW(Source!A219)</f>
        <v>219</v>
      </c>
      <c r="B267">
        <v>47636373</v>
      </c>
      <c r="C267">
        <v>47636356</v>
      </c>
      <c r="D267">
        <v>36882159</v>
      </c>
      <c r="E267">
        <v>1</v>
      </c>
      <c r="F267">
        <v>1</v>
      </c>
      <c r="G267">
        <v>1</v>
      </c>
      <c r="H267">
        <v>2</v>
      </c>
      <c r="I267" t="s">
        <v>518</v>
      </c>
      <c r="J267" t="s">
        <v>519</v>
      </c>
      <c r="K267" t="s">
        <v>520</v>
      </c>
      <c r="L267">
        <v>1368</v>
      </c>
      <c r="N267">
        <v>1011</v>
      </c>
      <c r="O267" t="s">
        <v>505</v>
      </c>
      <c r="P267" t="s">
        <v>505</v>
      </c>
      <c r="Q267">
        <v>1</v>
      </c>
      <c r="X267">
        <v>0.03</v>
      </c>
      <c r="Y267">
        <v>0</v>
      </c>
      <c r="Z267">
        <v>111.99</v>
      </c>
      <c r="AA267">
        <v>13.5</v>
      </c>
      <c r="AB267">
        <v>0</v>
      </c>
      <c r="AC267">
        <v>0</v>
      </c>
      <c r="AD267">
        <v>1</v>
      </c>
      <c r="AE267">
        <v>0</v>
      </c>
      <c r="AF267" t="s">
        <v>280</v>
      </c>
      <c r="AG267">
        <v>4.3124999999999997E-2</v>
      </c>
      <c r="AH267">
        <v>2</v>
      </c>
      <c r="AI267">
        <v>47636359</v>
      </c>
      <c r="AJ267">
        <v>255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ROW(Source!A219)</f>
        <v>219</v>
      </c>
      <c r="B268">
        <v>47636374</v>
      </c>
      <c r="C268">
        <v>47636356</v>
      </c>
      <c r="D268">
        <v>36882672</v>
      </c>
      <c r="E268">
        <v>1</v>
      </c>
      <c r="F268">
        <v>1</v>
      </c>
      <c r="G268">
        <v>1</v>
      </c>
      <c r="H268">
        <v>2</v>
      </c>
      <c r="I268" t="s">
        <v>695</v>
      </c>
      <c r="J268" t="s">
        <v>696</v>
      </c>
      <c r="K268" t="s">
        <v>697</v>
      </c>
      <c r="L268">
        <v>1368</v>
      </c>
      <c r="N268">
        <v>1011</v>
      </c>
      <c r="O268" t="s">
        <v>505</v>
      </c>
      <c r="P268" t="s">
        <v>505</v>
      </c>
      <c r="Q268">
        <v>1</v>
      </c>
      <c r="X268">
        <v>3.19</v>
      </c>
      <c r="Y268">
        <v>0</v>
      </c>
      <c r="Z268">
        <v>195.2</v>
      </c>
      <c r="AA268">
        <v>14.4</v>
      </c>
      <c r="AB268">
        <v>0</v>
      </c>
      <c r="AC268">
        <v>0</v>
      </c>
      <c r="AD268">
        <v>1</v>
      </c>
      <c r="AE268">
        <v>0</v>
      </c>
      <c r="AF268" t="s">
        <v>280</v>
      </c>
      <c r="AG268">
        <v>4.5856250000000003</v>
      </c>
      <c r="AH268">
        <v>2</v>
      </c>
      <c r="AI268">
        <v>47636360</v>
      </c>
      <c r="AJ268">
        <v>256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ROW(Source!A219)</f>
        <v>219</v>
      </c>
      <c r="B269">
        <v>47636375</v>
      </c>
      <c r="C269">
        <v>47636356</v>
      </c>
      <c r="D269">
        <v>36882688</v>
      </c>
      <c r="E269">
        <v>1</v>
      </c>
      <c r="F269">
        <v>1</v>
      </c>
      <c r="G269">
        <v>1</v>
      </c>
      <c r="H269">
        <v>2</v>
      </c>
      <c r="I269" t="s">
        <v>698</v>
      </c>
      <c r="J269" t="s">
        <v>699</v>
      </c>
      <c r="K269" t="s">
        <v>700</v>
      </c>
      <c r="L269">
        <v>1368</v>
      </c>
      <c r="N269">
        <v>1011</v>
      </c>
      <c r="O269" t="s">
        <v>505</v>
      </c>
      <c r="P269" t="s">
        <v>505</v>
      </c>
      <c r="Q269">
        <v>1</v>
      </c>
      <c r="X269">
        <v>1.4</v>
      </c>
      <c r="Y269">
        <v>0</v>
      </c>
      <c r="Z269">
        <v>17.2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280</v>
      </c>
      <c r="AG269">
        <v>2.0124999999999997</v>
      </c>
      <c r="AH269">
        <v>2</v>
      </c>
      <c r="AI269">
        <v>47636361</v>
      </c>
      <c r="AJ269">
        <v>257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ROW(Source!A219)</f>
        <v>219</v>
      </c>
      <c r="B270">
        <v>47636376</v>
      </c>
      <c r="C270">
        <v>47636356</v>
      </c>
      <c r="D270">
        <v>36882722</v>
      </c>
      <c r="E270">
        <v>1</v>
      </c>
      <c r="F270">
        <v>1</v>
      </c>
      <c r="G270">
        <v>1</v>
      </c>
      <c r="H270">
        <v>2</v>
      </c>
      <c r="I270" t="s">
        <v>677</v>
      </c>
      <c r="J270" t="s">
        <v>678</v>
      </c>
      <c r="K270" t="s">
        <v>679</v>
      </c>
      <c r="L270">
        <v>1368</v>
      </c>
      <c r="N270">
        <v>1011</v>
      </c>
      <c r="O270" t="s">
        <v>505</v>
      </c>
      <c r="P270" t="s">
        <v>505</v>
      </c>
      <c r="Q270">
        <v>1</v>
      </c>
      <c r="X270">
        <v>3.96</v>
      </c>
      <c r="Y270">
        <v>0</v>
      </c>
      <c r="Z270">
        <v>75</v>
      </c>
      <c r="AA270">
        <v>11.6</v>
      </c>
      <c r="AB270">
        <v>0</v>
      </c>
      <c r="AC270">
        <v>0</v>
      </c>
      <c r="AD270">
        <v>1</v>
      </c>
      <c r="AE270">
        <v>0</v>
      </c>
      <c r="AF270" t="s">
        <v>280</v>
      </c>
      <c r="AG270">
        <v>5.692499999999999</v>
      </c>
      <c r="AH270">
        <v>2</v>
      </c>
      <c r="AI270">
        <v>47636362</v>
      </c>
      <c r="AJ270">
        <v>258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ROW(Source!A219)</f>
        <v>219</v>
      </c>
      <c r="B271">
        <v>47636377</v>
      </c>
      <c r="C271">
        <v>47636356</v>
      </c>
      <c r="D271">
        <v>36882726</v>
      </c>
      <c r="E271">
        <v>1</v>
      </c>
      <c r="F271">
        <v>1</v>
      </c>
      <c r="G271">
        <v>1</v>
      </c>
      <c r="H271">
        <v>2</v>
      </c>
      <c r="I271" t="s">
        <v>701</v>
      </c>
      <c r="J271" t="s">
        <v>702</v>
      </c>
      <c r="K271" t="s">
        <v>703</v>
      </c>
      <c r="L271">
        <v>1368</v>
      </c>
      <c r="N271">
        <v>1011</v>
      </c>
      <c r="O271" t="s">
        <v>505</v>
      </c>
      <c r="P271" t="s">
        <v>505</v>
      </c>
      <c r="Q271">
        <v>1</v>
      </c>
      <c r="X271">
        <v>11.51</v>
      </c>
      <c r="Y271">
        <v>0</v>
      </c>
      <c r="Z271">
        <v>121</v>
      </c>
      <c r="AA271">
        <v>14.4</v>
      </c>
      <c r="AB271">
        <v>0</v>
      </c>
      <c r="AC271">
        <v>0</v>
      </c>
      <c r="AD271">
        <v>1</v>
      </c>
      <c r="AE271">
        <v>0</v>
      </c>
      <c r="AF271" t="s">
        <v>280</v>
      </c>
      <c r="AG271">
        <v>16.545625000000001</v>
      </c>
      <c r="AH271">
        <v>2</v>
      </c>
      <c r="AI271">
        <v>47636363</v>
      </c>
      <c r="AJ271">
        <v>259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ROW(Source!A219)</f>
        <v>219</v>
      </c>
      <c r="B272">
        <v>47636378</v>
      </c>
      <c r="C272">
        <v>47636356</v>
      </c>
      <c r="D272">
        <v>36883483</v>
      </c>
      <c r="E272">
        <v>1</v>
      </c>
      <c r="F272">
        <v>1</v>
      </c>
      <c r="G272">
        <v>1</v>
      </c>
      <c r="H272">
        <v>2</v>
      </c>
      <c r="I272" t="s">
        <v>672</v>
      </c>
      <c r="J272" t="s">
        <v>673</v>
      </c>
      <c r="K272" t="s">
        <v>674</v>
      </c>
      <c r="L272">
        <v>1368</v>
      </c>
      <c r="N272">
        <v>1011</v>
      </c>
      <c r="O272" t="s">
        <v>505</v>
      </c>
      <c r="P272" t="s">
        <v>505</v>
      </c>
      <c r="Q272">
        <v>1</v>
      </c>
      <c r="X272">
        <v>0.39</v>
      </c>
      <c r="Y272">
        <v>0</v>
      </c>
      <c r="Z272">
        <v>110</v>
      </c>
      <c r="AA272">
        <v>11.6</v>
      </c>
      <c r="AB272">
        <v>0</v>
      </c>
      <c r="AC272">
        <v>0</v>
      </c>
      <c r="AD272">
        <v>1</v>
      </c>
      <c r="AE272">
        <v>0</v>
      </c>
      <c r="AF272" t="s">
        <v>280</v>
      </c>
      <c r="AG272">
        <v>0.56062499999999993</v>
      </c>
      <c r="AH272">
        <v>2</v>
      </c>
      <c r="AI272">
        <v>47636364</v>
      </c>
      <c r="AJ272">
        <v>260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ROW(Source!A219)</f>
        <v>219</v>
      </c>
      <c r="B273">
        <v>47636379</v>
      </c>
      <c r="C273">
        <v>47636356</v>
      </c>
      <c r="D273">
        <v>36883554</v>
      </c>
      <c r="E273">
        <v>1</v>
      </c>
      <c r="F273">
        <v>1</v>
      </c>
      <c r="G273">
        <v>1</v>
      </c>
      <c r="H273">
        <v>2</v>
      </c>
      <c r="I273" t="s">
        <v>509</v>
      </c>
      <c r="J273" t="s">
        <v>510</v>
      </c>
      <c r="K273" t="s">
        <v>511</v>
      </c>
      <c r="L273">
        <v>1368</v>
      </c>
      <c r="N273">
        <v>1011</v>
      </c>
      <c r="O273" t="s">
        <v>505</v>
      </c>
      <c r="P273" t="s">
        <v>505</v>
      </c>
      <c r="Q273">
        <v>1</v>
      </c>
      <c r="X273">
        <v>0.04</v>
      </c>
      <c r="Y273">
        <v>0</v>
      </c>
      <c r="Z273">
        <v>65.709999999999994</v>
      </c>
      <c r="AA273">
        <v>11.6</v>
      </c>
      <c r="AB273">
        <v>0</v>
      </c>
      <c r="AC273">
        <v>0</v>
      </c>
      <c r="AD273">
        <v>1</v>
      </c>
      <c r="AE273">
        <v>0</v>
      </c>
      <c r="AF273" t="s">
        <v>280</v>
      </c>
      <c r="AG273">
        <v>5.7499999999999996E-2</v>
      </c>
      <c r="AH273">
        <v>2</v>
      </c>
      <c r="AI273">
        <v>47636365</v>
      </c>
      <c r="AJ273">
        <v>261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ROW(Source!A219)</f>
        <v>219</v>
      </c>
      <c r="B274">
        <v>47636380</v>
      </c>
      <c r="C274">
        <v>47636356</v>
      </c>
      <c r="D274">
        <v>36798264</v>
      </c>
      <c r="E274">
        <v>17</v>
      </c>
      <c r="F274">
        <v>1</v>
      </c>
      <c r="G274">
        <v>1</v>
      </c>
      <c r="H274">
        <v>3</v>
      </c>
      <c r="I274" t="s">
        <v>736</v>
      </c>
      <c r="J274" t="s">
        <v>3</v>
      </c>
      <c r="K274" t="s">
        <v>737</v>
      </c>
      <c r="L274">
        <v>1348</v>
      </c>
      <c r="N274">
        <v>1009</v>
      </c>
      <c r="O274" t="s">
        <v>32</v>
      </c>
      <c r="P274" t="s">
        <v>32</v>
      </c>
      <c r="Q274">
        <v>1000</v>
      </c>
      <c r="X274">
        <v>1.0800000000000001E-2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 t="s">
        <v>3</v>
      </c>
      <c r="AG274">
        <v>1.0800000000000001E-2</v>
      </c>
      <c r="AH274">
        <v>3</v>
      </c>
      <c r="AI274">
        <v>-1</v>
      </c>
      <c r="AJ274" t="s">
        <v>3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ROW(Source!A219)</f>
        <v>219</v>
      </c>
      <c r="B275">
        <v>47636381</v>
      </c>
      <c r="C275">
        <v>47636356</v>
      </c>
      <c r="D275">
        <v>36801792</v>
      </c>
      <c r="E275">
        <v>1</v>
      </c>
      <c r="F275">
        <v>1</v>
      </c>
      <c r="G275">
        <v>1</v>
      </c>
      <c r="H275">
        <v>3</v>
      </c>
      <c r="I275" t="s">
        <v>597</v>
      </c>
      <c r="J275" t="s">
        <v>598</v>
      </c>
      <c r="K275" t="s">
        <v>599</v>
      </c>
      <c r="L275">
        <v>1339</v>
      </c>
      <c r="N275">
        <v>1007</v>
      </c>
      <c r="O275" t="s">
        <v>96</v>
      </c>
      <c r="P275" t="s">
        <v>96</v>
      </c>
      <c r="Q275">
        <v>1</v>
      </c>
      <c r="X275">
        <v>0.2</v>
      </c>
      <c r="Y275">
        <v>2.44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3</v>
      </c>
      <c r="AG275">
        <v>0.2</v>
      </c>
      <c r="AH275">
        <v>2</v>
      </c>
      <c r="AI275">
        <v>47636367</v>
      </c>
      <c r="AJ275">
        <v>263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ROW(Source!A219)</f>
        <v>219</v>
      </c>
      <c r="B276">
        <v>47636382</v>
      </c>
      <c r="C276">
        <v>47636356</v>
      </c>
      <c r="D276">
        <v>36797302</v>
      </c>
      <c r="E276">
        <v>17</v>
      </c>
      <c r="F276">
        <v>1</v>
      </c>
      <c r="G276">
        <v>1</v>
      </c>
      <c r="H276">
        <v>3</v>
      </c>
      <c r="I276" t="s">
        <v>733</v>
      </c>
      <c r="J276" t="s">
        <v>3</v>
      </c>
      <c r="K276" t="s">
        <v>734</v>
      </c>
      <c r="L276">
        <v>1348</v>
      </c>
      <c r="N276">
        <v>1009</v>
      </c>
      <c r="O276" t="s">
        <v>32</v>
      </c>
      <c r="P276" t="s">
        <v>32</v>
      </c>
      <c r="Q276">
        <v>1000</v>
      </c>
      <c r="X276">
        <v>96.6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 t="s">
        <v>3</v>
      </c>
      <c r="AG276">
        <v>96.6</v>
      </c>
      <c r="AH276">
        <v>3</v>
      </c>
      <c r="AI276">
        <v>-1</v>
      </c>
      <c r="AJ276" t="s">
        <v>3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ROW(Source!A219)</f>
        <v>219</v>
      </c>
      <c r="B277">
        <v>47636383</v>
      </c>
      <c r="C277">
        <v>47636356</v>
      </c>
      <c r="D277">
        <v>36824289</v>
      </c>
      <c r="E277">
        <v>1</v>
      </c>
      <c r="F277">
        <v>1</v>
      </c>
      <c r="G277">
        <v>1</v>
      </c>
      <c r="H277">
        <v>3</v>
      </c>
      <c r="I277" t="s">
        <v>704</v>
      </c>
      <c r="J277" t="s">
        <v>705</v>
      </c>
      <c r="K277" t="s">
        <v>706</v>
      </c>
      <c r="L277">
        <v>1348</v>
      </c>
      <c r="N277">
        <v>1009</v>
      </c>
      <c r="O277" t="s">
        <v>32</v>
      </c>
      <c r="P277" t="s">
        <v>32</v>
      </c>
      <c r="Q277">
        <v>1000</v>
      </c>
      <c r="X277">
        <v>6.1999999999999998E-3</v>
      </c>
      <c r="Y277">
        <v>5989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6.1999999999999998E-3</v>
      </c>
      <c r="AH277">
        <v>2</v>
      </c>
      <c r="AI277">
        <v>47636369</v>
      </c>
      <c r="AJ277">
        <v>265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ROW(Source!A219)</f>
        <v>219</v>
      </c>
      <c r="B278">
        <v>47636384</v>
      </c>
      <c r="C278">
        <v>47636356</v>
      </c>
      <c r="D278">
        <v>36830315</v>
      </c>
      <c r="E278">
        <v>1</v>
      </c>
      <c r="F278">
        <v>1</v>
      </c>
      <c r="G278">
        <v>1</v>
      </c>
      <c r="H278">
        <v>3</v>
      </c>
      <c r="I278" t="s">
        <v>707</v>
      </c>
      <c r="J278" t="s">
        <v>708</v>
      </c>
      <c r="K278" t="s">
        <v>709</v>
      </c>
      <c r="L278">
        <v>1339</v>
      </c>
      <c r="N278">
        <v>1007</v>
      </c>
      <c r="O278" t="s">
        <v>96</v>
      </c>
      <c r="P278" t="s">
        <v>96</v>
      </c>
      <c r="Q278">
        <v>1</v>
      </c>
      <c r="X278">
        <v>0.15</v>
      </c>
      <c r="Y278">
        <v>1287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3</v>
      </c>
      <c r="AG278">
        <v>0.15</v>
      </c>
      <c r="AH278">
        <v>2</v>
      </c>
      <c r="AI278">
        <v>47636370</v>
      </c>
      <c r="AJ278">
        <v>266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ROW(Source!A223)</f>
        <v>223</v>
      </c>
      <c r="B279">
        <v>47636402</v>
      </c>
      <c r="C279">
        <v>47636393</v>
      </c>
      <c r="D279">
        <v>37066491</v>
      </c>
      <c r="E279">
        <v>1</v>
      </c>
      <c r="F279">
        <v>1</v>
      </c>
      <c r="G279">
        <v>1</v>
      </c>
      <c r="H279">
        <v>1</v>
      </c>
      <c r="I279" t="s">
        <v>667</v>
      </c>
      <c r="J279" t="s">
        <v>3</v>
      </c>
      <c r="K279" t="s">
        <v>668</v>
      </c>
      <c r="L279">
        <v>1191</v>
      </c>
      <c r="N279">
        <v>1013</v>
      </c>
      <c r="O279" t="s">
        <v>487</v>
      </c>
      <c r="P279" t="s">
        <v>487</v>
      </c>
      <c r="Q279">
        <v>1</v>
      </c>
      <c r="X279">
        <v>15.72</v>
      </c>
      <c r="Y279">
        <v>0</v>
      </c>
      <c r="Z279">
        <v>0</v>
      </c>
      <c r="AA279">
        <v>0</v>
      </c>
      <c r="AB279">
        <v>8.02</v>
      </c>
      <c r="AC279">
        <v>0</v>
      </c>
      <c r="AD279">
        <v>1</v>
      </c>
      <c r="AE279">
        <v>1</v>
      </c>
      <c r="AF279" t="s">
        <v>53</v>
      </c>
      <c r="AG279">
        <v>20.789699999999996</v>
      </c>
      <c r="AH279">
        <v>2</v>
      </c>
      <c r="AI279">
        <v>47636394</v>
      </c>
      <c r="AJ279">
        <v>267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ROW(Source!A223)</f>
        <v>223</v>
      </c>
      <c r="B280">
        <v>47636403</v>
      </c>
      <c r="C280">
        <v>47636393</v>
      </c>
      <c r="D280">
        <v>37064876</v>
      </c>
      <c r="E280">
        <v>1</v>
      </c>
      <c r="F280">
        <v>1</v>
      </c>
      <c r="G280">
        <v>1</v>
      </c>
      <c r="H280">
        <v>1</v>
      </c>
      <c r="I280" t="s">
        <v>500</v>
      </c>
      <c r="J280" t="s">
        <v>3</v>
      </c>
      <c r="K280" t="s">
        <v>501</v>
      </c>
      <c r="L280">
        <v>1191</v>
      </c>
      <c r="N280">
        <v>1013</v>
      </c>
      <c r="O280" t="s">
        <v>487</v>
      </c>
      <c r="P280" t="s">
        <v>487</v>
      </c>
      <c r="Q280">
        <v>1</v>
      </c>
      <c r="X280">
        <v>13.88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2</v>
      </c>
      <c r="AF280" t="s">
        <v>280</v>
      </c>
      <c r="AG280">
        <v>19.952500000000001</v>
      </c>
      <c r="AH280">
        <v>2</v>
      </c>
      <c r="AI280">
        <v>47636395</v>
      </c>
      <c r="AJ280">
        <v>268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ROW(Source!A223)</f>
        <v>223</v>
      </c>
      <c r="B281">
        <v>47636404</v>
      </c>
      <c r="C281">
        <v>47636393</v>
      </c>
      <c r="D281">
        <v>36881380</v>
      </c>
      <c r="E281">
        <v>1</v>
      </c>
      <c r="F281">
        <v>1</v>
      </c>
      <c r="G281">
        <v>1</v>
      </c>
      <c r="H281">
        <v>2</v>
      </c>
      <c r="I281" t="s">
        <v>661</v>
      </c>
      <c r="J281" t="s">
        <v>662</v>
      </c>
      <c r="K281" t="s">
        <v>663</v>
      </c>
      <c r="L281">
        <v>1368</v>
      </c>
      <c r="N281">
        <v>1011</v>
      </c>
      <c r="O281" t="s">
        <v>505</v>
      </c>
      <c r="P281" t="s">
        <v>505</v>
      </c>
      <c r="Q281">
        <v>1</v>
      </c>
      <c r="X281">
        <v>1.77</v>
      </c>
      <c r="Y281">
        <v>0</v>
      </c>
      <c r="Z281">
        <v>123</v>
      </c>
      <c r="AA281">
        <v>13.5</v>
      </c>
      <c r="AB281">
        <v>0</v>
      </c>
      <c r="AC281">
        <v>0</v>
      </c>
      <c r="AD281">
        <v>1</v>
      </c>
      <c r="AE281">
        <v>0</v>
      </c>
      <c r="AF281" t="s">
        <v>280</v>
      </c>
      <c r="AG281">
        <v>2.5443749999999996</v>
      </c>
      <c r="AH281">
        <v>2</v>
      </c>
      <c r="AI281">
        <v>47636396</v>
      </c>
      <c r="AJ281">
        <v>269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ROW(Source!A223)</f>
        <v>223</v>
      </c>
      <c r="B282">
        <v>47636405</v>
      </c>
      <c r="C282">
        <v>47636393</v>
      </c>
      <c r="D282">
        <v>36882383</v>
      </c>
      <c r="E282">
        <v>1</v>
      </c>
      <c r="F282">
        <v>1</v>
      </c>
      <c r="G282">
        <v>1</v>
      </c>
      <c r="H282">
        <v>2</v>
      </c>
      <c r="I282" t="s">
        <v>629</v>
      </c>
      <c r="J282" t="s">
        <v>630</v>
      </c>
      <c r="K282" t="s">
        <v>631</v>
      </c>
      <c r="L282">
        <v>1368</v>
      </c>
      <c r="N282">
        <v>1011</v>
      </c>
      <c r="O282" t="s">
        <v>505</v>
      </c>
      <c r="P282" t="s">
        <v>505</v>
      </c>
      <c r="Q282">
        <v>1</v>
      </c>
      <c r="X282">
        <v>4.29</v>
      </c>
      <c r="Y282">
        <v>0</v>
      </c>
      <c r="Z282">
        <v>89.99</v>
      </c>
      <c r="AA282">
        <v>10.06</v>
      </c>
      <c r="AB282">
        <v>0</v>
      </c>
      <c r="AC282">
        <v>0</v>
      </c>
      <c r="AD282">
        <v>1</v>
      </c>
      <c r="AE282">
        <v>0</v>
      </c>
      <c r="AF282" t="s">
        <v>280</v>
      </c>
      <c r="AG282">
        <v>6.1668749999999992</v>
      </c>
      <c r="AH282">
        <v>2</v>
      </c>
      <c r="AI282">
        <v>47636397</v>
      </c>
      <c r="AJ282">
        <v>270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ROW(Source!A223)</f>
        <v>223</v>
      </c>
      <c r="B283">
        <v>47636406</v>
      </c>
      <c r="C283">
        <v>47636393</v>
      </c>
      <c r="D283">
        <v>36882750</v>
      </c>
      <c r="E283">
        <v>1</v>
      </c>
      <c r="F283">
        <v>1</v>
      </c>
      <c r="G283">
        <v>1</v>
      </c>
      <c r="H283">
        <v>2</v>
      </c>
      <c r="I283" t="s">
        <v>669</v>
      </c>
      <c r="J283" t="s">
        <v>670</v>
      </c>
      <c r="K283" t="s">
        <v>671</v>
      </c>
      <c r="L283">
        <v>1368</v>
      </c>
      <c r="N283">
        <v>1011</v>
      </c>
      <c r="O283" t="s">
        <v>505</v>
      </c>
      <c r="P283" t="s">
        <v>505</v>
      </c>
      <c r="Q283">
        <v>1</v>
      </c>
      <c r="X283">
        <v>7.08</v>
      </c>
      <c r="Y283">
        <v>0</v>
      </c>
      <c r="Z283">
        <v>206.01</v>
      </c>
      <c r="AA283">
        <v>14.4</v>
      </c>
      <c r="AB283">
        <v>0</v>
      </c>
      <c r="AC283">
        <v>0</v>
      </c>
      <c r="AD283">
        <v>1</v>
      </c>
      <c r="AE283">
        <v>0</v>
      </c>
      <c r="AF283" t="s">
        <v>280</v>
      </c>
      <c r="AG283">
        <v>10.177499999999998</v>
      </c>
      <c r="AH283">
        <v>2</v>
      </c>
      <c r="AI283">
        <v>47636398</v>
      </c>
      <c r="AJ283">
        <v>271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ROW(Source!A223)</f>
        <v>223</v>
      </c>
      <c r="B284">
        <v>47636407</v>
      </c>
      <c r="C284">
        <v>47636393</v>
      </c>
      <c r="D284">
        <v>36883483</v>
      </c>
      <c r="E284">
        <v>1</v>
      </c>
      <c r="F284">
        <v>1</v>
      </c>
      <c r="G284">
        <v>1</v>
      </c>
      <c r="H284">
        <v>2</v>
      </c>
      <c r="I284" t="s">
        <v>672</v>
      </c>
      <c r="J284" t="s">
        <v>673</v>
      </c>
      <c r="K284" t="s">
        <v>674</v>
      </c>
      <c r="L284">
        <v>1368</v>
      </c>
      <c r="N284">
        <v>1011</v>
      </c>
      <c r="O284" t="s">
        <v>505</v>
      </c>
      <c r="P284" t="s">
        <v>505</v>
      </c>
      <c r="Q284">
        <v>1</v>
      </c>
      <c r="X284">
        <v>0.74</v>
      </c>
      <c r="Y284">
        <v>0</v>
      </c>
      <c r="Z284">
        <v>110</v>
      </c>
      <c r="AA284">
        <v>11.6</v>
      </c>
      <c r="AB284">
        <v>0</v>
      </c>
      <c r="AC284">
        <v>0</v>
      </c>
      <c r="AD284">
        <v>1</v>
      </c>
      <c r="AE284">
        <v>0</v>
      </c>
      <c r="AF284" t="s">
        <v>280</v>
      </c>
      <c r="AG284">
        <v>1.06375</v>
      </c>
      <c r="AH284">
        <v>2</v>
      </c>
      <c r="AI284">
        <v>47636399</v>
      </c>
      <c r="AJ284">
        <v>272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ROW(Source!A223)</f>
        <v>223</v>
      </c>
      <c r="B285">
        <v>47636408</v>
      </c>
      <c r="C285">
        <v>47636393</v>
      </c>
      <c r="D285">
        <v>36801792</v>
      </c>
      <c r="E285">
        <v>1</v>
      </c>
      <c r="F285">
        <v>1</v>
      </c>
      <c r="G285">
        <v>1</v>
      </c>
      <c r="H285">
        <v>3</v>
      </c>
      <c r="I285" t="s">
        <v>597</v>
      </c>
      <c r="J285" t="s">
        <v>598</v>
      </c>
      <c r="K285" t="s">
        <v>599</v>
      </c>
      <c r="L285">
        <v>1339</v>
      </c>
      <c r="N285">
        <v>1007</v>
      </c>
      <c r="O285" t="s">
        <v>96</v>
      </c>
      <c r="P285" t="s">
        <v>96</v>
      </c>
      <c r="Q285">
        <v>1</v>
      </c>
      <c r="X285">
        <v>5</v>
      </c>
      <c r="Y285">
        <v>2.44</v>
      </c>
      <c r="Z285">
        <v>0</v>
      </c>
      <c r="AA285">
        <v>0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5</v>
      </c>
      <c r="AH285">
        <v>2</v>
      </c>
      <c r="AI285">
        <v>47636400</v>
      </c>
      <c r="AJ285">
        <v>273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ROW(Source!A223)</f>
        <v>223</v>
      </c>
      <c r="B286">
        <v>47636409</v>
      </c>
      <c r="C286">
        <v>47636393</v>
      </c>
      <c r="D286">
        <v>36796087</v>
      </c>
      <c r="E286">
        <v>17</v>
      </c>
      <c r="F286">
        <v>1</v>
      </c>
      <c r="G286">
        <v>1</v>
      </c>
      <c r="H286">
        <v>3</v>
      </c>
      <c r="I286" t="s">
        <v>718</v>
      </c>
      <c r="J286" t="s">
        <v>3</v>
      </c>
      <c r="K286" t="s">
        <v>719</v>
      </c>
      <c r="L286">
        <v>1339</v>
      </c>
      <c r="N286">
        <v>1007</v>
      </c>
      <c r="O286" t="s">
        <v>96</v>
      </c>
      <c r="P286" t="s">
        <v>96</v>
      </c>
      <c r="Q286">
        <v>1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1</v>
      </c>
      <c r="AD286">
        <v>0</v>
      </c>
      <c r="AE286">
        <v>0</v>
      </c>
      <c r="AF286" t="s">
        <v>3</v>
      </c>
      <c r="AG286">
        <v>0</v>
      </c>
      <c r="AH286">
        <v>3</v>
      </c>
      <c r="AI286">
        <v>-1</v>
      </c>
      <c r="AJ286" t="s">
        <v>3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ROW(Source!A225)</f>
        <v>225</v>
      </c>
      <c r="B287">
        <v>47636419</v>
      </c>
      <c r="C287">
        <v>47636411</v>
      </c>
      <c r="D287">
        <v>37066739</v>
      </c>
      <c r="E287">
        <v>1</v>
      </c>
      <c r="F287">
        <v>1</v>
      </c>
      <c r="G287">
        <v>1</v>
      </c>
      <c r="H287">
        <v>1</v>
      </c>
      <c r="I287" t="s">
        <v>675</v>
      </c>
      <c r="J287" t="s">
        <v>3</v>
      </c>
      <c r="K287" t="s">
        <v>676</v>
      </c>
      <c r="L287">
        <v>1191</v>
      </c>
      <c r="N287">
        <v>1013</v>
      </c>
      <c r="O287" t="s">
        <v>487</v>
      </c>
      <c r="P287" t="s">
        <v>487</v>
      </c>
      <c r="Q287">
        <v>1</v>
      </c>
      <c r="X287">
        <v>26.24</v>
      </c>
      <c r="Y287">
        <v>0</v>
      </c>
      <c r="Z287">
        <v>0</v>
      </c>
      <c r="AA287">
        <v>0</v>
      </c>
      <c r="AB287">
        <v>8.4600000000000009</v>
      </c>
      <c r="AC287">
        <v>0</v>
      </c>
      <c r="AD287">
        <v>1</v>
      </c>
      <c r="AE287">
        <v>1</v>
      </c>
      <c r="AF287" t="s">
        <v>53</v>
      </c>
      <c r="AG287">
        <v>34.70239999999999</v>
      </c>
      <c r="AH287">
        <v>2</v>
      </c>
      <c r="AI287">
        <v>47636412</v>
      </c>
      <c r="AJ287">
        <v>275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ROW(Source!A225)</f>
        <v>225</v>
      </c>
      <c r="B288">
        <v>47636420</v>
      </c>
      <c r="C288">
        <v>47636411</v>
      </c>
      <c r="D288">
        <v>37064876</v>
      </c>
      <c r="E288">
        <v>1</v>
      </c>
      <c r="F288">
        <v>1</v>
      </c>
      <c r="G288">
        <v>1</v>
      </c>
      <c r="H288">
        <v>1</v>
      </c>
      <c r="I288" t="s">
        <v>500</v>
      </c>
      <c r="J288" t="s">
        <v>3</v>
      </c>
      <c r="K288" t="s">
        <v>501</v>
      </c>
      <c r="L288">
        <v>1191</v>
      </c>
      <c r="N288">
        <v>1013</v>
      </c>
      <c r="O288" t="s">
        <v>487</v>
      </c>
      <c r="P288" t="s">
        <v>487</v>
      </c>
      <c r="Q288">
        <v>1</v>
      </c>
      <c r="X288">
        <v>3.17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2</v>
      </c>
      <c r="AF288" t="s">
        <v>280</v>
      </c>
      <c r="AG288">
        <v>4.5568749999999998</v>
      </c>
      <c r="AH288">
        <v>2</v>
      </c>
      <c r="AI288">
        <v>47636413</v>
      </c>
      <c r="AJ288">
        <v>276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ROW(Source!A225)</f>
        <v>225</v>
      </c>
      <c r="B289">
        <v>47636421</v>
      </c>
      <c r="C289">
        <v>47636411</v>
      </c>
      <c r="D289">
        <v>36882383</v>
      </c>
      <c r="E289">
        <v>1</v>
      </c>
      <c r="F289">
        <v>1</v>
      </c>
      <c r="G289">
        <v>1</v>
      </c>
      <c r="H289">
        <v>2</v>
      </c>
      <c r="I289" t="s">
        <v>629</v>
      </c>
      <c r="J289" t="s">
        <v>630</v>
      </c>
      <c r="K289" t="s">
        <v>631</v>
      </c>
      <c r="L289">
        <v>1368</v>
      </c>
      <c r="N289">
        <v>1011</v>
      </c>
      <c r="O289" t="s">
        <v>505</v>
      </c>
      <c r="P289" t="s">
        <v>505</v>
      </c>
      <c r="Q289">
        <v>1</v>
      </c>
      <c r="X289">
        <v>1.1499999999999999</v>
      </c>
      <c r="Y289">
        <v>0</v>
      </c>
      <c r="Z289">
        <v>89.99</v>
      </c>
      <c r="AA289">
        <v>10.06</v>
      </c>
      <c r="AB289">
        <v>0</v>
      </c>
      <c r="AC289">
        <v>0</v>
      </c>
      <c r="AD289">
        <v>1</v>
      </c>
      <c r="AE289">
        <v>0</v>
      </c>
      <c r="AF289" t="s">
        <v>280</v>
      </c>
      <c r="AG289">
        <v>1.6531249999999997</v>
      </c>
      <c r="AH289">
        <v>2</v>
      </c>
      <c r="AI289">
        <v>47636414</v>
      </c>
      <c r="AJ289">
        <v>277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ROW(Source!A225)</f>
        <v>225</v>
      </c>
      <c r="B290">
        <v>47636422</v>
      </c>
      <c r="C290">
        <v>47636411</v>
      </c>
      <c r="D290">
        <v>36882722</v>
      </c>
      <c r="E290">
        <v>1</v>
      </c>
      <c r="F290">
        <v>1</v>
      </c>
      <c r="G290">
        <v>1</v>
      </c>
      <c r="H290">
        <v>2</v>
      </c>
      <c r="I290" t="s">
        <v>677</v>
      </c>
      <c r="J290" t="s">
        <v>678</v>
      </c>
      <c r="K290" t="s">
        <v>679</v>
      </c>
      <c r="L290">
        <v>1368</v>
      </c>
      <c r="N290">
        <v>1011</v>
      </c>
      <c r="O290" t="s">
        <v>505</v>
      </c>
      <c r="P290" t="s">
        <v>505</v>
      </c>
      <c r="Q290">
        <v>1</v>
      </c>
      <c r="X290">
        <v>1.48</v>
      </c>
      <c r="Y290">
        <v>0</v>
      </c>
      <c r="Z290">
        <v>75</v>
      </c>
      <c r="AA290">
        <v>11.6</v>
      </c>
      <c r="AB290">
        <v>0</v>
      </c>
      <c r="AC290">
        <v>0</v>
      </c>
      <c r="AD290">
        <v>1</v>
      </c>
      <c r="AE290">
        <v>0</v>
      </c>
      <c r="AF290" t="s">
        <v>280</v>
      </c>
      <c r="AG290">
        <v>2.1274999999999999</v>
      </c>
      <c r="AH290">
        <v>2</v>
      </c>
      <c r="AI290">
        <v>47636415</v>
      </c>
      <c r="AJ290">
        <v>278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ROW(Source!A225)</f>
        <v>225</v>
      </c>
      <c r="B291">
        <v>47636423</v>
      </c>
      <c r="C291">
        <v>47636411</v>
      </c>
      <c r="D291">
        <v>36883483</v>
      </c>
      <c r="E291">
        <v>1</v>
      </c>
      <c r="F291">
        <v>1</v>
      </c>
      <c r="G291">
        <v>1</v>
      </c>
      <c r="H291">
        <v>2</v>
      </c>
      <c r="I291" t="s">
        <v>672</v>
      </c>
      <c r="J291" t="s">
        <v>673</v>
      </c>
      <c r="K291" t="s">
        <v>674</v>
      </c>
      <c r="L291">
        <v>1368</v>
      </c>
      <c r="N291">
        <v>1011</v>
      </c>
      <c r="O291" t="s">
        <v>505</v>
      </c>
      <c r="P291" t="s">
        <v>505</v>
      </c>
      <c r="Q291">
        <v>1</v>
      </c>
      <c r="X291">
        <v>0.54</v>
      </c>
      <c r="Y291">
        <v>0</v>
      </c>
      <c r="Z291">
        <v>110</v>
      </c>
      <c r="AA291">
        <v>11.6</v>
      </c>
      <c r="AB291">
        <v>0</v>
      </c>
      <c r="AC291">
        <v>0</v>
      </c>
      <c r="AD291">
        <v>1</v>
      </c>
      <c r="AE291">
        <v>0</v>
      </c>
      <c r="AF291" t="s">
        <v>280</v>
      </c>
      <c r="AG291">
        <v>0.77625</v>
      </c>
      <c r="AH291">
        <v>2</v>
      </c>
      <c r="AI291">
        <v>47636416</v>
      </c>
      <c r="AJ291">
        <v>279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ROW(Source!A225)</f>
        <v>225</v>
      </c>
      <c r="B292">
        <v>47636424</v>
      </c>
      <c r="C292">
        <v>47636411</v>
      </c>
      <c r="D292">
        <v>36801792</v>
      </c>
      <c r="E292">
        <v>1</v>
      </c>
      <c r="F292">
        <v>1</v>
      </c>
      <c r="G292">
        <v>1</v>
      </c>
      <c r="H292">
        <v>3</v>
      </c>
      <c r="I292" t="s">
        <v>597</v>
      </c>
      <c r="J292" t="s">
        <v>598</v>
      </c>
      <c r="K292" t="s">
        <v>599</v>
      </c>
      <c r="L292">
        <v>1339</v>
      </c>
      <c r="N292">
        <v>1007</v>
      </c>
      <c r="O292" t="s">
        <v>96</v>
      </c>
      <c r="P292" t="s">
        <v>96</v>
      </c>
      <c r="Q292">
        <v>1</v>
      </c>
      <c r="X292">
        <v>2</v>
      </c>
      <c r="Y292">
        <v>2.44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3</v>
      </c>
      <c r="AG292">
        <v>2</v>
      </c>
      <c r="AH292">
        <v>2</v>
      </c>
      <c r="AI292">
        <v>47636417</v>
      </c>
      <c r="AJ292">
        <v>280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ROW(Source!A225)</f>
        <v>225</v>
      </c>
      <c r="B293">
        <v>47636425</v>
      </c>
      <c r="C293">
        <v>47636411</v>
      </c>
      <c r="D293">
        <v>36798335</v>
      </c>
      <c r="E293">
        <v>17</v>
      </c>
      <c r="F293">
        <v>1</v>
      </c>
      <c r="G293">
        <v>1</v>
      </c>
      <c r="H293">
        <v>3</v>
      </c>
      <c r="I293" t="s">
        <v>731</v>
      </c>
      <c r="J293" t="s">
        <v>3</v>
      </c>
      <c r="K293" t="s">
        <v>732</v>
      </c>
      <c r="L293">
        <v>1339</v>
      </c>
      <c r="N293">
        <v>1007</v>
      </c>
      <c r="O293" t="s">
        <v>96</v>
      </c>
      <c r="P293" t="s">
        <v>96</v>
      </c>
      <c r="Q293">
        <v>1</v>
      </c>
      <c r="X293">
        <v>17.399999999999999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 t="s">
        <v>3</v>
      </c>
      <c r="AG293">
        <v>17.399999999999999</v>
      </c>
      <c r="AH293">
        <v>3</v>
      </c>
      <c r="AI293">
        <v>-1</v>
      </c>
      <c r="AJ293" t="s">
        <v>3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ROW(Source!A227)</f>
        <v>227</v>
      </c>
      <c r="B294">
        <v>47636432</v>
      </c>
      <c r="C294">
        <v>47636427</v>
      </c>
      <c r="D294">
        <v>37066739</v>
      </c>
      <c r="E294">
        <v>1</v>
      </c>
      <c r="F294">
        <v>1</v>
      </c>
      <c r="G294">
        <v>1</v>
      </c>
      <c r="H294">
        <v>1</v>
      </c>
      <c r="I294" t="s">
        <v>675</v>
      </c>
      <c r="J294" t="s">
        <v>3</v>
      </c>
      <c r="K294" t="s">
        <v>676</v>
      </c>
      <c r="L294">
        <v>1191</v>
      </c>
      <c r="N294">
        <v>1013</v>
      </c>
      <c r="O294" t="s">
        <v>487</v>
      </c>
      <c r="P294" t="s">
        <v>487</v>
      </c>
      <c r="Q294">
        <v>1</v>
      </c>
      <c r="X294">
        <v>0.54</v>
      </c>
      <c r="Y294">
        <v>0</v>
      </c>
      <c r="Z294">
        <v>0</v>
      </c>
      <c r="AA294">
        <v>0</v>
      </c>
      <c r="AB294">
        <v>8.4600000000000009</v>
      </c>
      <c r="AC294">
        <v>0</v>
      </c>
      <c r="AD294">
        <v>1</v>
      </c>
      <c r="AE294">
        <v>1</v>
      </c>
      <c r="AF294" t="s">
        <v>385</v>
      </c>
      <c r="AG294">
        <v>2.1424499999999997</v>
      </c>
      <c r="AH294">
        <v>2</v>
      </c>
      <c r="AI294">
        <v>47636428</v>
      </c>
      <c r="AJ294">
        <v>282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ROW(Source!A227)</f>
        <v>227</v>
      </c>
      <c r="B295">
        <v>47636433</v>
      </c>
      <c r="C295">
        <v>47636427</v>
      </c>
      <c r="D295">
        <v>37064876</v>
      </c>
      <c r="E295">
        <v>1</v>
      </c>
      <c r="F295">
        <v>1</v>
      </c>
      <c r="G295">
        <v>1</v>
      </c>
      <c r="H295">
        <v>1</v>
      </c>
      <c r="I295" t="s">
        <v>500</v>
      </c>
      <c r="J295" t="s">
        <v>3</v>
      </c>
      <c r="K295" t="s">
        <v>501</v>
      </c>
      <c r="L295">
        <v>1191</v>
      </c>
      <c r="N295">
        <v>1013</v>
      </c>
      <c r="O295" t="s">
        <v>487</v>
      </c>
      <c r="P295" t="s">
        <v>487</v>
      </c>
      <c r="Q295">
        <v>1</v>
      </c>
      <c r="X295">
        <v>0.1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1</v>
      </c>
      <c r="AE295">
        <v>2</v>
      </c>
      <c r="AF295" t="s">
        <v>384</v>
      </c>
      <c r="AG295">
        <v>0.43125000000000002</v>
      </c>
      <c r="AH295">
        <v>2</v>
      </c>
      <c r="AI295">
        <v>47636429</v>
      </c>
      <c r="AJ295">
        <v>283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ROW(Source!A227)</f>
        <v>227</v>
      </c>
      <c r="B296">
        <v>47636434</v>
      </c>
      <c r="C296">
        <v>47636427</v>
      </c>
      <c r="D296">
        <v>36882383</v>
      </c>
      <c r="E296">
        <v>1</v>
      </c>
      <c r="F296">
        <v>1</v>
      </c>
      <c r="G296">
        <v>1</v>
      </c>
      <c r="H296">
        <v>2</v>
      </c>
      <c r="I296" t="s">
        <v>629</v>
      </c>
      <c r="J296" t="s">
        <v>630</v>
      </c>
      <c r="K296" t="s">
        <v>631</v>
      </c>
      <c r="L296">
        <v>1368</v>
      </c>
      <c r="N296">
        <v>1011</v>
      </c>
      <c r="O296" t="s">
        <v>505</v>
      </c>
      <c r="P296" t="s">
        <v>505</v>
      </c>
      <c r="Q296">
        <v>1</v>
      </c>
      <c r="X296">
        <v>0.1</v>
      </c>
      <c r="Y296">
        <v>0</v>
      </c>
      <c r="Z296">
        <v>89.99</v>
      </c>
      <c r="AA296">
        <v>10.06</v>
      </c>
      <c r="AB296">
        <v>0</v>
      </c>
      <c r="AC296">
        <v>0</v>
      </c>
      <c r="AD296">
        <v>1</v>
      </c>
      <c r="AE296">
        <v>0</v>
      </c>
      <c r="AF296" t="s">
        <v>384</v>
      </c>
      <c r="AG296">
        <v>0.43125000000000002</v>
      </c>
      <c r="AH296">
        <v>2</v>
      </c>
      <c r="AI296">
        <v>47636430</v>
      </c>
      <c r="AJ296">
        <v>284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ROW(Source!A227)</f>
        <v>227</v>
      </c>
      <c r="B297">
        <v>47636435</v>
      </c>
      <c r="C297">
        <v>47636427</v>
      </c>
      <c r="D297">
        <v>36798335</v>
      </c>
      <c r="E297">
        <v>17</v>
      </c>
      <c r="F297">
        <v>1</v>
      </c>
      <c r="G297">
        <v>1</v>
      </c>
      <c r="H297">
        <v>3</v>
      </c>
      <c r="I297" t="s">
        <v>731</v>
      </c>
      <c r="J297" t="s">
        <v>3</v>
      </c>
      <c r="K297" t="s">
        <v>732</v>
      </c>
      <c r="L297">
        <v>1339</v>
      </c>
      <c r="N297">
        <v>1007</v>
      </c>
      <c r="O297" t="s">
        <v>96</v>
      </c>
      <c r="P297" t="s">
        <v>96</v>
      </c>
      <c r="Q297">
        <v>1</v>
      </c>
      <c r="X297">
        <v>1.5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 t="s">
        <v>297</v>
      </c>
      <c r="AG297">
        <v>4.5</v>
      </c>
      <c r="AH297">
        <v>3</v>
      </c>
      <c r="AI297">
        <v>-1</v>
      </c>
      <c r="AJ297" t="s">
        <v>3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ROW(Source!A229)</f>
        <v>229</v>
      </c>
      <c r="B298">
        <v>47636447</v>
      </c>
      <c r="C298">
        <v>47636437</v>
      </c>
      <c r="D298">
        <v>37070164</v>
      </c>
      <c r="E298">
        <v>1</v>
      </c>
      <c r="F298">
        <v>1</v>
      </c>
      <c r="G298">
        <v>1</v>
      </c>
      <c r="H298">
        <v>1</v>
      </c>
      <c r="I298" t="s">
        <v>680</v>
      </c>
      <c r="J298" t="s">
        <v>3</v>
      </c>
      <c r="K298" t="s">
        <v>681</v>
      </c>
      <c r="L298">
        <v>1191</v>
      </c>
      <c r="N298">
        <v>1013</v>
      </c>
      <c r="O298" t="s">
        <v>487</v>
      </c>
      <c r="P298" t="s">
        <v>487</v>
      </c>
      <c r="Q298">
        <v>1</v>
      </c>
      <c r="X298">
        <v>15.12</v>
      </c>
      <c r="Y298">
        <v>0</v>
      </c>
      <c r="Z298">
        <v>0</v>
      </c>
      <c r="AA298">
        <v>0</v>
      </c>
      <c r="AB298">
        <v>9.2899999999999991</v>
      </c>
      <c r="AC298">
        <v>0</v>
      </c>
      <c r="AD298">
        <v>1</v>
      </c>
      <c r="AE298">
        <v>1</v>
      </c>
      <c r="AF298" t="s">
        <v>53</v>
      </c>
      <c r="AG298">
        <v>19.996199999999995</v>
      </c>
      <c r="AH298">
        <v>2</v>
      </c>
      <c r="AI298">
        <v>47636438</v>
      </c>
      <c r="AJ298">
        <v>286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ROW(Source!A229)</f>
        <v>229</v>
      </c>
      <c r="B299">
        <v>47636448</v>
      </c>
      <c r="C299">
        <v>47636437</v>
      </c>
      <c r="D299">
        <v>37064876</v>
      </c>
      <c r="E299">
        <v>1</v>
      </c>
      <c r="F299">
        <v>1</v>
      </c>
      <c r="G299">
        <v>1</v>
      </c>
      <c r="H299">
        <v>1</v>
      </c>
      <c r="I299" t="s">
        <v>500</v>
      </c>
      <c r="J299" t="s">
        <v>3</v>
      </c>
      <c r="K299" t="s">
        <v>501</v>
      </c>
      <c r="L299">
        <v>1191</v>
      </c>
      <c r="N299">
        <v>1013</v>
      </c>
      <c r="O299" t="s">
        <v>487</v>
      </c>
      <c r="P299" t="s">
        <v>487</v>
      </c>
      <c r="Q299">
        <v>1</v>
      </c>
      <c r="X299">
        <v>7.0000000000000007E-2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1</v>
      </c>
      <c r="AE299">
        <v>2</v>
      </c>
      <c r="AF299" t="s">
        <v>280</v>
      </c>
      <c r="AG299">
        <v>0.10062500000000001</v>
      </c>
      <c r="AH299">
        <v>2</v>
      </c>
      <c r="AI299">
        <v>47636439</v>
      </c>
      <c r="AJ299">
        <v>287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ROW(Source!A229)</f>
        <v>229</v>
      </c>
      <c r="B300">
        <v>47636449</v>
      </c>
      <c r="C300">
        <v>47636437</v>
      </c>
      <c r="D300">
        <v>36882159</v>
      </c>
      <c r="E300">
        <v>1</v>
      </c>
      <c r="F300">
        <v>1</v>
      </c>
      <c r="G300">
        <v>1</v>
      </c>
      <c r="H300">
        <v>2</v>
      </c>
      <c r="I300" t="s">
        <v>518</v>
      </c>
      <c r="J300" t="s">
        <v>519</v>
      </c>
      <c r="K300" t="s">
        <v>520</v>
      </c>
      <c r="L300">
        <v>1368</v>
      </c>
      <c r="N300">
        <v>1011</v>
      </c>
      <c r="O300" t="s">
        <v>505</v>
      </c>
      <c r="P300" t="s">
        <v>505</v>
      </c>
      <c r="Q300">
        <v>1</v>
      </c>
      <c r="X300">
        <v>0.02</v>
      </c>
      <c r="Y300">
        <v>0</v>
      </c>
      <c r="Z300">
        <v>111.99</v>
      </c>
      <c r="AA300">
        <v>13.5</v>
      </c>
      <c r="AB300">
        <v>0</v>
      </c>
      <c r="AC300">
        <v>0</v>
      </c>
      <c r="AD300">
        <v>1</v>
      </c>
      <c r="AE300">
        <v>0</v>
      </c>
      <c r="AF300" t="s">
        <v>280</v>
      </c>
      <c r="AG300">
        <v>2.8749999999999998E-2</v>
      </c>
      <c r="AH300">
        <v>2</v>
      </c>
      <c r="AI300">
        <v>47636440</v>
      </c>
      <c r="AJ300">
        <v>288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ROW(Source!A229)</f>
        <v>229</v>
      </c>
      <c r="B301">
        <v>47636450</v>
      </c>
      <c r="C301">
        <v>47636437</v>
      </c>
      <c r="D301">
        <v>36882383</v>
      </c>
      <c r="E301">
        <v>1</v>
      </c>
      <c r="F301">
        <v>1</v>
      </c>
      <c r="G301">
        <v>1</v>
      </c>
      <c r="H301">
        <v>2</v>
      </c>
      <c r="I301" t="s">
        <v>629</v>
      </c>
      <c r="J301" t="s">
        <v>630</v>
      </c>
      <c r="K301" t="s">
        <v>631</v>
      </c>
      <c r="L301">
        <v>1368</v>
      </c>
      <c r="N301">
        <v>1011</v>
      </c>
      <c r="O301" t="s">
        <v>505</v>
      </c>
      <c r="P301" t="s">
        <v>505</v>
      </c>
      <c r="Q301">
        <v>1</v>
      </c>
      <c r="X301">
        <v>0.03</v>
      </c>
      <c r="Y301">
        <v>0</v>
      </c>
      <c r="Z301">
        <v>89.99</v>
      </c>
      <c r="AA301">
        <v>10.06</v>
      </c>
      <c r="AB301">
        <v>0</v>
      </c>
      <c r="AC301">
        <v>0</v>
      </c>
      <c r="AD301">
        <v>1</v>
      </c>
      <c r="AE301">
        <v>0</v>
      </c>
      <c r="AF301" t="s">
        <v>280</v>
      </c>
      <c r="AG301">
        <v>4.3124999999999997E-2</v>
      </c>
      <c r="AH301">
        <v>2</v>
      </c>
      <c r="AI301">
        <v>47636441</v>
      </c>
      <c r="AJ301">
        <v>289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ROW(Source!A229)</f>
        <v>229</v>
      </c>
      <c r="B302">
        <v>47636451</v>
      </c>
      <c r="C302">
        <v>47636437</v>
      </c>
      <c r="D302">
        <v>36882881</v>
      </c>
      <c r="E302">
        <v>1</v>
      </c>
      <c r="F302">
        <v>1</v>
      </c>
      <c r="G302">
        <v>1</v>
      </c>
      <c r="H302">
        <v>2</v>
      </c>
      <c r="I302" t="s">
        <v>682</v>
      </c>
      <c r="J302" t="s">
        <v>683</v>
      </c>
      <c r="K302" t="s">
        <v>684</v>
      </c>
      <c r="L302">
        <v>1368</v>
      </c>
      <c r="N302">
        <v>1011</v>
      </c>
      <c r="O302" t="s">
        <v>505</v>
      </c>
      <c r="P302" t="s">
        <v>505</v>
      </c>
      <c r="Q302">
        <v>1</v>
      </c>
      <c r="X302">
        <v>0.85</v>
      </c>
      <c r="Y302">
        <v>0</v>
      </c>
      <c r="Z302">
        <v>60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280</v>
      </c>
      <c r="AG302">
        <v>1.2218749999999998</v>
      </c>
      <c r="AH302">
        <v>2</v>
      </c>
      <c r="AI302">
        <v>47636442</v>
      </c>
      <c r="AJ302">
        <v>290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ROW(Source!A229)</f>
        <v>229</v>
      </c>
      <c r="B303">
        <v>47636452</v>
      </c>
      <c r="C303">
        <v>47636437</v>
      </c>
      <c r="D303">
        <v>36883554</v>
      </c>
      <c r="E303">
        <v>1</v>
      </c>
      <c r="F303">
        <v>1</v>
      </c>
      <c r="G303">
        <v>1</v>
      </c>
      <c r="H303">
        <v>2</v>
      </c>
      <c r="I303" t="s">
        <v>509</v>
      </c>
      <c r="J303" t="s">
        <v>510</v>
      </c>
      <c r="K303" t="s">
        <v>511</v>
      </c>
      <c r="L303">
        <v>1368</v>
      </c>
      <c r="N303">
        <v>1011</v>
      </c>
      <c r="O303" t="s">
        <v>505</v>
      </c>
      <c r="P303" t="s">
        <v>505</v>
      </c>
      <c r="Q303">
        <v>1</v>
      </c>
      <c r="X303">
        <v>0.02</v>
      </c>
      <c r="Y303">
        <v>0</v>
      </c>
      <c r="Z303">
        <v>65.709999999999994</v>
      </c>
      <c r="AA303">
        <v>11.6</v>
      </c>
      <c r="AB303">
        <v>0</v>
      </c>
      <c r="AC303">
        <v>0</v>
      </c>
      <c r="AD303">
        <v>1</v>
      </c>
      <c r="AE303">
        <v>0</v>
      </c>
      <c r="AF303" t="s">
        <v>280</v>
      </c>
      <c r="AG303">
        <v>2.8749999999999998E-2</v>
      </c>
      <c r="AH303">
        <v>2</v>
      </c>
      <c r="AI303">
        <v>47636443</v>
      </c>
      <c r="AJ303">
        <v>291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ROW(Source!A229)</f>
        <v>229</v>
      </c>
      <c r="B304">
        <v>47636453</v>
      </c>
      <c r="C304">
        <v>47636437</v>
      </c>
      <c r="D304">
        <v>36799835</v>
      </c>
      <c r="E304">
        <v>1</v>
      </c>
      <c r="F304">
        <v>1</v>
      </c>
      <c r="G304">
        <v>1</v>
      </c>
      <c r="H304">
        <v>3</v>
      </c>
      <c r="I304" t="s">
        <v>685</v>
      </c>
      <c r="J304" t="s">
        <v>686</v>
      </c>
      <c r="K304" t="s">
        <v>687</v>
      </c>
      <c r="L304">
        <v>1348</v>
      </c>
      <c r="N304">
        <v>1009</v>
      </c>
      <c r="O304" t="s">
        <v>32</v>
      </c>
      <c r="P304" t="s">
        <v>32</v>
      </c>
      <c r="Q304">
        <v>1000</v>
      </c>
      <c r="X304">
        <v>0.06</v>
      </c>
      <c r="Y304">
        <v>1690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0.06</v>
      </c>
      <c r="AH304">
        <v>2</v>
      </c>
      <c r="AI304">
        <v>47636444</v>
      </c>
      <c r="AJ304">
        <v>292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ROW(Source!A229)</f>
        <v>229</v>
      </c>
      <c r="B305">
        <v>47636454</v>
      </c>
      <c r="C305">
        <v>47636437</v>
      </c>
      <c r="D305">
        <v>36796087</v>
      </c>
      <c r="E305">
        <v>17</v>
      </c>
      <c r="F305">
        <v>1</v>
      </c>
      <c r="G305">
        <v>1</v>
      </c>
      <c r="H305">
        <v>3</v>
      </c>
      <c r="I305" t="s">
        <v>718</v>
      </c>
      <c r="J305" t="s">
        <v>3</v>
      </c>
      <c r="K305" t="s">
        <v>719</v>
      </c>
      <c r="L305">
        <v>1339</v>
      </c>
      <c r="N305">
        <v>1007</v>
      </c>
      <c r="O305" t="s">
        <v>96</v>
      </c>
      <c r="P305" t="s">
        <v>96</v>
      </c>
      <c r="Q305">
        <v>1</v>
      </c>
      <c r="X305">
        <v>0.5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 t="s">
        <v>3</v>
      </c>
      <c r="AG305">
        <v>0.5</v>
      </c>
      <c r="AH305">
        <v>3</v>
      </c>
      <c r="AI305">
        <v>-1</v>
      </c>
      <c r="AJ305" t="s">
        <v>3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ROW(Source!A229)</f>
        <v>229</v>
      </c>
      <c r="B306">
        <v>47636455</v>
      </c>
      <c r="C306">
        <v>47636437</v>
      </c>
      <c r="D306">
        <v>36797302</v>
      </c>
      <c r="E306">
        <v>17</v>
      </c>
      <c r="F306">
        <v>1</v>
      </c>
      <c r="G306">
        <v>1</v>
      </c>
      <c r="H306">
        <v>3</v>
      </c>
      <c r="I306" t="s">
        <v>733</v>
      </c>
      <c r="J306" t="s">
        <v>3</v>
      </c>
      <c r="K306" t="s">
        <v>734</v>
      </c>
      <c r="L306">
        <v>1348</v>
      </c>
      <c r="N306">
        <v>1009</v>
      </c>
      <c r="O306" t="s">
        <v>32</v>
      </c>
      <c r="P306" t="s">
        <v>32</v>
      </c>
      <c r="Q306">
        <v>1000</v>
      </c>
      <c r="X306">
        <v>7.14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 t="s">
        <v>3</v>
      </c>
      <c r="AG306">
        <v>7.14</v>
      </c>
      <c r="AH306">
        <v>3</v>
      </c>
      <c r="AI306">
        <v>-1</v>
      </c>
      <c r="AJ306" t="s">
        <v>3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ROW(Source!A232)</f>
        <v>232</v>
      </c>
      <c r="B307">
        <v>47636462</v>
      </c>
      <c r="C307">
        <v>47636458</v>
      </c>
      <c r="D307">
        <v>37070164</v>
      </c>
      <c r="E307">
        <v>1</v>
      </c>
      <c r="F307">
        <v>1</v>
      </c>
      <c r="G307">
        <v>1</v>
      </c>
      <c r="H307">
        <v>1</v>
      </c>
      <c r="I307" t="s">
        <v>680</v>
      </c>
      <c r="J307" t="s">
        <v>3</v>
      </c>
      <c r="K307" t="s">
        <v>681</v>
      </c>
      <c r="L307">
        <v>1191</v>
      </c>
      <c r="N307">
        <v>1013</v>
      </c>
      <c r="O307" t="s">
        <v>487</v>
      </c>
      <c r="P307" t="s">
        <v>487</v>
      </c>
      <c r="Q307">
        <v>1</v>
      </c>
      <c r="X307">
        <v>2.3199999999999998</v>
      </c>
      <c r="Y307">
        <v>0</v>
      </c>
      <c r="Z307">
        <v>0</v>
      </c>
      <c r="AA307">
        <v>0</v>
      </c>
      <c r="AB307">
        <v>9.2899999999999991</v>
      </c>
      <c r="AC307">
        <v>0</v>
      </c>
      <c r="AD307">
        <v>1</v>
      </c>
      <c r="AE307">
        <v>1</v>
      </c>
      <c r="AF307" t="s">
        <v>53</v>
      </c>
      <c r="AG307">
        <v>3.0681999999999996</v>
      </c>
      <c r="AH307">
        <v>2</v>
      </c>
      <c r="AI307">
        <v>47636459</v>
      </c>
      <c r="AJ307">
        <v>295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ROW(Source!A232)</f>
        <v>232</v>
      </c>
      <c r="B308">
        <v>47636463</v>
      </c>
      <c r="C308">
        <v>47636458</v>
      </c>
      <c r="D308">
        <v>36882881</v>
      </c>
      <c r="E308">
        <v>1</v>
      </c>
      <c r="F308">
        <v>1</v>
      </c>
      <c r="G308">
        <v>1</v>
      </c>
      <c r="H308">
        <v>2</v>
      </c>
      <c r="I308" t="s">
        <v>682</v>
      </c>
      <c r="J308" t="s">
        <v>683</v>
      </c>
      <c r="K308" t="s">
        <v>684</v>
      </c>
      <c r="L308">
        <v>1368</v>
      </c>
      <c r="N308">
        <v>1011</v>
      </c>
      <c r="O308" t="s">
        <v>505</v>
      </c>
      <c r="P308" t="s">
        <v>505</v>
      </c>
      <c r="Q308">
        <v>1</v>
      </c>
      <c r="X308">
        <v>0.14000000000000001</v>
      </c>
      <c r="Y308">
        <v>0</v>
      </c>
      <c r="Z308">
        <v>60</v>
      </c>
      <c r="AA308">
        <v>0</v>
      </c>
      <c r="AB308">
        <v>0</v>
      </c>
      <c r="AC308">
        <v>0</v>
      </c>
      <c r="AD308">
        <v>1</v>
      </c>
      <c r="AE308">
        <v>0</v>
      </c>
      <c r="AF308" t="s">
        <v>280</v>
      </c>
      <c r="AG308">
        <v>0.20125000000000001</v>
      </c>
      <c r="AH308">
        <v>2</v>
      </c>
      <c r="AI308">
        <v>47636460</v>
      </c>
      <c r="AJ308">
        <v>296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ROW(Source!A232)</f>
        <v>232</v>
      </c>
      <c r="B309">
        <v>47636464</v>
      </c>
      <c r="C309">
        <v>47636458</v>
      </c>
      <c r="D309">
        <v>36797302</v>
      </c>
      <c r="E309">
        <v>17</v>
      </c>
      <c r="F309">
        <v>1</v>
      </c>
      <c r="G309">
        <v>1</v>
      </c>
      <c r="H309">
        <v>3</v>
      </c>
      <c r="I309" t="s">
        <v>733</v>
      </c>
      <c r="J309" t="s">
        <v>3</v>
      </c>
      <c r="K309" t="s">
        <v>734</v>
      </c>
      <c r="L309">
        <v>1348</v>
      </c>
      <c r="N309">
        <v>1009</v>
      </c>
      <c r="O309" t="s">
        <v>32</v>
      </c>
      <c r="P309" t="s">
        <v>32</v>
      </c>
      <c r="Q309">
        <v>1000</v>
      </c>
      <c r="X309">
        <v>1.21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 t="s">
        <v>3</v>
      </c>
      <c r="AG309">
        <v>1.21</v>
      </c>
      <c r="AH309">
        <v>3</v>
      </c>
      <c r="AI309">
        <v>-1</v>
      </c>
      <c r="AJ309" t="s">
        <v>3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ROW(Source!A268)</f>
        <v>268</v>
      </c>
      <c r="B310">
        <v>47636531</v>
      </c>
      <c r="C310">
        <v>47636530</v>
      </c>
      <c r="D310">
        <v>37066739</v>
      </c>
      <c r="E310">
        <v>1</v>
      </c>
      <c r="F310">
        <v>1</v>
      </c>
      <c r="G310">
        <v>1</v>
      </c>
      <c r="H310">
        <v>1</v>
      </c>
      <c r="I310" t="s">
        <v>675</v>
      </c>
      <c r="J310" t="s">
        <v>3</v>
      </c>
      <c r="K310" t="s">
        <v>676</v>
      </c>
      <c r="L310">
        <v>1191</v>
      </c>
      <c r="N310">
        <v>1013</v>
      </c>
      <c r="O310" t="s">
        <v>487</v>
      </c>
      <c r="P310" t="s">
        <v>487</v>
      </c>
      <c r="Q310">
        <v>1</v>
      </c>
      <c r="X310">
        <v>5.99</v>
      </c>
      <c r="Y310">
        <v>0</v>
      </c>
      <c r="Z310">
        <v>0</v>
      </c>
      <c r="AA310">
        <v>0</v>
      </c>
      <c r="AB310">
        <v>8.4600000000000009</v>
      </c>
      <c r="AC310">
        <v>0</v>
      </c>
      <c r="AD310">
        <v>1</v>
      </c>
      <c r="AE310">
        <v>1</v>
      </c>
      <c r="AF310" t="s">
        <v>3</v>
      </c>
      <c r="AG310">
        <v>5.99</v>
      </c>
      <c r="AH310">
        <v>2</v>
      </c>
      <c r="AI310">
        <v>47636531</v>
      </c>
      <c r="AJ310">
        <v>298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ROW(Source!A268)</f>
        <v>268</v>
      </c>
      <c r="B311">
        <v>47636532</v>
      </c>
      <c r="C311">
        <v>47636530</v>
      </c>
      <c r="D311">
        <v>37064876</v>
      </c>
      <c r="E311">
        <v>1</v>
      </c>
      <c r="F311">
        <v>1</v>
      </c>
      <c r="G311">
        <v>1</v>
      </c>
      <c r="H311">
        <v>1</v>
      </c>
      <c r="I311" t="s">
        <v>500</v>
      </c>
      <c r="J311" t="s">
        <v>3</v>
      </c>
      <c r="K311" t="s">
        <v>501</v>
      </c>
      <c r="L311">
        <v>1191</v>
      </c>
      <c r="N311">
        <v>1013</v>
      </c>
      <c r="O311" t="s">
        <v>487</v>
      </c>
      <c r="P311" t="s">
        <v>487</v>
      </c>
      <c r="Q311">
        <v>1</v>
      </c>
      <c r="X311">
        <v>2.74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1</v>
      </c>
      <c r="AE311">
        <v>2</v>
      </c>
      <c r="AF311" t="s">
        <v>3</v>
      </c>
      <c r="AG311">
        <v>2.74</v>
      </c>
      <c r="AH311">
        <v>2</v>
      </c>
      <c r="AI311">
        <v>47636532</v>
      </c>
      <c r="AJ311">
        <v>299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ROW(Source!A268)</f>
        <v>268</v>
      </c>
      <c r="B312">
        <v>47636533</v>
      </c>
      <c r="C312">
        <v>47636530</v>
      </c>
      <c r="D312">
        <v>36883483</v>
      </c>
      <c r="E312">
        <v>1</v>
      </c>
      <c r="F312">
        <v>1</v>
      </c>
      <c r="G312">
        <v>1</v>
      </c>
      <c r="H312">
        <v>2</v>
      </c>
      <c r="I312" t="s">
        <v>672</v>
      </c>
      <c r="J312" t="s">
        <v>673</v>
      </c>
      <c r="K312" t="s">
        <v>674</v>
      </c>
      <c r="L312">
        <v>1368</v>
      </c>
      <c r="N312">
        <v>1011</v>
      </c>
      <c r="O312" t="s">
        <v>505</v>
      </c>
      <c r="P312" t="s">
        <v>505</v>
      </c>
      <c r="Q312">
        <v>1</v>
      </c>
      <c r="X312">
        <v>2.74</v>
      </c>
      <c r="Y312">
        <v>0</v>
      </c>
      <c r="Z312">
        <v>110</v>
      </c>
      <c r="AA312">
        <v>11.6</v>
      </c>
      <c r="AB312">
        <v>0</v>
      </c>
      <c r="AC312">
        <v>0</v>
      </c>
      <c r="AD312">
        <v>1</v>
      </c>
      <c r="AE312">
        <v>0</v>
      </c>
      <c r="AF312" t="s">
        <v>3</v>
      </c>
      <c r="AG312">
        <v>2.74</v>
      </c>
      <c r="AH312">
        <v>2</v>
      </c>
      <c r="AI312">
        <v>47636533</v>
      </c>
      <c r="AJ312">
        <v>300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ROW(Source!A268)</f>
        <v>268</v>
      </c>
      <c r="B313">
        <v>47636534</v>
      </c>
      <c r="C313">
        <v>47636530</v>
      </c>
      <c r="D313">
        <v>36801792</v>
      </c>
      <c r="E313">
        <v>1</v>
      </c>
      <c r="F313">
        <v>1</v>
      </c>
      <c r="G313">
        <v>1</v>
      </c>
      <c r="H313">
        <v>3</v>
      </c>
      <c r="I313" t="s">
        <v>597</v>
      </c>
      <c r="J313" t="s">
        <v>598</v>
      </c>
      <c r="K313" t="s">
        <v>599</v>
      </c>
      <c r="L313">
        <v>1339</v>
      </c>
      <c r="N313">
        <v>1007</v>
      </c>
      <c r="O313" t="s">
        <v>96</v>
      </c>
      <c r="P313" t="s">
        <v>96</v>
      </c>
      <c r="Q313">
        <v>1</v>
      </c>
      <c r="X313">
        <v>10</v>
      </c>
      <c r="Y313">
        <v>2.44</v>
      </c>
      <c r="Z313">
        <v>0</v>
      </c>
      <c r="AA313">
        <v>0</v>
      </c>
      <c r="AB313">
        <v>0</v>
      </c>
      <c r="AC313">
        <v>0</v>
      </c>
      <c r="AD313">
        <v>1</v>
      </c>
      <c r="AE313">
        <v>0</v>
      </c>
      <c r="AF313" t="s">
        <v>3</v>
      </c>
      <c r="AG313">
        <v>10</v>
      </c>
      <c r="AH313">
        <v>2</v>
      </c>
      <c r="AI313">
        <v>47636534</v>
      </c>
      <c r="AJ313">
        <v>301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ROW(Source!A268)</f>
        <v>268</v>
      </c>
      <c r="B314">
        <v>47636535</v>
      </c>
      <c r="C314">
        <v>47636530</v>
      </c>
      <c r="D314">
        <v>36799037</v>
      </c>
      <c r="E314">
        <v>17</v>
      </c>
      <c r="F314">
        <v>1</v>
      </c>
      <c r="G314">
        <v>1</v>
      </c>
      <c r="H314">
        <v>3</v>
      </c>
      <c r="I314" t="s">
        <v>738</v>
      </c>
      <c r="J314" t="s">
        <v>3</v>
      </c>
      <c r="K314" t="s">
        <v>739</v>
      </c>
      <c r="L314">
        <v>1346</v>
      </c>
      <c r="N314">
        <v>1009</v>
      </c>
      <c r="O314" t="s">
        <v>400</v>
      </c>
      <c r="P314" t="s">
        <v>400</v>
      </c>
      <c r="Q314">
        <v>1</v>
      </c>
      <c r="X314">
        <v>2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 t="s">
        <v>3</v>
      </c>
      <c r="AG314">
        <v>2</v>
      </c>
      <c r="AH314">
        <v>3</v>
      </c>
      <c r="AI314">
        <v>-1</v>
      </c>
      <c r="AJ314" t="s">
        <v>3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ROW(Source!A270)</f>
        <v>270</v>
      </c>
      <c r="B315">
        <v>47636538</v>
      </c>
      <c r="C315">
        <v>47636537</v>
      </c>
      <c r="D315">
        <v>37066717</v>
      </c>
      <c r="E315">
        <v>1</v>
      </c>
      <c r="F315">
        <v>1</v>
      </c>
      <c r="G315">
        <v>1</v>
      </c>
      <c r="H315">
        <v>1</v>
      </c>
      <c r="I315" t="s">
        <v>485</v>
      </c>
      <c r="J315" t="s">
        <v>3</v>
      </c>
      <c r="K315" t="s">
        <v>486</v>
      </c>
      <c r="L315">
        <v>1191</v>
      </c>
      <c r="N315">
        <v>1013</v>
      </c>
      <c r="O315" t="s">
        <v>487</v>
      </c>
      <c r="P315" t="s">
        <v>487</v>
      </c>
      <c r="Q315">
        <v>1</v>
      </c>
      <c r="X315">
        <v>38.619999999999997</v>
      </c>
      <c r="Y315">
        <v>0</v>
      </c>
      <c r="Z315">
        <v>0</v>
      </c>
      <c r="AA315">
        <v>0</v>
      </c>
      <c r="AB315">
        <v>8.17</v>
      </c>
      <c r="AC315">
        <v>0</v>
      </c>
      <c r="AD315">
        <v>1</v>
      </c>
      <c r="AE315">
        <v>1</v>
      </c>
      <c r="AF315" t="s">
        <v>3</v>
      </c>
      <c r="AG315">
        <v>38.619999999999997</v>
      </c>
      <c r="AH315">
        <v>2</v>
      </c>
      <c r="AI315">
        <v>47636538</v>
      </c>
      <c r="AJ315">
        <v>303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ROW(Source!A270)</f>
        <v>270</v>
      </c>
      <c r="B316">
        <v>47636539</v>
      </c>
      <c r="C316">
        <v>47636537</v>
      </c>
      <c r="D316">
        <v>37064876</v>
      </c>
      <c r="E316">
        <v>1</v>
      </c>
      <c r="F316">
        <v>1</v>
      </c>
      <c r="G316">
        <v>1</v>
      </c>
      <c r="H316">
        <v>1</v>
      </c>
      <c r="I316" t="s">
        <v>500</v>
      </c>
      <c r="J316" t="s">
        <v>3</v>
      </c>
      <c r="K316" t="s">
        <v>501</v>
      </c>
      <c r="L316">
        <v>1191</v>
      </c>
      <c r="N316">
        <v>1013</v>
      </c>
      <c r="O316" t="s">
        <v>487</v>
      </c>
      <c r="P316" t="s">
        <v>487</v>
      </c>
      <c r="Q316">
        <v>1</v>
      </c>
      <c r="X316">
        <v>2.74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2</v>
      </c>
      <c r="AF316" t="s">
        <v>3</v>
      </c>
      <c r="AG316">
        <v>2.74</v>
      </c>
      <c r="AH316">
        <v>2</v>
      </c>
      <c r="AI316">
        <v>47636539</v>
      </c>
      <c r="AJ316">
        <v>304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ROW(Source!A270)</f>
        <v>270</v>
      </c>
      <c r="B317">
        <v>47636540</v>
      </c>
      <c r="C317">
        <v>47636537</v>
      </c>
      <c r="D317">
        <v>36883483</v>
      </c>
      <c r="E317">
        <v>1</v>
      </c>
      <c r="F317">
        <v>1</v>
      </c>
      <c r="G317">
        <v>1</v>
      </c>
      <c r="H317">
        <v>2</v>
      </c>
      <c r="I317" t="s">
        <v>672</v>
      </c>
      <c r="J317" t="s">
        <v>673</v>
      </c>
      <c r="K317" t="s">
        <v>674</v>
      </c>
      <c r="L317">
        <v>1368</v>
      </c>
      <c r="N317">
        <v>1011</v>
      </c>
      <c r="O317" t="s">
        <v>505</v>
      </c>
      <c r="P317" t="s">
        <v>505</v>
      </c>
      <c r="Q317">
        <v>1</v>
      </c>
      <c r="X317">
        <v>2.74</v>
      </c>
      <c r="Y317">
        <v>0</v>
      </c>
      <c r="Z317">
        <v>110</v>
      </c>
      <c r="AA317">
        <v>11.6</v>
      </c>
      <c r="AB317">
        <v>0</v>
      </c>
      <c r="AC317">
        <v>0</v>
      </c>
      <c r="AD317">
        <v>1</v>
      </c>
      <c r="AE317">
        <v>0</v>
      </c>
      <c r="AF317" t="s">
        <v>3</v>
      </c>
      <c r="AG317">
        <v>2.74</v>
      </c>
      <c r="AH317">
        <v>2</v>
      </c>
      <c r="AI317">
        <v>47636540</v>
      </c>
      <c r="AJ317">
        <v>305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ROW(Source!A270)</f>
        <v>270</v>
      </c>
      <c r="B318">
        <v>47636541</v>
      </c>
      <c r="C318">
        <v>47636537</v>
      </c>
      <c r="D318">
        <v>36801792</v>
      </c>
      <c r="E318">
        <v>1</v>
      </c>
      <c r="F318">
        <v>1</v>
      </c>
      <c r="G318">
        <v>1</v>
      </c>
      <c r="H318">
        <v>3</v>
      </c>
      <c r="I318" t="s">
        <v>597</v>
      </c>
      <c r="J318" t="s">
        <v>598</v>
      </c>
      <c r="K318" t="s">
        <v>599</v>
      </c>
      <c r="L318">
        <v>1339</v>
      </c>
      <c r="N318">
        <v>1007</v>
      </c>
      <c r="O318" t="s">
        <v>96</v>
      </c>
      <c r="P318" t="s">
        <v>96</v>
      </c>
      <c r="Q318">
        <v>1</v>
      </c>
      <c r="X318">
        <v>10</v>
      </c>
      <c r="Y318">
        <v>2.44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 t="s">
        <v>3</v>
      </c>
      <c r="AG318">
        <v>10</v>
      </c>
      <c r="AH318">
        <v>2</v>
      </c>
      <c r="AI318">
        <v>47636541</v>
      </c>
      <c r="AJ318">
        <v>306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ROW(Source!A270)</f>
        <v>270</v>
      </c>
      <c r="B319">
        <v>47636542</v>
      </c>
      <c r="C319">
        <v>47636537</v>
      </c>
      <c r="D319">
        <v>36796120</v>
      </c>
      <c r="E319">
        <v>17</v>
      </c>
      <c r="F319">
        <v>1</v>
      </c>
      <c r="G319">
        <v>1</v>
      </c>
      <c r="H319">
        <v>3</v>
      </c>
      <c r="I319" t="s">
        <v>740</v>
      </c>
      <c r="J319" t="s">
        <v>3</v>
      </c>
      <c r="K319" t="s">
        <v>741</v>
      </c>
      <c r="L319">
        <v>1346</v>
      </c>
      <c r="N319">
        <v>1009</v>
      </c>
      <c r="O319" t="s">
        <v>400</v>
      </c>
      <c r="P319" t="s">
        <v>400</v>
      </c>
      <c r="Q319">
        <v>1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 t="s">
        <v>3</v>
      </c>
      <c r="AG319">
        <v>0</v>
      </c>
      <c r="AH319">
        <v>3</v>
      </c>
      <c r="AI319">
        <v>-1</v>
      </c>
      <c r="AJ319" t="s">
        <v>3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Смета 12 гр. по ФЕР</vt:lpstr>
      <vt:lpstr>RV_DATA</vt:lpstr>
      <vt:lpstr>Расчет стоимости ресурсов</vt:lpstr>
      <vt:lpstr>Source</vt:lpstr>
      <vt:lpstr>SourceObSm</vt:lpstr>
      <vt:lpstr>SmtRes</vt:lpstr>
      <vt:lpstr>EtalonRes</vt:lpstr>
      <vt:lpstr>'Расчет стоимости ресурсов'!Заголовки_для_печати</vt:lpstr>
      <vt:lpstr>'Смета 12 гр. по ФЕР'!Заголовки_для_печати</vt:lpstr>
      <vt:lpstr>'Расчет стоимости ресурсов'!Область_печати</vt:lpstr>
      <vt:lpstr>'Смета 12 гр. по ФЕР'!Область_печати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Алексей Капкан</cp:lastModifiedBy>
  <dcterms:created xsi:type="dcterms:W3CDTF">2019-09-20T05:48:09Z</dcterms:created>
  <dcterms:modified xsi:type="dcterms:W3CDTF">2019-09-24T19:56:26Z</dcterms:modified>
</cp:coreProperties>
</file>