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TO\Desktop\"/>
    </mc:Choice>
  </mc:AlternateContent>
  <bookViews>
    <workbookView xWindow="0" yWindow="0" windowWidth="28800" windowHeight="12435"/>
  </bookViews>
  <sheets>
    <sheet name="Смета по ТСН-2001" sheetId="5" r:id="rId1"/>
    <sheet name="Дефектная ведомость" sheetId="6" r:id="rId2"/>
    <sheet name="Ведомость объемов работ" sheetId="7" r:id="rId3"/>
    <sheet name="RV_DATA" sheetId="10" state="hidden" r:id="rId4"/>
    <sheet name="Расчет стоимости ресурсов" sheetId="9" r:id="rId5"/>
    <sheet name="Source" sheetId="1" state="hidden" r:id="rId6"/>
    <sheet name="SourceObSm" sheetId="2" state="hidden" r:id="rId7"/>
    <sheet name="SmtRes" sheetId="3" state="hidden" r:id="rId8"/>
    <sheet name="EtalonRes" sheetId="4" state="hidden" r:id="rId9"/>
  </sheets>
  <definedNames>
    <definedName name="_xlnm.Print_Titles" localSheetId="2">'Ведомость объемов работ'!$18:$18</definedName>
    <definedName name="_xlnm.Print_Titles" localSheetId="1">'Дефектная ведомость'!$18:$18</definedName>
    <definedName name="_xlnm.Print_Titles" localSheetId="4">'Расчет стоимости ресурсов'!$4:$7</definedName>
    <definedName name="_xlnm.Print_Titles" localSheetId="0">'Смета по ТСН-2001'!$15:$15</definedName>
    <definedName name="_xlnm.Print_Area" localSheetId="2">'Ведомость объемов работ'!$A$1:$E$50</definedName>
    <definedName name="_xlnm.Print_Area" localSheetId="1">'Дефектная ведомость'!$A$1:$E$50</definedName>
    <definedName name="_xlnm.Print_Area" localSheetId="4">'Расчет стоимости ресурсов'!$A$1:$F$34</definedName>
    <definedName name="_xlnm.Print_Area" localSheetId="0">'Смета по ТСН-2001'!$A$1:$K$157</definedName>
  </definedNames>
  <calcPr calcId="152511"/>
</workbook>
</file>

<file path=xl/calcChain.xml><?xml version="1.0" encoding="utf-8"?>
<calcChain xmlns="http://schemas.openxmlformats.org/spreadsheetml/2006/main">
  <c r="U32" i="10" l="1"/>
  <c r="S32" i="10"/>
  <c r="P32" i="10"/>
  <c r="N32" i="10"/>
  <c r="K32" i="10"/>
  <c r="J32" i="10"/>
  <c r="I32" i="10"/>
  <c r="H32" i="10"/>
  <c r="G32" i="10"/>
  <c r="F32" i="10"/>
  <c r="E32" i="10"/>
  <c r="A32" i="10"/>
  <c r="G31" i="10"/>
  <c r="A31" i="10"/>
  <c r="U30" i="10"/>
  <c r="H30" i="10"/>
  <c r="G30" i="10"/>
  <c r="F30" i="10"/>
  <c r="E30" i="10"/>
  <c r="D30" i="10"/>
  <c r="A30" i="10"/>
  <c r="U29" i="10"/>
  <c r="S29" i="10"/>
  <c r="P29" i="10"/>
  <c r="N29" i="10"/>
  <c r="K29" i="10"/>
  <c r="J29" i="10"/>
  <c r="H29" i="10"/>
  <c r="G29" i="10"/>
  <c r="F29" i="10"/>
  <c r="E29" i="10"/>
  <c r="A29" i="10"/>
  <c r="U28" i="10"/>
  <c r="H28" i="10"/>
  <c r="G28" i="10"/>
  <c r="F28" i="10"/>
  <c r="E28" i="10"/>
  <c r="D28" i="10"/>
  <c r="A28" i="10"/>
  <c r="U27" i="10"/>
  <c r="S27" i="10"/>
  <c r="P27" i="10"/>
  <c r="N27" i="10"/>
  <c r="K27" i="10"/>
  <c r="J27" i="10"/>
  <c r="H27" i="10"/>
  <c r="G27" i="10"/>
  <c r="F27" i="10"/>
  <c r="E27" i="10"/>
  <c r="A27" i="10"/>
  <c r="U26" i="10"/>
  <c r="H26" i="10"/>
  <c r="G26" i="10"/>
  <c r="F26" i="10"/>
  <c r="E26" i="10"/>
  <c r="D26" i="10"/>
  <c r="A26" i="10"/>
  <c r="U25" i="10"/>
  <c r="S25" i="10"/>
  <c r="P25" i="10"/>
  <c r="N25" i="10"/>
  <c r="K25" i="10"/>
  <c r="J25" i="10"/>
  <c r="H25" i="10"/>
  <c r="G25" i="10"/>
  <c r="F25" i="10"/>
  <c r="E25" i="10"/>
  <c r="A25" i="10"/>
  <c r="U24" i="10"/>
  <c r="H24" i="10"/>
  <c r="G24" i="10"/>
  <c r="F24" i="10"/>
  <c r="E24" i="10"/>
  <c r="D24" i="10"/>
  <c r="A24" i="10"/>
  <c r="U23" i="10"/>
  <c r="H23" i="10"/>
  <c r="G23" i="10"/>
  <c r="F23" i="10"/>
  <c r="E23" i="10"/>
  <c r="D23" i="10"/>
  <c r="A23" i="10"/>
  <c r="U22" i="10"/>
  <c r="H22" i="10"/>
  <c r="G22" i="10"/>
  <c r="F22" i="10"/>
  <c r="E22" i="10"/>
  <c r="D22" i="10"/>
  <c r="A22" i="10"/>
  <c r="U21" i="10"/>
  <c r="H21" i="10"/>
  <c r="G21" i="10"/>
  <c r="F21" i="10"/>
  <c r="E21" i="10"/>
  <c r="D21" i="10"/>
  <c r="A21" i="10"/>
  <c r="U20" i="10"/>
  <c r="S20" i="10"/>
  <c r="P20" i="10"/>
  <c r="N20" i="10"/>
  <c r="K20" i="10"/>
  <c r="J20" i="10"/>
  <c r="H20" i="10"/>
  <c r="G20" i="10"/>
  <c r="F20" i="10"/>
  <c r="E20" i="10"/>
  <c r="A20" i="10"/>
  <c r="U19" i="10"/>
  <c r="H19" i="10"/>
  <c r="G19" i="10"/>
  <c r="F19" i="10"/>
  <c r="E19" i="10"/>
  <c r="D19" i="10"/>
  <c r="A19" i="10"/>
  <c r="U18" i="10"/>
  <c r="S18" i="10"/>
  <c r="P18" i="10"/>
  <c r="N18" i="10"/>
  <c r="K18" i="10"/>
  <c r="J18" i="10"/>
  <c r="I18" i="10"/>
  <c r="H18" i="10"/>
  <c r="G18" i="10"/>
  <c r="F18" i="10"/>
  <c r="E18" i="10"/>
  <c r="A18" i="10"/>
  <c r="U17" i="10"/>
  <c r="H17" i="10"/>
  <c r="G17" i="10"/>
  <c r="F17" i="10"/>
  <c r="E17" i="10"/>
  <c r="D17" i="10"/>
  <c r="A17" i="10"/>
  <c r="U16" i="10"/>
  <c r="S16" i="10"/>
  <c r="P16" i="10"/>
  <c r="N16" i="10"/>
  <c r="K16" i="10"/>
  <c r="J16" i="10"/>
  <c r="I16" i="10"/>
  <c r="H16" i="10"/>
  <c r="G16" i="10"/>
  <c r="F16" i="10"/>
  <c r="E16" i="10"/>
  <c r="A16" i="10"/>
  <c r="U15" i="10"/>
  <c r="H15" i="10"/>
  <c r="G15" i="10"/>
  <c r="F15" i="10"/>
  <c r="E15" i="10"/>
  <c r="D15" i="10"/>
  <c r="A15" i="10"/>
  <c r="U14" i="10"/>
  <c r="S14" i="10"/>
  <c r="P14" i="10"/>
  <c r="N14" i="10"/>
  <c r="K14" i="10"/>
  <c r="J14" i="10"/>
  <c r="I14" i="10"/>
  <c r="H14" i="10"/>
  <c r="G14" i="10"/>
  <c r="F14" i="10"/>
  <c r="E14" i="10"/>
  <c r="A14" i="10"/>
  <c r="U13" i="10"/>
  <c r="H13" i="10"/>
  <c r="G13" i="10"/>
  <c r="F13" i="10"/>
  <c r="E13" i="10"/>
  <c r="D13" i="10"/>
  <c r="A13" i="10"/>
  <c r="U12" i="10"/>
  <c r="S12" i="10"/>
  <c r="P12" i="10"/>
  <c r="N12" i="10"/>
  <c r="K12" i="10"/>
  <c r="J12" i="10"/>
  <c r="I12" i="10"/>
  <c r="H12" i="10"/>
  <c r="G12" i="10"/>
  <c r="F12" i="10"/>
  <c r="E12" i="10"/>
  <c r="A12" i="10"/>
  <c r="U11" i="10"/>
  <c r="H11" i="10"/>
  <c r="G11" i="10"/>
  <c r="F11" i="10"/>
  <c r="E11" i="10"/>
  <c r="D11" i="10"/>
  <c r="A11" i="10"/>
  <c r="U10" i="10"/>
  <c r="S10" i="10"/>
  <c r="P10" i="10"/>
  <c r="N10" i="10"/>
  <c r="K10" i="10"/>
  <c r="J10" i="10"/>
  <c r="I10" i="10"/>
  <c r="H10" i="10"/>
  <c r="G10" i="10"/>
  <c r="F10" i="10"/>
  <c r="E10" i="10"/>
  <c r="A10" i="10"/>
  <c r="U9" i="10"/>
  <c r="H9" i="10"/>
  <c r="G9" i="10"/>
  <c r="F9" i="10"/>
  <c r="E9" i="10"/>
  <c r="D9" i="10"/>
  <c r="A9" i="10"/>
  <c r="U8" i="10"/>
  <c r="S8" i="10"/>
  <c r="P8" i="10"/>
  <c r="N8" i="10"/>
  <c r="K8" i="10"/>
  <c r="J8" i="10"/>
  <c r="I8" i="10"/>
  <c r="H8" i="10"/>
  <c r="G8" i="10"/>
  <c r="F8" i="10"/>
  <c r="E8" i="10"/>
  <c r="A8" i="10"/>
  <c r="G7" i="10"/>
  <c r="A7" i="10"/>
  <c r="G6" i="10"/>
  <c r="A6" i="10"/>
  <c r="D45" i="7"/>
  <c r="C45" i="7"/>
  <c r="B45" i="7"/>
  <c r="A45" i="7"/>
  <c r="A44" i="7"/>
  <c r="C43" i="7"/>
  <c r="B43" i="7"/>
  <c r="A43" i="7"/>
  <c r="C42" i="7"/>
  <c r="B42" i="7"/>
  <c r="A42" i="7"/>
  <c r="C41" i="7"/>
  <c r="B41" i="7"/>
  <c r="A41" i="7"/>
  <c r="C40" i="7"/>
  <c r="B40" i="7"/>
  <c r="A40" i="7"/>
  <c r="C39" i="7"/>
  <c r="B39" i="7"/>
  <c r="A39" i="7"/>
  <c r="C38" i="7"/>
  <c r="B38" i="7"/>
  <c r="A38" i="7"/>
  <c r="C37" i="7"/>
  <c r="B37" i="7"/>
  <c r="A37" i="7"/>
  <c r="C36" i="7"/>
  <c r="B36" i="7"/>
  <c r="A36" i="7"/>
  <c r="C35" i="7"/>
  <c r="B35" i="7"/>
  <c r="A35" i="7"/>
  <c r="C34" i="7"/>
  <c r="B34" i="7"/>
  <c r="A34" i="7"/>
  <c r="C33" i="7"/>
  <c r="B33" i="7"/>
  <c r="A33" i="7"/>
  <c r="C32" i="7"/>
  <c r="B32" i="7"/>
  <c r="A32" i="7"/>
  <c r="D31" i="7"/>
  <c r="C31" i="7"/>
  <c r="B31" i="7"/>
  <c r="A31" i="7"/>
  <c r="C30" i="7"/>
  <c r="B30" i="7"/>
  <c r="A30" i="7"/>
  <c r="D29" i="7"/>
  <c r="C29" i="7"/>
  <c r="B29" i="7"/>
  <c r="A29" i="7"/>
  <c r="C28" i="7"/>
  <c r="B28" i="7"/>
  <c r="A28" i="7"/>
  <c r="D27" i="7"/>
  <c r="C27" i="7"/>
  <c r="B27" i="7"/>
  <c r="A27" i="7"/>
  <c r="C26" i="7"/>
  <c r="B26" i="7"/>
  <c r="A26" i="7"/>
  <c r="D25" i="7"/>
  <c r="C25" i="7"/>
  <c r="B25" i="7"/>
  <c r="A25" i="7"/>
  <c r="C24" i="7"/>
  <c r="B24" i="7"/>
  <c r="A24" i="7"/>
  <c r="D23" i="7"/>
  <c r="C23" i="7"/>
  <c r="B23" i="7"/>
  <c r="A23" i="7"/>
  <c r="C22" i="7"/>
  <c r="B22" i="7"/>
  <c r="A22" i="7"/>
  <c r="D21" i="7"/>
  <c r="C21" i="7"/>
  <c r="B21" i="7"/>
  <c r="A21" i="7"/>
  <c r="A20" i="7"/>
  <c r="A19" i="7"/>
  <c r="A11" i="7"/>
  <c r="A1" i="7"/>
  <c r="D45" i="6"/>
  <c r="C45" i="6"/>
  <c r="B45" i="6"/>
  <c r="A45" i="6"/>
  <c r="A44" i="6"/>
  <c r="C43" i="6"/>
  <c r="B43" i="6"/>
  <c r="A43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C34" i="6"/>
  <c r="B34" i="6"/>
  <c r="A34" i="6"/>
  <c r="C33" i="6"/>
  <c r="B33" i="6"/>
  <c r="A33" i="6"/>
  <c r="C32" i="6"/>
  <c r="B32" i="6"/>
  <c r="A32" i="6"/>
  <c r="D31" i="6"/>
  <c r="C31" i="6"/>
  <c r="B31" i="6"/>
  <c r="A31" i="6"/>
  <c r="C30" i="6"/>
  <c r="B30" i="6"/>
  <c r="A30" i="6"/>
  <c r="D29" i="6"/>
  <c r="C29" i="6"/>
  <c r="B29" i="6"/>
  <c r="A29" i="6"/>
  <c r="C28" i="6"/>
  <c r="B28" i="6"/>
  <c r="A28" i="6"/>
  <c r="D27" i="6"/>
  <c r="C27" i="6"/>
  <c r="B27" i="6"/>
  <c r="A27" i="6"/>
  <c r="C26" i="6"/>
  <c r="B26" i="6"/>
  <c r="A26" i="6"/>
  <c r="D25" i="6"/>
  <c r="C25" i="6"/>
  <c r="B25" i="6"/>
  <c r="A25" i="6"/>
  <c r="C24" i="6"/>
  <c r="B24" i="6"/>
  <c r="A24" i="6"/>
  <c r="D23" i="6"/>
  <c r="C23" i="6"/>
  <c r="B23" i="6"/>
  <c r="A23" i="6"/>
  <c r="C22" i="6"/>
  <c r="B22" i="6"/>
  <c r="A22" i="6"/>
  <c r="D21" i="6"/>
  <c r="C21" i="6"/>
  <c r="B21" i="6"/>
  <c r="A21" i="6"/>
  <c r="A20" i="6"/>
  <c r="A19" i="6"/>
  <c r="A11" i="6"/>
  <c r="A1" i="6"/>
  <c r="A1" i="4" l="1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1" i="3"/>
  <c r="CX1" i="3"/>
  <c r="CY1" i="3"/>
  <c r="CZ1" i="3"/>
  <c r="DA1" i="3"/>
  <c r="DB1" i="3"/>
  <c r="DC1" i="3"/>
  <c r="A2" i="3"/>
  <c r="CX2" i="3"/>
  <c r="CY2" i="3"/>
  <c r="CZ2" i="3"/>
  <c r="DB2" i="3" s="1"/>
  <c r="DA2" i="3"/>
  <c r="DC2" i="3"/>
  <c r="A3" i="3"/>
  <c r="CX3" i="3"/>
  <c r="CY3" i="3"/>
  <c r="CZ3" i="3"/>
  <c r="DB3" i="3" s="1"/>
  <c r="L8" i="10" s="1"/>
  <c r="DA3" i="3"/>
  <c r="DC3" i="3"/>
  <c r="Q8" i="10" s="1"/>
  <c r="A4" i="3"/>
  <c r="CX4" i="3"/>
  <c r="CY4" i="3"/>
  <c r="CZ4" i="3"/>
  <c r="DB4" i="3" s="1"/>
  <c r="DA4" i="3"/>
  <c r="DC4" i="3"/>
  <c r="A5" i="3"/>
  <c r="CX5" i="3"/>
  <c r="CY5" i="3"/>
  <c r="CZ5" i="3"/>
  <c r="DA5" i="3"/>
  <c r="DB5" i="3"/>
  <c r="DC5" i="3"/>
  <c r="A6" i="3"/>
  <c r="CX6" i="3"/>
  <c r="CY6" i="3"/>
  <c r="CZ6" i="3"/>
  <c r="DB6" i="3" s="1"/>
  <c r="DA6" i="3"/>
  <c r="DC6" i="3"/>
  <c r="A7" i="3"/>
  <c r="CX7" i="3"/>
  <c r="CY7" i="3"/>
  <c r="CZ7" i="3"/>
  <c r="DB7" i="3" s="1"/>
  <c r="L10" i="10" s="1"/>
  <c r="DA7" i="3"/>
  <c r="DC7" i="3"/>
  <c r="Q10" i="10" s="1"/>
  <c r="A8" i="3"/>
  <c r="CX8" i="3"/>
  <c r="CY8" i="3"/>
  <c r="CZ8" i="3"/>
  <c r="DB8" i="3" s="1"/>
  <c r="DA8" i="3"/>
  <c r="DC8" i="3"/>
  <c r="A9" i="3"/>
  <c r="CX9" i="3"/>
  <c r="CY9" i="3"/>
  <c r="CZ9" i="3"/>
  <c r="DA9" i="3"/>
  <c r="DB9" i="3"/>
  <c r="DC9" i="3"/>
  <c r="A10" i="3"/>
  <c r="CX10" i="3"/>
  <c r="CY10" i="3"/>
  <c r="CZ10" i="3"/>
  <c r="DA10" i="3"/>
  <c r="DB10" i="3"/>
  <c r="DC10" i="3"/>
  <c r="A11" i="3"/>
  <c r="CX11" i="3"/>
  <c r="CY11" i="3"/>
  <c r="CZ11" i="3"/>
  <c r="DB11" i="3" s="1"/>
  <c r="L12" i="10" s="1"/>
  <c r="DA11" i="3"/>
  <c r="DC11" i="3"/>
  <c r="Q12" i="10" s="1"/>
  <c r="A12" i="3"/>
  <c r="CX12" i="3"/>
  <c r="CY12" i="3"/>
  <c r="CZ12" i="3"/>
  <c r="DB12" i="3" s="1"/>
  <c r="DA12" i="3"/>
  <c r="DC12" i="3"/>
  <c r="A13" i="3"/>
  <c r="CX13" i="3"/>
  <c r="CY13" i="3"/>
  <c r="CZ13" i="3"/>
  <c r="DA13" i="3"/>
  <c r="DB13" i="3"/>
  <c r="DC13" i="3"/>
  <c r="A14" i="3"/>
  <c r="CX14" i="3"/>
  <c r="CY14" i="3"/>
  <c r="CZ14" i="3"/>
  <c r="DB14" i="3" s="1"/>
  <c r="DA14" i="3"/>
  <c r="DC14" i="3"/>
  <c r="A15" i="3"/>
  <c r="CX15" i="3"/>
  <c r="CY15" i="3"/>
  <c r="CZ15" i="3"/>
  <c r="DB15" i="3" s="1"/>
  <c r="L14" i="10" s="1"/>
  <c r="DA15" i="3"/>
  <c r="DC15" i="3"/>
  <c r="Q14" i="10" s="1"/>
  <c r="A16" i="3"/>
  <c r="CX16" i="3"/>
  <c r="CY16" i="3"/>
  <c r="CZ16" i="3"/>
  <c r="DB16" i="3" s="1"/>
  <c r="DA16" i="3"/>
  <c r="DC16" i="3"/>
  <c r="A17" i="3"/>
  <c r="CX17" i="3"/>
  <c r="CY17" i="3"/>
  <c r="CZ17" i="3"/>
  <c r="DA17" i="3"/>
  <c r="DB17" i="3"/>
  <c r="DC17" i="3"/>
  <c r="A18" i="3"/>
  <c r="CX18" i="3"/>
  <c r="CY18" i="3"/>
  <c r="CZ18" i="3"/>
  <c r="DA18" i="3"/>
  <c r="DB18" i="3"/>
  <c r="DC18" i="3"/>
  <c r="A19" i="3"/>
  <c r="CX19" i="3"/>
  <c r="CY19" i="3"/>
  <c r="CZ19" i="3"/>
  <c r="DB19" i="3" s="1"/>
  <c r="L16" i="10" s="1"/>
  <c r="DA19" i="3"/>
  <c r="DC19" i="3"/>
  <c r="Q16" i="10" s="1"/>
  <c r="A20" i="3"/>
  <c r="CX20" i="3"/>
  <c r="CY20" i="3"/>
  <c r="CZ20" i="3"/>
  <c r="DB20" i="3" s="1"/>
  <c r="DA20" i="3"/>
  <c r="DC20" i="3"/>
  <c r="A21" i="3"/>
  <c r="CX21" i="3"/>
  <c r="CY21" i="3"/>
  <c r="CZ21" i="3"/>
  <c r="DB21" i="3" s="1"/>
  <c r="DA21" i="3"/>
  <c r="DC21" i="3"/>
  <c r="A22" i="3"/>
  <c r="CX22" i="3"/>
  <c r="CY22" i="3"/>
  <c r="CZ22" i="3"/>
  <c r="DB22" i="3" s="1"/>
  <c r="DA22" i="3"/>
  <c r="DC22" i="3"/>
  <c r="A23" i="3"/>
  <c r="CX23" i="3"/>
  <c r="CY23" i="3"/>
  <c r="CZ23" i="3"/>
  <c r="DB23" i="3" s="1"/>
  <c r="L18" i="10" s="1"/>
  <c r="DA23" i="3"/>
  <c r="DC23" i="3"/>
  <c r="Q18" i="10" s="1"/>
  <c r="A24" i="3"/>
  <c r="CX24" i="3"/>
  <c r="CY24" i="3"/>
  <c r="CZ24" i="3"/>
  <c r="DB24" i="3" s="1"/>
  <c r="DA24" i="3"/>
  <c r="DC24" i="3"/>
  <c r="A25" i="3"/>
  <c r="CY25" i="3"/>
  <c r="CZ25" i="3"/>
  <c r="DB25" i="3" s="1"/>
  <c r="DA25" i="3"/>
  <c r="DC25" i="3"/>
  <c r="A26" i="3"/>
  <c r="CY26" i="3"/>
  <c r="CZ26" i="3"/>
  <c r="DA26" i="3"/>
  <c r="DB26" i="3"/>
  <c r="DC26" i="3"/>
  <c r="A27" i="3"/>
  <c r="CY27" i="3"/>
  <c r="CZ27" i="3"/>
  <c r="DB27" i="3" s="1"/>
  <c r="DA27" i="3"/>
  <c r="DC27" i="3"/>
  <c r="A28" i="3"/>
  <c r="CY28" i="3"/>
  <c r="CZ28" i="3"/>
  <c r="DB28" i="3" s="1"/>
  <c r="DA28" i="3"/>
  <c r="DC28" i="3"/>
  <c r="A29" i="3"/>
  <c r="CY29" i="3"/>
  <c r="CZ29" i="3"/>
  <c r="DA29" i="3"/>
  <c r="DB29" i="3"/>
  <c r="DC29" i="3"/>
  <c r="A30" i="3"/>
  <c r="CY30" i="3"/>
  <c r="CZ30" i="3"/>
  <c r="DB30" i="3" s="1"/>
  <c r="L20" i="10" s="1"/>
  <c r="DA30" i="3"/>
  <c r="DC30" i="3"/>
  <c r="Q20" i="10" s="1"/>
  <c r="A31" i="3"/>
  <c r="CY31" i="3"/>
  <c r="CZ31" i="3"/>
  <c r="DB31" i="3" s="1"/>
  <c r="DA31" i="3"/>
  <c r="DC31" i="3"/>
  <c r="A32" i="3"/>
  <c r="CY32" i="3"/>
  <c r="CZ32" i="3"/>
  <c r="DB32" i="3" s="1"/>
  <c r="DA32" i="3"/>
  <c r="DC32" i="3"/>
  <c r="A33" i="3"/>
  <c r="CY33" i="3"/>
  <c r="CZ33" i="3"/>
  <c r="DB33" i="3" s="1"/>
  <c r="DA33" i="3"/>
  <c r="DC33" i="3"/>
  <c r="A34" i="3"/>
  <c r="CY34" i="3"/>
  <c r="CZ34" i="3"/>
  <c r="DA34" i="3"/>
  <c r="DB34" i="3"/>
  <c r="DC34" i="3"/>
  <c r="A35" i="3"/>
  <c r="CY35" i="3"/>
  <c r="CZ35" i="3"/>
  <c r="DB35" i="3" s="1"/>
  <c r="DA35" i="3"/>
  <c r="DC35" i="3"/>
  <c r="A36" i="3"/>
  <c r="CY36" i="3"/>
  <c r="CZ36" i="3"/>
  <c r="DB36" i="3" s="1"/>
  <c r="DA36" i="3"/>
  <c r="DC36" i="3"/>
  <c r="A37" i="3"/>
  <c r="CY37" i="3"/>
  <c r="CZ37" i="3"/>
  <c r="DA37" i="3"/>
  <c r="DB37" i="3"/>
  <c r="L25" i="10" s="1"/>
  <c r="DC37" i="3"/>
  <c r="Q25" i="10" s="1"/>
  <c r="A38" i="3"/>
  <c r="CY38" i="3"/>
  <c r="CZ38" i="3"/>
  <c r="DB38" i="3" s="1"/>
  <c r="DA38" i="3"/>
  <c r="DC38" i="3"/>
  <c r="A39" i="3"/>
  <c r="CY39" i="3"/>
  <c r="CZ39" i="3"/>
  <c r="DB39" i="3" s="1"/>
  <c r="DA39" i="3"/>
  <c r="DC39" i="3"/>
  <c r="A40" i="3"/>
  <c r="CY40" i="3"/>
  <c r="CZ40" i="3"/>
  <c r="DB40" i="3" s="1"/>
  <c r="DA40" i="3"/>
  <c r="DC40" i="3"/>
  <c r="A41" i="3"/>
  <c r="CY41" i="3"/>
  <c r="CZ41" i="3"/>
  <c r="DA41" i="3"/>
  <c r="DB41" i="3"/>
  <c r="L27" i="10" s="1"/>
  <c r="DC41" i="3"/>
  <c r="Q27" i="10" s="1"/>
  <c r="A42" i="3"/>
  <c r="CY42" i="3"/>
  <c r="CZ42" i="3"/>
  <c r="DB42" i="3" s="1"/>
  <c r="DA42" i="3"/>
  <c r="DC42" i="3"/>
  <c r="A43" i="3"/>
  <c r="CY43" i="3"/>
  <c r="CZ43" i="3"/>
  <c r="DB43" i="3" s="1"/>
  <c r="DA43" i="3"/>
  <c r="DC43" i="3"/>
  <c r="A44" i="3"/>
  <c r="CY44" i="3"/>
  <c r="CZ44" i="3"/>
  <c r="DB44" i="3" s="1"/>
  <c r="DA44" i="3"/>
  <c r="DC44" i="3"/>
  <c r="A45" i="3"/>
  <c r="CY45" i="3"/>
  <c r="CZ45" i="3"/>
  <c r="DB45" i="3" s="1"/>
  <c r="L29" i="10" s="1"/>
  <c r="DA45" i="3"/>
  <c r="DC45" i="3"/>
  <c r="Q29" i="10" s="1"/>
  <c r="A46" i="3"/>
  <c r="CY46" i="3"/>
  <c r="CZ46" i="3"/>
  <c r="DA46" i="3"/>
  <c r="DB46" i="3"/>
  <c r="DC46" i="3"/>
  <c r="A47" i="3"/>
  <c r="CX47" i="3"/>
  <c r="CY47" i="3"/>
  <c r="CZ47" i="3"/>
  <c r="DB47" i="3" s="1"/>
  <c r="DA47" i="3"/>
  <c r="DC47" i="3"/>
  <c r="A48" i="3"/>
  <c r="CX48" i="3"/>
  <c r="CY48" i="3"/>
  <c r="CZ48" i="3"/>
  <c r="DB48" i="3" s="1"/>
  <c r="L32" i="10" s="1"/>
  <c r="DA48" i="3"/>
  <c r="DC48" i="3"/>
  <c r="Q32" i="10" s="1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Z26" i="1"/>
  <c r="AA26" i="1"/>
  <c r="AM26" i="1"/>
  <c r="AN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R26" i="1"/>
  <c r="DS26" i="1"/>
  <c r="EE26" i="1"/>
  <c r="EF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C28" i="1"/>
  <c r="D28" i="1"/>
  <c r="AC28" i="1"/>
  <c r="AE28" i="1"/>
  <c r="CS28" i="1" s="1"/>
  <c r="R28" i="1" s="1"/>
  <c r="AF28" i="1"/>
  <c r="AG28" i="1"/>
  <c r="CU28" i="1" s="1"/>
  <c r="T28" i="1" s="1"/>
  <c r="AH28" i="1"/>
  <c r="CV28" i="1" s="1"/>
  <c r="U28" i="1" s="1"/>
  <c r="AI28" i="1"/>
  <c r="CW28" i="1" s="1"/>
  <c r="V28" i="1" s="1"/>
  <c r="AJ28" i="1"/>
  <c r="CQ28" i="1"/>
  <c r="P28" i="1" s="1"/>
  <c r="CT28" i="1"/>
  <c r="S28" i="1" s="1"/>
  <c r="CX28" i="1"/>
  <c r="W28" i="1" s="1"/>
  <c r="FR28" i="1"/>
  <c r="GL28" i="1"/>
  <c r="GN28" i="1"/>
  <c r="GP28" i="1"/>
  <c r="GV28" i="1"/>
  <c r="HC28" i="1"/>
  <c r="GX28" i="1" s="1"/>
  <c r="C29" i="1"/>
  <c r="D29" i="1"/>
  <c r="AC29" i="1"/>
  <c r="CQ29" i="1" s="1"/>
  <c r="P29" i="1" s="1"/>
  <c r="AE29" i="1"/>
  <c r="CS29" i="1" s="1"/>
  <c r="R29" i="1" s="1"/>
  <c r="GK29" i="1" s="1"/>
  <c r="AF29" i="1"/>
  <c r="AG29" i="1"/>
  <c r="CU29" i="1" s="1"/>
  <c r="T29" i="1" s="1"/>
  <c r="AH29" i="1"/>
  <c r="CV29" i="1" s="1"/>
  <c r="U29" i="1" s="1"/>
  <c r="AI29" i="1"/>
  <c r="CW29" i="1" s="1"/>
  <c r="V29" i="1" s="1"/>
  <c r="AJ29" i="1"/>
  <c r="CX29" i="1" s="1"/>
  <c r="W29" i="1" s="1"/>
  <c r="CT29" i="1"/>
  <c r="S29" i="1" s="1"/>
  <c r="FR29" i="1"/>
  <c r="GL29" i="1"/>
  <c r="GN29" i="1"/>
  <c r="GP29" i="1"/>
  <c r="GV29" i="1"/>
  <c r="HC29" i="1" s="1"/>
  <c r="GX29" i="1" s="1"/>
  <c r="I30" i="1"/>
  <c r="R30" i="1"/>
  <c r="AC30" i="1"/>
  <c r="CQ30" i="1" s="1"/>
  <c r="AD30" i="1"/>
  <c r="AE30" i="1"/>
  <c r="CR30" i="1" s="1"/>
  <c r="Q30" i="1" s="1"/>
  <c r="AF30" i="1"/>
  <c r="CT30" i="1" s="1"/>
  <c r="S30" i="1" s="1"/>
  <c r="AG30" i="1"/>
  <c r="AH30" i="1"/>
  <c r="CV30" i="1" s="1"/>
  <c r="U30" i="1" s="1"/>
  <c r="AI30" i="1"/>
  <c r="AJ30" i="1"/>
  <c r="CX30" i="1" s="1"/>
  <c r="W30" i="1" s="1"/>
  <c r="CS30" i="1"/>
  <c r="CU30" i="1"/>
  <c r="CW30" i="1"/>
  <c r="V30" i="1" s="1"/>
  <c r="GL30" i="1"/>
  <c r="GN30" i="1"/>
  <c r="GO30" i="1"/>
  <c r="GP30" i="1"/>
  <c r="GV30" i="1"/>
  <c r="HC30" i="1" s="1"/>
  <c r="GX30" i="1" s="1"/>
  <c r="I31" i="1"/>
  <c r="I9" i="10" s="1"/>
  <c r="AC31" i="1"/>
  <c r="AE31" i="1"/>
  <c r="AF31" i="1"/>
  <c r="CT31" i="1" s="1"/>
  <c r="S31" i="1" s="1"/>
  <c r="AG31" i="1"/>
  <c r="CU31" i="1" s="1"/>
  <c r="AH31" i="1"/>
  <c r="CV31" i="1" s="1"/>
  <c r="U31" i="1" s="1"/>
  <c r="AI31" i="1"/>
  <c r="AJ31" i="1"/>
  <c r="CX31" i="1" s="1"/>
  <c r="W31" i="1" s="1"/>
  <c r="CW31" i="1"/>
  <c r="V31" i="1" s="1"/>
  <c r="GL31" i="1"/>
  <c r="GN31" i="1"/>
  <c r="GO31" i="1"/>
  <c r="GP31" i="1"/>
  <c r="GV31" i="1"/>
  <c r="HC31" i="1" s="1"/>
  <c r="C32" i="1"/>
  <c r="D32" i="1"/>
  <c r="AC32" i="1"/>
  <c r="CQ32" i="1" s="1"/>
  <c r="P32" i="1" s="1"/>
  <c r="AE32" i="1"/>
  <c r="CR32" i="1" s="1"/>
  <c r="Q32" i="1" s="1"/>
  <c r="AF32" i="1"/>
  <c r="AG32" i="1"/>
  <c r="CU32" i="1" s="1"/>
  <c r="T32" i="1" s="1"/>
  <c r="AH32" i="1"/>
  <c r="CV32" i="1" s="1"/>
  <c r="U32" i="1" s="1"/>
  <c r="AI32" i="1"/>
  <c r="CW32" i="1" s="1"/>
  <c r="V32" i="1" s="1"/>
  <c r="AJ32" i="1"/>
  <c r="CX32" i="1" s="1"/>
  <c r="W32" i="1" s="1"/>
  <c r="CT32" i="1"/>
  <c r="S32" i="1" s="1"/>
  <c r="FR32" i="1"/>
  <c r="GL32" i="1"/>
  <c r="GN32" i="1"/>
  <c r="GP32" i="1"/>
  <c r="GV32" i="1"/>
  <c r="HC32" i="1" s="1"/>
  <c r="GX32" i="1" s="1"/>
  <c r="C33" i="1"/>
  <c r="D33" i="1"/>
  <c r="AC33" i="1"/>
  <c r="CQ33" i="1" s="1"/>
  <c r="P33" i="1" s="1"/>
  <c r="AE33" i="1"/>
  <c r="CS33" i="1" s="1"/>
  <c r="R33" i="1" s="1"/>
  <c r="GK33" i="1" s="1"/>
  <c r="AF33" i="1"/>
  <c r="CT33" i="1" s="1"/>
  <c r="S33" i="1" s="1"/>
  <c r="AG33" i="1"/>
  <c r="AH33" i="1"/>
  <c r="CV33" i="1" s="1"/>
  <c r="U33" i="1" s="1"/>
  <c r="AI33" i="1"/>
  <c r="CW33" i="1" s="1"/>
  <c r="V33" i="1" s="1"/>
  <c r="AJ33" i="1"/>
  <c r="CX33" i="1" s="1"/>
  <c r="W33" i="1" s="1"/>
  <c r="CR33" i="1"/>
  <c r="Q33" i="1" s="1"/>
  <c r="CU33" i="1"/>
  <c r="T33" i="1" s="1"/>
  <c r="FR33" i="1"/>
  <c r="GL33" i="1"/>
  <c r="GN33" i="1"/>
  <c r="GP33" i="1"/>
  <c r="GV33" i="1"/>
  <c r="HC33" i="1" s="1"/>
  <c r="GX33" i="1" s="1"/>
  <c r="I34" i="1"/>
  <c r="V34" i="1"/>
  <c r="AC34" i="1"/>
  <c r="CQ34" i="1" s="1"/>
  <c r="P34" i="1" s="1"/>
  <c r="AD34" i="1"/>
  <c r="AE34" i="1"/>
  <c r="AF34" i="1"/>
  <c r="CT34" i="1" s="1"/>
  <c r="S34" i="1" s="1"/>
  <c r="AG34" i="1"/>
  <c r="CU34" i="1" s="1"/>
  <c r="T34" i="1" s="1"/>
  <c r="AH34" i="1"/>
  <c r="CV34" i="1" s="1"/>
  <c r="U34" i="1" s="1"/>
  <c r="AI34" i="1"/>
  <c r="AJ34" i="1"/>
  <c r="CR34" i="1"/>
  <c r="Q34" i="1" s="1"/>
  <c r="CS34" i="1"/>
  <c r="R34" i="1" s="1"/>
  <c r="CW34" i="1"/>
  <c r="CX34" i="1"/>
  <c r="W34" i="1" s="1"/>
  <c r="FR34" i="1"/>
  <c r="GL34" i="1"/>
  <c r="GN34" i="1"/>
  <c r="GP34" i="1"/>
  <c r="GV34" i="1"/>
  <c r="HC34" i="1"/>
  <c r="GX34" i="1" s="1"/>
  <c r="I35" i="1"/>
  <c r="I11" i="10" s="1"/>
  <c r="U35" i="1"/>
  <c r="AC35" i="1"/>
  <c r="AE35" i="1"/>
  <c r="CR35" i="1" s="1"/>
  <c r="Q35" i="1" s="1"/>
  <c r="AF35" i="1"/>
  <c r="CT35" i="1" s="1"/>
  <c r="S35" i="1" s="1"/>
  <c r="AG35" i="1"/>
  <c r="CU35" i="1" s="1"/>
  <c r="T35" i="1" s="1"/>
  <c r="AH35" i="1"/>
  <c r="AI35" i="1"/>
  <c r="AJ35" i="1"/>
  <c r="CX35" i="1" s="1"/>
  <c r="W35" i="1" s="1"/>
  <c r="CV35" i="1"/>
  <c r="CW35" i="1"/>
  <c r="V35" i="1" s="1"/>
  <c r="FR35" i="1"/>
  <c r="GL35" i="1"/>
  <c r="GN35" i="1"/>
  <c r="GP35" i="1"/>
  <c r="GV35" i="1"/>
  <c r="HC35" i="1" s="1"/>
  <c r="GX35" i="1" s="1"/>
  <c r="C36" i="1"/>
  <c r="D36" i="1"/>
  <c r="AC36" i="1"/>
  <c r="CQ36" i="1" s="1"/>
  <c r="P36" i="1" s="1"/>
  <c r="AE36" i="1"/>
  <c r="AD36" i="1" s="1"/>
  <c r="AB36" i="1" s="1"/>
  <c r="AF36" i="1"/>
  <c r="AG36" i="1"/>
  <c r="CU36" i="1" s="1"/>
  <c r="T36" i="1" s="1"/>
  <c r="AH36" i="1"/>
  <c r="CV36" i="1" s="1"/>
  <c r="U36" i="1" s="1"/>
  <c r="AI36" i="1"/>
  <c r="CW36" i="1" s="1"/>
  <c r="V36" i="1" s="1"/>
  <c r="AJ36" i="1"/>
  <c r="CX36" i="1" s="1"/>
  <c r="W36" i="1" s="1"/>
  <c r="CR36" i="1"/>
  <c r="Q36" i="1" s="1"/>
  <c r="CT36" i="1"/>
  <c r="S36" i="1" s="1"/>
  <c r="FR36" i="1"/>
  <c r="GL36" i="1"/>
  <c r="GN36" i="1"/>
  <c r="GP36" i="1"/>
  <c r="GV36" i="1"/>
  <c r="HC36" i="1" s="1"/>
  <c r="GX36" i="1" s="1"/>
  <c r="C37" i="1"/>
  <c r="D37" i="1"/>
  <c r="AC37" i="1"/>
  <c r="AE37" i="1"/>
  <c r="CS37" i="1" s="1"/>
  <c r="R37" i="1" s="1"/>
  <c r="GK37" i="1" s="1"/>
  <c r="AF37" i="1"/>
  <c r="CT37" i="1" s="1"/>
  <c r="S37" i="1" s="1"/>
  <c r="CY37" i="1" s="1"/>
  <c r="X37" i="1" s="1"/>
  <c r="AG37" i="1"/>
  <c r="CU37" i="1" s="1"/>
  <c r="T37" i="1" s="1"/>
  <c r="AH37" i="1"/>
  <c r="CV37" i="1" s="1"/>
  <c r="U37" i="1" s="1"/>
  <c r="AI37" i="1"/>
  <c r="CW37" i="1" s="1"/>
  <c r="V37" i="1" s="1"/>
  <c r="AJ37" i="1"/>
  <c r="CQ37" i="1"/>
  <c r="P37" i="1" s="1"/>
  <c r="CX37" i="1"/>
  <c r="W37" i="1" s="1"/>
  <c r="FR37" i="1"/>
  <c r="GL37" i="1"/>
  <c r="GN37" i="1"/>
  <c r="GP37" i="1"/>
  <c r="GV37" i="1"/>
  <c r="HC37" i="1" s="1"/>
  <c r="GX37" i="1" s="1"/>
  <c r="I38" i="1"/>
  <c r="AC38" i="1"/>
  <c r="AD38" i="1"/>
  <c r="AE38" i="1"/>
  <c r="AF38" i="1"/>
  <c r="CT38" i="1" s="1"/>
  <c r="S38" i="1" s="1"/>
  <c r="AG38" i="1"/>
  <c r="CU38" i="1" s="1"/>
  <c r="T38" i="1" s="1"/>
  <c r="AH38" i="1"/>
  <c r="CV38" i="1" s="1"/>
  <c r="U38" i="1" s="1"/>
  <c r="AI38" i="1"/>
  <c r="AJ38" i="1"/>
  <c r="CX38" i="1" s="1"/>
  <c r="W38" i="1" s="1"/>
  <c r="CR38" i="1"/>
  <c r="Q38" i="1" s="1"/>
  <c r="CS38" i="1"/>
  <c r="R38" i="1" s="1"/>
  <c r="CW38" i="1"/>
  <c r="V38" i="1" s="1"/>
  <c r="GL38" i="1"/>
  <c r="GN38" i="1"/>
  <c r="GO38" i="1"/>
  <c r="GP38" i="1"/>
  <c r="GV38" i="1"/>
  <c r="HC38" i="1" s="1"/>
  <c r="GX38" i="1" s="1"/>
  <c r="I39" i="1"/>
  <c r="I13" i="10" s="1"/>
  <c r="AC39" i="1"/>
  <c r="AE39" i="1"/>
  <c r="AF39" i="1"/>
  <c r="CT39" i="1" s="1"/>
  <c r="S39" i="1" s="1"/>
  <c r="CY39" i="1" s="1"/>
  <c r="X39" i="1" s="1"/>
  <c r="AG39" i="1"/>
  <c r="AH39" i="1"/>
  <c r="CV39" i="1" s="1"/>
  <c r="U39" i="1" s="1"/>
  <c r="AI39" i="1"/>
  <c r="AJ39" i="1"/>
  <c r="CX39" i="1" s="1"/>
  <c r="W39" i="1" s="1"/>
  <c r="CR39" i="1"/>
  <c r="CU39" i="1"/>
  <c r="T39" i="1" s="1"/>
  <c r="CW39" i="1"/>
  <c r="V39" i="1" s="1"/>
  <c r="GL39" i="1"/>
  <c r="GN39" i="1"/>
  <c r="GO39" i="1"/>
  <c r="GP39" i="1"/>
  <c r="GV39" i="1"/>
  <c r="HC39" i="1" s="1"/>
  <c r="GX39" i="1" s="1"/>
  <c r="C40" i="1"/>
  <c r="D40" i="1"/>
  <c r="AC40" i="1"/>
  <c r="CQ40" i="1" s="1"/>
  <c r="P40" i="1" s="1"/>
  <c r="AE40" i="1"/>
  <c r="AD40" i="1" s="1"/>
  <c r="AF40" i="1"/>
  <c r="CT40" i="1" s="1"/>
  <c r="S40" i="1" s="1"/>
  <c r="AG40" i="1"/>
  <c r="CU40" i="1" s="1"/>
  <c r="T40" i="1" s="1"/>
  <c r="AH40" i="1"/>
  <c r="CV40" i="1" s="1"/>
  <c r="U40" i="1" s="1"/>
  <c r="AI40" i="1"/>
  <c r="AJ40" i="1"/>
  <c r="CX40" i="1" s="1"/>
  <c r="W40" i="1" s="1"/>
  <c r="CR40" i="1"/>
  <c r="Q40" i="1" s="1"/>
  <c r="CS40" i="1"/>
  <c r="R40" i="1" s="1"/>
  <c r="CW40" i="1"/>
  <c r="V40" i="1" s="1"/>
  <c r="FR40" i="1"/>
  <c r="GL40" i="1"/>
  <c r="GN40" i="1"/>
  <c r="GP40" i="1"/>
  <c r="GV40" i="1"/>
  <c r="HC40" i="1" s="1"/>
  <c r="GX40" i="1" s="1"/>
  <c r="C41" i="1"/>
  <c r="D41" i="1"/>
  <c r="AC41" i="1"/>
  <c r="CQ41" i="1" s="1"/>
  <c r="P41" i="1" s="1"/>
  <c r="AE41" i="1"/>
  <c r="CS41" i="1" s="1"/>
  <c r="R41" i="1" s="1"/>
  <c r="GK41" i="1" s="1"/>
  <c r="AF41" i="1"/>
  <c r="CT41" i="1" s="1"/>
  <c r="S41" i="1" s="1"/>
  <c r="CZ41" i="1" s="1"/>
  <c r="Y41" i="1" s="1"/>
  <c r="AG41" i="1"/>
  <c r="AH41" i="1"/>
  <c r="CV41" i="1" s="1"/>
  <c r="U41" i="1" s="1"/>
  <c r="AI41" i="1"/>
  <c r="CW41" i="1" s="1"/>
  <c r="V41" i="1" s="1"/>
  <c r="AJ41" i="1"/>
  <c r="CX41" i="1" s="1"/>
  <c r="W41" i="1" s="1"/>
  <c r="CU41" i="1"/>
  <c r="T41" i="1" s="1"/>
  <c r="CY41" i="1"/>
  <c r="X41" i="1" s="1"/>
  <c r="FR41" i="1"/>
  <c r="GL41" i="1"/>
  <c r="GN41" i="1"/>
  <c r="GP41" i="1"/>
  <c r="GV41" i="1"/>
  <c r="HC41" i="1" s="1"/>
  <c r="GX41" i="1" s="1"/>
  <c r="I42" i="1"/>
  <c r="AC42" i="1"/>
  <c r="AD42" i="1"/>
  <c r="AE42" i="1"/>
  <c r="AF42" i="1"/>
  <c r="CT42" i="1" s="1"/>
  <c r="S42" i="1" s="1"/>
  <c r="AG42" i="1"/>
  <c r="CU42" i="1" s="1"/>
  <c r="AH42" i="1"/>
  <c r="AI42" i="1"/>
  <c r="AJ42" i="1"/>
  <c r="CR42" i="1"/>
  <c r="CS42" i="1"/>
  <c r="R42" i="1" s="1"/>
  <c r="CV42" i="1"/>
  <c r="CW42" i="1"/>
  <c r="CX42" i="1"/>
  <c r="W42" i="1" s="1"/>
  <c r="FR42" i="1"/>
  <c r="GL42" i="1"/>
  <c r="GN42" i="1"/>
  <c r="GP42" i="1"/>
  <c r="GV42" i="1"/>
  <c r="HC42" i="1"/>
  <c r="I43" i="1"/>
  <c r="AC43" i="1"/>
  <c r="AD43" i="1"/>
  <c r="AE43" i="1"/>
  <c r="AF43" i="1"/>
  <c r="CT43" i="1" s="1"/>
  <c r="S43" i="1" s="1"/>
  <c r="AG43" i="1"/>
  <c r="CU43" i="1" s="1"/>
  <c r="AH43" i="1"/>
  <c r="CV43" i="1" s="1"/>
  <c r="U43" i="1" s="1"/>
  <c r="AI43" i="1"/>
  <c r="CW43" i="1" s="1"/>
  <c r="AJ43" i="1"/>
  <c r="CS43" i="1"/>
  <c r="R43" i="1" s="1"/>
  <c r="GK43" i="1" s="1"/>
  <c r="CX43" i="1"/>
  <c r="W43" i="1" s="1"/>
  <c r="FR43" i="1"/>
  <c r="GL43" i="1"/>
  <c r="GN43" i="1"/>
  <c r="GP43" i="1"/>
  <c r="GV43" i="1"/>
  <c r="HC43" i="1"/>
  <c r="GX43" i="1" s="1"/>
  <c r="C44" i="1"/>
  <c r="D44" i="1"/>
  <c r="T44" i="1"/>
  <c r="AC44" i="1"/>
  <c r="AD44" i="1"/>
  <c r="AE44" i="1"/>
  <c r="AF44" i="1"/>
  <c r="AG44" i="1"/>
  <c r="AH44" i="1"/>
  <c r="CV44" i="1" s="1"/>
  <c r="U44" i="1" s="1"/>
  <c r="AI44" i="1"/>
  <c r="CW44" i="1" s="1"/>
  <c r="V44" i="1" s="1"/>
  <c r="AJ44" i="1"/>
  <c r="CQ44" i="1"/>
  <c r="P44" i="1" s="1"/>
  <c r="CR44" i="1"/>
  <c r="Q44" i="1" s="1"/>
  <c r="CS44" i="1"/>
  <c r="R44" i="1" s="1"/>
  <c r="CT44" i="1"/>
  <c r="S44" i="1" s="1"/>
  <c r="CU44" i="1"/>
  <c r="CX44" i="1"/>
  <c r="W44" i="1" s="1"/>
  <c r="FR44" i="1"/>
  <c r="GL44" i="1"/>
  <c r="GN44" i="1"/>
  <c r="GP44" i="1"/>
  <c r="GV44" i="1"/>
  <c r="HC44" i="1" s="1"/>
  <c r="GX44" i="1" s="1"/>
  <c r="C45" i="1"/>
  <c r="D45" i="1"/>
  <c r="AC45" i="1"/>
  <c r="CQ45" i="1" s="1"/>
  <c r="P45" i="1" s="1"/>
  <c r="CP45" i="1" s="1"/>
  <c r="O45" i="1" s="1"/>
  <c r="AE45" i="1"/>
  <c r="AD45" i="1" s="1"/>
  <c r="AF45" i="1"/>
  <c r="CT45" i="1" s="1"/>
  <c r="S45" i="1" s="1"/>
  <c r="AG45" i="1"/>
  <c r="CU45" i="1" s="1"/>
  <c r="T45" i="1" s="1"/>
  <c r="AH45" i="1"/>
  <c r="AI45" i="1"/>
  <c r="AJ45" i="1"/>
  <c r="CX45" i="1" s="1"/>
  <c r="W45" i="1" s="1"/>
  <c r="CR45" i="1"/>
  <c r="Q45" i="1" s="1"/>
  <c r="CS45" i="1"/>
  <c r="R45" i="1" s="1"/>
  <c r="GK45" i="1" s="1"/>
  <c r="CV45" i="1"/>
  <c r="U45" i="1" s="1"/>
  <c r="CW45" i="1"/>
  <c r="V45" i="1" s="1"/>
  <c r="FR45" i="1"/>
  <c r="GL45" i="1"/>
  <c r="GN45" i="1"/>
  <c r="GP45" i="1"/>
  <c r="GV45" i="1"/>
  <c r="HC45" i="1" s="1"/>
  <c r="GX45" i="1" s="1"/>
  <c r="I46" i="1"/>
  <c r="AC46" i="1"/>
  <c r="AE46" i="1"/>
  <c r="CS46" i="1" s="1"/>
  <c r="R46" i="1" s="1"/>
  <c r="AF46" i="1"/>
  <c r="AG46" i="1"/>
  <c r="CU46" i="1" s="1"/>
  <c r="T46" i="1" s="1"/>
  <c r="AH46" i="1"/>
  <c r="CV46" i="1" s="1"/>
  <c r="U46" i="1" s="1"/>
  <c r="AI46" i="1"/>
  <c r="AJ46" i="1"/>
  <c r="CQ46" i="1"/>
  <c r="P46" i="1" s="1"/>
  <c r="CT46" i="1"/>
  <c r="S46" i="1" s="1"/>
  <c r="CW46" i="1"/>
  <c r="V46" i="1" s="1"/>
  <c r="CX46" i="1"/>
  <c r="W46" i="1" s="1"/>
  <c r="FR46" i="1"/>
  <c r="GL46" i="1"/>
  <c r="GN46" i="1"/>
  <c r="GP46" i="1"/>
  <c r="GV46" i="1"/>
  <c r="HC46" i="1" s="1"/>
  <c r="GX46" i="1" s="1"/>
  <c r="I47" i="1"/>
  <c r="AC47" i="1"/>
  <c r="AE47" i="1"/>
  <c r="AF47" i="1"/>
  <c r="AG47" i="1"/>
  <c r="CU47" i="1" s="1"/>
  <c r="AH47" i="1"/>
  <c r="AI47" i="1"/>
  <c r="CW47" i="1" s="1"/>
  <c r="V47" i="1" s="1"/>
  <c r="AJ47" i="1"/>
  <c r="CX47" i="1" s="1"/>
  <c r="W47" i="1" s="1"/>
  <c r="CT47" i="1"/>
  <c r="S47" i="1" s="1"/>
  <c r="CV47" i="1"/>
  <c r="FR47" i="1"/>
  <c r="GL47" i="1"/>
  <c r="GN47" i="1"/>
  <c r="GP47" i="1"/>
  <c r="GV47" i="1"/>
  <c r="HC47" i="1" s="1"/>
  <c r="GX47" i="1" s="1"/>
  <c r="C48" i="1"/>
  <c r="D48" i="1"/>
  <c r="T48" i="1"/>
  <c r="AC48" i="1"/>
  <c r="AD48" i="1"/>
  <c r="AE48" i="1"/>
  <c r="AF48" i="1"/>
  <c r="AG48" i="1"/>
  <c r="AH48" i="1"/>
  <c r="CV48" i="1" s="1"/>
  <c r="U48" i="1" s="1"/>
  <c r="AI48" i="1"/>
  <c r="CW48" i="1" s="1"/>
  <c r="V48" i="1" s="1"/>
  <c r="AJ48" i="1"/>
  <c r="CX48" i="1" s="1"/>
  <c r="W48" i="1" s="1"/>
  <c r="CQ48" i="1"/>
  <c r="P48" i="1" s="1"/>
  <c r="CR48" i="1"/>
  <c r="Q48" i="1" s="1"/>
  <c r="CS48" i="1"/>
  <c r="R48" i="1" s="1"/>
  <c r="CT48" i="1"/>
  <c r="S48" i="1" s="1"/>
  <c r="CU48" i="1"/>
  <c r="FR48" i="1"/>
  <c r="GL48" i="1"/>
  <c r="GN48" i="1"/>
  <c r="GP48" i="1"/>
  <c r="GV48" i="1"/>
  <c r="HC48" i="1" s="1"/>
  <c r="GX48" i="1" s="1"/>
  <c r="C49" i="1"/>
  <c r="D49" i="1"/>
  <c r="AC49" i="1"/>
  <c r="AE49" i="1"/>
  <c r="AD49" i="1" s="1"/>
  <c r="AB49" i="1" s="1"/>
  <c r="AF49" i="1"/>
  <c r="CT49" i="1" s="1"/>
  <c r="S49" i="1" s="1"/>
  <c r="AG49" i="1"/>
  <c r="CU49" i="1" s="1"/>
  <c r="T49" i="1" s="1"/>
  <c r="AH49" i="1"/>
  <c r="AI49" i="1"/>
  <c r="CW49" i="1" s="1"/>
  <c r="V49" i="1" s="1"/>
  <c r="AJ49" i="1"/>
  <c r="CX49" i="1" s="1"/>
  <c r="W49" i="1" s="1"/>
  <c r="CQ49" i="1"/>
  <c r="P49" i="1" s="1"/>
  <c r="CS49" i="1"/>
  <c r="R49" i="1" s="1"/>
  <c r="GK49" i="1" s="1"/>
  <c r="CV49" i="1"/>
  <c r="U49" i="1" s="1"/>
  <c r="FR49" i="1"/>
  <c r="GL49" i="1"/>
  <c r="GN49" i="1"/>
  <c r="GP49" i="1"/>
  <c r="GV49" i="1"/>
  <c r="HC49" i="1" s="1"/>
  <c r="GX49" i="1" s="1"/>
  <c r="I50" i="1"/>
  <c r="AC50" i="1"/>
  <c r="AD50" i="1"/>
  <c r="AE50" i="1"/>
  <c r="CS50" i="1" s="1"/>
  <c r="AF50" i="1"/>
  <c r="CT50" i="1" s="1"/>
  <c r="S50" i="1" s="1"/>
  <c r="AG50" i="1"/>
  <c r="AH50" i="1"/>
  <c r="CV50" i="1" s="1"/>
  <c r="AI50" i="1"/>
  <c r="AJ50" i="1"/>
  <c r="CX50" i="1" s="1"/>
  <c r="W50" i="1" s="1"/>
  <c r="CQ50" i="1"/>
  <c r="P50" i="1" s="1"/>
  <c r="CR50" i="1"/>
  <c r="Q50" i="1" s="1"/>
  <c r="CU50" i="1"/>
  <c r="T50" i="1" s="1"/>
  <c r="CW50" i="1"/>
  <c r="FR50" i="1"/>
  <c r="GL50" i="1"/>
  <c r="GN50" i="1"/>
  <c r="GP50" i="1"/>
  <c r="GV50" i="1"/>
  <c r="HC50" i="1" s="1"/>
  <c r="GX50" i="1" s="1"/>
  <c r="I51" i="1"/>
  <c r="AC51" i="1"/>
  <c r="AE51" i="1"/>
  <c r="AD51" i="1" s="1"/>
  <c r="AF51" i="1"/>
  <c r="AG51" i="1"/>
  <c r="CU51" i="1" s="1"/>
  <c r="T51" i="1" s="1"/>
  <c r="AH51" i="1"/>
  <c r="CV51" i="1" s="1"/>
  <c r="U51" i="1" s="1"/>
  <c r="AI51" i="1"/>
  <c r="AJ51" i="1"/>
  <c r="CR51" i="1"/>
  <c r="CT51" i="1"/>
  <c r="S51" i="1" s="1"/>
  <c r="CW51" i="1"/>
  <c r="V51" i="1" s="1"/>
  <c r="CX51" i="1"/>
  <c r="W51" i="1" s="1"/>
  <c r="FR51" i="1"/>
  <c r="GL51" i="1"/>
  <c r="GN51" i="1"/>
  <c r="GP51" i="1"/>
  <c r="GV51" i="1"/>
  <c r="HC51" i="1"/>
  <c r="GX51" i="1" s="1"/>
  <c r="C53" i="1"/>
  <c r="D53" i="1"/>
  <c r="I53" i="1"/>
  <c r="AC53" i="1"/>
  <c r="AE53" i="1"/>
  <c r="AD53" i="1" s="1"/>
  <c r="AF53" i="1"/>
  <c r="AG53" i="1"/>
  <c r="CU53" i="1" s="1"/>
  <c r="T53" i="1" s="1"/>
  <c r="AH53" i="1"/>
  <c r="CV53" i="1" s="1"/>
  <c r="U53" i="1" s="1"/>
  <c r="AI53" i="1"/>
  <c r="CW53" i="1" s="1"/>
  <c r="V53" i="1" s="1"/>
  <c r="AJ53" i="1"/>
  <c r="CR53" i="1"/>
  <c r="Q53" i="1" s="1"/>
  <c r="CT53" i="1"/>
  <c r="S53" i="1" s="1"/>
  <c r="CX53" i="1"/>
  <c r="W53" i="1" s="1"/>
  <c r="FR53" i="1"/>
  <c r="GL53" i="1"/>
  <c r="GN53" i="1"/>
  <c r="GP53" i="1"/>
  <c r="GV53" i="1"/>
  <c r="HC53" i="1"/>
  <c r="GX53" i="1" s="1"/>
  <c r="C54" i="1"/>
  <c r="D54" i="1"/>
  <c r="I54" i="1"/>
  <c r="I20" i="10" s="1"/>
  <c r="P54" i="1"/>
  <c r="AC54" i="1"/>
  <c r="AD54" i="1"/>
  <c r="AE54" i="1"/>
  <c r="AF54" i="1"/>
  <c r="AG54" i="1"/>
  <c r="AH54" i="1"/>
  <c r="CV54" i="1" s="1"/>
  <c r="U54" i="1" s="1"/>
  <c r="AI54" i="1"/>
  <c r="AJ54" i="1"/>
  <c r="CX54" i="1" s="1"/>
  <c r="W54" i="1" s="1"/>
  <c r="CQ54" i="1"/>
  <c r="CR54" i="1"/>
  <c r="Q54" i="1" s="1"/>
  <c r="CS54" i="1"/>
  <c r="R54" i="1" s="1"/>
  <c r="GK54" i="1" s="1"/>
  <c r="CT54" i="1"/>
  <c r="S54" i="1" s="1"/>
  <c r="CU54" i="1"/>
  <c r="T54" i="1" s="1"/>
  <c r="CW54" i="1"/>
  <c r="V54" i="1" s="1"/>
  <c r="FR54" i="1"/>
  <c r="GL54" i="1"/>
  <c r="GN54" i="1"/>
  <c r="GP54" i="1"/>
  <c r="GV54" i="1"/>
  <c r="HC54" i="1" s="1"/>
  <c r="GX54" i="1" s="1"/>
  <c r="I55" i="1"/>
  <c r="AC55" i="1"/>
  <c r="CQ55" i="1" s="1"/>
  <c r="AE55" i="1"/>
  <c r="AD55" i="1" s="1"/>
  <c r="AF55" i="1"/>
  <c r="CT55" i="1" s="1"/>
  <c r="AG55" i="1"/>
  <c r="AH55" i="1"/>
  <c r="CV55" i="1" s="1"/>
  <c r="AI55" i="1"/>
  <c r="AJ55" i="1"/>
  <c r="CX55" i="1" s="1"/>
  <c r="W55" i="1" s="1"/>
  <c r="CR55" i="1"/>
  <c r="CS55" i="1"/>
  <c r="CU55" i="1"/>
  <c r="CW55" i="1"/>
  <c r="V55" i="1" s="1"/>
  <c r="FR55" i="1"/>
  <c r="GL55" i="1"/>
  <c r="GN55" i="1"/>
  <c r="GP55" i="1"/>
  <c r="GV55" i="1"/>
  <c r="HC55" i="1"/>
  <c r="I56" i="1"/>
  <c r="I21" i="10" s="1"/>
  <c r="AC56" i="1"/>
  <c r="AE56" i="1"/>
  <c r="CR56" i="1" s="1"/>
  <c r="Q56" i="1" s="1"/>
  <c r="AF56" i="1"/>
  <c r="AG56" i="1"/>
  <c r="CU56" i="1" s="1"/>
  <c r="T56" i="1" s="1"/>
  <c r="AH56" i="1"/>
  <c r="AI56" i="1"/>
  <c r="CW56" i="1" s="1"/>
  <c r="V56" i="1" s="1"/>
  <c r="AJ56" i="1"/>
  <c r="CX56" i="1" s="1"/>
  <c r="W56" i="1" s="1"/>
  <c r="CQ56" i="1"/>
  <c r="P56" i="1" s="1"/>
  <c r="CT56" i="1"/>
  <c r="S56" i="1" s="1"/>
  <c r="CY56" i="1" s="1"/>
  <c r="X56" i="1" s="1"/>
  <c r="CV56" i="1"/>
  <c r="U56" i="1" s="1"/>
  <c r="FR56" i="1"/>
  <c r="GL56" i="1"/>
  <c r="GN56" i="1"/>
  <c r="GP56" i="1"/>
  <c r="GV56" i="1"/>
  <c r="HC56" i="1" s="1"/>
  <c r="GX56" i="1" s="1"/>
  <c r="I57" i="1"/>
  <c r="AC57" i="1"/>
  <c r="AE57" i="1"/>
  <c r="AD57" i="1" s="1"/>
  <c r="AF57" i="1"/>
  <c r="AG57" i="1"/>
  <c r="CU57" i="1" s="1"/>
  <c r="T57" i="1" s="1"/>
  <c r="AH57" i="1"/>
  <c r="AI57" i="1"/>
  <c r="AJ57" i="1"/>
  <c r="CX57" i="1" s="1"/>
  <c r="W57" i="1" s="1"/>
  <c r="CR57" i="1"/>
  <c r="Q57" i="1" s="1"/>
  <c r="CT57" i="1"/>
  <c r="S57" i="1" s="1"/>
  <c r="CV57" i="1"/>
  <c r="CW57" i="1"/>
  <c r="V57" i="1" s="1"/>
  <c r="FR57" i="1"/>
  <c r="GL57" i="1"/>
  <c r="GN57" i="1"/>
  <c r="GP57" i="1"/>
  <c r="GV57" i="1"/>
  <c r="HC57" i="1" s="1"/>
  <c r="GX57" i="1" s="1"/>
  <c r="I58" i="1"/>
  <c r="I22" i="10" s="1"/>
  <c r="AC58" i="1"/>
  <c r="CQ58" i="1" s="1"/>
  <c r="P58" i="1" s="1"/>
  <c r="AE58" i="1"/>
  <c r="AF58" i="1"/>
  <c r="CT58" i="1" s="1"/>
  <c r="S58" i="1" s="1"/>
  <c r="AG58" i="1"/>
  <c r="AH58" i="1"/>
  <c r="CV58" i="1" s="1"/>
  <c r="AI58" i="1"/>
  <c r="AJ58" i="1"/>
  <c r="CX58" i="1" s="1"/>
  <c r="W58" i="1" s="1"/>
  <c r="CR58" i="1"/>
  <c r="Q58" i="1" s="1"/>
  <c r="CS58" i="1"/>
  <c r="CU58" i="1"/>
  <c r="CW58" i="1"/>
  <c r="V58" i="1" s="1"/>
  <c r="FR58" i="1"/>
  <c r="GL58" i="1"/>
  <c r="GN58" i="1"/>
  <c r="GP58" i="1"/>
  <c r="GV58" i="1"/>
  <c r="HC58" i="1" s="1"/>
  <c r="GX58" i="1"/>
  <c r="I59" i="1"/>
  <c r="AC59" i="1"/>
  <c r="AE59" i="1"/>
  <c r="AD59" i="1" s="1"/>
  <c r="AF59" i="1"/>
  <c r="AG59" i="1"/>
  <c r="CU59" i="1" s="1"/>
  <c r="T59" i="1" s="1"/>
  <c r="AH59" i="1"/>
  <c r="CV59" i="1" s="1"/>
  <c r="U59" i="1" s="1"/>
  <c r="AI59" i="1"/>
  <c r="AJ59" i="1"/>
  <c r="CX59" i="1" s="1"/>
  <c r="W59" i="1" s="1"/>
  <c r="CR59" i="1"/>
  <c r="Q59" i="1" s="1"/>
  <c r="CT59" i="1"/>
  <c r="S59" i="1" s="1"/>
  <c r="CW59" i="1"/>
  <c r="V59" i="1" s="1"/>
  <c r="FR59" i="1"/>
  <c r="GL59" i="1"/>
  <c r="GN59" i="1"/>
  <c r="GP59" i="1"/>
  <c r="GV59" i="1"/>
  <c r="HC59" i="1" s="1"/>
  <c r="GX59" i="1" s="1"/>
  <c r="I60" i="1"/>
  <c r="AC60" i="1"/>
  <c r="AE60" i="1"/>
  <c r="AF60" i="1"/>
  <c r="AG60" i="1"/>
  <c r="CU60" i="1" s="1"/>
  <c r="AH60" i="1"/>
  <c r="CV60" i="1" s="1"/>
  <c r="U60" i="1" s="1"/>
  <c r="AI60" i="1"/>
  <c r="CW60" i="1" s="1"/>
  <c r="V60" i="1" s="1"/>
  <c r="AJ60" i="1"/>
  <c r="CX60" i="1" s="1"/>
  <c r="CT60" i="1"/>
  <c r="S60" i="1" s="1"/>
  <c r="FR60" i="1"/>
  <c r="GL60" i="1"/>
  <c r="GN60" i="1"/>
  <c r="GP60" i="1"/>
  <c r="GV60" i="1"/>
  <c r="HC60" i="1"/>
  <c r="GX60" i="1" s="1"/>
  <c r="I61" i="1"/>
  <c r="U61" i="1"/>
  <c r="AC61" i="1"/>
  <c r="AE61" i="1"/>
  <c r="CS61" i="1" s="1"/>
  <c r="R61" i="1" s="1"/>
  <c r="AF61" i="1"/>
  <c r="AG61" i="1"/>
  <c r="CU61" i="1" s="1"/>
  <c r="T61" i="1" s="1"/>
  <c r="AH61" i="1"/>
  <c r="CV61" i="1" s="1"/>
  <c r="AI61" i="1"/>
  <c r="CW61" i="1" s="1"/>
  <c r="V61" i="1" s="1"/>
  <c r="AJ61" i="1"/>
  <c r="CQ61" i="1"/>
  <c r="P61" i="1" s="1"/>
  <c r="CT61" i="1"/>
  <c r="S61" i="1" s="1"/>
  <c r="CZ61" i="1" s="1"/>
  <c r="Y61" i="1" s="1"/>
  <c r="CX61" i="1"/>
  <c r="W61" i="1" s="1"/>
  <c r="FR61" i="1"/>
  <c r="GL61" i="1"/>
  <c r="GN61" i="1"/>
  <c r="GP61" i="1"/>
  <c r="GV61" i="1"/>
  <c r="HC61" i="1" s="1"/>
  <c r="GX61" i="1" s="1"/>
  <c r="I62" i="1"/>
  <c r="I24" i="10" s="1"/>
  <c r="S62" i="1"/>
  <c r="CZ62" i="1" s="1"/>
  <c r="Y62" i="1" s="1"/>
  <c r="AC62" i="1"/>
  <c r="AE62" i="1"/>
  <c r="AF62" i="1"/>
  <c r="AG62" i="1"/>
  <c r="AH62" i="1"/>
  <c r="CV62" i="1" s="1"/>
  <c r="AI62" i="1"/>
  <c r="CW62" i="1" s="1"/>
  <c r="V62" i="1" s="1"/>
  <c r="AJ62" i="1"/>
  <c r="CQ62" i="1"/>
  <c r="P62" i="1" s="1"/>
  <c r="CS62" i="1"/>
  <c r="R62" i="1" s="1"/>
  <c r="GK62" i="1" s="1"/>
  <c r="CT62" i="1"/>
  <c r="CU62" i="1"/>
  <c r="T62" i="1" s="1"/>
  <c r="CX62" i="1"/>
  <c r="W62" i="1" s="1"/>
  <c r="FR62" i="1"/>
  <c r="GL62" i="1"/>
  <c r="GN62" i="1"/>
  <c r="GP62" i="1"/>
  <c r="GV62" i="1"/>
  <c r="HC62" i="1" s="1"/>
  <c r="GX62" i="1" s="1"/>
  <c r="C63" i="1"/>
  <c r="D63" i="1"/>
  <c r="I63" i="1"/>
  <c r="AC63" i="1"/>
  <c r="AE63" i="1"/>
  <c r="AD63" i="1" s="1"/>
  <c r="AF63" i="1"/>
  <c r="AG63" i="1"/>
  <c r="CU63" i="1" s="1"/>
  <c r="T63" i="1" s="1"/>
  <c r="AH63" i="1"/>
  <c r="CV63" i="1" s="1"/>
  <c r="AI63" i="1"/>
  <c r="CW63" i="1" s="1"/>
  <c r="V63" i="1" s="1"/>
  <c r="AJ63" i="1"/>
  <c r="CR63" i="1"/>
  <c r="Q63" i="1" s="1"/>
  <c r="CT63" i="1"/>
  <c r="S63" i="1" s="1"/>
  <c r="CX63" i="1"/>
  <c r="W63" i="1" s="1"/>
  <c r="FR63" i="1"/>
  <c r="GL63" i="1"/>
  <c r="GN63" i="1"/>
  <c r="GP63" i="1"/>
  <c r="GV63" i="1"/>
  <c r="HC63" i="1"/>
  <c r="GX63" i="1" s="1"/>
  <c r="C64" i="1"/>
  <c r="D64" i="1"/>
  <c r="I64" i="1"/>
  <c r="I25" i="10" s="1"/>
  <c r="AC64" i="1"/>
  <c r="AD64" i="1"/>
  <c r="AE64" i="1"/>
  <c r="CS64" i="1" s="1"/>
  <c r="R64" i="1" s="1"/>
  <c r="AF64" i="1"/>
  <c r="CT64" i="1" s="1"/>
  <c r="S64" i="1" s="1"/>
  <c r="CY64" i="1" s="1"/>
  <c r="X64" i="1" s="1"/>
  <c r="AG64" i="1"/>
  <c r="AH64" i="1"/>
  <c r="CV64" i="1" s="1"/>
  <c r="U64" i="1" s="1"/>
  <c r="AI64" i="1"/>
  <c r="CW64" i="1" s="1"/>
  <c r="V64" i="1" s="1"/>
  <c r="AJ64" i="1"/>
  <c r="CQ64" i="1"/>
  <c r="P64" i="1" s="1"/>
  <c r="CR64" i="1"/>
  <c r="Q64" i="1" s="1"/>
  <c r="CU64" i="1"/>
  <c r="T64" i="1" s="1"/>
  <c r="CX64" i="1"/>
  <c r="W64" i="1" s="1"/>
  <c r="FR64" i="1"/>
  <c r="GK64" i="1"/>
  <c r="GL64" i="1"/>
  <c r="GN64" i="1"/>
  <c r="GP64" i="1"/>
  <c r="GV64" i="1"/>
  <c r="HC64" i="1" s="1"/>
  <c r="GX64" i="1" s="1"/>
  <c r="I65" i="1"/>
  <c r="U65" i="1"/>
  <c r="AC65" i="1"/>
  <c r="CQ65" i="1" s="1"/>
  <c r="P65" i="1" s="1"/>
  <c r="AE65" i="1"/>
  <c r="AD65" i="1" s="1"/>
  <c r="AF65" i="1"/>
  <c r="CT65" i="1" s="1"/>
  <c r="S65" i="1" s="1"/>
  <c r="AG65" i="1"/>
  <c r="CU65" i="1" s="1"/>
  <c r="AH65" i="1"/>
  <c r="CV65" i="1" s="1"/>
  <c r="AI65" i="1"/>
  <c r="AJ65" i="1"/>
  <c r="CX65" i="1" s="1"/>
  <c r="W65" i="1" s="1"/>
  <c r="CR65" i="1"/>
  <c r="Q65" i="1" s="1"/>
  <c r="CS65" i="1"/>
  <c r="R65" i="1" s="1"/>
  <c r="CW65" i="1"/>
  <c r="V65" i="1" s="1"/>
  <c r="FR65" i="1"/>
  <c r="GL65" i="1"/>
  <c r="GN65" i="1"/>
  <c r="GP65" i="1"/>
  <c r="GV65" i="1"/>
  <c r="HC65" i="1" s="1"/>
  <c r="GX65" i="1" s="1"/>
  <c r="I66" i="1"/>
  <c r="AC66" i="1"/>
  <c r="AE66" i="1"/>
  <c r="AF66" i="1"/>
  <c r="CT66" i="1" s="1"/>
  <c r="AG66" i="1"/>
  <c r="CU66" i="1" s="1"/>
  <c r="AH66" i="1"/>
  <c r="AI66" i="1"/>
  <c r="AJ66" i="1"/>
  <c r="CX66" i="1" s="1"/>
  <c r="CR66" i="1"/>
  <c r="CS66" i="1"/>
  <c r="CV66" i="1"/>
  <c r="CW66" i="1"/>
  <c r="FR66" i="1"/>
  <c r="GL66" i="1"/>
  <c r="GN66" i="1"/>
  <c r="GP66" i="1"/>
  <c r="GV66" i="1"/>
  <c r="HC66" i="1" s="1"/>
  <c r="GX66" i="1" s="1"/>
  <c r="C67" i="1"/>
  <c r="D67" i="1"/>
  <c r="I67" i="1"/>
  <c r="AC67" i="1"/>
  <c r="CQ67" i="1" s="1"/>
  <c r="P67" i="1" s="1"/>
  <c r="AE67" i="1"/>
  <c r="AD67" i="1" s="1"/>
  <c r="AB67" i="1" s="1"/>
  <c r="AF67" i="1"/>
  <c r="CT67" i="1" s="1"/>
  <c r="AG67" i="1"/>
  <c r="CU67" i="1" s="1"/>
  <c r="T67" i="1" s="1"/>
  <c r="AH67" i="1"/>
  <c r="AI67" i="1"/>
  <c r="CW67" i="1" s="1"/>
  <c r="V67" i="1" s="1"/>
  <c r="AJ67" i="1"/>
  <c r="CX67" i="1" s="1"/>
  <c r="CR67" i="1"/>
  <c r="Q67" i="1" s="1"/>
  <c r="CV67" i="1"/>
  <c r="U67" i="1" s="1"/>
  <c r="FR67" i="1"/>
  <c r="GL67" i="1"/>
  <c r="GN67" i="1"/>
  <c r="GP67" i="1"/>
  <c r="GV67" i="1"/>
  <c r="HC67" i="1"/>
  <c r="GX67" i="1" s="1"/>
  <c r="C68" i="1"/>
  <c r="D68" i="1"/>
  <c r="I68" i="1"/>
  <c r="I27" i="10" s="1"/>
  <c r="AC68" i="1"/>
  <c r="AE68" i="1"/>
  <c r="CR68" i="1" s="1"/>
  <c r="Q68" i="1" s="1"/>
  <c r="AF68" i="1"/>
  <c r="CT68" i="1" s="1"/>
  <c r="S68" i="1" s="1"/>
  <c r="AG68" i="1"/>
  <c r="AH68" i="1"/>
  <c r="CV68" i="1" s="1"/>
  <c r="U68" i="1" s="1"/>
  <c r="AI68" i="1"/>
  <c r="CW68" i="1" s="1"/>
  <c r="V68" i="1" s="1"/>
  <c r="AJ68" i="1"/>
  <c r="CU68" i="1"/>
  <c r="T68" i="1" s="1"/>
  <c r="CX68" i="1"/>
  <c r="W68" i="1" s="1"/>
  <c r="FR68" i="1"/>
  <c r="GL68" i="1"/>
  <c r="GN68" i="1"/>
  <c r="GP68" i="1"/>
  <c r="GV68" i="1"/>
  <c r="HC68" i="1" s="1"/>
  <c r="GX68" i="1" s="1"/>
  <c r="AC69" i="1"/>
  <c r="AE69" i="1"/>
  <c r="AD69" i="1" s="1"/>
  <c r="AF69" i="1"/>
  <c r="CT69" i="1" s="1"/>
  <c r="AG69" i="1"/>
  <c r="CU69" i="1" s="1"/>
  <c r="AH69" i="1"/>
  <c r="AI69" i="1"/>
  <c r="CW69" i="1" s="1"/>
  <c r="AJ69" i="1"/>
  <c r="CX69" i="1" s="1"/>
  <c r="CQ69" i="1"/>
  <c r="CV69" i="1"/>
  <c r="FR69" i="1"/>
  <c r="GL69" i="1"/>
  <c r="GN69" i="1"/>
  <c r="GP69" i="1"/>
  <c r="GV69" i="1"/>
  <c r="HC69" i="1" s="1"/>
  <c r="AC70" i="1"/>
  <c r="AE70" i="1"/>
  <c r="AF70" i="1"/>
  <c r="AG70" i="1"/>
  <c r="CU70" i="1" s="1"/>
  <c r="AH70" i="1"/>
  <c r="CV70" i="1" s="1"/>
  <c r="AI70" i="1"/>
  <c r="CW70" i="1" s="1"/>
  <c r="AJ70" i="1"/>
  <c r="CQ70" i="1"/>
  <c r="CT70" i="1"/>
  <c r="CX70" i="1"/>
  <c r="FR70" i="1"/>
  <c r="GL70" i="1"/>
  <c r="GN70" i="1"/>
  <c r="GP70" i="1"/>
  <c r="GV70" i="1"/>
  <c r="HC70" i="1" s="1"/>
  <c r="C71" i="1"/>
  <c r="D71" i="1"/>
  <c r="I71" i="1"/>
  <c r="AC71" i="1"/>
  <c r="AE71" i="1"/>
  <c r="CS71" i="1" s="1"/>
  <c r="R71" i="1" s="1"/>
  <c r="AF71" i="1"/>
  <c r="AG71" i="1"/>
  <c r="CU71" i="1" s="1"/>
  <c r="T71" i="1" s="1"/>
  <c r="AH71" i="1"/>
  <c r="AI71" i="1"/>
  <c r="CW71" i="1" s="1"/>
  <c r="V71" i="1" s="1"/>
  <c r="AJ71" i="1"/>
  <c r="CQ71" i="1"/>
  <c r="P71" i="1" s="1"/>
  <c r="CT71" i="1"/>
  <c r="S71" i="1" s="1"/>
  <c r="CV71" i="1"/>
  <c r="U71" i="1" s="1"/>
  <c r="CX71" i="1"/>
  <c r="W71" i="1" s="1"/>
  <c r="FR71" i="1"/>
  <c r="GL71" i="1"/>
  <c r="GN71" i="1"/>
  <c r="GP71" i="1"/>
  <c r="GV71" i="1"/>
  <c r="HC71" i="1" s="1"/>
  <c r="GX71" i="1" s="1"/>
  <c r="C72" i="1"/>
  <c r="D72" i="1"/>
  <c r="I72" i="1"/>
  <c r="I29" i="10" s="1"/>
  <c r="AC72" i="1"/>
  <c r="CQ72" i="1" s="1"/>
  <c r="P72" i="1" s="1"/>
  <c r="AE72" i="1"/>
  <c r="AD72" i="1" s="1"/>
  <c r="AF72" i="1"/>
  <c r="CT72" i="1" s="1"/>
  <c r="S72" i="1" s="1"/>
  <c r="CY72" i="1" s="1"/>
  <c r="X72" i="1" s="1"/>
  <c r="AG72" i="1"/>
  <c r="AH72" i="1"/>
  <c r="CV72" i="1" s="1"/>
  <c r="U72" i="1" s="1"/>
  <c r="AI72" i="1"/>
  <c r="CW72" i="1" s="1"/>
  <c r="V72" i="1" s="1"/>
  <c r="AJ72" i="1"/>
  <c r="CX72" i="1" s="1"/>
  <c r="W72" i="1" s="1"/>
  <c r="CR72" i="1"/>
  <c r="Q72" i="1" s="1"/>
  <c r="CS72" i="1"/>
  <c r="CU72" i="1"/>
  <c r="FR72" i="1"/>
  <c r="GL72" i="1"/>
  <c r="GN72" i="1"/>
  <c r="FT76" i="1" s="1"/>
  <c r="GP72" i="1"/>
  <c r="GV72" i="1"/>
  <c r="HC72" i="1" s="1"/>
  <c r="GX72" i="1" s="1"/>
  <c r="I73" i="1"/>
  <c r="AC73" i="1"/>
  <c r="AD73" i="1"/>
  <c r="AE73" i="1"/>
  <c r="AF73" i="1"/>
  <c r="AG73" i="1"/>
  <c r="CU73" i="1" s="1"/>
  <c r="AH73" i="1"/>
  <c r="CV73" i="1" s="1"/>
  <c r="U73" i="1" s="1"/>
  <c r="AI73" i="1"/>
  <c r="AJ73" i="1"/>
  <c r="CX73" i="1" s="1"/>
  <c r="W73" i="1" s="1"/>
  <c r="CQ73" i="1"/>
  <c r="CR73" i="1"/>
  <c r="Q73" i="1" s="1"/>
  <c r="CS73" i="1"/>
  <c r="R73" i="1" s="1"/>
  <c r="CT73" i="1"/>
  <c r="S73" i="1" s="1"/>
  <c r="CW73" i="1"/>
  <c r="FR73" i="1"/>
  <c r="GL73" i="1"/>
  <c r="GN73" i="1"/>
  <c r="GP73" i="1"/>
  <c r="GV73" i="1"/>
  <c r="HC73" i="1" s="1"/>
  <c r="GX73" i="1" s="1"/>
  <c r="AC74" i="1"/>
  <c r="AE74" i="1"/>
  <c r="AF74" i="1"/>
  <c r="CT74" i="1" s="1"/>
  <c r="AG74" i="1"/>
  <c r="CU74" i="1" s="1"/>
  <c r="AH74" i="1"/>
  <c r="AI74" i="1"/>
  <c r="CW74" i="1" s="1"/>
  <c r="AJ74" i="1"/>
  <c r="CR74" i="1"/>
  <c r="CV74" i="1"/>
  <c r="CX74" i="1"/>
  <c r="FR74" i="1"/>
  <c r="GL74" i="1"/>
  <c r="GN74" i="1"/>
  <c r="GP74" i="1"/>
  <c r="GV74" i="1"/>
  <c r="HC74" i="1"/>
  <c r="B76" i="1"/>
  <c r="B26" i="1" s="1"/>
  <c r="C76" i="1"/>
  <c r="C26" i="1" s="1"/>
  <c r="D76" i="1"/>
  <c r="D26" i="1" s="1"/>
  <c r="F76" i="1"/>
  <c r="F26" i="1" s="1"/>
  <c r="G76" i="1"/>
  <c r="G26" i="1" s="1"/>
  <c r="BX76" i="1"/>
  <c r="CK76" i="1"/>
  <c r="CK26" i="1" s="1"/>
  <c r="CL76" i="1"/>
  <c r="CL26" i="1" s="1"/>
  <c r="FP76" i="1"/>
  <c r="GC76" i="1"/>
  <c r="GD76" i="1"/>
  <c r="GD26" i="1" s="1"/>
  <c r="D105" i="1"/>
  <c r="C107" i="1"/>
  <c r="E107" i="1"/>
  <c r="Z107" i="1"/>
  <c r="AA107" i="1"/>
  <c r="AM107" i="1"/>
  <c r="AN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DB107" i="1"/>
  <c r="DC107" i="1"/>
  <c r="DD107" i="1"/>
  <c r="DE107" i="1"/>
  <c r="DF107" i="1"/>
  <c r="DR107" i="1"/>
  <c r="DS107" i="1"/>
  <c r="EE107" i="1"/>
  <c r="EF107" i="1"/>
  <c r="EV107" i="1"/>
  <c r="EW107" i="1"/>
  <c r="EX107" i="1"/>
  <c r="EY107" i="1"/>
  <c r="EZ107" i="1"/>
  <c r="FA107" i="1"/>
  <c r="FB107" i="1"/>
  <c r="FC107" i="1"/>
  <c r="FD107" i="1"/>
  <c r="FE107" i="1"/>
  <c r="FF107" i="1"/>
  <c r="FG107" i="1"/>
  <c r="FH107" i="1"/>
  <c r="FI107" i="1"/>
  <c r="FJ107" i="1"/>
  <c r="FK107" i="1"/>
  <c r="FL107" i="1"/>
  <c r="FM107" i="1"/>
  <c r="FN107" i="1"/>
  <c r="FO107" i="1"/>
  <c r="GE107" i="1"/>
  <c r="GF107" i="1"/>
  <c r="GG107" i="1"/>
  <c r="GH107" i="1"/>
  <c r="GI107" i="1"/>
  <c r="GJ107" i="1"/>
  <c r="GK107" i="1"/>
  <c r="GL107" i="1"/>
  <c r="GM107" i="1"/>
  <c r="GN107" i="1"/>
  <c r="GO107" i="1"/>
  <c r="GP107" i="1"/>
  <c r="GQ107" i="1"/>
  <c r="GR107" i="1"/>
  <c r="GS107" i="1"/>
  <c r="GT107" i="1"/>
  <c r="GU107" i="1"/>
  <c r="GV107" i="1"/>
  <c r="GW107" i="1"/>
  <c r="GX107" i="1"/>
  <c r="C109" i="1"/>
  <c r="D109" i="1"/>
  <c r="AC109" i="1"/>
  <c r="AE109" i="1"/>
  <c r="CS109" i="1" s="1"/>
  <c r="R109" i="1" s="1"/>
  <c r="AF109" i="1"/>
  <c r="AG109" i="1"/>
  <c r="CU109" i="1" s="1"/>
  <c r="T109" i="1" s="1"/>
  <c r="AG112" i="1" s="1"/>
  <c r="AH109" i="1"/>
  <c r="AI109" i="1"/>
  <c r="CW109" i="1" s="1"/>
  <c r="V109" i="1" s="1"/>
  <c r="AI112" i="1" s="1"/>
  <c r="V112" i="1" s="1"/>
  <c r="AJ109" i="1"/>
  <c r="CX109" i="1" s="1"/>
  <c r="W109" i="1" s="1"/>
  <c r="AJ112" i="1" s="1"/>
  <c r="CQ109" i="1"/>
  <c r="P109" i="1" s="1"/>
  <c r="CT109" i="1"/>
  <c r="S109" i="1" s="1"/>
  <c r="CV109" i="1"/>
  <c r="U109" i="1" s="1"/>
  <c r="AH112" i="1" s="1"/>
  <c r="FR109" i="1"/>
  <c r="BY112" i="1" s="1"/>
  <c r="AP112" i="1" s="1"/>
  <c r="GL109" i="1"/>
  <c r="GN109" i="1"/>
  <c r="CB112" i="1" s="1"/>
  <c r="GO109" i="1"/>
  <c r="GV109" i="1"/>
  <c r="HC109" i="1" s="1"/>
  <c r="GX109" i="1" s="1"/>
  <c r="CJ112" i="1" s="1"/>
  <c r="C110" i="1"/>
  <c r="D110" i="1"/>
  <c r="AC110" i="1"/>
  <c r="CQ110" i="1" s="1"/>
  <c r="P110" i="1" s="1"/>
  <c r="AE110" i="1"/>
  <c r="AD110" i="1" s="1"/>
  <c r="AF110" i="1"/>
  <c r="AG110" i="1"/>
  <c r="CU110" i="1" s="1"/>
  <c r="T110" i="1" s="1"/>
  <c r="DY112" i="1" s="1"/>
  <c r="AH110" i="1"/>
  <c r="CV110" i="1" s="1"/>
  <c r="U110" i="1" s="1"/>
  <c r="DZ112" i="1" s="1"/>
  <c r="AI110" i="1"/>
  <c r="CW110" i="1" s="1"/>
  <c r="V110" i="1" s="1"/>
  <c r="EA112" i="1" s="1"/>
  <c r="EA107" i="1" s="1"/>
  <c r="AJ110" i="1"/>
  <c r="CT110" i="1"/>
  <c r="S110" i="1" s="1"/>
  <c r="DX112" i="1" s="1"/>
  <c r="CX110" i="1"/>
  <c r="W110" i="1" s="1"/>
  <c r="EB112" i="1" s="1"/>
  <c r="FR110" i="1"/>
  <c r="GL110" i="1"/>
  <c r="GN110" i="1"/>
  <c r="GO110" i="1"/>
  <c r="GV110" i="1"/>
  <c r="HC110" i="1" s="1"/>
  <c r="GX110" i="1" s="1"/>
  <c r="GB112" i="1" s="1"/>
  <c r="B112" i="1"/>
  <c r="B107" i="1" s="1"/>
  <c r="C112" i="1"/>
  <c r="D112" i="1"/>
  <c r="D107" i="1" s="1"/>
  <c r="F112" i="1"/>
  <c r="F107" i="1" s="1"/>
  <c r="G112" i="1"/>
  <c r="G107" i="1" s="1"/>
  <c r="AE112" i="1"/>
  <c r="BX112" i="1"/>
  <c r="BX107" i="1" s="1"/>
  <c r="BZ112" i="1"/>
  <c r="CC112" i="1"/>
  <c r="CK112" i="1"/>
  <c r="BB112" i="1" s="1"/>
  <c r="BB107" i="1" s="1"/>
  <c r="CL112" i="1"/>
  <c r="DU112" i="1"/>
  <c r="EG112" i="1"/>
  <c r="EG107" i="1" s="1"/>
  <c r="EK112" i="1"/>
  <c r="EK107" i="1" s="1"/>
  <c r="ET112" i="1"/>
  <c r="ET107" i="1" s="1"/>
  <c r="FP112" i="1"/>
  <c r="FP107" i="1" s="1"/>
  <c r="FQ112" i="1"/>
  <c r="FQ107" i="1" s="1"/>
  <c r="FR112" i="1"/>
  <c r="FT112" i="1"/>
  <c r="FT107" i="1" s="1"/>
  <c r="FU112" i="1"/>
  <c r="FU107" i="1" s="1"/>
  <c r="GC112" i="1"/>
  <c r="GC107" i="1" s="1"/>
  <c r="GD112" i="1"/>
  <c r="GD107" i="1" s="1"/>
  <c r="P129" i="1"/>
  <c r="B141" i="1"/>
  <c r="B22" i="1" s="1"/>
  <c r="C141" i="1"/>
  <c r="C22" i="1" s="1"/>
  <c r="D141" i="1"/>
  <c r="D22" i="1" s="1"/>
  <c r="F141" i="1"/>
  <c r="F22" i="1" s="1"/>
  <c r="G141" i="1"/>
  <c r="G22" i="1" s="1"/>
  <c r="B173" i="1"/>
  <c r="B18" i="1" s="1"/>
  <c r="C173" i="1"/>
  <c r="C18" i="1" s="1"/>
  <c r="D173" i="1"/>
  <c r="D18" i="1" s="1"/>
  <c r="F173" i="1"/>
  <c r="F18" i="1" s="1"/>
  <c r="G173" i="1"/>
  <c r="G18" i="1" s="1"/>
  <c r="FT26" i="1" l="1"/>
  <c r="EK76" i="1"/>
  <c r="V107" i="1"/>
  <c r="F135" i="1"/>
  <c r="CZ73" i="1"/>
  <c r="Y73" i="1" s="1"/>
  <c r="CY73" i="1"/>
  <c r="X73" i="1" s="1"/>
  <c r="DL112" i="1"/>
  <c r="DY107" i="1"/>
  <c r="AJ107" i="1"/>
  <c r="W112" i="1"/>
  <c r="F125" i="1"/>
  <c r="EU112" i="1"/>
  <c r="EH112" i="1"/>
  <c r="CR109" i="1"/>
  <c r="Q109" i="1" s="1"/>
  <c r="AD112" i="1" s="1"/>
  <c r="AD109" i="1"/>
  <c r="CS69" i="1"/>
  <c r="CS67" i="1"/>
  <c r="R67" i="1" s="1"/>
  <c r="CQ66" i="1"/>
  <c r="K26" i="10"/>
  <c r="N26" i="10"/>
  <c r="AB63" i="1"/>
  <c r="CP50" i="1"/>
  <c r="O50" i="1" s="1"/>
  <c r="CY31" i="1"/>
  <c r="X31" i="1" s="1"/>
  <c r="CZ31" i="1"/>
  <c r="Y31" i="1" s="1"/>
  <c r="O12" i="10"/>
  <c r="M12" i="10"/>
  <c r="AD74" i="1"/>
  <c r="P30" i="10"/>
  <c r="S30" i="10"/>
  <c r="D43" i="7"/>
  <c r="D43" i="6"/>
  <c r="CS70" i="1"/>
  <c r="S28" i="10"/>
  <c r="P28" i="10"/>
  <c r="U66" i="1"/>
  <c r="I26" i="10"/>
  <c r="CZ59" i="1"/>
  <c r="Y59" i="1" s="1"/>
  <c r="CY59" i="1"/>
  <c r="X59" i="1" s="1"/>
  <c r="CZ50" i="1"/>
  <c r="Y50" i="1" s="1"/>
  <c r="CY50" i="1"/>
  <c r="X50" i="1" s="1"/>
  <c r="CZ44" i="1"/>
  <c r="Y44" i="1" s="1"/>
  <c r="CY44" i="1"/>
  <c r="X44" i="1" s="1"/>
  <c r="O29" i="10"/>
  <c r="M29" i="10"/>
  <c r="P125" i="1"/>
  <c r="EL112" i="1"/>
  <c r="CS110" i="1"/>
  <c r="R110" i="1" s="1"/>
  <c r="CS74" i="1"/>
  <c r="CQ74" i="1"/>
  <c r="K30" i="10"/>
  <c r="N30" i="10"/>
  <c r="V73" i="1"/>
  <c r="P73" i="1"/>
  <c r="CP73" i="1" s="1"/>
  <c r="O73" i="1" s="1"/>
  <c r="T73" i="1"/>
  <c r="CR71" i="1"/>
  <c r="Q71" i="1" s="1"/>
  <c r="AD71" i="1"/>
  <c r="CR70" i="1"/>
  <c r="AD70" i="1"/>
  <c r="FR76" i="1"/>
  <c r="AD68" i="1"/>
  <c r="AB68" i="1" s="1"/>
  <c r="D40" i="7"/>
  <c r="D40" i="6"/>
  <c r="I69" i="1"/>
  <c r="S69" i="1" s="1"/>
  <c r="S66" i="1"/>
  <c r="D39" i="7"/>
  <c r="D39" i="6"/>
  <c r="CZ46" i="1"/>
  <c r="Y46" i="1" s="1"/>
  <c r="CY46" i="1"/>
  <c r="X46" i="1" s="1"/>
  <c r="FZ112" i="1"/>
  <c r="CR110" i="1"/>
  <c r="Q110" i="1" s="1"/>
  <c r="DV112" i="1" s="1"/>
  <c r="CB76" i="1"/>
  <c r="AB71" i="1"/>
  <c r="D42" i="7"/>
  <c r="D42" i="6"/>
  <c r="AB70" i="1"/>
  <c r="N28" i="10"/>
  <c r="K28" i="10"/>
  <c r="V69" i="1"/>
  <c r="CS68" i="1"/>
  <c r="R68" i="1" s="1"/>
  <c r="GK68" i="1" s="1"/>
  <c r="CZ54" i="1"/>
  <c r="Y54" i="1" s="1"/>
  <c r="CY54" i="1"/>
  <c r="X54" i="1" s="1"/>
  <c r="CP46" i="1"/>
  <c r="O46" i="1" s="1"/>
  <c r="W69" i="1"/>
  <c r="W67" i="1"/>
  <c r="S67" i="1"/>
  <c r="AD66" i="1"/>
  <c r="AB66" i="1" s="1"/>
  <c r="P26" i="10"/>
  <c r="R26" i="10" s="1"/>
  <c r="S26" i="10"/>
  <c r="T26" i="10" s="1"/>
  <c r="T65" i="1"/>
  <c r="CP64" i="1"/>
  <c r="O64" i="1" s="1"/>
  <c r="CS63" i="1"/>
  <c r="R63" i="1" s="1"/>
  <c r="U63" i="1"/>
  <c r="D37" i="7"/>
  <c r="D37" i="6"/>
  <c r="W60" i="1"/>
  <c r="CS59" i="1"/>
  <c r="R59" i="1" s="1"/>
  <c r="D36" i="7"/>
  <c r="D36" i="6"/>
  <c r="CS57" i="1"/>
  <c r="R57" i="1" s="1"/>
  <c r="N21" i="10"/>
  <c r="O21" i="10" s="1"/>
  <c r="K21" i="10"/>
  <c r="M21" i="10" s="1"/>
  <c r="CS53" i="1"/>
  <c r="R53" i="1" s="1"/>
  <c r="CS51" i="1"/>
  <c r="R51" i="1" s="1"/>
  <c r="GK51" i="1" s="1"/>
  <c r="Q51" i="1"/>
  <c r="I19" i="10"/>
  <c r="V50" i="1"/>
  <c r="AB50" i="1"/>
  <c r="CP48" i="1"/>
  <c r="O48" i="1" s="1"/>
  <c r="AB48" i="1"/>
  <c r="U47" i="1"/>
  <c r="CR46" i="1"/>
  <c r="Q46" i="1" s="1"/>
  <c r="AD46" i="1"/>
  <c r="P15" i="10"/>
  <c r="S15" i="10"/>
  <c r="V43" i="1"/>
  <c r="I15" i="10"/>
  <c r="T42" i="1"/>
  <c r="AB42" i="1"/>
  <c r="AB40" i="1"/>
  <c r="CZ39" i="1"/>
  <c r="Y39" i="1" s="1"/>
  <c r="Q39" i="1"/>
  <c r="CQ35" i="1"/>
  <c r="P35" i="1" s="1"/>
  <c r="K11" i="10"/>
  <c r="M11" i="10" s="1"/>
  <c r="N11" i="10"/>
  <c r="O11" i="10" s="1"/>
  <c r="CS32" i="1"/>
  <c r="R32" i="1" s="1"/>
  <c r="AD32" i="1"/>
  <c r="AD31" i="1"/>
  <c r="AB31" i="1" s="1"/>
  <c r="S9" i="10"/>
  <c r="T9" i="10" s="1"/>
  <c r="P9" i="10"/>
  <c r="R9" i="10" s="1"/>
  <c r="T30" i="1"/>
  <c r="D22" i="7"/>
  <c r="D22" i="6"/>
  <c r="CR29" i="1"/>
  <c r="Q29" i="1" s="1"/>
  <c r="CP29" i="1" s="1"/>
  <c r="O29" i="1" s="1"/>
  <c r="CR28" i="1"/>
  <c r="Q28" i="1" s="1"/>
  <c r="AD28" i="1"/>
  <c r="O27" i="10"/>
  <c r="M27" i="10"/>
  <c r="T25" i="10"/>
  <c r="R25" i="10"/>
  <c r="O20" i="10"/>
  <c r="M20" i="10"/>
  <c r="O16" i="10"/>
  <c r="M16" i="10"/>
  <c r="T14" i="10"/>
  <c r="R14" i="10"/>
  <c r="T10" i="10"/>
  <c r="R10" i="10"/>
  <c r="S24" i="10"/>
  <c r="T24" i="10" s="1"/>
  <c r="P24" i="10"/>
  <c r="R24" i="10" s="1"/>
  <c r="AD60" i="1"/>
  <c r="AB60" i="1" s="1"/>
  <c r="S23" i="10"/>
  <c r="P23" i="10"/>
  <c r="R23" i="10" s="1"/>
  <c r="I23" i="10"/>
  <c r="AB59" i="1"/>
  <c r="D34" i="7"/>
  <c r="D34" i="6"/>
  <c r="K19" i="10"/>
  <c r="M19" i="10" s="1"/>
  <c r="N19" i="10"/>
  <c r="O19" i="10" s="1"/>
  <c r="D32" i="7"/>
  <c r="D32" i="6"/>
  <c r="S17" i="10"/>
  <c r="T17" i="10" s="1"/>
  <c r="P17" i="10"/>
  <c r="I17" i="10"/>
  <c r="AB46" i="1"/>
  <c r="V42" i="1"/>
  <c r="D28" i="7"/>
  <c r="D28" i="6"/>
  <c r="GX31" i="1"/>
  <c r="CQ31" i="1"/>
  <c r="P31" i="1" s="1"/>
  <c r="N9" i="10"/>
  <c r="O9" i="10" s="1"/>
  <c r="K9" i="10"/>
  <c r="M9" i="10" s="1"/>
  <c r="CP28" i="1"/>
  <c r="O28" i="1" s="1"/>
  <c r="AB28" i="1"/>
  <c r="O32" i="10"/>
  <c r="M32" i="10"/>
  <c r="T29" i="10"/>
  <c r="R29" i="10"/>
  <c r="O25" i="10"/>
  <c r="M25" i="10"/>
  <c r="T18" i="10"/>
  <c r="R18" i="10"/>
  <c r="R12" i="10"/>
  <c r="T12" i="10"/>
  <c r="R8" i="10"/>
  <c r="T8" i="10"/>
  <c r="BZ76" i="1"/>
  <c r="CR62" i="1"/>
  <c r="Q62" i="1" s="1"/>
  <c r="CP62" i="1" s="1"/>
  <c r="O62" i="1" s="1"/>
  <c r="U62" i="1"/>
  <c r="AD62" i="1"/>
  <c r="CY61" i="1"/>
  <c r="X61" i="1" s="1"/>
  <c r="CR61" i="1"/>
  <c r="Q61" i="1" s="1"/>
  <c r="AD61" i="1"/>
  <c r="CS60" i="1"/>
  <c r="R60" i="1" s="1"/>
  <c r="GK60" i="1" s="1"/>
  <c r="CQ60" i="1"/>
  <c r="P60" i="1" s="1"/>
  <c r="N23" i="10"/>
  <c r="O23" i="10" s="1"/>
  <c r="K23" i="10"/>
  <c r="M23" i="10" s="1"/>
  <c r="R58" i="1"/>
  <c r="GK58" i="1" s="1"/>
  <c r="AD58" i="1"/>
  <c r="S22" i="10"/>
  <c r="T22" i="10" s="1"/>
  <c r="P22" i="10"/>
  <c r="R22" i="10" s="1"/>
  <c r="U57" i="1"/>
  <c r="D35" i="7"/>
  <c r="D35" i="6"/>
  <c r="R55" i="1"/>
  <c r="AB55" i="1"/>
  <c r="D33" i="7"/>
  <c r="D33" i="6"/>
  <c r="R50" i="1"/>
  <c r="CR49" i="1"/>
  <c r="Q49" i="1" s="1"/>
  <c r="CS47" i="1"/>
  <c r="R47" i="1" s="1"/>
  <c r="GK47" i="1" s="1"/>
  <c r="AD47" i="1"/>
  <c r="D30" i="7"/>
  <c r="D30" i="6"/>
  <c r="AB45" i="1"/>
  <c r="CP44" i="1"/>
  <c r="O44" i="1" s="1"/>
  <c r="AB44" i="1"/>
  <c r="CR43" i="1"/>
  <c r="T43" i="1"/>
  <c r="AB43" i="1"/>
  <c r="K15" i="10"/>
  <c r="M15" i="10" s="1"/>
  <c r="N15" i="10"/>
  <c r="O15" i="10" s="1"/>
  <c r="S13" i="10"/>
  <c r="T13" i="10" s="1"/>
  <c r="P13" i="10"/>
  <c r="R13" i="10" s="1"/>
  <c r="D26" i="7"/>
  <c r="D26" i="6"/>
  <c r="CR37" i="1"/>
  <c r="Q37" i="1" s="1"/>
  <c r="CS36" i="1"/>
  <c r="R36" i="1" s="1"/>
  <c r="D24" i="7"/>
  <c r="D24" i="6"/>
  <c r="AB32" i="1"/>
  <c r="CR31" i="1"/>
  <c r="Q31" i="1" s="1"/>
  <c r="T31" i="1"/>
  <c r="P30" i="1"/>
  <c r="R20" i="10"/>
  <c r="T20" i="10"/>
  <c r="R16" i="10"/>
  <c r="T16" i="10"/>
  <c r="O14" i="10"/>
  <c r="M14" i="10"/>
  <c r="O10" i="10"/>
  <c r="M10" i="10"/>
  <c r="D38" i="7"/>
  <c r="D38" i="6"/>
  <c r="N24" i="10"/>
  <c r="O24" i="10" s="1"/>
  <c r="K24" i="10"/>
  <c r="M24" i="10" s="1"/>
  <c r="CR60" i="1"/>
  <c r="Q60" i="1" s="1"/>
  <c r="CP60" i="1" s="1"/>
  <c r="O60" i="1" s="1"/>
  <c r="T60" i="1"/>
  <c r="N22" i="10"/>
  <c r="O22" i="10" s="1"/>
  <c r="K22" i="10"/>
  <c r="M22" i="10" s="1"/>
  <c r="S21" i="10"/>
  <c r="T21" i="10" s="1"/>
  <c r="P21" i="10"/>
  <c r="R21" i="10" s="1"/>
  <c r="P19" i="10"/>
  <c r="R19" i="10" s="1"/>
  <c r="S19" i="10"/>
  <c r="T19" i="10" s="1"/>
  <c r="U50" i="1"/>
  <c r="CR47" i="1"/>
  <c r="Q47" i="1" s="1"/>
  <c r="T47" i="1"/>
  <c r="AB47" i="1"/>
  <c r="N17" i="10"/>
  <c r="O17" i="10" s="1"/>
  <c r="K17" i="10"/>
  <c r="M17" i="10" s="1"/>
  <c r="CQ39" i="1"/>
  <c r="P39" i="1" s="1"/>
  <c r="N13" i="10"/>
  <c r="O13" i="10" s="1"/>
  <c r="K13" i="10"/>
  <c r="M13" i="10" s="1"/>
  <c r="AD35" i="1"/>
  <c r="AB35" i="1" s="1"/>
  <c r="P11" i="10"/>
  <c r="R11" i="10" s="1"/>
  <c r="S11" i="10"/>
  <c r="T11" i="10" s="1"/>
  <c r="T32" i="10"/>
  <c r="R32" i="10"/>
  <c r="R27" i="10"/>
  <c r="T27" i="10"/>
  <c r="O18" i="10"/>
  <c r="M18" i="10"/>
  <c r="O8" i="10"/>
  <c r="M8" i="10"/>
  <c r="DX107" i="1"/>
  <c r="DK112" i="1"/>
  <c r="FZ107" i="1"/>
  <c r="EQ112" i="1"/>
  <c r="EB107" i="1"/>
  <c r="DO112" i="1"/>
  <c r="AT112" i="1"/>
  <c r="CC107" i="1"/>
  <c r="DM112" i="1"/>
  <c r="DZ107" i="1"/>
  <c r="EK26" i="1"/>
  <c r="P93" i="1"/>
  <c r="EK141" i="1"/>
  <c r="GM73" i="1"/>
  <c r="GO73" i="1"/>
  <c r="CY67" i="1"/>
  <c r="X67" i="1" s="1"/>
  <c r="CZ67" i="1"/>
  <c r="Y67" i="1" s="1"/>
  <c r="CP67" i="1"/>
  <c r="O67" i="1" s="1"/>
  <c r="DU107" i="1"/>
  <c r="FX112" i="1"/>
  <c r="DH112" i="1"/>
  <c r="CB107" i="1"/>
  <c r="AS112" i="1"/>
  <c r="CY65" i="1"/>
  <c r="X65" i="1" s="1"/>
  <c r="CZ65" i="1"/>
  <c r="Y65" i="1" s="1"/>
  <c r="EL107" i="1"/>
  <c r="P130" i="1"/>
  <c r="R112" i="1"/>
  <c r="AE107" i="1"/>
  <c r="AC112" i="1"/>
  <c r="CP109" i="1"/>
  <c r="O109" i="1" s="1"/>
  <c r="FR107" i="1"/>
  <c r="FY112" i="1"/>
  <c r="EI112" i="1"/>
  <c r="GA112" i="1"/>
  <c r="AP107" i="1"/>
  <c r="F121" i="1"/>
  <c r="GB107" i="1"/>
  <c r="ES112" i="1"/>
  <c r="DW112" i="1"/>
  <c r="GK110" i="1"/>
  <c r="CP110" i="1"/>
  <c r="O110" i="1" s="1"/>
  <c r="BZ107" i="1"/>
  <c r="CG112" i="1"/>
  <c r="CY110" i="1"/>
  <c r="X110" i="1" s="1"/>
  <c r="EC112" i="1" s="1"/>
  <c r="CZ110" i="1"/>
  <c r="Y110" i="1" s="1"/>
  <c r="ED112" i="1" s="1"/>
  <c r="DN112" i="1"/>
  <c r="DV107" i="1"/>
  <c r="DI112" i="1"/>
  <c r="AH107" i="1"/>
  <c r="U112" i="1"/>
  <c r="AD107" i="1"/>
  <c r="Q112" i="1"/>
  <c r="BX26" i="1"/>
  <c r="CG76" i="1"/>
  <c r="AO76" i="1"/>
  <c r="CB26" i="1"/>
  <c r="AS76" i="1"/>
  <c r="CL107" i="1"/>
  <c r="BC112" i="1"/>
  <c r="FW112" i="1"/>
  <c r="AQ112" i="1"/>
  <c r="CJ107" i="1"/>
  <c r="BA112" i="1"/>
  <c r="AG107" i="1"/>
  <c r="T112" i="1"/>
  <c r="EU107" i="1"/>
  <c r="P128" i="1"/>
  <c r="CI112" i="1"/>
  <c r="AF112" i="1"/>
  <c r="CY109" i="1"/>
  <c r="X109" i="1" s="1"/>
  <c r="AK112" i="1" s="1"/>
  <c r="CZ109" i="1"/>
  <c r="Y109" i="1" s="1"/>
  <c r="AL112" i="1" s="1"/>
  <c r="CY66" i="1"/>
  <c r="X66" i="1" s="1"/>
  <c r="CZ66" i="1"/>
  <c r="Y66" i="1" s="1"/>
  <c r="CP65" i="1"/>
  <c r="O65" i="1" s="1"/>
  <c r="CZ63" i="1"/>
  <c r="Y63" i="1" s="1"/>
  <c r="CY63" i="1"/>
  <c r="X63" i="1" s="1"/>
  <c r="CY58" i="1"/>
  <c r="X58" i="1" s="1"/>
  <c r="CZ58" i="1"/>
  <c r="Y58" i="1" s="1"/>
  <c r="AI76" i="1"/>
  <c r="GO50" i="1"/>
  <c r="GM50" i="1"/>
  <c r="CY49" i="1"/>
  <c r="X49" i="1" s="1"/>
  <c r="CZ49" i="1"/>
  <c r="Y49" i="1" s="1"/>
  <c r="AJ76" i="1"/>
  <c r="CZ43" i="1"/>
  <c r="Y43" i="1" s="1"/>
  <c r="CY43" i="1"/>
  <c r="X43" i="1" s="1"/>
  <c r="AB109" i="1"/>
  <c r="AB73" i="1"/>
  <c r="CP72" i="1"/>
  <c r="O72" i="1" s="1"/>
  <c r="CY68" i="1"/>
  <c r="X68" i="1" s="1"/>
  <c r="CZ68" i="1"/>
  <c r="Y68" i="1" s="1"/>
  <c r="R66" i="1"/>
  <c r="GK66" i="1" s="1"/>
  <c r="P66" i="1"/>
  <c r="CZ60" i="1"/>
  <c r="Y60" i="1" s="1"/>
  <c r="CY60" i="1"/>
  <c r="X60" i="1" s="1"/>
  <c r="AB58" i="1"/>
  <c r="AB74" i="1"/>
  <c r="R69" i="1"/>
  <c r="AE76" i="1" s="1"/>
  <c r="AB69" i="1"/>
  <c r="Q66" i="1"/>
  <c r="W66" i="1"/>
  <c r="BZ26" i="1"/>
  <c r="AQ76" i="1"/>
  <c r="CY53" i="1"/>
  <c r="X53" i="1" s="1"/>
  <c r="CZ53" i="1"/>
  <c r="Y53" i="1" s="1"/>
  <c r="P116" i="1"/>
  <c r="CX46" i="3"/>
  <c r="CX45" i="3"/>
  <c r="I74" i="1"/>
  <c r="Q74" i="1" s="1"/>
  <c r="T72" i="1"/>
  <c r="CR69" i="1"/>
  <c r="Q69" i="1" s="1"/>
  <c r="FR26" i="1"/>
  <c r="EI76" i="1"/>
  <c r="V66" i="1"/>
  <c r="AB64" i="1"/>
  <c r="CQ59" i="1"/>
  <c r="P59" i="1" s="1"/>
  <c r="CP59" i="1" s="1"/>
  <c r="O59" i="1" s="1"/>
  <c r="BY107" i="1"/>
  <c r="AI107" i="1"/>
  <c r="FP26" i="1"/>
  <c r="EG76" i="1"/>
  <c r="FY76" i="1"/>
  <c r="CZ72" i="1"/>
  <c r="Y72" i="1" s="1"/>
  <c r="P69" i="1"/>
  <c r="CZ64" i="1"/>
  <c r="Y64" i="1" s="1"/>
  <c r="GM64" i="1" s="1"/>
  <c r="CD76" i="1"/>
  <c r="AB110" i="1"/>
  <c r="CK107" i="1"/>
  <c r="CP71" i="1"/>
  <c r="O71" i="1" s="1"/>
  <c r="T66" i="1"/>
  <c r="FV76" i="1"/>
  <c r="CY57" i="1"/>
  <c r="X57" i="1" s="1"/>
  <c r="CZ57" i="1"/>
  <c r="Y57" i="1" s="1"/>
  <c r="AO112" i="1"/>
  <c r="GC26" i="1"/>
  <c r="ET76" i="1"/>
  <c r="R72" i="1"/>
  <c r="GK72" i="1" s="1"/>
  <c r="AB72" i="1"/>
  <c r="CY71" i="1"/>
  <c r="X71" i="1" s="1"/>
  <c r="CZ71" i="1"/>
  <c r="Y71" i="1" s="1"/>
  <c r="AB65" i="1"/>
  <c r="CP56" i="1"/>
  <c r="O56" i="1" s="1"/>
  <c r="AB54" i="1"/>
  <c r="GM46" i="1"/>
  <c r="GO46" i="1"/>
  <c r="CY45" i="1"/>
  <c r="X45" i="1" s="1"/>
  <c r="CZ45" i="1"/>
  <c r="Y45" i="1" s="1"/>
  <c r="BC76" i="1"/>
  <c r="CX42" i="3"/>
  <c r="CX41" i="3"/>
  <c r="P55" i="1"/>
  <c r="Q55" i="1"/>
  <c r="AB51" i="1"/>
  <c r="CQ51" i="1"/>
  <c r="P51" i="1" s="1"/>
  <c r="CP51" i="1" s="1"/>
  <c r="O51" i="1" s="1"/>
  <c r="GO44" i="1"/>
  <c r="GM44" i="1"/>
  <c r="BB76" i="1"/>
  <c r="CX44" i="3"/>
  <c r="CX43" i="3"/>
  <c r="AB57" i="1"/>
  <c r="CQ57" i="1"/>
  <c r="P57" i="1" s="1"/>
  <c r="CP57" i="1" s="1"/>
  <c r="O57" i="1" s="1"/>
  <c r="AD56" i="1"/>
  <c r="AB56" i="1" s="1"/>
  <c r="CS56" i="1"/>
  <c r="R56" i="1" s="1"/>
  <c r="GK56" i="1" s="1"/>
  <c r="GX55" i="1"/>
  <c r="U55" i="1"/>
  <c r="CP49" i="1"/>
  <c r="O49" i="1" s="1"/>
  <c r="CQ68" i="1"/>
  <c r="P68" i="1" s="1"/>
  <c r="CP68" i="1" s="1"/>
  <c r="O68" i="1" s="1"/>
  <c r="CQ63" i="1"/>
  <c r="P63" i="1" s="1"/>
  <c r="CP63" i="1" s="1"/>
  <c r="O63" i="1" s="1"/>
  <c r="CP61" i="1"/>
  <c r="O61" i="1" s="1"/>
  <c r="CP58" i="1"/>
  <c r="O58" i="1" s="1"/>
  <c r="T55" i="1"/>
  <c r="S55" i="1"/>
  <c r="AB53" i="1"/>
  <c r="CQ53" i="1"/>
  <c r="P53" i="1" s="1"/>
  <c r="CP53" i="1" s="1"/>
  <c r="O53" i="1" s="1"/>
  <c r="CZ51" i="1"/>
  <c r="Y51" i="1" s="1"/>
  <c r="CY51" i="1"/>
  <c r="X51" i="1" s="1"/>
  <c r="GO45" i="1"/>
  <c r="CX40" i="3"/>
  <c r="CX39" i="3"/>
  <c r="CY48" i="1"/>
  <c r="X48" i="1" s="1"/>
  <c r="CZ48" i="1"/>
  <c r="Y48" i="1" s="1"/>
  <c r="CZ47" i="1"/>
  <c r="Y47" i="1" s="1"/>
  <c r="CY47" i="1"/>
  <c r="X47" i="1" s="1"/>
  <c r="CY40" i="1"/>
  <c r="X40" i="1" s="1"/>
  <c r="CZ40" i="1"/>
  <c r="Y40" i="1" s="1"/>
  <c r="CY38" i="1"/>
  <c r="X38" i="1" s="1"/>
  <c r="CZ38" i="1"/>
  <c r="Y38" i="1" s="1"/>
  <c r="EU76" i="1"/>
  <c r="AB61" i="1"/>
  <c r="CP54" i="1"/>
  <c r="O54" i="1" s="1"/>
  <c r="CZ42" i="1"/>
  <c r="Y42" i="1" s="1"/>
  <c r="CY42" i="1"/>
  <c r="X42" i="1" s="1"/>
  <c r="I70" i="1"/>
  <c r="CY62" i="1"/>
  <c r="X62" i="1" s="1"/>
  <c r="AB62" i="1"/>
  <c r="T58" i="1"/>
  <c r="U58" i="1"/>
  <c r="CZ56" i="1"/>
  <c r="Y56" i="1" s="1"/>
  <c r="CQ47" i="1"/>
  <c r="P47" i="1" s="1"/>
  <c r="CQ43" i="1"/>
  <c r="P43" i="1" s="1"/>
  <c r="U42" i="1"/>
  <c r="CP35" i="1"/>
  <c r="O35" i="1" s="1"/>
  <c r="CY34" i="1"/>
  <c r="X34" i="1" s="1"/>
  <c r="CZ34" i="1"/>
  <c r="Y34" i="1" s="1"/>
  <c r="CP32" i="1"/>
  <c r="O32" i="1" s="1"/>
  <c r="CX26" i="3"/>
  <c r="CX25" i="3"/>
  <c r="CX29" i="3"/>
  <c r="CX28" i="3"/>
  <c r="CX27" i="3"/>
  <c r="CR41" i="1"/>
  <c r="Q41" i="1" s="1"/>
  <c r="CP41" i="1" s="1"/>
  <c r="O41" i="1" s="1"/>
  <c r="AD41" i="1"/>
  <c r="FR30" i="1"/>
  <c r="CP30" i="1"/>
  <c r="O30" i="1" s="1"/>
  <c r="Q43" i="1"/>
  <c r="Q42" i="1"/>
  <c r="AB41" i="1"/>
  <c r="CP37" i="1"/>
  <c r="O37" i="1" s="1"/>
  <c r="CY33" i="1"/>
  <c r="X33" i="1" s="1"/>
  <c r="CZ33" i="1"/>
  <c r="Y33" i="1" s="1"/>
  <c r="CY29" i="1"/>
  <c r="X29" i="1" s="1"/>
  <c r="CZ29" i="1"/>
  <c r="Y29" i="1" s="1"/>
  <c r="CX38" i="3"/>
  <c r="CX37" i="3"/>
  <c r="CQ42" i="1"/>
  <c r="P42" i="1" s="1"/>
  <c r="CP42" i="1" s="1"/>
  <c r="O42" i="1" s="1"/>
  <c r="AD39" i="1"/>
  <c r="AB39" i="1" s="1"/>
  <c r="CS39" i="1"/>
  <c r="R39" i="1" s="1"/>
  <c r="GK39" i="1" s="1"/>
  <c r="CP34" i="1"/>
  <c r="O34" i="1" s="1"/>
  <c r="CP40" i="1"/>
  <c r="O40" i="1" s="1"/>
  <c r="CP39" i="1"/>
  <c r="O39" i="1" s="1"/>
  <c r="FR39" i="1"/>
  <c r="CY36" i="1"/>
  <c r="X36" i="1" s="1"/>
  <c r="CZ36" i="1"/>
  <c r="Y36" i="1" s="1"/>
  <c r="CP31" i="1"/>
  <c r="O31" i="1" s="1"/>
  <c r="FR31" i="1"/>
  <c r="FQ76" i="1" s="1"/>
  <c r="GX42" i="1"/>
  <c r="CQ38" i="1"/>
  <c r="P38" i="1" s="1"/>
  <c r="AB38" i="1"/>
  <c r="CP36" i="1"/>
  <c r="O36" i="1" s="1"/>
  <c r="CY35" i="1"/>
  <c r="X35" i="1" s="1"/>
  <c r="CZ35" i="1"/>
  <c r="Y35" i="1" s="1"/>
  <c r="CP33" i="1"/>
  <c r="O33" i="1" s="1"/>
  <c r="CX36" i="3"/>
  <c r="CX35" i="3"/>
  <c r="CX34" i="3"/>
  <c r="CX33" i="3"/>
  <c r="CX32" i="3"/>
  <c r="CX31" i="3"/>
  <c r="CX30" i="3"/>
  <c r="CZ37" i="1"/>
  <c r="Y37" i="1" s="1"/>
  <c r="CY32" i="1"/>
  <c r="X32" i="1" s="1"/>
  <c r="CZ32" i="1"/>
  <c r="Y32" i="1" s="1"/>
  <c r="CY30" i="1"/>
  <c r="X30" i="1" s="1"/>
  <c r="CZ30" i="1"/>
  <c r="Y30" i="1" s="1"/>
  <c r="CY28" i="1"/>
  <c r="X28" i="1" s="1"/>
  <c r="GM28" i="1" s="1"/>
  <c r="CZ28" i="1"/>
  <c r="Y28" i="1" s="1"/>
  <c r="AD37" i="1"/>
  <c r="AB37" i="1" s="1"/>
  <c r="AB34" i="1"/>
  <c r="AD33" i="1"/>
  <c r="AB33" i="1" s="1"/>
  <c r="AB30" i="1"/>
  <c r="AD29" i="1"/>
  <c r="AB29" i="1" s="1"/>
  <c r="CS35" i="1"/>
  <c r="R35" i="1" s="1"/>
  <c r="GK35" i="1" s="1"/>
  <c r="CS31" i="1"/>
  <c r="R31" i="1" s="1"/>
  <c r="CY69" i="1" l="1"/>
  <c r="X69" i="1" s="1"/>
  <c r="CZ69" i="1"/>
  <c r="Y69" i="1" s="1"/>
  <c r="GM39" i="1"/>
  <c r="GO29" i="1"/>
  <c r="GM62" i="1"/>
  <c r="GM45" i="1"/>
  <c r="T74" i="1"/>
  <c r="CP66" i="1"/>
  <c r="O66" i="1" s="1"/>
  <c r="R17" i="10"/>
  <c r="T23" i="10"/>
  <c r="M28" i="10"/>
  <c r="M26" i="10"/>
  <c r="AH76" i="1"/>
  <c r="W70" i="1"/>
  <c r="I28" i="10"/>
  <c r="CP69" i="1"/>
  <c r="O69" i="1" s="1"/>
  <c r="T15" i="10"/>
  <c r="O28" i="10"/>
  <c r="R28" i="10"/>
  <c r="W107" i="1"/>
  <c r="F136" i="1"/>
  <c r="DL107" i="1"/>
  <c r="P133" i="1"/>
  <c r="CJ76" i="1"/>
  <c r="GM48" i="1"/>
  <c r="R15" i="10"/>
  <c r="T28" i="10"/>
  <c r="T30" i="10"/>
  <c r="EH107" i="1"/>
  <c r="P121" i="1"/>
  <c r="CP47" i="1"/>
  <c r="O47" i="1" s="1"/>
  <c r="W74" i="1"/>
  <c r="I30" i="10"/>
  <c r="R30" i="10" s="1"/>
  <c r="GO48" i="1"/>
  <c r="T69" i="1"/>
  <c r="AG76" i="1" s="1"/>
  <c r="D41" i="7"/>
  <c r="D41" i="6"/>
  <c r="U69" i="1"/>
  <c r="O30" i="10"/>
  <c r="O26" i="10"/>
  <c r="GX69" i="1"/>
  <c r="AE26" i="1"/>
  <c r="R76" i="1"/>
  <c r="GO41" i="1"/>
  <c r="GM41" i="1"/>
  <c r="EB76" i="1"/>
  <c r="GM32" i="1"/>
  <c r="GO32" i="1"/>
  <c r="GK31" i="1"/>
  <c r="GM31" i="1" s="1"/>
  <c r="GM36" i="1"/>
  <c r="GO36" i="1"/>
  <c r="CP38" i="1"/>
  <c r="O38" i="1" s="1"/>
  <c r="GM38" i="1" s="1"/>
  <c r="FR38" i="1"/>
  <c r="BY76" i="1" s="1"/>
  <c r="AC76" i="1"/>
  <c r="CY55" i="1"/>
  <c r="X55" i="1" s="1"/>
  <c r="CZ55" i="1"/>
  <c r="Y55" i="1" s="1"/>
  <c r="AL76" i="1" s="1"/>
  <c r="BB26" i="1"/>
  <c r="BB141" i="1"/>
  <c r="F89" i="1"/>
  <c r="ET26" i="1"/>
  <c r="P89" i="1"/>
  <c r="ET141" i="1"/>
  <c r="R70" i="1"/>
  <c r="GK70" i="1" s="1"/>
  <c r="GO65" i="1"/>
  <c r="GM65" i="1"/>
  <c r="Q107" i="1"/>
  <c r="F124" i="1"/>
  <c r="ED107" i="1"/>
  <c r="DQ112" i="1"/>
  <c r="AC107" i="1"/>
  <c r="P112" i="1"/>
  <c r="CE112" i="1"/>
  <c r="CF112" i="1"/>
  <c r="CH112" i="1"/>
  <c r="AS107" i="1"/>
  <c r="F129" i="1"/>
  <c r="U70" i="1"/>
  <c r="GM30" i="1"/>
  <c r="BC26" i="1"/>
  <c r="F92" i="1"/>
  <c r="BC141" i="1"/>
  <c r="GO71" i="1"/>
  <c r="GM71" i="1"/>
  <c r="AQ26" i="1"/>
  <c r="F86" i="1"/>
  <c r="AQ141" i="1"/>
  <c r="T107" i="1"/>
  <c r="F133" i="1"/>
  <c r="AS26" i="1"/>
  <c r="F93" i="1"/>
  <c r="AS141" i="1"/>
  <c r="DP112" i="1"/>
  <c r="EC107" i="1"/>
  <c r="AT107" i="1"/>
  <c r="F130" i="1"/>
  <c r="GO35" i="1"/>
  <c r="GM35" i="1"/>
  <c r="AH26" i="1"/>
  <c r="U76" i="1"/>
  <c r="S70" i="1"/>
  <c r="T70" i="1"/>
  <c r="DY76" i="1" s="1"/>
  <c r="V70" i="1"/>
  <c r="F116" i="1"/>
  <c r="AO107" i="1"/>
  <c r="GM69" i="1"/>
  <c r="GO69" i="1"/>
  <c r="GO59" i="1"/>
  <c r="GM59" i="1"/>
  <c r="GX74" i="1"/>
  <c r="R74" i="1"/>
  <c r="GK74" i="1" s="1"/>
  <c r="S74" i="1"/>
  <c r="GM60" i="1"/>
  <c r="GO60" i="1"/>
  <c r="GM72" i="1"/>
  <c r="GO72" i="1"/>
  <c r="AI26" i="1"/>
  <c r="V76" i="1"/>
  <c r="AX112" i="1"/>
  <c r="CG107" i="1"/>
  <c r="R107" i="1"/>
  <c r="F126" i="1"/>
  <c r="DH107" i="1"/>
  <c r="P115" i="1"/>
  <c r="DO107" i="1"/>
  <c r="P136" i="1"/>
  <c r="GM40" i="1"/>
  <c r="GO40" i="1"/>
  <c r="GM33" i="1"/>
  <c r="GO33" i="1"/>
  <c r="GM29" i="1"/>
  <c r="GM34" i="1"/>
  <c r="GO34" i="1"/>
  <c r="GO28" i="1"/>
  <c r="CP43" i="1"/>
  <c r="O43" i="1" s="1"/>
  <c r="GM58" i="1"/>
  <c r="GO58" i="1"/>
  <c r="GM51" i="1"/>
  <c r="GO51" i="1"/>
  <c r="V74" i="1"/>
  <c r="Q70" i="1"/>
  <c r="AJ26" i="1"/>
  <c r="W76" i="1"/>
  <c r="AL107" i="1"/>
  <c r="Y112" i="1"/>
  <c r="F132" i="1"/>
  <c r="BA107" i="1"/>
  <c r="GO64" i="1"/>
  <c r="U107" i="1"/>
  <c r="F134" i="1"/>
  <c r="GA107" i="1"/>
  <c r="ER112" i="1"/>
  <c r="FX107" i="1"/>
  <c r="EO112" i="1"/>
  <c r="EK22" i="1"/>
  <c r="EK173" i="1"/>
  <c r="P158" i="1"/>
  <c r="E16" i="2" s="1"/>
  <c r="FQ26" i="1"/>
  <c r="EH76" i="1"/>
  <c r="GA76" i="1"/>
  <c r="GM47" i="1"/>
  <c r="GO47" i="1"/>
  <c r="GO61" i="1"/>
  <c r="GM61" i="1"/>
  <c r="GO57" i="1"/>
  <c r="GM57" i="1"/>
  <c r="EA76" i="1"/>
  <c r="P74" i="1"/>
  <c r="AK107" i="1"/>
  <c r="X112" i="1"/>
  <c r="GP110" i="1"/>
  <c r="FV112" i="1" s="1"/>
  <c r="GM110" i="1"/>
  <c r="FS112" i="1" s="1"/>
  <c r="DT112" i="1"/>
  <c r="P122" i="1"/>
  <c r="EI107" i="1"/>
  <c r="P120" i="1"/>
  <c r="EQ107" i="1"/>
  <c r="CJ26" i="1"/>
  <c r="BA76" i="1"/>
  <c r="GO63" i="1"/>
  <c r="GM63" i="1"/>
  <c r="FY26" i="1"/>
  <c r="EP76" i="1"/>
  <c r="EI26" i="1"/>
  <c r="P86" i="1"/>
  <c r="EI141" i="1"/>
  <c r="GM66" i="1"/>
  <c r="GO66" i="1"/>
  <c r="AF107" i="1"/>
  <c r="S112" i="1"/>
  <c r="AQ107" i="1"/>
  <c r="F122" i="1"/>
  <c r="AO26" i="1"/>
  <c r="F80" i="1"/>
  <c r="AO141" i="1"/>
  <c r="DI107" i="1"/>
  <c r="P124" i="1"/>
  <c r="FY107" i="1"/>
  <c r="EP112" i="1"/>
  <c r="GM67" i="1"/>
  <c r="GO67" i="1"/>
  <c r="GM37" i="1"/>
  <c r="GO37" i="1"/>
  <c r="GM54" i="1"/>
  <c r="GO54" i="1"/>
  <c r="GO62" i="1"/>
  <c r="GM42" i="1"/>
  <c r="GO42" i="1"/>
  <c r="GO53" i="1"/>
  <c r="GM53" i="1"/>
  <c r="GM68" i="1"/>
  <c r="GO68" i="1"/>
  <c r="CP55" i="1"/>
  <c r="O55" i="1" s="1"/>
  <c r="CD26" i="1"/>
  <c r="AU76" i="1"/>
  <c r="EG26" i="1"/>
  <c r="P80" i="1"/>
  <c r="EG141" i="1"/>
  <c r="AF76" i="1"/>
  <c r="CI107" i="1"/>
  <c r="AZ112" i="1"/>
  <c r="EN112" i="1"/>
  <c r="FW107" i="1"/>
  <c r="CG26" i="1"/>
  <c r="AX76" i="1"/>
  <c r="DW107" i="1"/>
  <c r="DJ112" i="1"/>
  <c r="DK107" i="1"/>
  <c r="P127" i="1"/>
  <c r="DV76" i="1"/>
  <c r="AK76" i="1"/>
  <c r="AD76" i="1"/>
  <c r="EU26" i="1"/>
  <c r="P92" i="1"/>
  <c r="EU141" i="1"/>
  <c r="GM49" i="1"/>
  <c r="GO49" i="1"/>
  <c r="GO56" i="1"/>
  <c r="GM56" i="1"/>
  <c r="U74" i="1"/>
  <c r="FV26" i="1"/>
  <c r="EM76" i="1"/>
  <c r="P70" i="1"/>
  <c r="CP70" i="1" s="1"/>
  <c r="O70" i="1" s="1"/>
  <c r="GX70" i="1"/>
  <c r="GB76" i="1" s="1"/>
  <c r="BC107" i="1"/>
  <c r="F128" i="1"/>
  <c r="DN107" i="1"/>
  <c r="P135" i="1"/>
  <c r="ES107" i="1"/>
  <c r="P132" i="1"/>
  <c r="AB112" i="1"/>
  <c r="GM109" i="1"/>
  <c r="CA112" i="1" s="1"/>
  <c r="GP109" i="1"/>
  <c r="CD112" i="1" s="1"/>
  <c r="P134" i="1"/>
  <c r="DM107" i="1"/>
  <c r="AG26" i="1" l="1"/>
  <c r="T76" i="1"/>
  <c r="M30" i="10"/>
  <c r="CP74" i="1"/>
  <c r="O74" i="1" s="1"/>
  <c r="DT76" i="1"/>
  <c r="DT26" i="1" s="1"/>
  <c r="DZ76" i="1"/>
  <c r="DM76" i="1" s="1"/>
  <c r="AL26" i="1"/>
  <c r="Y76" i="1"/>
  <c r="DY26" i="1"/>
  <c r="DL76" i="1"/>
  <c r="DZ26" i="1"/>
  <c r="EP107" i="1"/>
  <c r="P119" i="1"/>
  <c r="EU22" i="1"/>
  <c r="P157" i="1"/>
  <c r="EU173" i="1"/>
  <c r="P126" i="1"/>
  <c r="DJ107" i="1"/>
  <c r="AF26" i="1"/>
  <c r="S76" i="1"/>
  <c r="AO22" i="1"/>
  <c r="F145" i="1"/>
  <c r="AO173" i="1"/>
  <c r="BA26" i="1"/>
  <c r="F96" i="1"/>
  <c r="BA141" i="1"/>
  <c r="FV107" i="1"/>
  <c r="EM112" i="1"/>
  <c r="V26" i="1"/>
  <c r="F99" i="1"/>
  <c r="V141" i="1"/>
  <c r="AQ22" i="1"/>
  <c r="AQ173" i="1"/>
  <c r="F151" i="1"/>
  <c r="T26" i="1"/>
  <c r="F97" i="1"/>
  <c r="T141" i="1"/>
  <c r="CF107" i="1"/>
  <c r="AW112" i="1"/>
  <c r="DW76" i="1"/>
  <c r="CA107" i="1"/>
  <c r="AR112" i="1"/>
  <c r="EI22" i="1"/>
  <c r="P151" i="1"/>
  <c r="EI173" i="1"/>
  <c r="X107" i="1"/>
  <c r="F137" i="1"/>
  <c r="P118" i="1"/>
  <c r="EO107" i="1"/>
  <c r="CZ70" i="1"/>
  <c r="Y70" i="1" s="1"/>
  <c r="CY70" i="1"/>
  <c r="X70" i="1" s="1"/>
  <c r="GM70" i="1" s="1"/>
  <c r="DX76" i="1"/>
  <c r="CE107" i="1"/>
  <c r="AV112" i="1"/>
  <c r="AB107" i="1"/>
  <c r="O112" i="1"/>
  <c r="EM26" i="1"/>
  <c r="P95" i="1"/>
  <c r="EM141" i="1"/>
  <c r="EG22" i="1"/>
  <c r="EG173" i="1"/>
  <c r="P145" i="1"/>
  <c r="AX26" i="1"/>
  <c r="F83" i="1"/>
  <c r="AX141" i="1"/>
  <c r="Y107" i="1"/>
  <c r="F138" i="1"/>
  <c r="U26" i="1"/>
  <c r="F98" i="1"/>
  <c r="U141" i="1"/>
  <c r="DP107" i="1"/>
  <c r="P137" i="1"/>
  <c r="AB76" i="1"/>
  <c r="P107" i="1"/>
  <c r="F115" i="1"/>
  <c r="AD26" i="1"/>
  <c r="Q76" i="1"/>
  <c r="GA26" i="1"/>
  <c r="ER76" i="1"/>
  <c r="ER107" i="1"/>
  <c r="P123" i="1"/>
  <c r="AS22" i="1"/>
  <c r="AS173" i="1"/>
  <c r="F158" i="1"/>
  <c r="T16" i="2" s="1"/>
  <c r="ET22" i="1"/>
  <c r="P154" i="1"/>
  <c r="ET173" i="1"/>
  <c r="AC26" i="1"/>
  <c r="CH76" i="1"/>
  <c r="P76" i="1"/>
  <c r="CE76" i="1"/>
  <c r="CF76" i="1"/>
  <c r="EA26" i="1"/>
  <c r="DN76" i="1"/>
  <c r="EH26" i="1"/>
  <c r="P85" i="1"/>
  <c r="EH141" i="1"/>
  <c r="W26" i="1"/>
  <c r="F100" i="1"/>
  <c r="W141" i="1"/>
  <c r="DU76" i="1"/>
  <c r="BY26" i="1"/>
  <c r="AP76" i="1"/>
  <c r="CI76" i="1"/>
  <c r="P138" i="1"/>
  <c r="DQ107" i="1"/>
  <c r="DV26" i="1"/>
  <c r="DI76" i="1"/>
  <c r="AK26" i="1"/>
  <c r="X76" i="1"/>
  <c r="AU26" i="1"/>
  <c r="F95" i="1"/>
  <c r="EP26" i="1"/>
  <c r="P83" i="1"/>
  <c r="EP141" i="1"/>
  <c r="EN107" i="1"/>
  <c r="P117" i="1"/>
  <c r="S107" i="1"/>
  <c r="F127" i="1"/>
  <c r="GM43" i="1"/>
  <c r="GO43" i="1"/>
  <c r="BC22" i="1"/>
  <c r="F157" i="1"/>
  <c r="BC173" i="1"/>
  <c r="CD107" i="1"/>
  <c r="AU112" i="1"/>
  <c r="AU141" i="1" s="1"/>
  <c r="AZ107" i="1"/>
  <c r="F123" i="1"/>
  <c r="GM55" i="1"/>
  <c r="CA76" i="1" s="1"/>
  <c r="GO55" i="1"/>
  <c r="DT107" i="1"/>
  <c r="DG112" i="1"/>
  <c r="E18" i="2"/>
  <c r="CC76" i="1"/>
  <c r="CY74" i="1"/>
  <c r="X74" i="1" s="1"/>
  <c r="GO74" i="1" s="1"/>
  <c r="CZ74" i="1"/>
  <c r="Y74" i="1" s="1"/>
  <c r="R26" i="1"/>
  <c r="F90" i="1"/>
  <c r="R141" i="1"/>
  <c r="GB26" i="1"/>
  <c r="ES76" i="1"/>
  <c r="EJ112" i="1"/>
  <c r="FS107" i="1"/>
  <c r="EK18" i="1"/>
  <c r="P190" i="1"/>
  <c r="F119" i="1"/>
  <c r="AX107" i="1"/>
  <c r="CH107" i="1"/>
  <c r="AY112" i="1"/>
  <c r="BB22" i="1"/>
  <c r="BB173" i="1"/>
  <c r="F154" i="1"/>
  <c r="EB26" i="1"/>
  <c r="DO76" i="1"/>
  <c r="DG76" i="1" l="1"/>
  <c r="P78" i="1" s="1"/>
  <c r="ED76" i="1"/>
  <c r="AU22" i="1"/>
  <c r="AU173" i="1"/>
  <c r="F160" i="1"/>
  <c r="EP22" i="1"/>
  <c r="P148" i="1"/>
  <c r="EP173" i="1"/>
  <c r="DI26" i="1"/>
  <c r="P88" i="1"/>
  <c r="DI141" i="1"/>
  <c r="W22" i="1"/>
  <c r="F165" i="1"/>
  <c r="W173" i="1"/>
  <c r="CF26" i="1"/>
  <c r="AW76" i="1"/>
  <c r="T18" i="2"/>
  <c r="GM74" i="1"/>
  <c r="FS76" i="1" s="1"/>
  <c r="U22" i="1"/>
  <c r="F163" i="1"/>
  <c r="U173" i="1"/>
  <c r="AW107" i="1"/>
  <c r="F118" i="1"/>
  <c r="V22" i="1"/>
  <c r="V173" i="1"/>
  <c r="F164" i="1"/>
  <c r="AO18" i="1"/>
  <c r="F177" i="1"/>
  <c r="AS18" i="1"/>
  <c r="F190" i="1"/>
  <c r="CA26" i="1"/>
  <c r="AR76" i="1"/>
  <c r="CE26" i="1"/>
  <c r="AV76" i="1"/>
  <c r="Q26" i="1"/>
  <c r="F88" i="1"/>
  <c r="Q141" i="1"/>
  <c r="AV107" i="1"/>
  <c r="F117" i="1"/>
  <c r="P26" i="1"/>
  <c r="F79" i="1"/>
  <c r="P141" i="1"/>
  <c r="EG18" i="1"/>
  <c r="P177" i="1"/>
  <c r="EI18" i="1"/>
  <c r="P183" i="1"/>
  <c r="T22" i="1"/>
  <c r="T173" i="1"/>
  <c r="F162" i="1"/>
  <c r="GO70" i="1"/>
  <c r="FU76" i="1" s="1"/>
  <c r="DM26" i="1"/>
  <c r="DM141" i="1"/>
  <c r="P98" i="1"/>
  <c r="DO26" i="1"/>
  <c r="P100" i="1"/>
  <c r="DO141" i="1"/>
  <c r="BB18" i="1"/>
  <c r="F186" i="1"/>
  <c r="EH22" i="1"/>
  <c r="P150" i="1"/>
  <c r="G16" i="2" s="1"/>
  <c r="G18" i="2" s="1"/>
  <c r="EH173" i="1"/>
  <c r="CH26" i="1"/>
  <c r="AY76" i="1"/>
  <c r="DX26" i="1"/>
  <c r="DK76" i="1"/>
  <c r="EM107" i="1"/>
  <c r="P131" i="1"/>
  <c r="S26" i="1"/>
  <c r="F91" i="1"/>
  <c r="S141" i="1"/>
  <c r="CC26" i="1"/>
  <c r="AT76" i="1"/>
  <c r="CI26" i="1"/>
  <c r="AZ76" i="1"/>
  <c r="EM22" i="1"/>
  <c r="P160" i="1"/>
  <c r="EM173" i="1"/>
  <c r="EC76" i="1"/>
  <c r="DL26" i="1"/>
  <c r="P97" i="1"/>
  <c r="DL141" i="1"/>
  <c r="F120" i="1"/>
  <c r="AY107" i="1"/>
  <c r="AU107" i="1"/>
  <c r="F131" i="1"/>
  <c r="AP26" i="1"/>
  <c r="AP141" i="1"/>
  <c r="F85" i="1"/>
  <c r="ET18" i="1"/>
  <c r="P186" i="1"/>
  <c r="ER26" i="1"/>
  <c r="P87" i="1"/>
  <c r="ER141" i="1"/>
  <c r="ED26" i="1"/>
  <c r="DQ76" i="1"/>
  <c r="AR107" i="1"/>
  <c r="F139" i="1"/>
  <c r="BA22" i="1"/>
  <c r="F161" i="1"/>
  <c r="BA173" i="1"/>
  <c r="EJ107" i="1"/>
  <c r="P139" i="1"/>
  <c r="ES26" i="1"/>
  <c r="ES141" i="1"/>
  <c r="P96" i="1"/>
  <c r="AB26" i="1"/>
  <c r="O76" i="1"/>
  <c r="AX22" i="1"/>
  <c r="AX173" i="1"/>
  <c r="F148" i="1"/>
  <c r="X26" i="1"/>
  <c r="X141" i="1"/>
  <c r="F101" i="1"/>
  <c r="DN26" i="1"/>
  <c r="P99" i="1"/>
  <c r="DN141" i="1"/>
  <c r="AQ18" i="1"/>
  <c r="F183" i="1"/>
  <c r="DG26" i="1"/>
  <c r="DG141" i="1"/>
  <c r="Y26" i="1"/>
  <c r="F102" i="1"/>
  <c r="Y141" i="1"/>
  <c r="R22" i="1"/>
  <c r="F155" i="1"/>
  <c r="R173" i="1"/>
  <c r="P114" i="1"/>
  <c r="DG107" i="1"/>
  <c r="BC18" i="1"/>
  <c r="F189" i="1"/>
  <c r="DU26" i="1"/>
  <c r="FW76" i="1"/>
  <c r="FZ76" i="1"/>
  <c r="DH76" i="1"/>
  <c r="FX76" i="1"/>
  <c r="O107" i="1"/>
  <c r="F114" i="1"/>
  <c r="DW26" i="1"/>
  <c r="DJ76" i="1"/>
  <c r="EU18" i="1"/>
  <c r="P189" i="1"/>
  <c r="FU26" i="1" l="1"/>
  <c r="EL76" i="1"/>
  <c r="FS26" i="1"/>
  <c r="EJ76" i="1"/>
  <c r="DN22" i="1"/>
  <c r="DN173" i="1"/>
  <c r="P164" i="1"/>
  <c r="FX26" i="1"/>
  <c r="EO76" i="1"/>
  <c r="ES22" i="1"/>
  <c r="ES173" i="1"/>
  <c r="P161" i="1"/>
  <c r="DH26" i="1"/>
  <c r="P79" i="1"/>
  <c r="DH141" i="1"/>
  <c r="R18" i="1"/>
  <c r="F187" i="1"/>
  <c r="DQ26" i="1"/>
  <c r="P102" i="1"/>
  <c r="DQ141" i="1"/>
  <c r="AP22" i="1"/>
  <c r="AP173" i="1"/>
  <c r="F150" i="1"/>
  <c r="V16" i="2" s="1"/>
  <c r="V18" i="2" s="1"/>
  <c r="AY26" i="1"/>
  <c r="F84" i="1"/>
  <c r="AY141" i="1"/>
  <c r="AW26" i="1"/>
  <c r="F82" i="1"/>
  <c r="AW141" i="1"/>
  <c r="EP18" i="1"/>
  <c r="P180" i="1"/>
  <c r="EC26" i="1"/>
  <c r="DP76" i="1"/>
  <c r="S22" i="1"/>
  <c r="F156" i="1"/>
  <c r="Y16" i="2" s="1"/>
  <c r="Y18" i="2" s="1"/>
  <c r="S173" i="1"/>
  <c r="FZ26" i="1"/>
  <c r="EQ76" i="1"/>
  <c r="FW26" i="1"/>
  <c r="EN76" i="1"/>
  <c r="AX18" i="1"/>
  <c r="F180" i="1"/>
  <c r="ER22" i="1"/>
  <c r="ER173" i="1"/>
  <c r="P152" i="1"/>
  <c r="EM18" i="1"/>
  <c r="P192" i="1"/>
  <c r="EH18" i="1"/>
  <c r="P182" i="1"/>
  <c r="Q22" i="1"/>
  <c r="F153" i="1"/>
  <c r="Q173" i="1"/>
  <c r="U18" i="1"/>
  <c r="F195" i="1"/>
  <c r="W18" i="1"/>
  <c r="F197" i="1"/>
  <c r="O26" i="1"/>
  <c r="F78" i="1"/>
  <c r="O141" i="1"/>
  <c r="W16" i="2"/>
  <c r="W18" i="2" s="1"/>
  <c r="DM22" i="1"/>
  <c r="P163" i="1"/>
  <c r="DM173" i="1"/>
  <c r="P22" i="1"/>
  <c r="P173" i="1"/>
  <c r="F144" i="1"/>
  <c r="AV26" i="1"/>
  <c r="F81" i="1"/>
  <c r="AV141" i="1"/>
  <c r="DI22" i="1"/>
  <c r="DI173" i="1"/>
  <c r="P153" i="1"/>
  <c r="AU18" i="1"/>
  <c r="F192" i="1"/>
  <c r="DJ26" i="1"/>
  <c r="P90" i="1"/>
  <c r="DJ141" i="1"/>
  <c r="H16" i="2"/>
  <c r="H18" i="2" s="1"/>
  <c r="AZ26" i="1"/>
  <c r="F87" i="1"/>
  <c r="AZ141" i="1"/>
  <c r="DG22" i="1"/>
  <c r="DG173" i="1"/>
  <c r="P143" i="1"/>
  <c r="DL22" i="1"/>
  <c r="P162" i="1"/>
  <c r="DL173" i="1"/>
  <c r="DK26" i="1"/>
  <c r="P91" i="1"/>
  <c r="DK141" i="1"/>
  <c r="V18" i="1"/>
  <c r="F196" i="1"/>
  <c r="Y22" i="1"/>
  <c r="F167" i="1"/>
  <c r="Y173" i="1"/>
  <c r="BA18" i="1"/>
  <c r="F193" i="1"/>
  <c r="X22" i="1"/>
  <c r="X173" i="1"/>
  <c r="F166" i="1"/>
  <c r="AT26" i="1"/>
  <c r="F94" i="1"/>
  <c r="AT141" i="1"/>
  <c r="DO22" i="1"/>
  <c r="P165" i="1"/>
  <c r="DO173" i="1"/>
  <c r="T18" i="1"/>
  <c r="F194" i="1"/>
  <c r="AR26" i="1"/>
  <c r="F103" i="1"/>
  <c r="AR141" i="1"/>
  <c r="EN26" i="1" l="1"/>
  <c r="P81" i="1"/>
  <c r="EN141" i="1"/>
  <c r="Y18" i="1"/>
  <c r="F199" i="1"/>
  <c r="DH22" i="1"/>
  <c r="P144" i="1"/>
  <c r="DH173" i="1"/>
  <c r="AT22" i="1"/>
  <c r="F159" i="1"/>
  <c r="U16" i="2" s="1"/>
  <c r="AT173" i="1"/>
  <c r="EQ26" i="1"/>
  <c r="P84" i="1"/>
  <c r="EQ141" i="1"/>
  <c r="AP18" i="1"/>
  <c r="F182" i="1"/>
  <c r="DN18" i="1"/>
  <c r="P196" i="1"/>
  <c r="DL18" i="1"/>
  <c r="P194" i="1"/>
  <c r="DM18" i="1"/>
  <c r="P195" i="1"/>
  <c r="DJ22" i="1"/>
  <c r="DJ173" i="1"/>
  <c r="P155" i="1"/>
  <c r="AV22" i="1"/>
  <c r="F146" i="1"/>
  <c r="AV173" i="1"/>
  <c r="AW22" i="1"/>
  <c r="F147" i="1"/>
  <c r="AW173" i="1"/>
  <c r="DI18" i="1"/>
  <c r="P185" i="1"/>
  <c r="Q18" i="1"/>
  <c r="F185" i="1"/>
  <c r="ER18" i="1"/>
  <c r="P184" i="1"/>
  <c r="P202" i="1" s="1"/>
  <c r="S18" i="1"/>
  <c r="F188" i="1"/>
  <c r="DQ22" i="1"/>
  <c r="DQ173" i="1"/>
  <c r="P167" i="1"/>
  <c r="EJ26" i="1"/>
  <c r="P103" i="1"/>
  <c r="EJ141" i="1"/>
  <c r="O22" i="1"/>
  <c r="F143" i="1"/>
  <c r="O173" i="1"/>
  <c r="ES18" i="1"/>
  <c r="P193" i="1"/>
  <c r="AR22" i="1"/>
  <c r="AR173" i="1"/>
  <c r="F168" i="1"/>
  <c r="F169" i="1" s="1"/>
  <c r="X18" i="1"/>
  <c r="F198" i="1"/>
  <c r="DG18" i="1"/>
  <c r="P175" i="1"/>
  <c r="DK22" i="1"/>
  <c r="P156" i="1"/>
  <c r="J16" i="2" s="1"/>
  <c r="J18" i="2" s="1"/>
  <c r="DK173" i="1"/>
  <c r="AY22" i="1"/>
  <c r="F149" i="1"/>
  <c r="AY173" i="1"/>
  <c r="EL26" i="1"/>
  <c r="P94" i="1"/>
  <c r="EL141" i="1"/>
  <c r="DO18" i="1"/>
  <c r="P197" i="1"/>
  <c r="AZ22" i="1"/>
  <c r="F152" i="1"/>
  <c r="AZ173" i="1"/>
  <c r="P18" i="1"/>
  <c r="F176" i="1"/>
  <c r="DP26" i="1"/>
  <c r="P101" i="1"/>
  <c r="DP141" i="1"/>
  <c r="EO26" i="1"/>
  <c r="P82" i="1"/>
  <c r="EO141" i="1"/>
  <c r="O18" i="1" l="1"/>
  <c r="F175" i="1"/>
  <c r="DJ18" i="1"/>
  <c r="P187" i="1"/>
  <c r="DH18" i="1"/>
  <c r="P176" i="1"/>
  <c r="AZ18" i="1"/>
  <c r="F184" i="1"/>
  <c r="F202" i="1" s="1"/>
  <c r="EQ22" i="1"/>
  <c r="P149" i="1"/>
  <c r="EQ173" i="1"/>
  <c r="F171" i="1"/>
  <c r="F170" i="1"/>
  <c r="EJ22" i="1"/>
  <c r="P168" i="1"/>
  <c r="P169" i="1" s="1"/>
  <c r="EJ173" i="1"/>
  <c r="EO22" i="1"/>
  <c r="EO173" i="1"/>
  <c r="P147" i="1"/>
  <c r="DP22" i="1"/>
  <c r="P166" i="1"/>
  <c r="DP173" i="1"/>
  <c r="DK18" i="1"/>
  <c r="P188" i="1"/>
  <c r="AR18" i="1"/>
  <c r="F200" i="1"/>
  <c r="AV18" i="1"/>
  <c r="F178" i="1"/>
  <c r="AT18" i="1"/>
  <c r="F191" i="1"/>
  <c r="EL22" i="1"/>
  <c r="EL173" i="1"/>
  <c r="P159" i="1"/>
  <c r="F16" i="2" s="1"/>
  <c r="U18" i="2"/>
  <c r="X16" i="2"/>
  <c r="X18" i="2" s="1"/>
  <c r="AY18" i="1"/>
  <c r="F181" i="1"/>
  <c r="AW18" i="1"/>
  <c r="F179" i="1"/>
  <c r="F201" i="1" s="1"/>
  <c r="F203" i="1" s="1"/>
  <c r="EN22" i="1"/>
  <c r="EN173" i="1"/>
  <c r="P146" i="1"/>
  <c r="DQ18" i="1"/>
  <c r="P199" i="1"/>
  <c r="EL18" i="1" l="1"/>
  <c r="P191" i="1"/>
  <c r="EJ18" i="1"/>
  <c r="P200" i="1"/>
  <c r="DP18" i="1"/>
  <c r="P198" i="1"/>
  <c r="P170" i="1"/>
  <c r="P171" i="1" s="1"/>
  <c r="F204" i="1"/>
  <c r="EO18" i="1"/>
  <c r="P179" i="1"/>
  <c r="P201" i="1" s="1"/>
  <c r="P203" i="1" s="1"/>
  <c r="EQ18" i="1"/>
  <c r="P181" i="1"/>
  <c r="EN18" i="1"/>
  <c r="P178" i="1"/>
  <c r="F18" i="2"/>
  <c r="I16" i="2"/>
  <c r="I18" i="2" s="1"/>
  <c r="P204" i="1" l="1"/>
</calcChain>
</file>

<file path=xl/sharedStrings.xml><?xml version="1.0" encoding="utf-8"?>
<sst xmlns="http://schemas.openxmlformats.org/spreadsheetml/2006/main" count="3258" uniqueCount="337">
  <si>
    <t>Smeta.RU  (495) 974-1589</t>
  </si>
  <si>
    <t>_PS_</t>
  </si>
  <si>
    <t>Smeta.RU</t>
  </si>
  <si>
    <t/>
  </si>
  <si>
    <t>Новый объект_(Копия)_(Копия)</t>
  </si>
  <si>
    <t>ГБУК г. Москвы "ТКС "Фили-Давыдково" по адресу: г. Москва, Рублевское ш., д. 18, корп. 1_СОУЭ</t>
  </si>
  <si>
    <t>Сметные нормы списания</t>
  </si>
  <si>
    <t>Коды ОКП для ТСН-2001 МГЭ</t>
  </si>
  <si>
    <t>ТСН-2001 (МГЭ) Ремонт</t>
  </si>
  <si>
    <t>Типовой расчет Smeta.ru вер. 9 для ТСН-2001 МГЭ (Ремонт + метрополитен), Доп 51</t>
  </si>
  <si>
    <t>Территориальные сметные нормативы для Москвы ТСН-2001 (МГЭ)</t>
  </si>
  <si>
    <t>Поправки для ТСН-2001 от 18.01.2019 г.</t>
  </si>
  <si>
    <t>Новая локальная смета</t>
  </si>
  <si>
    <t>Система оповещения и управления эвакуацией людей при пожаре</t>
  </si>
  <si>
    <t>Новый раздел</t>
  </si>
  <si>
    <t>Монтажные работы</t>
  </si>
  <si>
    <t>1</t>
  </si>
  <si>
    <t>4.10-80-9</t>
  </si>
  <si>
    <t>Аппараты приемные, приборы приемно-контрольные объектовые на 2 луча</t>
  </si>
  <si>
    <t>1  ШТ.</t>
  </si>
  <si>
    <t>ТСН-2001.4. Доп. 1-42. Сб. 10, т. 80, поз. 9</t>
  </si>
  <si>
    <t>)*1,25)*1,15</t>
  </si>
  <si>
    <t>)*1,15)*1,15</t>
  </si>
  <si>
    <t>Монтаж оборудования</t>
  </si>
  <si>
    <t>ТСН-2001.4-10. 10-1...10-91</t>
  </si>
  <si>
    <t>ТСН-2001.4-10-1</t>
  </si>
  <si>
    <t>Поправка: ТСН-2001.О.П. п.3.4. 6  Поправка: ТСН-2001.4. О.П. тб1. п.2</t>
  </si>
  <si>
    <t>1,1</t>
  </si>
  <si>
    <t>Цена поставщика</t>
  </si>
  <si>
    <t>Прибор управления речевыми оповещателями Соната-К-120М</t>
  </si>
  <si>
    <t>шт.</t>
  </si>
  <si>
    <t>Сметная стоимость оборудования</t>
  </si>
  <si>
    <t>ТСН-2001.13-1.</t>
  </si>
  <si>
    <t>ТСН-2001.13-1-1</t>
  </si>
  <si>
    <t>[22 383 / 1,2 /  4,33] +  3% Трансп +  1,2% Заг.скл</t>
  </si>
  <si>
    <t>2</t>
  </si>
  <si>
    <t>4.8-70-5</t>
  </si>
  <si>
    <t>Аккумуляторы кислотные стационарные, аккумулятор С-6, СК-6, С-8, СК-8</t>
  </si>
  <si>
    <t>ТСН-2001.4. Доп. 1-42. Сб. 8, т. 70, поз. 5</t>
  </si>
  <si>
    <t>ТСН-2001.4-8. 8-28...8-72</t>
  </si>
  <si>
    <t>ТСН-2001.4-8-2</t>
  </si>
  <si>
    <t>2,1</t>
  </si>
  <si>
    <t>13.1-1-660</t>
  </si>
  <si>
    <t>Аккумулятор герметичный свинцово-кислотный 12 В, 12 А·ч. Габаритные размеры не более 151x98x101мм</t>
  </si>
  <si>
    <t>занесена вручную</t>
  </si>
  <si>
    <t>3</t>
  </si>
  <si>
    <t>4.10-76-7</t>
  </si>
  <si>
    <t>Громкоговоритель или звуковая колонка в помещении</t>
  </si>
  <si>
    <t>ТСН-2001.4. Доп. 1-42. Сб. 10, т. 76, поз. 7</t>
  </si>
  <si>
    <t>3,1</t>
  </si>
  <si>
    <t>Громкоговоритель настенный Соната-Т 100-3/1 ВТ (+1 резерв)</t>
  </si>
  <si>
    <t>[925 / 1,2 /  4,33] +  3% Трансп +  1,2% Заг.скл</t>
  </si>
  <si>
    <t>4</t>
  </si>
  <si>
    <t>4.10-76-15</t>
  </si>
  <si>
    <t>Транспарант световой (табло)</t>
  </si>
  <si>
    <t>ТСН-2001.4. Доп. 1-42. Сб. 10, т. 76, поз. 15</t>
  </si>
  <si>
    <t>4,1</t>
  </si>
  <si>
    <t>Оповещатель охранно-пожарный световой (табло) Молния-12 "Выход"  (+1 резерв)</t>
  </si>
  <si>
    <t>[142 / 1,2 /  5,36] +  2% Трансп</t>
  </si>
  <si>
    <t>5</t>
  </si>
  <si>
    <t>4.8-240-4</t>
  </si>
  <si>
    <t>Пульты и шкафы управления, шкаф (пульт) управления навесной, высота, ширина, глубина до 600х600х350 мм</t>
  </si>
  <si>
    <t>ТСН-2001.4. Доп. 1-42. Сб. 8, т. 240, поз. 4</t>
  </si>
  <si>
    <t>ТСН-2001.4-8. 8-188...8-272</t>
  </si>
  <si>
    <t>ТСН-2001.4-8-18</t>
  </si>
  <si>
    <t>5,1</t>
  </si>
  <si>
    <t>Щиток модульный для автоматических выключателей, настенный, типоразмер: 1 ряд, 2 модуля, 140х53х83 мм, IP30, белый, Бокс КМПн 2/2 (MKP42-N-02-30-20)</t>
  </si>
  <si>
    <t>[86,51 / 1,2 /  5,36] +  2% Трансп</t>
  </si>
  <si>
    <t>6</t>
  </si>
  <si>
    <t>4.8-218-1</t>
  </si>
  <si>
    <t>Выключатели установочные автоматические (автоматы) или неавтоматические, автомат одно-,двух-,трехполюсный, устанавливаемый на конструкции на стене или колонне на ток до 25 А</t>
  </si>
  <si>
    <t>ТСН-2001.4. Доп. 1-42. Сб. 8, т. 218, поз. 1</t>
  </si>
  <si>
    <t>6,1</t>
  </si>
  <si>
    <t>13.1-1-626</t>
  </si>
  <si>
    <t>Выключатель автоматический типа iC60N 1П 6A C. Номинальный ток 6А, максимальное рабочее напряжение 440 В, габаритные размеры 18х94х78,5 мм</t>
  </si>
  <si>
    <t>Кабельная продукция</t>
  </si>
  <si>
    <t>7</t>
  </si>
  <si>
    <t>4.8-281-2</t>
  </si>
  <si>
    <t>Трубы гофрированные поливинилхлоридные, прокладываемые в труднодоступных местах с усиленным креплением накладными скобами и установкой соединительных коробок, по железобетонным стенам и потолкам, диаметром до 27 мм</t>
  </si>
  <si>
    <t>100 м</t>
  </si>
  <si>
    <t>ТСН-2001.4. Доп. 1-42. Сб. 8, т. 281, поз. 2</t>
  </si>
  <si>
    <t>ТСН-2001.4-8. 8-280, 8-281</t>
  </si>
  <si>
    <t>ТСН-2001.4-8-20</t>
  </si>
  <si>
    <t>7,1</t>
  </si>
  <si>
    <t>1.12-5-372</t>
  </si>
  <si>
    <t>Трубы электротехнические гофрированные, поливинилхлоридные, негорючие, с зондом, наружный диаметр 20 мм</t>
  </si>
  <si>
    <t>м</t>
  </si>
  <si>
    <t>ТСН-2001.1. Доп. 1-42. Р. 12, о. 5, поз. 372</t>
  </si>
  <si>
    <t>7,2</t>
  </si>
  <si>
    <t>1.21-5-1105</t>
  </si>
  <si>
    <t>Коробки распаечные, серия "Tyco", открытой установки, из полистирола, степень защиты IP55, 7 вводов, размеры 70х70х40 мм, артикул 67030</t>
  </si>
  <si>
    <t>ТСН-2001.1. Доп. 1-42. Р. 21, о. 5, поз. 1105</t>
  </si>
  <si>
    <t>7,3</t>
  </si>
  <si>
    <t>1.14-1-549</t>
  </si>
  <si>
    <t>Коробки соединительные, тип КС-4, для подключения четырех пар проводов</t>
  </si>
  <si>
    <t>ТСН-2001.1. Доп. 1-42. Р. 14, о. 1, поз. 549</t>
  </si>
  <si>
    <t>7,4</t>
  </si>
  <si>
    <t>1.21-5-1136</t>
  </si>
  <si>
    <t>Держатели пластиковые с защелкой для крепления труб, рукавов и гибких вводов диаметром 20 мм</t>
  </si>
  <si>
    <t>100 шт.</t>
  </si>
  <si>
    <t>ТСН-2001.1. Доп. 1-42. Р. 21, о. 5, поз. 1136</t>
  </si>
  <si>
    <t>8</t>
  </si>
  <si>
    <t>4.8-175-1</t>
  </si>
  <si>
    <t>Затягивание проводов и кабелей в проложенные трубы и металлические рукава, провод первый одножильный или многожильный в общей оплетке, суммарное сечение до 2,5 мм2</t>
  </si>
  <si>
    <t>ТСН-2001.4. Доп. 1-42. Сб. 8, т. 175, поз. 1</t>
  </si>
  <si>
    <t>ТСН-2001.4-8. 8-155...8-184</t>
  </si>
  <si>
    <t>ТСН-2001.4-8-16</t>
  </si>
  <si>
    <t>8,1</t>
  </si>
  <si>
    <t>Кабель для систем ОПС и СОУЭ огнестойкий, с низким дымо и газовыделением Лоутокс 20нг(А)-FRLSLTx 1х2х0,75</t>
  </si>
  <si>
    <t>[77,06 / 1,2 /  5,36] +  2% Трансп</t>
  </si>
  <si>
    <t>9</t>
  </si>
  <si>
    <t>4.8-280-2</t>
  </si>
  <si>
    <t>Прокладка пластикового кабель-канала по бетонному основанию</t>
  </si>
  <si>
    <t>ТСН-2001.4. Доп. 1-42. Сб. 8, т. 280, поз. 2</t>
  </si>
  <si>
    <t>9,1</t>
  </si>
  <si>
    <t>1.1-1-1962</t>
  </si>
  <si>
    <t>Короба электротехнические для прокладки проводов, размер 10х15 мм</t>
  </si>
  <si>
    <t>ТСН-2001.1. Доп. 1-42. Р. 1, о. 1, поз. 1962</t>
  </si>
  <si>
    <t>10</t>
  </si>
  <si>
    <t>4.8-162-1</t>
  </si>
  <si>
    <t>Провода и кабели в коробах, провод, сечением до 6 мм2</t>
  </si>
  <si>
    <t>ТСН-2001.4. Доп. 1-42. Сб. 8, т. 162, поз. 1</t>
  </si>
  <si>
    <t>10,1</t>
  </si>
  <si>
    <t>1.23-8-625</t>
  </si>
  <si>
    <t>Кабели силовые с медными жилами огнестойкие, с изоляцией и оболочкой из поливинилхлоридных композиций пониженной пожароопасности, с низким дымо- и газовыделением, напряжение 1000 В, марка ВВГнг-FRLS, число жил и сечение 3х1,5 мм2</t>
  </si>
  <si>
    <t>км</t>
  </si>
  <si>
    <t>ТСН-2001.1. Доп. 1-42. Р. 23, о. 8, поз. 625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</si>
  <si>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</si>
  <si>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</si>
  <si>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</si>
  <si>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</si>
  <si>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</si>
  <si>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</si>
  <si>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</si>
  <si>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</si>
  <si>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</si>
  <si>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</si>
  <si>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</si>
  <si>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</si>
  <si>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</si>
  <si>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</si>
  <si>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</si>
  <si>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</si>
  <si>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</si>
  <si>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</si>
  <si>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</si>
  <si>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</si>
  <si>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</si>
  <si>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</si>
  <si>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</si>
  <si>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</si>
  <si>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</si>
  <si>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</si>
  <si>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</si>
  <si>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</si>
  <si>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</si>
  <si>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</si>
  <si>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</si>
  <si>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</si>
  <si>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</si>
  <si>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</si>
  <si>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</si>
  <si>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</si>
  <si>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</si>
  <si>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</si>
  <si>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</si>
  <si>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</si>
  <si>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</si>
  <si>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</si>
  <si>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</si>
  <si>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</si>
  <si>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</si>
  <si>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</si>
  <si>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</si>
  <si>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</si>
  <si>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</si>
  <si>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</si>
  <si>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</si>
  <si>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</si>
  <si>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Пусконаладочные работы</t>
  </si>
  <si>
    <t>11</t>
  </si>
  <si>
    <t>5.2-32-1</t>
  </si>
  <si>
    <t>Проверка всего технологического комплекса в режимах работы и контроля, сдача в эксплуатацию</t>
  </si>
  <si>
    <t>1 комплекс</t>
  </si>
  <si>
    <t>ТСН-2001.5. Доп. 1-42. Сб. 2, т. 32, поз. 1</t>
  </si>
  <si>
    <t>)*0,8</t>
  </si>
  <si>
    <t>ТСН-2001.5-2. 2-1...2-32</t>
  </si>
  <si>
    <t>ТСН-2001.5-2-1</t>
  </si>
  <si>
    <t>Поправка: ТСН-2001.5. р2. п.2.5</t>
  </si>
  <si>
    <t>и1</t>
  </si>
  <si>
    <t>Итого</t>
  </si>
  <si>
    <t>и2</t>
  </si>
  <si>
    <t>НДС 20 %</t>
  </si>
  <si>
    <t>и3</t>
  </si>
  <si>
    <t>Итого по смете</t>
  </si>
  <si>
    <t>пывп</t>
  </si>
  <si>
    <t>В том числе стоимость материальных ресурсов</t>
  </si>
  <si>
    <t>квар</t>
  </si>
  <si>
    <t>В том числе стоимость оборудования</t>
  </si>
  <si>
    <t>Компенсация затрат по оплате НДС 20% на стоимость материалов и оборудования</t>
  </si>
  <si>
    <t>111</t>
  </si>
  <si>
    <t>Новая переменная</t>
  </si>
  <si>
    <t>Переменная_1</t>
  </si>
  <si>
    <t>Переменная_2</t>
  </si>
  <si>
    <t>Уровень цен</t>
  </si>
  <si>
    <t>Сборник индексов</t>
  </si>
  <si>
    <t>Коэффициенты к ТСН-2001 МГЭ, ремонт</t>
  </si>
  <si>
    <t>150</t>
  </si>
  <si>
    <t>Новый уровень цен</t>
  </si>
  <si>
    <t>_OBSM_</t>
  </si>
  <si>
    <t>9999990008</t>
  </si>
  <si>
    <t>Трудозатраты рабочих</t>
  </si>
  <si>
    <t>чел.-ч.</t>
  </si>
  <si>
    <t>2248200000</t>
  </si>
  <si>
    <t>Трубы поливинилхлоридные</t>
  </si>
  <si>
    <t>3434200000</t>
  </si>
  <si>
    <t>Коробки</t>
  </si>
  <si>
    <t>5772110000</t>
  </si>
  <si>
    <t>Короба с направляющими</t>
  </si>
  <si>
    <t>Перегородки разделительные</t>
  </si>
  <si>
    <t>Заглушки</t>
  </si>
  <si>
    <t>Накладки стыковые</t>
  </si>
  <si>
    <t>Углы внутренние</t>
  </si>
  <si>
    <t>Углы наружные</t>
  </si>
  <si>
    <t>Углы плоские</t>
  </si>
  <si>
    <t>Поправка: ТСН-2001.О.П. п.3.4. 6  Наименование: Выполняемые при ремонте и реконструкции работы аналогичные технологическим процессам, характерным для нового строительства и отсутствующим в сборниках на ремонтно-строительные работы  Поправка: ТСН-2001.4. О.П. тб1. п.2  Наименование: На предприятиях (в цехах на производственных площадях), остановленных для производства строительно-монтажных работ, а также в зданиях и сооружениях всех назначений при наличии в зоне производства работ загромоаждающих помещение предметов (станков, установок, аппаратов, эксплуатационного и лабораторного оборудования, оргтехники, мебели и т.п.)</t>
  </si>
  <si>
    <t>Поправка: ТСН-2001.5. р2. п.2.5  Наименование: В случае, если монтажные и пусконаладочные работы по какому-либо оборудованию выполняются одним и тем же звеном (бригадой), либо если они производятся при техническом руководстве персонала предприятий-изготовителей или фирм-поставщиков оборудования.</t>
  </si>
  <si>
    <t>базовая    цена</t>
  </si>
  <si>
    <t>текущая   цена</t>
  </si>
  <si>
    <t>Сметная стоимость</t>
  </si>
  <si>
    <t>Строительные работы</t>
  </si>
  <si>
    <t>Оборудование</t>
  </si>
  <si>
    <t>Прочие работы</t>
  </si>
  <si>
    <t>Средства на оплату труда</t>
  </si>
  <si>
    <t xml:space="preserve">Кроме того: </t>
  </si>
  <si>
    <t>№№ п/п</t>
  </si>
  <si>
    <t>Шифр расценки и коды ресурсов</t>
  </si>
  <si>
    <t>Наименование работ и затрат</t>
  </si>
  <si>
    <t>Единица измерения</t>
  </si>
  <si>
    <t>Кол-во единиц</t>
  </si>
  <si>
    <t>Цена на ед. изм. руб.</t>
  </si>
  <si>
    <t>Попра-вочные коэфф.</t>
  </si>
  <si>
    <t>Коэфф. зимних удоро-жаний</t>
  </si>
  <si>
    <t>ВСЕГО в базисном уровне цен, руб.</t>
  </si>
  <si>
    <t>Коэфф. пересчета и нормы НР и СП</t>
  </si>
  <si>
    <t>Всего в текущем уровне цен, руб.</t>
  </si>
  <si>
    <t>Форма № 1б</t>
  </si>
  <si>
    <t>Составлен(а) в уровне текущих (прогнозных) цен Коэффициенты к ТСН-2001 МГЭ, ремонт №150 март 2019 года</t>
  </si>
  <si>
    <t>ЗП</t>
  </si>
  <si>
    <t>ЭМ</t>
  </si>
  <si>
    <t>в т.ч. ЗПМ</t>
  </si>
  <si>
    <t>МР</t>
  </si>
  <si>
    <r>
      <t>Прибор управления речевыми оповещателями Соната-К-120М</t>
    </r>
    <r>
      <rPr>
        <i/>
        <sz val="10"/>
        <rFont val="Arial"/>
        <family val="2"/>
        <charset val="204"/>
      </rPr>
      <t xml:space="preserve">
Базисная стоимость: 4 490,21 = [22 383 / 1,2 /  4,33] +  3% Трансп +  1,2% Заг.скл</t>
    </r>
  </si>
  <si>
    <t>НР от ЗП</t>
  </si>
  <si>
    <t>%</t>
  </si>
  <si>
    <t>СП от ЗП</t>
  </si>
  <si>
    <t>НР и СП от ЗПМ</t>
  </si>
  <si>
    <t>ЗТР</t>
  </si>
  <si>
    <t>чел-ч</t>
  </si>
  <si>
    <r>
      <t>Громкоговоритель настенный Соната-Т 100-3/1 ВТ (+1 резерв)</t>
    </r>
    <r>
      <rPr>
        <i/>
        <sz val="10"/>
        <rFont val="Arial"/>
        <family val="2"/>
        <charset val="204"/>
      </rPr>
      <t xml:space="preserve">
Базисная стоимость: 185,56 = [925 / 1,2 /  4,33] +  3% Трансп +  1,2% Заг.скл</t>
    </r>
  </si>
  <si>
    <r>
      <t>Оповещатель охранно-пожарный световой (табло) Молния-12 "Выход"  (+1 резерв)</t>
    </r>
    <r>
      <rPr>
        <i/>
        <sz val="10"/>
        <rFont val="Arial"/>
        <family val="2"/>
        <charset val="204"/>
      </rPr>
      <t xml:space="preserve">
Базисная стоимость: 22,52 = [142 / 1,2 /  5,36] +  2% Трансп</t>
    </r>
  </si>
  <si>
    <r>
      <t>Щиток модульный для автоматических выключателей, настенный, типоразмер: 1 ряд, 2 модуля, 140х53х83 мм, IP30, белый, Бокс КМПн 2/2 (MKP42-N-02-30-20)</t>
    </r>
    <r>
      <rPr>
        <i/>
        <sz val="10"/>
        <rFont val="Arial"/>
        <family val="2"/>
        <charset val="204"/>
      </rPr>
      <t xml:space="preserve">
Базисная стоимость: 13,72 = [86,51 / 1,2 /  5,36] +  2% Трансп</t>
    </r>
  </si>
  <si>
    <r>
      <t>Кабель для систем ОПС и СОУЭ огнестойкий, с низким дымо и газовыделением Лоутокс 20нг(А)-FRLSLTx 1х2х0,75</t>
    </r>
    <r>
      <rPr>
        <i/>
        <sz val="10"/>
        <rFont val="Arial"/>
        <family val="2"/>
        <charset val="204"/>
      </rPr>
      <t xml:space="preserve">
Базисная стоимость: 12,22 = [77,06 / 1,2 /  5,36] +  2% Трансп</t>
    </r>
  </si>
  <si>
    <t xml:space="preserve">   Итого по ТСН-2001.16</t>
  </si>
  <si>
    <t xml:space="preserve">   Итого возвратных сумм</t>
  </si>
  <si>
    <t xml:space="preserve">  тыс.руб</t>
  </si>
  <si>
    <t xml:space="preserve">Составил   </t>
  </si>
  <si>
    <t>[должность,подпись(инициалы,фамилия)]</t>
  </si>
  <si>
    <t xml:space="preserve">Проверил   </t>
  </si>
  <si>
    <t>"УТВЕРЖДАЮ"</t>
  </si>
  <si>
    <t>___________________________</t>
  </si>
  <si>
    <t>" ___ " ___________ 20 ___ г.</t>
  </si>
  <si>
    <t xml:space="preserve">Мы, нижеподписавшиеся, произвели осмотр объекта </t>
  </si>
  <si>
    <t xml:space="preserve">и постановили произвести ремонт объекта в </t>
  </si>
  <si>
    <t>следующем объеме:</t>
  </si>
  <si>
    <t>№ п/п</t>
  </si>
  <si>
    <t>Количество</t>
  </si>
  <si>
    <t>Примечание</t>
  </si>
  <si>
    <t>Заказчик _________________</t>
  </si>
  <si>
    <t>Подрядчик _________________</t>
  </si>
  <si>
    <t>TYPE</t>
  </si>
  <si>
    <t>LINK</t>
  </si>
  <si>
    <t>RABMAT_EX</t>
  </si>
  <si>
    <t>TIP_RAB</t>
  </si>
  <si>
    <t>TYPE_TRUD</t>
  </si>
  <si>
    <t>TAB</t>
  </si>
  <si>
    <t>NAME</t>
  </si>
  <si>
    <t>EDIZM</t>
  </si>
  <si>
    <t>KOLL</t>
  </si>
  <si>
    <t>UCH</t>
  </si>
  <si>
    <t>PRICE_B</t>
  </si>
  <si>
    <t>PRICE_ED</t>
  </si>
  <si>
    <t>STOIM_B</t>
  </si>
  <si>
    <t>PRICE_C</t>
  </si>
  <si>
    <t>STOIM_C</t>
  </si>
  <si>
    <t>ZPM_B</t>
  </si>
  <si>
    <t>ZPM_ED</t>
  </si>
  <si>
    <t>STOIM_ZPM_B</t>
  </si>
  <si>
    <t>ZPM_C</t>
  </si>
  <si>
    <t>STOIM_ZPM_C</t>
  </si>
  <si>
    <t>CRC_GR_RES</t>
  </si>
  <si>
    <t>CRC_B</t>
  </si>
  <si>
    <t>CRC_C</t>
  </si>
  <si>
    <t>BuildingFinished</t>
  </si>
  <si>
    <t>Trud</t>
  </si>
  <si>
    <t>Mash</t>
  </si>
  <si>
    <t>Mat</t>
  </si>
  <si>
    <t>MatZak</t>
  </si>
  <si>
    <t>Oborud</t>
  </si>
  <si>
    <t>OborudZak</t>
  </si>
  <si>
    <t>ZeroStoim</t>
  </si>
  <si>
    <t>NegativeKoll</t>
  </si>
  <si>
    <t>ReUnionKollResurcy</t>
  </si>
  <si>
    <t>Ресурсная ведомость на</t>
  </si>
  <si>
    <t>Объект: ГБУК г. Москвы "ТКС "Фили-Давыдково" по адресу: г. Москва, Рублевское ш., д. 18, корп. 1_СОУЭ</t>
  </si>
  <si>
    <t>Обоснование</t>
  </si>
  <si>
    <t>Наименование</t>
  </si>
  <si>
    <t>Объем</t>
  </si>
  <si>
    <t>Базовая</t>
  </si>
  <si>
    <t>цена</t>
  </si>
  <si>
    <t>стоимость</t>
  </si>
  <si>
    <t>Локальная смета: Система оповещения и управления эвакуацией людей при пожаре</t>
  </si>
  <si>
    <t xml:space="preserve">Трудовые ресурсы </t>
  </si>
  <si>
    <t xml:space="preserve">Итого трудовые ресурсы </t>
  </si>
  <si>
    <t xml:space="preserve">Материальные ресурсы </t>
  </si>
  <si>
    <t xml:space="preserve">Итого материальные ресурсы </t>
  </si>
  <si>
    <t xml:space="preserve">Оборудование </t>
  </si>
  <si>
    <t xml:space="preserve">Итого оборудование </t>
  </si>
  <si>
    <t>Раздел: Монтажные работы</t>
  </si>
  <si>
    <t>Раздел: Пусконаладочные работы</t>
  </si>
  <si>
    <t>Оснащение комплексными системами безопасности учреждений культуры, подведомственных Департаменту культуры города Москвы (согласно адресному перечню, приложение №1 к Техническому заданию).  ГБУК г. Москвы "ТКС "Фили-Давыдково" по адресу: г. Москва, Рублевское ш., д. 18, корп. 1</t>
  </si>
  <si>
    <t xml:space="preserve">Основание: чертежи № </t>
  </si>
  <si>
    <t>Итого по разделу: Монтажные работы</t>
  </si>
  <si>
    <t>Итого по разделу: Пусконаладочные работы</t>
  </si>
  <si>
    <t>Итого по локальной смете: Система оповещения и управления эвакуацией людей при пожаре</t>
  </si>
  <si>
    <t xml:space="preserve"> </t>
  </si>
  <si>
    <t xml:space="preserve">Итого по локальной смете: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</si>
</sst>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\ #,##0.00"/>
    <numFmt numFmtId="165" formatCode="#,##0.00####;[Red]\-\ #,##0.00####"/>
  </numFmts>
  <fonts count="21" x14ac:knownFonts="1">
    <font>
      <sz val="10"/>
      <name val="Arial"/>
      <charset val="204"/>
    </font>
    <font>
      <b/>
      <sz val="10"/>
      <color indexed="12"/>
      <name val="Arial"/>
      <charset val="204"/>
    </font>
    <font>
      <sz val="10"/>
      <color indexed="18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b/>
      <sz val="10"/>
      <color indexed="14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color indexed="16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Arial"/>
      <family val="2"/>
      <charset val="204"/>
    </font>
    <font>
      <b/>
      <u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 wrapText="1"/>
    </xf>
    <xf numFmtId="164" fontId="13" fillId="0" borderId="0" xfId="0" applyNumberFormat="1" applyFont="1"/>
    <xf numFmtId="0" fontId="13" fillId="0" borderId="0" xfId="0" applyFont="1" applyFill="1" applyAlignment="1">
      <alignment horizontal="left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wrapText="1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right"/>
    </xf>
    <xf numFmtId="0" fontId="17" fillId="0" borderId="0" xfId="0" applyFont="1" applyAlignment="1">
      <alignment horizontal="right" wrapText="1"/>
    </xf>
    <xf numFmtId="0" fontId="13" fillId="0" borderId="0" xfId="0" applyFont="1" applyAlignment="1">
      <alignment horizontal="right" wrapText="1"/>
    </xf>
    <xf numFmtId="165" fontId="13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13" fillId="0" borderId="0" xfId="0" quotePrefix="1" applyFont="1" applyAlignment="1">
      <alignment horizontal="right" wrapText="1"/>
    </xf>
    <xf numFmtId="164" fontId="0" fillId="0" borderId="0" xfId="0" applyNumberFormat="1"/>
    <xf numFmtId="0" fontId="0" fillId="0" borderId="5" xfId="0" applyBorder="1"/>
    <xf numFmtId="0" fontId="19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 wrapText="1"/>
    </xf>
    <xf numFmtId="0" fontId="13" fillId="0" borderId="1" xfId="0" applyFont="1" applyBorder="1"/>
    <xf numFmtId="0" fontId="19" fillId="0" borderId="0" xfId="0" applyFont="1" applyBorder="1" applyAlignment="1">
      <alignment horizontal="right"/>
    </xf>
    <xf numFmtId="0" fontId="19" fillId="0" borderId="0" xfId="0" applyFont="1" applyAlignment="1">
      <alignment horizontal="left" vertical="top"/>
    </xf>
    <xf numFmtId="0" fontId="13" fillId="0" borderId="4" xfId="0" applyFont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3" xfId="0" applyFont="1" applyBorder="1" applyAlignment="1">
      <alignment horizontal="left" vertical="top"/>
    </xf>
    <xf numFmtId="0" fontId="13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right" wrapText="1"/>
    </xf>
    <xf numFmtId="0" fontId="13" fillId="0" borderId="3" xfId="0" applyFont="1" applyBorder="1" applyAlignment="1">
      <alignment horizontal="right"/>
    </xf>
    <xf numFmtId="0" fontId="13" fillId="0" borderId="4" xfId="0" applyFont="1" applyBorder="1" applyAlignment="1">
      <alignment horizontal="left" vertical="top"/>
    </xf>
    <xf numFmtId="0" fontId="13" fillId="0" borderId="4" xfId="0" applyFont="1" applyBorder="1" applyAlignment="1">
      <alignment horizontal="left" wrapText="1"/>
    </xf>
    <xf numFmtId="0" fontId="13" fillId="0" borderId="4" xfId="0" applyFont="1" applyBorder="1" applyAlignment="1">
      <alignment horizontal="right" wrapText="1"/>
    </xf>
    <xf numFmtId="0" fontId="13" fillId="0" borderId="4" xfId="0" applyFont="1" applyBorder="1" applyAlignment="1">
      <alignment horizontal="right"/>
    </xf>
    <xf numFmtId="164" fontId="13" fillId="0" borderId="3" xfId="0" applyNumberFormat="1" applyFont="1" applyBorder="1" applyAlignment="1">
      <alignment horizontal="right" wrapText="1"/>
    </xf>
    <xf numFmtId="0" fontId="16" fillId="0" borderId="3" xfId="0" quotePrefix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164" fontId="13" fillId="0" borderId="0" xfId="0" applyNumberFormat="1" applyFont="1" applyAlignment="1">
      <alignment horizontal="right"/>
    </xf>
    <xf numFmtId="164" fontId="19" fillId="0" borderId="5" xfId="0" applyNumberFormat="1" applyFont="1" applyBorder="1" applyAlignment="1">
      <alignment horizontal="right"/>
    </xf>
    <xf numFmtId="16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 wrapText="1"/>
    </xf>
    <xf numFmtId="0" fontId="16" fillId="0" borderId="0" xfId="0" applyFont="1" applyAlignment="1">
      <alignment horizontal="center" wrapText="1"/>
    </xf>
    <xf numFmtId="0" fontId="20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3" fillId="0" borderId="0" xfId="1" applyFont="1" applyFill="1" applyAlignment="1">
      <alignment horizontal="left"/>
    </xf>
    <xf numFmtId="0" fontId="11" fillId="0" borderId="0" xfId="1" applyFont="1" applyFill="1" applyAlignment="1">
      <alignment horizontal="left"/>
    </xf>
    <xf numFmtId="0" fontId="13" fillId="0" borderId="1" xfId="0" applyFont="1" applyBorder="1" applyAlignment="1">
      <alignment horizontal="left" wrapText="1"/>
    </xf>
    <xf numFmtId="0" fontId="16" fillId="0" borderId="4" xfId="0" applyFont="1" applyBorder="1" applyAlignment="1">
      <alignment horizontal="center" wrapText="1"/>
    </xf>
    <xf numFmtId="0" fontId="19" fillId="0" borderId="0" xfId="0" applyFont="1" applyBorder="1" applyAlignment="1">
      <alignment horizontal="right"/>
    </xf>
    <xf numFmtId="0" fontId="14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right"/>
    </xf>
    <xf numFmtId="164" fontId="19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56"/>
  <sheetViews>
    <sheetView tabSelected="1" zoomScaleNormal="100" workbookViewId="0">
      <selection activeCell="A3" sqref="A3:XFD13"/>
    </sheetView>
  </sheetViews>
  <sheetFormatPr defaultRowHeight="12.75" x14ac:dyDescent="0.2"/>
  <cols>
    <col min="1" max="1" width="5.7109375" customWidth="1"/>
    <col min="2" max="2" width="11.7109375" customWidth="1"/>
    <col min="3" max="3" width="40.7109375" customWidth="1"/>
    <col min="4" max="6" width="11.7109375" customWidth="1"/>
    <col min="7" max="7" width="12.7109375" customWidth="1"/>
    <col min="8" max="8" width="10.7109375" customWidth="1"/>
    <col min="9" max="11" width="12.7109375" customWidth="1"/>
    <col min="15" max="36" width="0" hidden="1" customWidth="1"/>
    <col min="37" max="37" width="150.7109375" hidden="1" customWidth="1"/>
    <col min="38" max="38" width="104.7109375" hidden="1" customWidth="1"/>
    <col min="39" max="39" width="0" hidden="1" customWidth="1"/>
    <col min="40" max="40" width="110.7109375" hidden="1" customWidth="1"/>
    <col min="41" max="42" width="0" hidden="1" customWidth="1"/>
  </cols>
  <sheetData>
    <row r="1" spans="1:37" x14ac:dyDescent="0.2">
      <c r="A1" s="11" t="s">
        <v>0</v>
      </c>
    </row>
    <row r="2" spans="1:37" ht="14.25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 t="s">
        <v>246</v>
      </c>
    </row>
    <row r="3" spans="1:37" ht="14.25" x14ac:dyDescent="0.2">
      <c r="A3" s="51" t="s">
        <v>331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37" ht="28.5" x14ac:dyDescent="0.2">
      <c r="A4" s="12"/>
      <c r="B4" s="12"/>
      <c r="C4" s="12"/>
      <c r="D4" s="12"/>
      <c r="E4" s="12"/>
      <c r="F4" s="12"/>
      <c r="G4" s="12"/>
      <c r="H4" s="12"/>
      <c r="I4" s="13" t="s">
        <v>227</v>
      </c>
      <c r="J4" s="13" t="s">
        <v>228</v>
      </c>
      <c r="K4" s="12"/>
    </row>
    <row r="5" spans="1:37" ht="14.25" x14ac:dyDescent="0.2">
      <c r="A5" s="12"/>
      <c r="B5" s="12"/>
      <c r="C5" s="12"/>
      <c r="D5" s="12"/>
      <c r="E5" s="12"/>
      <c r="F5" s="59" t="s">
        <v>229</v>
      </c>
      <c r="G5" s="59"/>
      <c r="H5" s="59"/>
      <c r="I5" s="14">
        <v>24.372640000000004</v>
      </c>
      <c r="J5" s="14">
        <v>247.78166000000002</v>
      </c>
      <c r="K5" s="12" t="s">
        <v>265</v>
      </c>
    </row>
    <row r="6" spans="1:37" ht="14.25" x14ac:dyDescent="0.2">
      <c r="A6" s="12"/>
      <c r="B6" s="12"/>
      <c r="C6" s="12"/>
      <c r="D6" s="12"/>
      <c r="E6" s="12"/>
      <c r="F6" s="59" t="s">
        <v>230</v>
      </c>
      <c r="G6" s="59"/>
      <c r="H6" s="59"/>
      <c r="I6" s="14">
        <v>0</v>
      </c>
      <c r="J6" s="14">
        <v>0</v>
      </c>
      <c r="K6" s="12" t="s">
        <v>265</v>
      </c>
    </row>
    <row r="7" spans="1:37" ht="14.25" x14ac:dyDescent="0.2">
      <c r="A7" s="12"/>
      <c r="B7" s="12"/>
      <c r="C7" s="12"/>
      <c r="D7" s="12"/>
      <c r="E7" s="12"/>
      <c r="F7" s="59" t="s">
        <v>15</v>
      </c>
      <c r="G7" s="59"/>
      <c r="H7" s="59"/>
      <c r="I7" s="14">
        <v>15.340359999999999</v>
      </c>
      <c r="J7" s="14">
        <v>164.37845999999999</v>
      </c>
      <c r="K7" s="12" t="s">
        <v>265</v>
      </c>
    </row>
    <row r="8" spans="1:37" ht="14.25" x14ac:dyDescent="0.2">
      <c r="A8" s="12"/>
      <c r="B8" s="12"/>
      <c r="C8" s="12"/>
      <c r="D8" s="12"/>
      <c r="E8" s="12"/>
      <c r="F8" s="59" t="s">
        <v>231</v>
      </c>
      <c r="G8" s="59"/>
      <c r="H8" s="59"/>
      <c r="I8" s="14">
        <v>6.9024899999999993</v>
      </c>
      <c r="J8" s="14">
        <v>29.887779999999999</v>
      </c>
      <c r="K8" s="12" t="s">
        <v>265</v>
      </c>
    </row>
    <row r="9" spans="1:37" ht="14.25" x14ac:dyDescent="0.2">
      <c r="A9" s="12"/>
      <c r="B9" s="12"/>
      <c r="C9" s="12"/>
      <c r="D9" s="12"/>
      <c r="E9" s="12"/>
      <c r="F9" s="59" t="s">
        <v>232</v>
      </c>
      <c r="G9" s="59"/>
      <c r="H9" s="59"/>
      <c r="I9" s="14">
        <v>2.1297899999999998</v>
      </c>
      <c r="J9" s="14">
        <v>39.40701</v>
      </c>
      <c r="K9" s="12" t="s">
        <v>265</v>
      </c>
    </row>
    <row r="10" spans="1:37" ht="14.25" x14ac:dyDescent="0.2">
      <c r="A10" s="12"/>
      <c r="B10" s="12"/>
      <c r="C10" s="12"/>
      <c r="D10" s="12"/>
      <c r="E10" s="12"/>
      <c r="F10" s="59" t="s">
        <v>233</v>
      </c>
      <c r="G10" s="59"/>
      <c r="H10" s="59"/>
      <c r="I10" s="14">
        <v>3.4629799999999995</v>
      </c>
      <c r="J10" s="14">
        <v>75.111660000000001</v>
      </c>
      <c r="K10" s="12" t="s">
        <v>265</v>
      </c>
    </row>
    <row r="11" spans="1:37" ht="14.25" hidden="1" x14ac:dyDescent="0.2">
      <c r="A11" s="12"/>
      <c r="B11" s="12"/>
      <c r="C11" s="12"/>
      <c r="D11" s="12"/>
      <c r="E11" s="12"/>
      <c r="F11" s="15" t="s">
        <v>234</v>
      </c>
      <c r="G11" s="15"/>
      <c r="H11" s="15"/>
      <c r="I11" s="14"/>
      <c r="J11" s="14"/>
      <c r="K11" s="12"/>
    </row>
    <row r="12" spans="1:37" ht="14.25" hidden="1" x14ac:dyDescent="0.2">
      <c r="A12" s="12"/>
      <c r="B12" s="12"/>
      <c r="C12" s="12"/>
      <c r="D12" s="12"/>
      <c r="E12" s="12"/>
      <c r="F12" s="60" t="s">
        <v>166</v>
      </c>
      <c r="G12" s="61"/>
      <c r="H12" s="61"/>
      <c r="I12" s="14">
        <v>0</v>
      </c>
      <c r="J12" s="14">
        <v>0</v>
      </c>
      <c r="K12" s="12" t="s">
        <v>265</v>
      </c>
    </row>
    <row r="13" spans="1:37" ht="14.25" x14ac:dyDescent="0.2">
      <c r="A13" s="62" t="s">
        <v>247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AK13" s="18" t="s">
        <v>247</v>
      </c>
    </row>
    <row r="14" spans="1:37" ht="57" x14ac:dyDescent="0.2">
      <c r="A14" s="16" t="s">
        <v>235</v>
      </c>
      <c r="B14" s="16" t="s">
        <v>236</v>
      </c>
      <c r="C14" s="16" t="s">
        <v>237</v>
      </c>
      <c r="D14" s="16" t="s">
        <v>238</v>
      </c>
      <c r="E14" s="16" t="s">
        <v>239</v>
      </c>
      <c r="F14" s="16" t="s">
        <v>240</v>
      </c>
      <c r="G14" s="17" t="s">
        <v>241</v>
      </c>
      <c r="H14" s="17" t="s">
        <v>242</v>
      </c>
      <c r="I14" s="16" t="s">
        <v>243</v>
      </c>
      <c r="J14" s="16" t="s">
        <v>244</v>
      </c>
      <c r="K14" s="16" t="s">
        <v>245</v>
      </c>
    </row>
    <row r="15" spans="1:37" ht="14.25" x14ac:dyDescent="0.2">
      <c r="A15" s="16">
        <v>1</v>
      </c>
      <c r="B15" s="16">
        <v>2</v>
      </c>
      <c r="C15" s="16">
        <v>3</v>
      </c>
      <c r="D15" s="16">
        <v>4</v>
      </c>
      <c r="E15" s="16">
        <v>5</v>
      </c>
      <c r="F15" s="16">
        <v>6</v>
      </c>
      <c r="G15" s="16">
        <v>7</v>
      </c>
      <c r="H15" s="16">
        <v>8</v>
      </c>
      <c r="I15" s="16">
        <v>9</v>
      </c>
      <c r="J15" s="16">
        <v>10</v>
      </c>
      <c r="K15" s="16">
        <v>11</v>
      </c>
    </row>
    <row r="17" spans="1:27" ht="16.5" x14ac:dyDescent="0.25">
      <c r="A17" s="57" t="s">
        <v>321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9" spans="1:27" ht="16.5" x14ac:dyDescent="0.25">
      <c r="A19" s="57" t="s">
        <v>328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</row>
    <row r="20" spans="1:27" ht="28.5" x14ac:dyDescent="0.2">
      <c r="A20" s="19" t="s">
        <v>16</v>
      </c>
      <c r="B20" s="20" t="s">
        <v>17</v>
      </c>
      <c r="C20" s="20" t="s">
        <v>18</v>
      </c>
      <c r="D20" s="22" t="s">
        <v>19</v>
      </c>
      <c r="E20" s="21">
        <v>1</v>
      </c>
      <c r="F20" s="24"/>
      <c r="G20" s="23"/>
      <c r="H20" s="21"/>
      <c r="I20" s="25"/>
      <c r="J20" s="21"/>
      <c r="K20" s="25"/>
      <c r="Q20">
        <v>116.62</v>
      </c>
      <c r="R20">
        <v>1708.47</v>
      </c>
      <c r="S20">
        <v>68.540000000000006</v>
      </c>
      <c r="T20">
        <v>909.7</v>
      </c>
      <c r="U20">
        <v>0.02</v>
      </c>
      <c r="V20">
        <v>0.49</v>
      </c>
    </row>
    <row r="21" spans="1:27" ht="14.25" x14ac:dyDescent="0.2">
      <c r="A21" s="19"/>
      <c r="B21" s="20"/>
      <c r="C21" s="20" t="s">
        <v>248</v>
      </c>
      <c r="D21" s="22"/>
      <c r="E21" s="21"/>
      <c r="F21" s="24">
        <v>77.349999999999994</v>
      </c>
      <c r="G21" s="23" t="s">
        <v>22</v>
      </c>
      <c r="H21" s="21">
        <v>1</v>
      </c>
      <c r="I21" s="25">
        <v>102.3</v>
      </c>
      <c r="J21" s="21">
        <v>21.69</v>
      </c>
      <c r="K21" s="25">
        <v>2218.79</v>
      </c>
      <c r="W21">
        <v>102.3</v>
      </c>
    </row>
    <row r="22" spans="1:27" ht="14.25" x14ac:dyDescent="0.2">
      <c r="A22" s="19"/>
      <c r="B22" s="20"/>
      <c r="C22" s="20" t="s">
        <v>249</v>
      </c>
      <c r="D22" s="22"/>
      <c r="E22" s="21"/>
      <c r="F22" s="24">
        <v>0.05</v>
      </c>
      <c r="G22" s="23" t="s">
        <v>21</v>
      </c>
      <c r="H22" s="21">
        <v>1</v>
      </c>
      <c r="I22" s="25">
        <v>7.0000000000000007E-2</v>
      </c>
      <c r="J22" s="21">
        <v>8.6</v>
      </c>
      <c r="K22" s="25">
        <v>0.62</v>
      </c>
    </row>
    <row r="23" spans="1:27" ht="14.25" x14ac:dyDescent="0.2">
      <c r="A23" s="19"/>
      <c r="B23" s="20"/>
      <c r="C23" s="20" t="s">
        <v>250</v>
      </c>
      <c r="D23" s="22"/>
      <c r="E23" s="21"/>
      <c r="F23" s="24">
        <v>0.01</v>
      </c>
      <c r="G23" s="23" t="s">
        <v>21</v>
      </c>
      <c r="H23" s="21">
        <v>1</v>
      </c>
      <c r="I23" s="26">
        <v>0.01</v>
      </c>
      <c r="J23" s="21">
        <v>21.69</v>
      </c>
      <c r="K23" s="26">
        <v>0.31</v>
      </c>
      <c r="W23">
        <v>0.01</v>
      </c>
    </row>
    <row r="24" spans="1:27" ht="14.25" x14ac:dyDescent="0.2">
      <c r="A24" s="19"/>
      <c r="B24" s="20"/>
      <c r="C24" s="20" t="s">
        <v>251</v>
      </c>
      <c r="D24" s="22"/>
      <c r="E24" s="21"/>
      <c r="F24" s="24">
        <v>4.83</v>
      </c>
      <c r="G24" s="23" t="s">
        <v>3</v>
      </c>
      <c r="H24" s="21">
        <v>1</v>
      </c>
      <c r="I24" s="25">
        <v>4.83</v>
      </c>
      <c r="J24" s="21">
        <v>5.41</v>
      </c>
      <c r="K24" s="25">
        <v>26.13</v>
      </c>
    </row>
    <row r="25" spans="1:27" ht="54" x14ac:dyDescent="0.2">
      <c r="A25" s="19" t="s">
        <v>27</v>
      </c>
      <c r="B25" s="20" t="s">
        <v>28</v>
      </c>
      <c r="C25" s="20" t="s">
        <v>252</v>
      </c>
      <c r="D25" s="22" t="s">
        <v>30</v>
      </c>
      <c r="E25" s="21">
        <v>1</v>
      </c>
      <c r="F25" s="24">
        <v>4490.2099999999991</v>
      </c>
      <c r="G25" s="27" t="s">
        <v>3</v>
      </c>
      <c r="H25" s="21">
        <v>1</v>
      </c>
      <c r="I25" s="25">
        <v>4490.21</v>
      </c>
      <c r="J25" s="21">
        <v>4.33</v>
      </c>
      <c r="K25" s="25">
        <v>19442.61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X25">
        <v>0</v>
      </c>
      <c r="Y25">
        <v>0</v>
      </c>
      <c r="Z25">
        <v>4490.21</v>
      </c>
      <c r="AA25">
        <v>0</v>
      </c>
    </row>
    <row r="26" spans="1:27" ht="14.25" x14ac:dyDescent="0.2">
      <c r="A26" s="19"/>
      <c r="B26" s="20"/>
      <c r="C26" s="20" t="s">
        <v>253</v>
      </c>
      <c r="D26" s="22" t="s">
        <v>254</v>
      </c>
      <c r="E26" s="21">
        <v>114</v>
      </c>
      <c r="F26" s="24"/>
      <c r="G26" s="23"/>
      <c r="H26" s="21"/>
      <c r="I26" s="25">
        <v>116.62</v>
      </c>
      <c r="J26" s="21">
        <v>77</v>
      </c>
      <c r="K26" s="25">
        <v>1708.47</v>
      </c>
    </row>
    <row r="27" spans="1:27" ht="14.25" x14ac:dyDescent="0.2">
      <c r="A27" s="19"/>
      <c r="B27" s="20"/>
      <c r="C27" s="20" t="s">
        <v>255</v>
      </c>
      <c r="D27" s="22" t="s">
        <v>254</v>
      </c>
      <c r="E27" s="21">
        <v>67</v>
      </c>
      <c r="F27" s="24"/>
      <c r="G27" s="23"/>
      <c r="H27" s="21"/>
      <c r="I27" s="25">
        <v>68.540000000000006</v>
      </c>
      <c r="J27" s="21">
        <v>41</v>
      </c>
      <c r="K27" s="25">
        <v>909.7</v>
      </c>
    </row>
    <row r="28" spans="1:27" ht="14.25" x14ac:dyDescent="0.2">
      <c r="A28" s="19"/>
      <c r="B28" s="20"/>
      <c r="C28" s="20" t="s">
        <v>256</v>
      </c>
      <c r="D28" s="22" t="s">
        <v>254</v>
      </c>
      <c r="E28" s="21">
        <v>175</v>
      </c>
      <c r="F28" s="24"/>
      <c r="G28" s="23"/>
      <c r="H28" s="21"/>
      <c r="I28" s="25">
        <v>0.02</v>
      </c>
      <c r="J28" s="21">
        <v>157</v>
      </c>
      <c r="K28" s="25">
        <v>0.49</v>
      </c>
    </row>
    <row r="29" spans="1:27" ht="14.25" x14ac:dyDescent="0.2">
      <c r="A29" s="19"/>
      <c r="B29" s="20"/>
      <c r="C29" s="20" t="s">
        <v>257</v>
      </c>
      <c r="D29" s="22" t="s">
        <v>258</v>
      </c>
      <c r="E29" s="21">
        <v>5.7</v>
      </c>
      <c r="F29" s="24"/>
      <c r="G29" s="23" t="s">
        <v>22</v>
      </c>
      <c r="H29" s="21">
        <v>1</v>
      </c>
      <c r="I29" s="25">
        <v>7.5382499999999988</v>
      </c>
      <c r="J29" s="21"/>
      <c r="K29" s="25"/>
    </row>
    <row r="30" spans="1:27" ht="15" x14ac:dyDescent="0.25">
      <c r="A30" s="29"/>
      <c r="B30" s="29"/>
      <c r="C30" s="29"/>
      <c r="D30" s="29"/>
      <c r="E30" s="29"/>
      <c r="F30" s="29"/>
      <c r="G30" s="29"/>
      <c r="H30" s="53">
        <v>4782.59</v>
      </c>
      <c r="I30" s="53"/>
      <c r="J30" s="53">
        <v>24306.81</v>
      </c>
      <c r="K30" s="53"/>
      <c r="O30" s="28">
        <v>4782.59</v>
      </c>
      <c r="P30" s="28">
        <v>24306.81</v>
      </c>
      <c r="X30">
        <v>0</v>
      </c>
      <c r="Y30">
        <v>292.38</v>
      </c>
      <c r="Z30">
        <v>0</v>
      </c>
      <c r="AA30">
        <v>0</v>
      </c>
    </row>
    <row r="31" spans="1:27" ht="42.75" x14ac:dyDescent="0.2">
      <c r="A31" s="19" t="s">
        <v>35</v>
      </c>
      <c r="B31" s="20" t="s">
        <v>36</v>
      </c>
      <c r="C31" s="20" t="s">
        <v>37</v>
      </c>
      <c r="D31" s="22" t="s">
        <v>19</v>
      </c>
      <c r="E31" s="21">
        <v>2</v>
      </c>
      <c r="F31" s="24"/>
      <c r="G31" s="23"/>
      <c r="H31" s="21"/>
      <c r="I31" s="25"/>
      <c r="J31" s="21"/>
      <c r="K31" s="25"/>
      <c r="Q31">
        <v>156.76</v>
      </c>
      <c r="R31">
        <v>2296.66</v>
      </c>
      <c r="S31">
        <v>92.13</v>
      </c>
      <c r="T31">
        <v>1222.8900000000001</v>
      </c>
      <c r="U31">
        <v>0</v>
      </c>
      <c r="V31">
        <v>0</v>
      </c>
    </row>
    <row r="32" spans="1:27" ht="14.25" x14ac:dyDescent="0.2">
      <c r="A32" s="19"/>
      <c r="B32" s="20"/>
      <c r="C32" s="20" t="s">
        <v>248</v>
      </c>
      <c r="D32" s="22"/>
      <c r="E32" s="21"/>
      <c r="F32" s="24">
        <v>51.99</v>
      </c>
      <c r="G32" s="23" t="s">
        <v>22</v>
      </c>
      <c r="H32" s="21">
        <v>1</v>
      </c>
      <c r="I32" s="25">
        <v>137.51</v>
      </c>
      <c r="J32" s="21">
        <v>21.69</v>
      </c>
      <c r="K32" s="25">
        <v>2982.67</v>
      </c>
      <c r="W32">
        <v>137.51</v>
      </c>
    </row>
    <row r="33" spans="1:27" ht="14.25" x14ac:dyDescent="0.2">
      <c r="A33" s="19"/>
      <c r="B33" s="20"/>
      <c r="C33" s="20" t="s">
        <v>251</v>
      </c>
      <c r="D33" s="22"/>
      <c r="E33" s="21"/>
      <c r="F33" s="24">
        <v>6.65</v>
      </c>
      <c r="G33" s="23" t="s">
        <v>3</v>
      </c>
      <c r="H33" s="21">
        <v>1</v>
      </c>
      <c r="I33" s="25">
        <v>13.3</v>
      </c>
      <c r="J33" s="21">
        <v>5.41</v>
      </c>
      <c r="K33" s="25">
        <v>71.95</v>
      </c>
    </row>
    <row r="34" spans="1:27" ht="42.75" x14ac:dyDescent="0.2">
      <c r="A34" s="19" t="s">
        <v>41</v>
      </c>
      <c r="B34" s="20" t="s">
        <v>42</v>
      </c>
      <c r="C34" s="20" t="s">
        <v>43</v>
      </c>
      <c r="D34" s="22" t="s">
        <v>30</v>
      </c>
      <c r="E34" s="21">
        <v>2</v>
      </c>
      <c r="F34" s="24">
        <v>285.2</v>
      </c>
      <c r="G34" s="27" t="s">
        <v>3</v>
      </c>
      <c r="H34" s="21">
        <v>1</v>
      </c>
      <c r="I34" s="25">
        <v>570.4</v>
      </c>
      <c r="J34" s="21">
        <v>5.07</v>
      </c>
      <c r="K34" s="25">
        <v>2891.93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X34">
        <v>0</v>
      </c>
      <c r="Y34">
        <v>570.4</v>
      </c>
      <c r="Z34">
        <v>0</v>
      </c>
      <c r="AA34">
        <v>0</v>
      </c>
    </row>
    <row r="35" spans="1:27" ht="14.25" x14ac:dyDescent="0.2">
      <c r="A35" s="19"/>
      <c r="B35" s="20"/>
      <c r="C35" s="20" t="s">
        <v>253</v>
      </c>
      <c r="D35" s="22" t="s">
        <v>254</v>
      </c>
      <c r="E35" s="21">
        <v>114</v>
      </c>
      <c r="F35" s="24"/>
      <c r="G35" s="23"/>
      <c r="H35" s="21"/>
      <c r="I35" s="25">
        <v>156.76</v>
      </c>
      <c r="J35" s="21">
        <v>77</v>
      </c>
      <c r="K35" s="25">
        <v>2296.66</v>
      </c>
    </row>
    <row r="36" spans="1:27" ht="14.25" x14ac:dyDescent="0.2">
      <c r="A36" s="19"/>
      <c r="B36" s="20"/>
      <c r="C36" s="20" t="s">
        <v>255</v>
      </c>
      <c r="D36" s="22" t="s">
        <v>254</v>
      </c>
      <c r="E36" s="21">
        <v>67</v>
      </c>
      <c r="F36" s="24"/>
      <c r="G36" s="23"/>
      <c r="H36" s="21"/>
      <c r="I36" s="25">
        <v>92.13</v>
      </c>
      <c r="J36" s="21">
        <v>41</v>
      </c>
      <c r="K36" s="25">
        <v>1222.8900000000001</v>
      </c>
    </row>
    <row r="37" spans="1:27" ht="14.25" x14ac:dyDescent="0.2">
      <c r="A37" s="19"/>
      <c r="B37" s="20"/>
      <c r="C37" s="20" t="s">
        <v>257</v>
      </c>
      <c r="D37" s="22" t="s">
        <v>258</v>
      </c>
      <c r="E37" s="21">
        <v>4.12</v>
      </c>
      <c r="F37" s="24"/>
      <c r="G37" s="23" t="s">
        <v>22</v>
      </c>
      <c r="H37" s="21">
        <v>1</v>
      </c>
      <c r="I37" s="25">
        <v>10.897399999999998</v>
      </c>
      <c r="J37" s="21"/>
      <c r="K37" s="25"/>
    </row>
    <row r="38" spans="1:27" ht="15" x14ac:dyDescent="0.25">
      <c r="A38" s="29"/>
      <c r="B38" s="29"/>
      <c r="C38" s="29"/>
      <c r="D38" s="29"/>
      <c r="E38" s="29"/>
      <c r="F38" s="29"/>
      <c r="G38" s="29"/>
      <c r="H38" s="53">
        <v>970.09999999999991</v>
      </c>
      <c r="I38" s="53"/>
      <c r="J38" s="53">
        <v>9466.1</v>
      </c>
      <c r="K38" s="53"/>
      <c r="O38" s="28">
        <v>970.09999999999991</v>
      </c>
      <c r="P38" s="28">
        <v>9466.1</v>
      </c>
      <c r="X38">
        <v>0</v>
      </c>
      <c r="Y38">
        <v>399.7</v>
      </c>
      <c r="Z38">
        <v>0</v>
      </c>
      <c r="AA38">
        <v>0</v>
      </c>
    </row>
    <row r="39" spans="1:27" ht="28.5" x14ac:dyDescent="0.2">
      <c r="A39" s="19" t="s">
        <v>45</v>
      </c>
      <c r="B39" s="20" t="s">
        <v>46</v>
      </c>
      <c r="C39" s="20" t="s">
        <v>47</v>
      </c>
      <c r="D39" s="22" t="s">
        <v>19</v>
      </c>
      <c r="E39" s="21">
        <v>12</v>
      </c>
      <c r="F39" s="24"/>
      <c r="G39" s="23"/>
      <c r="H39" s="21"/>
      <c r="I39" s="25"/>
      <c r="J39" s="21"/>
      <c r="K39" s="25"/>
      <c r="Q39">
        <v>430.59</v>
      </c>
      <c r="R39">
        <v>6308.18</v>
      </c>
      <c r="S39">
        <v>253.07</v>
      </c>
      <c r="T39">
        <v>3358.9</v>
      </c>
      <c r="U39">
        <v>0</v>
      </c>
      <c r="V39">
        <v>0</v>
      </c>
    </row>
    <row r="40" spans="1:27" ht="14.25" x14ac:dyDescent="0.2">
      <c r="A40" s="19"/>
      <c r="B40" s="20"/>
      <c r="C40" s="20" t="s">
        <v>248</v>
      </c>
      <c r="D40" s="22"/>
      <c r="E40" s="21"/>
      <c r="F40" s="24">
        <v>23.8</v>
      </c>
      <c r="G40" s="23" t="s">
        <v>22</v>
      </c>
      <c r="H40" s="21">
        <v>1</v>
      </c>
      <c r="I40" s="25">
        <v>377.71</v>
      </c>
      <c r="J40" s="21">
        <v>21.69</v>
      </c>
      <c r="K40" s="25">
        <v>8192.44</v>
      </c>
      <c r="W40">
        <v>377.71</v>
      </c>
    </row>
    <row r="41" spans="1:27" ht="14.25" x14ac:dyDescent="0.2">
      <c r="A41" s="19"/>
      <c r="B41" s="20"/>
      <c r="C41" s="20" t="s">
        <v>251</v>
      </c>
      <c r="D41" s="22"/>
      <c r="E41" s="21"/>
      <c r="F41" s="24">
        <v>0.91</v>
      </c>
      <c r="G41" s="23" t="s">
        <v>3</v>
      </c>
      <c r="H41" s="21">
        <v>1</v>
      </c>
      <c r="I41" s="25">
        <v>10.92</v>
      </c>
      <c r="J41" s="21">
        <v>5.41</v>
      </c>
      <c r="K41" s="25">
        <v>59.08</v>
      </c>
    </row>
    <row r="42" spans="1:27" ht="54" x14ac:dyDescent="0.2">
      <c r="A42" s="19" t="s">
        <v>49</v>
      </c>
      <c r="B42" s="20" t="s">
        <v>28</v>
      </c>
      <c r="C42" s="20" t="s">
        <v>259</v>
      </c>
      <c r="D42" s="22" t="s">
        <v>30</v>
      </c>
      <c r="E42" s="21">
        <v>13</v>
      </c>
      <c r="F42" s="24">
        <v>185.56</v>
      </c>
      <c r="G42" s="27" t="s">
        <v>3</v>
      </c>
      <c r="H42" s="21">
        <v>1</v>
      </c>
      <c r="I42" s="25">
        <v>2412.2800000000002</v>
      </c>
      <c r="J42" s="21">
        <v>4.33</v>
      </c>
      <c r="K42" s="25">
        <v>10445.17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X42">
        <v>0</v>
      </c>
      <c r="Y42">
        <v>0</v>
      </c>
      <c r="Z42">
        <v>2412.2800000000002</v>
      </c>
      <c r="AA42">
        <v>0</v>
      </c>
    </row>
    <row r="43" spans="1:27" ht="14.25" x14ac:dyDescent="0.2">
      <c r="A43" s="19"/>
      <c r="B43" s="20"/>
      <c r="C43" s="20" t="s">
        <v>253</v>
      </c>
      <c r="D43" s="22" t="s">
        <v>254</v>
      </c>
      <c r="E43" s="21">
        <v>114</v>
      </c>
      <c r="F43" s="24"/>
      <c r="G43" s="23"/>
      <c r="H43" s="21"/>
      <c r="I43" s="25">
        <v>430.59</v>
      </c>
      <c r="J43" s="21">
        <v>77</v>
      </c>
      <c r="K43" s="25">
        <v>6308.18</v>
      </c>
    </row>
    <row r="44" spans="1:27" ht="14.25" x14ac:dyDescent="0.2">
      <c r="A44" s="19"/>
      <c r="B44" s="20"/>
      <c r="C44" s="20" t="s">
        <v>255</v>
      </c>
      <c r="D44" s="22" t="s">
        <v>254</v>
      </c>
      <c r="E44" s="21">
        <v>67</v>
      </c>
      <c r="F44" s="24"/>
      <c r="G44" s="23"/>
      <c r="H44" s="21"/>
      <c r="I44" s="25">
        <v>253.07</v>
      </c>
      <c r="J44" s="21">
        <v>41</v>
      </c>
      <c r="K44" s="25">
        <v>3358.9</v>
      </c>
    </row>
    <row r="45" spans="1:27" ht="14.25" x14ac:dyDescent="0.2">
      <c r="A45" s="19"/>
      <c r="B45" s="20"/>
      <c r="C45" s="20" t="s">
        <v>257</v>
      </c>
      <c r="D45" s="22" t="s">
        <v>258</v>
      </c>
      <c r="E45" s="21">
        <v>2</v>
      </c>
      <c r="F45" s="24"/>
      <c r="G45" s="23" t="s">
        <v>22</v>
      </c>
      <c r="H45" s="21">
        <v>1</v>
      </c>
      <c r="I45" s="25">
        <v>31.739999999999995</v>
      </c>
      <c r="J45" s="21"/>
      <c r="K45" s="25"/>
    </row>
    <row r="46" spans="1:27" ht="15" x14ac:dyDescent="0.25">
      <c r="A46" s="29"/>
      <c r="B46" s="29"/>
      <c r="C46" s="29"/>
      <c r="D46" s="29"/>
      <c r="E46" s="29"/>
      <c r="F46" s="29"/>
      <c r="G46" s="29"/>
      <c r="H46" s="53">
        <v>3484.57</v>
      </c>
      <c r="I46" s="53"/>
      <c r="J46" s="53">
        <v>28363.770000000004</v>
      </c>
      <c r="K46" s="53"/>
      <c r="O46" s="28">
        <v>3484.57</v>
      </c>
      <c r="P46" s="28">
        <v>28363.770000000004</v>
      </c>
      <c r="X46">
        <v>0</v>
      </c>
      <c r="Y46">
        <v>1072.29</v>
      </c>
      <c r="Z46">
        <v>0</v>
      </c>
      <c r="AA46">
        <v>0</v>
      </c>
    </row>
    <row r="47" spans="1:27" ht="14.25" x14ac:dyDescent="0.2">
      <c r="A47" s="19" t="s">
        <v>52</v>
      </c>
      <c r="B47" s="20" t="s">
        <v>53</v>
      </c>
      <c r="C47" s="20" t="s">
        <v>54</v>
      </c>
      <c r="D47" s="22" t="s">
        <v>19</v>
      </c>
      <c r="E47" s="21">
        <v>8</v>
      </c>
      <c r="F47" s="24"/>
      <c r="G47" s="23"/>
      <c r="H47" s="21"/>
      <c r="I47" s="25"/>
      <c r="J47" s="21"/>
      <c r="K47" s="25"/>
      <c r="Q47">
        <v>304.43</v>
      </c>
      <c r="R47">
        <v>4459.8999999999996</v>
      </c>
      <c r="S47">
        <v>178.92</v>
      </c>
      <c r="T47">
        <v>2374.75</v>
      </c>
      <c r="U47">
        <v>0</v>
      </c>
      <c r="V47">
        <v>0</v>
      </c>
    </row>
    <row r="48" spans="1:27" ht="14.25" x14ac:dyDescent="0.2">
      <c r="A48" s="19"/>
      <c r="B48" s="20"/>
      <c r="C48" s="20" t="s">
        <v>248</v>
      </c>
      <c r="D48" s="22"/>
      <c r="E48" s="21"/>
      <c r="F48" s="24">
        <v>25.24</v>
      </c>
      <c r="G48" s="23" t="s">
        <v>22</v>
      </c>
      <c r="H48" s="21">
        <v>1</v>
      </c>
      <c r="I48" s="25">
        <v>267.04000000000002</v>
      </c>
      <c r="J48" s="21">
        <v>21.69</v>
      </c>
      <c r="K48" s="25">
        <v>5792.08</v>
      </c>
      <c r="W48">
        <v>267.04000000000002</v>
      </c>
    </row>
    <row r="49" spans="1:27" ht="14.25" x14ac:dyDescent="0.2">
      <c r="A49" s="19"/>
      <c r="B49" s="20"/>
      <c r="C49" s="20" t="s">
        <v>251</v>
      </c>
      <c r="D49" s="22"/>
      <c r="E49" s="21"/>
      <c r="F49" s="24">
        <v>13.16</v>
      </c>
      <c r="G49" s="23" t="s">
        <v>3</v>
      </c>
      <c r="H49" s="21">
        <v>1</v>
      </c>
      <c r="I49" s="25">
        <v>105.28</v>
      </c>
      <c r="J49" s="21">
        <v>5.41</v>
      </c>
      <c r="K49" s="25">
        <v>569.55999999999995</v>
      </c>
    </row>
    <row r="50" spans="1:27" ht="68.25" x14ac:dyDescent="0.2">
      <c r="A50" s="19" t="s">
        <v>56</v>
      </c>
      <c r="B50" s="20" t="s">
        <v>28</v>
      </c>
      <c r="C50" s="20" t="s">
        <v>260</v>
      </c>
      <c r="D50" s="22" t="s">
        <v>30</v>
      </c>
      <c r="E50" s="21">
        <v>9</v>
      </c>
      <c r="F50" s="24">
        <v>22.52</v>
      </c>
      <c r="G50" s="27" t="s">
        <v>3</v>
      </c>
      <c r="H50" s="21">
        <v>1</v>
      </c>
      <c r="I50" s="25">
        <v>202.68</v>
      </c>
      <c r="J50" s="21">
        <v>5.36</v>
      </c>
      <c r="K50" s="25">
        <v>1086.3599999999999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X50">
        <v>0</v>
      </c>
      <c r="Y50">
        <v>202.68</v>
      </c>
      <c r="Z50">
        <v>0</v>
      </c>
      <c r="AA50">
        <v>0</v>
      </c>
    </row>
    <row r="51" spans="1:27" ht="14.25" x14ac:dyDescent="0.2">
      <c r="A51" s="19"/>
      <c r="B51" s="20"/>
      <c r="C51" s="20" t="s">
        <v>253</v>
      </c>
      <c r="D51" s="22" t="s">
        <v>254</v>
      </c>
      <c r="E51" s="21">
        <v>114</v>
      </c>
      <c r="F51" s="24"/>
      <c r="G51" s="23"/>
      <c r="H51" s="21"/>
      <c r="I51" s="25">
        <v>304.43</v>
      </c>
      <c r="J51" s="21">
        <v>77</v>
      </c>
      <c r="K51" s="25">
        <v>4459.8999999999996</v>
      </c>
    </row>
    <row r="52" spans="1:27" ht="14.25" x14ac:dyDescent="0.2">
      <c r="A52" s="19"/>
      <c r="B52" s="20"/>
      <c r="C52" s="20" t="s">
        <v>255</v>
      </c>
      <c r="D52" s="22" t="s">
        <v>254</v>
      </c>
      <c r="E52" s="21">
        <v>67</v>
      </c>
      <c r="F52" s="24"/>
      <c r="G52" s="23"/>
      <c r="H52" s="21"/>
      <c r="I52" s="25">
        <v>178.92</v>
      </c>
      <c r="J52" s="21">
        <v>41</v>
      </c>
      <c r="K52" s="25">
        <v>2374.75</v>
      </c>
    </row>
    <row r="53" spans="1:27" ht="14.25" x14ac:dyDescent="0.2">
      <c r="A53" s="19"/>
      <c r="B53" s="20"/>
      <c r="C53" s="20" t="s">
        <v>257</v>
      </c>
      <c r="D53" s="22" t="s">
        <v>258</v>
      </c>
      <c r="E53" s="21">
        <v>2</v>
      </c>
      <c r="F53" s="24"/>
      <c r="G53" s="23" t="s">
        <v>22</v>
      </c>
      <c r="H53" s="21">
        <v>1</v>
      </c>
      <c r="I53" s="25">
        <v>21.159999999999997</v>
      </c>
      <c r="J53" s="21"/>
      <c r="K53" s="25"/>
    </row>
    <row r="54" spans="1:27" ht="15" x14ac:dyDescent="0.25">
      <c r="A54" s="29"/>
      <c r="B54" s="29"/>
      <c r="C54" s="29"/>
      <c r="D54" s="29"/>
      <c r="E54" s="29"/>
      <c r="F54" s="29"/>
      <c r="G54" s="29"/>
      <c r="H54" s="53">
        <v>1058.3499999999999</v>
      </c>
      <c r="I54" s="53"/>
      <c r="J54" s="53">
        <v>14282.65</v>
      </c>
      <c r="K54" s="53"/>
      <c r="O54" s="28">
        <v>1058.3499999999999</v>
      </c>
      <c r="P54" s="28">
        <v>14282.65</v>
      </c>
      <c r="X54">
        <v>0</v>
      </c>
      <c r="Y54">
        <v>855.67</v>
      </c>
      <c r="Z54">
        <v>0</v>
      </c>
      <c r="AA54">
        <v>0</v>
      </c>
    </row>
    <row r="55" spans="1:27" ht="42.75" x14ac:dyDescent="0.2">
      <c r="A55" s="19" t="s">
        <v>59</v>
      </c>
      <c r="B55" s="20" t="s">
        <v>60</v>
      </c>
      <c r="C55" s="20" t="s">
        <v>61</v>
      </c>
      <c r="D55" s="22" t="s">
        <v>19</v>
      </c>
      <c r="E55" s="21">
        <v>1</v>
      </c>
      <c r="F55" s="24"/>
      <c r="G55" s="23"/>
      <c r="H55" s="21"/>
      <c r="I55" s="25"/>
      <c r="J55" s="21"/>
      <c r="K55" s="25"/>
      <c r="Q55">
        <v>40.380000000000003</v>
      </c>
      <c r="R55">
        <v>591.5</v>
      </c>
      <c r="S55">
        <v>23.73</v>
      </c>
      <c r="T55">
        <v>314.95</v>
      </c>
      <c r="U55">
        <v>24.9</v>
      </c>
      <c r="V55">
        <v>484.63</v>
      </c>
    </row>
    <row r="56" spans="1:27" ht="14.25" x14ac:dyDescent="0.2">
      <c r="A56" s="19"/>
      <c r="B56" s="20"/>
      <c r="C56" s="20" t="s">
        <v>248</v>
      </c>
      <c r="D56" s="22"/>
      <c r="E56" s="21"/>
      <c r="F56" s="24">
        <v>26.78</v>
      </c>
      <c r="G56" s="23" t="s">
        <v>22</v>
      </c>
      <c r="H56" s="21">
        <v>1</v>
      </c>
      <c r="I56" s="25">
        <v>35.42</v>
      </c>
      <c r="J56" s="21">
        <v>21.69</v>
      </c>
      <c r="K56" s="25">
        <v>768.18</v>
      </c>
      <c r="W56">
        <v>35.42</v>
      </c>
    </row>
    <row r="57" spans="1:27" ht="14.25" x14ac:dyDescent="0.2">
      <c r="A57" s="19"/>
      <c r="B57" s="20"/>
      <c r="C57" s="20" t="s">
        <v>249</v>
      </c>
      <c r="D57" s="22"/>
      <c r="E57" s="21"/>
      <c r="F57" s="24">
        <v>63.58</v>
      </c>
      <c r="G57" s="23" t="s">
        <v>21</v>
      </c>
      <c r="H57" s="21">
        <v>1</v>
      </c>
      <c r="I57" s="25">
        <v>91.4</v>
      </c>
      <c r="J57" s="21">
        <v>7.81</v>
      </c>
      <c r="K57" s="25">
        <v>713.8</v>
      </c>
    </row>
    <row r="58" spans="1:27" ht="14.25" x14ac:dyDescent="0.2">
      <c r="A58" s="19"/>
      <c r="B58" s="20"/>
      <c r="C58" s="20" t="s">
        <v>250</v>
      </c>
      <c r="D58" s="22"/>
      <c r="E58" s="21"/>
      <c r="F58" s="24">
        <v>9.9</v>
      </c>
      <c r="G58" s="23" t="s">
        <v>21</v>
      </c>
      <c r="H58" s="21">
        <v>1</v>
      </c>
      <c r="I58" s="26">
        <v>14.23</v>
      </c>
      <c r="J58" s="21">
        <v>21.69</v>
      </c>
      <c r="K58" s="26">
        <v>308.68</v>
      </c>
      <c r="W58">
        <v>14.23</v>
      </c>
    </row>
    <row r="59" spans="1:27" ht="14.25" x14ac:dyDescent="0.2">
      <c r="A59" s="19"/>
      <c r="B59" s="20"/>
      <c r="C59" s="20" t="s">
        <v>251</v>
      </c>
      <c r="D59" s="22"/>
      <c r="E59" s="21"/>
      <c r="F59" s="24">
        <v>9.17</v>
      </c>
      <c r="G59" s="23" t="s">
        <v>3</v>
      </c>
      <c r="H59" s="21">
        <v>1</v>
      </c>
      <c r="I59" s="25">
        <v>9.17</v>
      </c>
      <c r="J59" s="21">
        <v>5.41</v>
      </c>
      <c r="K59" s="25">
        <v>49.61</v>
      </c>
    </row>
    <row r="60" spans="1:27" ht="96.75" x14ac:dyDescent="0.2">
      <c r="A60" s="19" t="s">
        <v>65</v>
      </c>
      <c r="B60" s="20" t="s">
        <v>28</v>
      </c>
      <c r="C60" s="20" t="s">
        <v>261</v>
      </c>
      <c r="D60" s="22" t="s">
        <v>30</v>
      </c>
      <c r="E60" s="21">
        <v>1</v>
      </c>
      <c r="F60" s="24">
        <v>13.719999999999999</v>
      </c>
      <c r="G60" s="27" t="s">
        <v>3</v>
      </c>
      <c r="H60" s="21">
        <v>1</v>
      </c>
      <c r="I60" s="25">
        <v>13.72</v>
      </c>
      <c r="J60" s="21">
        <v>5.36</v>
      </c>
      <c r="K60" s="25">
        <v>73.540000000000006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X60">
        <v>0</v>
      </c>
      <c r="Y60">
        <v>13.72</v>
      </c>
      <c r="Z60">
        <v>0</v>
      </c>
      <c r="AA60">
        <v>0</v>
      </c>
    </row>
    <row r="61" spans="1:27" ht="14.25" x14ac:dyDescent="0.2">
      <c r="A61" s="19"/>
      <c r="B61" s="20"/>
      <c r="C61" s="20" t="s">
        <v>253</v>
      </c>
      <c r="D61" s="22" t="s">
        <v>254</v>
      </c>
      <c r="E61" s="21">
        <v>114</v>
      </c>
      <c r="F61" s="24"/>
      <c r="G61" s="23"/>
      <c r="H61" s="21"/>
      <c r="I61" s="25">
        <v>40.380000000000003</v>
      </c>
      <c r="J61" s="21">
        <v>77</v>
      </c>
      <c r="K61" s="25">
        <v>591.5</v>
      </c>
    </row>
    <row r="62" spans="1:27" ht="14.25" x14ac:dyDescent="0.2">
      <c r="A62" s="19"/>
      <c r="B62" s="20"/>
      <c r="C62" s="20" t="s">
        <v>255</v>
      </c>
      <c r="D62" s="22" t="s">
        <v>254</v>
      </c>
      <c r="E62" s="21">
        <v>67</v>
      </c>
      <c r="F62" s="24"/>
      <c r="G62" s="23"/>
      <c r="H62" s="21"/>
      <c r="I62" s="25">
        <v>23.73</v>
      </c>
      <c r="J62" s="21">
        <v>41</v>
      </c>
      <c r="K62" s="25">
        <v>314.95</v>
      </c>
    </row>
    <row r="63" spans="1:27" ht="14.25" x14ac:dyDescent="0.2">
      <c r="A63" s="19"/>
      <c r="B63" s="20"/>
      <c r="C63" s="20" t="s">
        <v>256</v>
      </c>
      <c r="D63" s="22" t="s">
        <v>254</v>
      </c>
      <c r="E63" s="21">
        <v>175</v>
      </c>
      <c r="F63" s="24"/>
      <c r="G63" s="23"/>
      <c r="H63" s="21"/>
      <c r="I63" s="25">
        <v>24.9</v>
      </c>
      <c r="J63" s="21">
        <v>157</v>
      </c>
      <c r="K63" s="25">
        <v>484.63</v>
      </c>
    </row>
    <row r="64" spans="1:27" ht="14.25" x14ac:dyDescent="0.2">
      <c r="A64" s="19"/>
      <c r="B64" s="20"/>
      <c r="C64" s="20" t="s">
        <v>257</v>
      </c>
      <c r="D64" s="22" t="s">
        <v>258</v>
      </c>
      <c r="E64" s="21">
        <v>2.06</v>
      </c>
      <c r="F64" s="24"/>
      <c r="G64" s="23" t="s">
        <v>22</v>
      </c>
      <c r="H64" s="21">
        <v>1</v>
      </c>
      <c r="I64" s="25">
        <v>2.7243499999999994</v>
      </c>
      <c r="J64" s="21"/>
      <c r="K64" s="25"/>
    </row>
    <row r="65" spans="1:27" ht="15" x14ac:dyDescent="0.25">
      <c r="A65" s="29"/>
      <c r="B65" s="29"/>
      <c r="C65" s="29"/>
      <c r="D65" s="29"/>
      <c r="E65" s="29"/>
      <c r="F65" s="29"/>
      <c r="G65" s="29"/>
      <c r="H65" s="53">
        <v>238.72</v>
      </c>
      <c r="I65" s="53"/>
      <c r="J65" s="53">
        <v>2996.21</v>
      </c>
      <c r="K65" s="53"/>
      <c r="O65" s="28">
        <v>238.72</v>
      </c>
      <c r="P65" s="28">
        <v>2996.21</v>
      </c>
      <c r="X65">
        <v>0</v>
      </c>
      <c r="Y65">
        <v>225</v>
      </c>
      <c r="Z65">
        <v>0</v>
      </c>
      <c r="AA65">
        <v>0</v>
      </c>
    </row>
    <row r="66" spans="1:27" ht="85.5" x14ac:dyDescent="0.2">
      <c r="A66" s="19" t="s">
        <v>68</v>
      </c>
      <c r="B66" s="20" t="s">
        <v>69</v>
      </c>
      <c r="C66" s="20" t="s">
        <v>70</v>
      </c>
      <c r="D66" s="22" t="s">
        <v>19</v>
      </c>
      <c r="E66" s="21">
        <v>1</v>
      </c>
      <c r="F66" s="24"/>
      <c r="G66" s="23"/>
      <c r="H66" s="21"/>
      <c r="I66" s="25"/>
      <c r="J66" s="21"/>
      <c r="K66" s="25"/>
      <c r="Q66">
        <v>25.24</v>
      </c>
      <c r="R66">
        <v>369.75</v>
      </c>
      <c r="S66">
        <v>14.83</v>
      </c>
      <c r="T66">
        <v>196.88</v>
      </c>
      <c r="U66">
        <v>0.82</v>
      </c>
      <c r="V66">
        <v>16.16</v>
      </c>
    </row>
    <row r="67" spans="1:27" ht="14.25" x14ac:dyDescent="0.2">
      <c r="A67" s="19"/>
      <c r="B67" s="20"/>
      <c r="C67" s="20" t="s">
        <v>248</v>
      </c>
      <c r="D67" s="22"/>
      <c r="E67" s="21"/>
      <c r="F67" s="24">
        <v>16.739999999999998</v>
      </c>
      <c r="G67" s="23" t="s">
        <v>22</v>
      </c>
      <c r="H67" s="21">
        <v>1</v>
      </c>
      <c r="I67" s="25">
        <v>22.14</v>
      </c>
      <c r="J67" s="21">
        <v>21.69</v>
      </c>
      <c r="K67" s="25">
        <v>480.19</v>
      </c>
      <c r="W67">
        <v>22.14</v>
      </c>
    </row>
    <row r="68" spans="1:27" ht="14.25" x14ac:dyDescent="0.2">
      <c r="A68" s="19"/>
      <c r="B68" s="20"/>
      <c r="C68" s="20" t="s">
        <v>249</v>
      </c>
      <c r="D68" s="22"/>
      <c r="E68" s="21"/>
      <c r="F68" s="24">
        <v>4.93</v>
      </c>
      <c r="G68" s="23" t="s">
        <v>21</v>
      </c>
      <c r="H68" s="21">
        <v>1</v>
      </c>
      <c r="I68" s="25">
        <v>7.09</v>
      </c>
      <c r="J68" s="21">
        <v>6.35</v>
      </c>
      <c r="K68" s="25">
        <v>45</v>
      </c>
    </row>
    <row r="69" spans="1:27" ht="14.25" x14ac:dyDescent="0.2">
      <c r="A69" s="19"/>
      <c r="B69" s="20"/>
      <c r="C69" s="20" t="s">
        <v>250</v>
      </c>
      <c r="D69" s="22"/>
      <c r="E69" s="21"/>
      <c r="F69" s="24">
        <v>0.33</v>
      </c>
      <c r="G69" s="23" t="s">
        <v>21</v>
      </c>
      <c r="H69" s="21">
        <v>1</v>
      </c>
      <c r="I69" s="26">
        <v>0.47</v>
      </c>
      <c r="J69" s="21">
        <v>21.69</v>
      </c>
      <c r="K69" s="26">
        <v>10.29</v>
      </c>
      <c r="W69">
        <v>0.47</v>
      </c>
    </row>
    <row r="70" spans="1:27" ht="14.25" x14ac:dyDescent="0.2">
      <c r="A70" s="19"/>
      <c r="B70" s="20"/>
      <c r="C70" s="20" t="s">
        <v>251</v>
      </c>
      <c r="D70" s="22"/>
      <c r="E70" s="21"/>
      <c r="F70" s="24">
        <v>15.47</v>
      </c>
      <c r="G70" s="23" t="s">
        <v>3</v>
      </c>
      <c r="H70" s="21">
        <v>1</v>
      </c>
      <c r="I70" s="25">
        <v>15.47</v>
      </c>
      <c r="J70" s="21">
        <v>5.41</v>
      </c>
      <c r="K70" s="25">
        <v>83.69</v>
      </c>
    </row>
    <row r="71" spans="1:27" ht="71.25" x14ac:dyDescent="0.2">
      <c r="A71" s="19" t="s">
        <v>72</v>
      </c>
      <c r="B71" s="20" t="s">
        <v>73</v>
      </c>
      <c r="C71" s="20" t="s">
        <v>74</v>
      </c>
      <c r="D71" s="22" t="s">
        <v>30</v>
      </c>
      <c r="E71" s="21">
        <v>1</v>
      </c>
      <c r="F71" s="24">
        <v>36.020000000000003</v>
      </c>
      <c r="G71" s="27" t="s">
        <v>3</v>
      </c>
      <c r="H71" s="21">
        <v>1</v>
      </c>
      <c r="I71" s="25">
        <v>36.020000000000003</v>
      </c>
      <c r="J71" s="21">
        <v>10.62</v>
      </c>
      <c r="K71" s="25">
        <v>382.53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X71">
        <v>0</v>
      </c>
      <c r="Y71">
        <v>36.020000000000003</v>
      </c>
      <c r="Z71">
        <v>0</v>
      </c>
      <c r="AA71">
        <v>0</v>
      </c>
    </row>
    <row r="72" spans="1:27" ht="14.25" x14ac:dyDescent="0.2">
      <c r="A72" s="19"/>
      <c r="B72" s="20"/>
      <c r="C72" s="20" t="s">
        <v>253</v>
      </c>
      <c r="D72" s="22" t="s">
        <v>254</v>
      </c>
      <c r="E72" s="21">
        <v>114</v>
      </c>
      <c r="F72" s="24"/>
      <c r="G72" s="23"/>
      <c r="H72" s="21"/>
      <c r="I72" s="25">
        <v>25.24</v>
      </c>
      <c r="J72" s="21">
        <v>77</v>
      </c>
      <c r="K72" s="25">
        <v>369.75</v>
      </c>
    </row>
    <row r="73" spans="1:27" ht="14.25" x14ac:dyDescent="0.2">
      <c r="A73" s="19"/>
      <c r="B73" s="20"/>
      <c r="C73" s="20" t="s">
        <v>255</v>
      </c>
      <c r="D73" s="22" t="s">
        <v>254</v>
      </c>
      <c r="E73" s="21">
        <v>67</v>
      </c>
      <c r="F73" s="24"/>
      <c r="G73" s="23"/>
      <c r="H73" s="21"/>
      <c r="I73" s="25">
        <v>14.83</v>
      </c>
      <c r="J73" s="21">
        <v>41</v>
      </c>
      <c r="K73" s="25">
        <v>196.88</v>
      </c>
    </row>
    <row r="74" spans="1:27" ht="14.25" x14ac:dyDescent="0.2">
      <c r="A74" s="19"/>
      <c r="B74" s="20"/>
      <c r="C74" s="20" t="s">
        <v>256</v>
      </c>
      <c r="D74" s="22" t="s">
        <v>254</v>
      </c>
      <c r="E74" s="21">
        <v>175</v>
      </c>
      <c r="F74" s="24"/>
      <c r="G74" s="23"/>
      <c r="H74" s="21"/>
      <c r="I74" s="25">
        <v>0.82</v>
      </c>
      <c r="J74" s="21">
        <v>157</v>
      </c>
      <c r="K74" s="25">
        <v>16.16</v>
      </c>
    </row>
    <row r="75" spans="1:27" ht="14.25" x14ac:dyDescent="0.2">
      <c r="A75" s="19"/>
      <c r="B75" s="20"/>
      <c r="C75" s="20" t="s">
        <v>257</v>
      </c>
      <c r="D75" s="22" t="s">
        <v>258</v>
      </c>
      <c r="E75" s="21">
        <v>1.34</v>
      </c>
      <c r="F75" s="24"/>
      <c r="G75" s="23" t="s">
        <v>22</v>
      </c>
      <c r="H75" s="21">
        <v>1</v>
      </c>
      <c r="I75" s="25">
        <v>1.7721499999999997</v>
      </c>
      <c r="J75" s="21"/>
      <c r="K75" s="25"/>
    </row>
    <row r="76" spans="1:27" ht="15" x14ac:dyDescent="0.25">
      <c r="A76" s="29"/>
      <c r="B76" s="29"/>
      <c r="C76" s="29"/>
      <c r="D76" s="29"/>
      <c r="E76" s="29"/>
      <c r="F76" s="29"/>
      <c r="G76" s="29"/>
      <c r="H76" s="53">
        <v>121.60999999999999</v>
      </c>
      <c r="I76" s="53"/>
      <c r="J76" s="53">
        <v>1574.2000000000003</v>
      </c>
      <c r="K76" s="53"/>
      <c r="O76" s="28">
        <v>121.60999999999999</v>
      </c>
      <c r="P76" s="28">
        <v>1574.2000000000003</v>
      </c>
      <c r="X76">
        <v>0</v>
      </c>
      <c r="Y76">
        <v>85.589999999999989</v>
      </c>
      <c r="Z76">
        <v>0</v>
      </c>
      <c r="AA76">
        <v>0</v>
      </c>
    </row>
    <row r="78" spans="1:27" ht="15" x14ac:dyDescent="0.25">
      <c r="B78" s="58" t="s">
        <v>75</v>
      </c>
      <c r="C78" s="58"/>
      <c r="D78" s="58"/>
      <c r="E78" s="58"/>
      <c r="F78" s="58"/>
      <c r="G78" s="58"/>
      <c r="H78" s="58"/>
      <c r="I78" s="58"/>
      <c r="J78" s="58"/>
    </row>
    <row r="79" spans="1:27" ht="114" x14ac:dyDescent="0.2">
      <c r="A79" s="19" t="s">
        <v>76</v>
      </c>
      <c r="B79" s="20" t="s">
        <v>77</v>
      </c>
      <c r="C79" s="20" t="s">
        <v>78</v>
      </c>
      <c r="D79" s="22" t="s">
        <v>79</v>
      </c>
      <c r="E79" s="21">
        <v>2</v>
      </c>
      <c r="F79" s="24"/>
      <c r="G79" s="23"/>
      <c r="H79" s="21"/>
      <c r="I79" s="25"/>
      <c r="J79" s="21"/>
      <c r="K79" s="25"/>
      <c r="Q79">
        <v>1581.89</v>
      </c>
      <c r="R79">
        <v>23175.06</v>
      </c>
      <c r="S79">
        <v>929.71</v>
      </c>
      <c r="T79">
        <v>12339.97</v>
      </c>
      <c r="U79">
        <v>8.75</v>
      </c>
      <c r="V79">
        <v>170.35</v>
      </c>
    </row>
    <row r="80" spans="1:27" ht="14.25" x14ac:dyDescent="0.2">
      <c r="A80" s="19"/>
      <c r="B80" s="20"/>
      <c r="C80" s="20" t="s">
        <v>248</v>
      </c>
      <c r="D80" s="22"/>
      <c r="E80" s="21"/>
      <c r="F80" s="24">
        <v>524.62</v>
      </c>
      <c r="G80" s="23" t="s">
        <v>22</v>
      </c>
      <c r="H80" s="21">
        <v>1</v>
      </c>
      <c r="I80" s="25">
        <v>1387.62</v>
      </c>
      <c r="J80" s="21">
        <v>21.69</v>
      </c>
      <c r="K80" s="25">
        <v>30097.48</v>
      </c>
      <c r="W80">
        <v>1387.62</v>
      </c>
    </row>
    <row r="81" spans="1:27" ht="14.25" x14ac:dyDescent="0.2">
      <c r="A81" s="19"/>
      <c r="B81" s="20"/>
      <c r="C81" s="20" t="s">
        <v>249</v>
      </c>
      <c r="D81" s="22"/>
      <c r="E81" s="21"/>
      <c r="F81" s="24">
        <v>30.73</v>
      </c>
      <c r="G81" s="23" t="s">
        <v>21</v>
      </c>
      <c r="H81" s="21">
        <v>1</v>
      </c>
      <c r="I81" s="25">
        <v>88.35</v>
      </c>
      <c r="J81" s="21">
        <v>6.18</v>
      </c>
      <c r="K81" s="25">
        <v>546</v>
      </c>
    </row>
    <row r="82" spans="1:27" ht="14.25" x14ac:dyDescent="0.2">
      <c r="A82" s="19"/>
      <c r="B82" s="20"/>
      <c r="C82" s="20" t="s">
        <v>250</v>
      </c>
      <c r="D82" s="22"/>
      <c r="E82" s="21"/>
      <c r="F82" s="24">
        <v>1.74</v>
      </c>
      <c r="G82" s="23" t="s">
        <v>21</v>
      </c>
      <c r="H82" s="21">
        <v>1</v>
      </c>
      <c r="I82" s="26">
        <v>5</v>
      </c>
      <c r="J82" s="21">
        <v>21.69</v>
      </c>
      <c r="K82" s="26">
        <v>108.5</v>
      </c>
      <c r="W82">
        <v>5</v>
      </c>
    </row>
    <row r="83" spans="1:27" ht="14.25" x14ac:dyDescent="0.2">
      <c r="A83" s="19"/>
      <c r="B83" s="20"/>
      <c r="C83" s="20" t="s">
        <v>251</v>
      </c>
      <c r="D83" s="22"/>
      <c r="E83" s="21"/>
      <c r="F83" s="24">
        <v>1389.53</v>
      </c>
      <c r="G83" s="23" t="s">
        <v>3</v>
      </c>
      <c r="H83" s="21">
        <v>1</v>
      </c>
      <c r="I83" s="25">
        <v>2779.06</v>
      </c>
      <c r="J83" s="21">
        <v>5.41</v>
      </c>
      <c r="K83" s="25">
        <v>15034.71</v>
      </c>
    </row>
    <row r="84" spans="1:27" ht="57" x14ac:dyDescent="0.2">
      <c r="A84" s="19" t="s">
        <v>83</v>
      </c>
      <c r="B84" s="20" t="s">
        <v>84</v>
      </c>
      <c r="C84" s="20" t="s">
        <v>85</v>
      </c>
      <c r="D84" s="22" t="s">
        <v>86</v>
      </c>
      <c r="E84" s="21">
        <v>204</v>
      </c>
      <c r="F84" s="24">
        <v>3.45</v>
      </c>
      <c r="G84" s="27" t="s">
        <v>3</v>
      </c>
      <c r="H84" s="21">
        <v>1</v>
      </c>
      <c r="I84" s="25">
        <v>703.8</v>
      </c>
      <c r="J84" s="21">
        <v>6.27</v>
      </c>
      <c r="K84" s="25">
        <v>4412.83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X84">
        <v>0</v>
      </c>
      <c r="Y84">
        <v>703.8</v>
      </c>
      <c r="Z84">
        <v>0</v>
      </c>
      <c r="AA84">
        <v>0</v>
      </c>
    </row>
    <row r="85" spans="1:27" ht="57" x14ac:dyDescent="0.2">
      <c r="A85" s="19" t="s">
        <v>88</v>
      </c>
      <c r="B85" s="20" t="s">
        <v>89</v>
      </c>
      <c r="C85" s="20" t="s">
        <v>90</v>
      </c>
      <c r="D85" s="22" t="s">
        <v>30</v>
      </c>
      <c r="E85" s="21">
        <v>1</v>
      </c>
      <c r="F85" s="24">
        <v>10.96</v>
      </c>
      <c r="G85" s="27" t="s">
        <v>3</v>
      </c>
      <c r="H85" s="21">
        <v>1</v>
      </c>
      <c r="I85" s="25">
        <v>10.96</v>
      </c>
      <c r="J85" s="21">
        <v>2.0299999999999998</v>
      </c>
      <c r="K85" s="25">
        <v>22.25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X85">
        <v>0</v>
      </c>
      <c r="Y85">
        <v>10.96</v>
      </c>
      <c r="Z85">
        <v>0</v>
      </c>
      <c r="AA85">
        <v>0</v>
      </c>
    </row>
    <row r="86" spans="1:27" ht="42.75" x14ac:dyDescent="0.2">
      <c r="A86" s="19" t="s">
        <v>92</v>
      </c>
      <c r="B86" s="20" t="s">
        <v>93</v>
      </c>
      <c r="C86" s="20" t="s">
        <v>94</v>
      </c>
      <c r="D86" s="22" t="s">
        <v>30</v>
      </c>
      <c r="E86" s="21">
        <v>12</v>
      </c>
      <c r="F86" s="24">
        <v>3.83</v>
      </c>
      <c r="G86" s="27" t="s">
        <v>3</v>
      </c>
      <c r="H86" s="21">
        <v>1</v>
      </c>
      <c r="I86" s="25">
        <v>45.96</v>
      </c>
      <c r="J86" s="21">
        <v>4.2699999999999996</v>
      </c>
      <c r="K86" s="25">
        <v>196.25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X86">
        <v>0</v>
      </c>
      <c r="Y86">
        <v>45.96</v>
      </c>
      <c r="Z86">
        <v>0</v>
      </c>
      <c r="AA86">
        <v>0</v>
      </c>
    </row>
    <row r="87" spans="1:27" ht="42.75" x14ac:dyDescent="0.2">
      <c r="A87" s="19" t="s">
        <v>96</v>
      </c>
      <c r="B87" s="20" t="s">
        <v>97</v>
      </c>
      <c r="C87" s="20" t="s">
        <v>98</v>
      </c>
      <c r="D87" s="22" t="s">
        <v>99</v>
      </c>
      <c r="E87" s="21">
        <v>2</v>
      </c>
      <c r="F87" s="24">
        <v>146.88999999999999</v>
      </c>
      <c r="G87" s="27" t="s">
        <v>3</v>
      </c>
      <c r="H87" s="21">
        <v>1</v>
      </c>
      <c r="I87" s="25">
        <v>293.77999999999997</v>
      </c>
      <c r="J87" s="21">
        <v>1.19</v>
      </c>
      <c r="K87" s="25">
        <v>349.6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X87">
        <v>0</v>
      </c>
      <c r="Y87">
        <v>293.77999999999997</v>
      </c>
      <c r="Z87">
        <v>0</v>
      </c>
      <c r="AA87">
        <v>0</v>
      </c>
    </row>
    <row r="88" spans="1:27" ht="14.25" x14ac:dyDescent="0.2">
      <c r="A88" s="19"/>
      <c r="B88" s="20"/>
      <c r="C88" s="20" t="s">
        <v>253</v>
      </c>
      <c r="D88" s="22" t="s">
        <v>254</v>
      </c>
      <c r="E88" s="21">
        <v>114</v>
      </c>
      <c r="F88" s="24"/>
      <c r="G88" s="23"/>
      <c r="H88" s="21"/>
      <c r="I88" s="25">
        <v>1581.89</v>
      </c>
      <c r="J88" s="21">
        <v>77</v>
      </c>
      <c r="K88" s="25">
        <v>23175.06</v>
      </c>
    </row>
    <row r="89" spans="1:27" ht="14.25" x14ac:dyDescent="0.2">
      <c r="A89" s="19"/>
      <c r="B89" s="20"/>
      <c r="C89" s="20" t="s">
        <v>255</v>
      </c>
      <c r="D89" s="22" t="s">
        <v>254</v>
      </c>
      <c r="E89" s="21">
        <v>67</v>
      </c>
      <c r="F89" s="24"/>
      <c r="G89" s="23"/>
      <c r="H89" s="21"/>
      <c r="I89" s="25">
        <v>929.71</v>
      </c>
      <c r="J89" s="21">
        <v>41</v>
      </c>
      <c r="K89" s="25">
        <v>12339.97</v>
      </c>
    </row>
    <row r="90" spans="1:27" ht="14.25" x14ac:dyDescent="0.2">
      <c r="A90" s="19"/>
      <c r="B90" s="20"/>
      <c r="C90" s="20" t="s">
        <v>256</v>
      </c>
      <c r="D90" s="22" t="s">
        <v>254</v>
      </c>
      <c r="E90" s="21">
        <v>175</v>
      </c>
      <c r="F90" s="24"/>
      <c r="G90" s="23"/>
      <c r="H90" s="21"/>
      <c r="I90" s="25">
        <v>8.75</v>
      </c>
      <c r="J90" s="21">
        <v>157</v>
      </c>
      <c r="K90" s="25">
        <v>170.35</v>
      </c>
    </row>
    <row r="91" spans="1:27" ht="14.25" x14ac:dyDescent="0.2">
      <c r="A91" s="19"/>
      <c r="B91" s="20"/>
      <c r="C91" s="20" t="s">
        <v>257</v>
      </c>
      <c r="D91" s="22" t="s">
        <v>258</v>
      </c>
      <c r="E91" s="21">
        <v>38.659999999999997</v>
      </c>
      <c r="F91" s="24"/>
      <c r="G91" s="23" t="s">
        <v>22</v>
      </c>
      <c r="H91" s="21">
        <v>1</v>
      </c>
      <c r="I91" s="25">
        <v>102.25569999999998</v>
      </c>
      <c r="J91" s="21"/>
      <c r="K91" s="25"/>
    </row>
    <row r="92" spans="1:27" ht="15" x14ac:dyDescent="0.25">
      <c r="A92" s="29"/>
      <c r="B92" s="29"/>
      <c r="C92" s="29"/>
      <c r="D92" s="29"/>
      <c r="E92" s="29"/>
      <c r="F92" s="29"/>
      <c r="G92" s="29"/>
      <c r="H92" s="53">
        <v>7829.88</v>
      </c>
      <c r="I92" s="53"/>
      <c r="J92" s="53">
        <v>86344.5</v>
      </c>
      <c r="K92" s="53"/>
      <c r="O92" s="28">
        <v>7829.88</v>
      </c>
      <c r="P92" s="28">
        <v>86344.5</v>
      </c>
      <c r="X92">
        <v>0</v>
      </c>
      <c r="Y92">
        <v>6775.38</v>
      </c>
      <c r="Z92">
        <v>0</v>
      </c>
      <c r="AA92">
        <v>0</v>
      </c>
    </row>
    <row r="93" spans="1:27" ht="71.25" x14ac:dyDescent="0.2">
      <c r="A93" s="19" t="s">
        <v>101</v>
      </c>
      <c r="B93" s="20" t="s">
        <v>102</v>
      </c>
      <c r="C93" s="20" t="s">
        <v>103</v>
      </c>
      <c r="D93" s="22" t="s">
        <v>79</v>
      </c>
      <c r="E93" s="21">
        <v>2</v>
      </c>
      <c r="F93" s="24"/>
      <c r="G93" s="23"/>
      <c r="H93" s="21"/>
      <c r="I93" s="25"/>
      <c r="J93" s="21"/>
      <c r="K93" s="25"/>
      <c r="Q93">
        <v>191.47</v>
      </c>
      <c r="R93">
        <v>2805.11</v>
      </c>
      <c r="S93">
        <v>112.53</v>
      </c>
      <c r="T93">
        <v>1493.63</v>
      </c>
      <c r="U93">
        <v>1.02</v>
      </c>
      <c r="V93">
        <v>19.579999999999998</v>
      </c>
    </row>
    <row r="94" spans="1:27" ht="14.25" x14ac:dyDescent="0.2">
      <c r="A94" s="19"/>
      <c r="B94" s="20"/>
      <c r="C94" s="20" t="s">
        <v>248</v>
      </c>
      <c r="D94" s="22"/>
      <c r="E94" s="21"/>
      <c r="F94" s="24">
        <v>63.5</v>
      </c>
      <c r="G94" s="23" t="s">
        <v>22</v>
      </c>
      <c r="H94" s="21">
        <v>1</v>
      </c>
      <c r="I94" s="25">
        <v>167.96</v>
      </c>
      <c r="J94" s="21">
        <v>21.69</v>
      </c>
      <c r="K94" s="25">
        <v>3643</v>
      </c>
      <c r="W94">
        <v>167.96</v>
      </c>
    </row>
    <row r="95" spans="1:27" ht="14.25" x14ac:dyDescent="0.2">
      <c r="A95" s="19"/>
      <c r="B95" s="20"/>
      <c r="C95" s="20" t="s">
        <v>249</v>
      </c>
      <c r="D95" s="22"/>
      <c r="E95" s="21"/>
      <c r="F95" s="24">
        <v>0.85</v>
      </c>
      <c r="G95" s="23" t="s">
        <v>21</v>
      </c>
      <c r="H95" s="21">
        <v>1</v>
      </c>
      <c r="I95" s="25">
        <v>2.44</v>
      </c>
      <c r="J95" s="21">
        <v>9.1199999999999992</v>
      </c>
      <c r="K95" s="25">
        <v>22.29</v>
      </c>
    </row>
    <row r="96" spans="1:27" ht="14.25" x14ac:dyDescent="0.2">
      <c r="A96" s="19"/>
      <c r="B96" s="20"/>
      <c r="C96" s="20" t="s">
        <v>250</v>
      </c>
      <c r="D96" s="22"/>
      <c r="E96" s="21"/>
      <c r="F96" s="24">
        <v>0.2</v>
      </c>
      <c r="G96" s="23" t="s">
        <v>21</v>
      </c>
      <c r="H96" s="21">
        <v>1</v>
      </c>
      <c r="I96" s="26">
        <v>0.57999999999999996</v>
      </c>
      <c r="J96" s="21">
        <v>21.69</v>
      </c>
      <c r="K96" s="26">
        <v>12.47</v>
      </c>
      <c r="W96">
        <v>0.57999999999999996</v>
      </c>
    </row>
    <row r="97" spans="1:27" ht="14.25" x14ac:dyDescent="0.2">
      <c r="A97" s="19"/>
      <c r="B97" s="20"/>
      <c r="C97" s="20" t="s">
        <v>251</v>
      </c>
      <c r="D97" s="22"/>
      <c r="E97" s="21"/>
      <c r="F97" s="24">
        <v>6.37</v>
      </c>
      <c r="G97" s="23" t="s">
        <v>3</v>
      </c>
      <c r="H97" s="21">
        <v>1</v>
      </c>
      <c r="I97" s="25">
        <v>12.74</v>
      </c>
      <c r="J97" s="21">
        <v>5.41</v>
      </c>
      <c r="K97" s="25">
        <v>68.92</v>
      </c>
    </row>
    <row r="98" spans="1:27" ht="82.5" x14ac:dyDescent="0.2">
      <c r="A98" s="19" t="s">
        <v>107</v>
      </c>
      <c r="B98" s="20" t="s">
        <v>28</v>
      </c>
      <c r="C98" s="20" t="s">
        <v>262</v>
      </c>
      <c r="D98" s="22" t="s">
        <v>86</v>
      </c>
      <c r="E98" s="21">
        <v>204</v>
      </c>
      <c r="F98" s="24">
        <v>12.22</v>
      </c>
      <c r="G98" s="27" t="s">
        <v>3</v>
      </c>
      <c r="H98" s="21">
        <v>1</v>
      </c>
      <c r="I98" s="25">
        <v>2492.88</v>
      </c>
      <c r="J98" s="21">
        <v>5.36</v>
      </c>
      <c r="K98" s="25">
        <v>13361.84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X98">
        <v>0</v>
      </c>
      <c r="Y98">
        <v>2492.88</v>
      </c>
      <c r="Z98">
        <v>0</v>
      </c>
      <c r="AA98">
        <v>0</v>
      </c>
    </row>
    <row r="99" spans="1:27" ht="14.25" x14ac:dyDescent="0.2">
      <c r="A99" s="19"/>
      <c r="B99" s="20"/>
      <c r="C99" s="20" t="s">
        <v>253</v>
      </c>
      <c r="D99" s="22" t="s">
        <v>254</v>
      </c>
      <c r="E99" s="21">
        <v>114</v>
      </c>
      <c r="F99" s="24"/>
      <c r="G99" s="23"/>
      <c r="H99" s="21"/>
      <c r="I99" s="25">
        <v>191.47</v>
      </c>
      <c r="J99" s="21">
        <v>77</v>
      </c>
      <c r="K99" s="25">
        <v>2805.11</v>
      </c>
    </row>
    <row r="100" spans="1:27" ht="14.25" x14ac:dyDescent="0.2">
      <c r="A100" s="19"/>
      <c r="B100" s="20"/>
      <c r="C100" s="20" t="s">
        <v>255</v>
      </c>
      <c r="D100" s="22" t="s">
        <v>254</v>
      </c>
      <c r="E100" s="21">
        <v>67</v>
      </c>
      <c r="F100" s="24"/>
      <c r="G100" s="23"/>
      <c r="H100" s="21"/>
      <c r="I100" s="25">
        <v>112.53</v>
      </c>
      <c r="J100" s="21">
        <v>41</v>
      </c>
      <c r="K100" s="25">
        <v>1493.63</v>
      </c>
    </row>
    <row r="101" spans="1:27" ht="14.25" x14ac:dyDescent="0.2">
      <c r="A101" s="19"/>
      <c r="B101" s="20"/>
      <c r="C101" s="20" t="s">
        <v>256</v>
      </c>
      <c r="D101" s="22" t="s">
        <v>254</v>
      </c>
      <c r="E101" s="21">
        <v>175</v>
      </c>
      <c r="F101" s="24"/>
      <c r="G101" s="23"/>
      <c r="H101" s="21"/>
      <c r="I101" s="25">
        <v>1.02</v>
      </c>
      <c r="J101" s="21">
        <v>157</v>
      </c>
      <c r="K101" s="25">
        <v>19.579999999999998</v>
      </c>
    </row>
    <row r="102" spans="1:27" ht="14.25" x14ac:dyDescent="0.2">
      <c r="A102" s="19"/>
      <c r="B102" s="20"/>
      <c r="C102" s="20" t="s">
        <v>257</v>
      </c>
      <c r="D102" s="22" t="s">
        <v>258</v>
      </c>
      <c r="E102" s="21">
        <v>5.15</v>
      </c>
      <c r="F102" s="24"/>
      <c r="G102" s="23" t="s">
        <v>22</v>
      </c>
      <c r="H102" s="21">
        <v>1</v>
      </c>
      <c r="I102" s="25">
        <v>13.62175</v>
      </c>
      <c r="J102" s="21"/>
      <c r="K102" s="25"/>
    </row>
    <row r="103" spans="1:27" ht="15" x14ac:dyDescent="0.25">
      <c r="A103" s="29"/>
      <c r="B103" s="29"/>
      <c r="C103" s="29"/>
      <c r="D103" s="29"/>
      <c r="E103" s="29"/>
      <c r="F103" s="29"/>
      <c r="G103" s="29"/>
      <c r="H103" s="53">
        <v>2981.04</v>
      </c>
      <c r="I103" s="53"/>
      <c r="J103" s="53">
        <v>21414.37</v>
      </c>
      <c r="K103" s="53"/>
      <c r="O103" s="28">
        <v>2981.04</v>
      </c>
      <c r="P103" s="28">
        <v>21414.37</v>
      </c>
      <c r="X103">
        <v>0</v>
      </c>
      <c r="Y103">
        <v>488.15999999999997</v>
      </c>
      <c r="Z103">
        <v>0</v>
      </c>
      <c r="AA103">
        <v>0</v>
      </c>
    </row>
    <row r="104" spans="1:27" ht="28.5" x14ac:dyDescent="0.2">
      <c r="A104" s="19" t="s">
        <v>110</v>
      </c>
      <c r="B104" s="20" t="s">
        <v>111</v>
      </c>
      <c r="C104" s="20" t="s">
        <v>112</v>
      </c>
      <c r="D104" s="22" t="s">
        <v>79</v>
      </c>
      <c r="E104" s="21">
        <v>0.1</v>
      </c>
      <c r="F104" s="24"/>
      <c r="G104" s="23"/>
      <c r="H104" s="21"/>
      <c r="I104" s="25"/>
      <c r="J104" s="21"/>
      <c r="K104" s="25"/>
      <c r="Q104">
        <v>74.08</v>
      </c>
      <c r="R104">
        <v>1085.27</v>
      </c>
      <c r="S104">
        <v>43.54</v>
      </c>
      <c r="T104">
        <v>577.87</v>
      </c>
      <c r="U104">
        <v>1</v>
      </c>
      <c r="V104">
        <v>19.28</v>
      </c>
    </row>
    <row r="105" spans="1:27" ht="14.25" x14ac:dyDescent="0.2">
      <c r="A105" s="19"/>
      <c r="B105" s="20"/>
      <c r="C105" s="20" t="s">
        <v>248</v>
      </c>
      <c r="D105" s="22"/>
      <c r="E105" s="21"/>
      <c r="F105" s="24">
        <v>491.35</v>
      </c>
      <c r="G105" s="23" t="s">
        <v>22</v>
      </c>
      <c r="H105" s="21">
        <v>1</v>
      </c>
      <c r="I105" s="25">
        <v>64.98</v>
      </c>
      <c r="J105" s="21">
        <v>21.69</v>
      </c>
      <c r="K105" s="25">
        <v>1409.44</v>
      </c>
      <c r="W105">
        <v>64.98</v>
      </c>
    </row>
    <row r="106" spans="1:27" ht="14.25" x14ac:dyDescent="0.2">
      <c r="A106" s="19"/>
      <c r="B106" s="20"/>
      <c r="C106" s="20" t="s">
        <v>249</v>
      </c>
      <c r="D106" s="22"/>
      <c r="E106" s="21"/>
      <c r="F106" s="24">
        <v>29.47</v>
      </c>
      <c r="G106" s="23" t="s">
        <v>21</v>
      </c>
      <c r="H106" s="21">
        <v>1</v>
      </c>
      <c r="I106" s="25">
        <v>4.24</v>
      </c>
      <c r="J106" s="21">
        <v>7.45</v>
      </c>
      <c r="K106" s="25">
        <v>31.56</v>
      </c>
    </row>
    <row r="107" spans="1:27" ht="14.25" x14ac:dyDescent="0.2">
      <c r="A107" s="19"/>
      <c r="B107" s="20"/>
      <c r="C107" s="20" t="s">
        <v>250</v>
      </c>
      <c r="D107" s="22"/>
      <c r="E107" s="21"/>
      <c r="F107" s="24">
        <v>3.94</v>
      </c>
      <c r="G107" s="23" t="s">
        <v>21</v>
      </c>
      <c r="H107" s="21">
        <v>1</v>
      </c>
      <c r="I107" s="26">
        <v>0.56999999999999995</v>
      </c>
      <c r="J107" s="21">
        <v>21.69</v>
      </c>
      <c r="K107" s="26">
        <v>12.28</v>
      </c>
      <c r="W107">
        <v>0.56999999999999995</v>
      </c>
    </row>
    <row r="108" spans="1:27" ht="14.25" x14ac:dyDescent="0.2">
      <c r="A108" s="19"/>
      <c r="B108" s="20"/>
      <c r="C108" s="20" t="s">
        <v>251</v>
      </c>
      <c r="D108" s="22"/>
      <c r="E108" s="21"/>
      <c r="F108" s="24">
        <v>1844.59</v>
      </c>
      <c r="G108" s="23" t="s">
        <v>3</v>
      </c>
      <c r="H108" s="21">
        <v>1</v>
      </c>
      <c r="I108" s="25">
        <v>184.46</v>
      </c>
      <c r="J108" s="21">
        <v>5.41</v>
      </c>
      <c r="K108" s="25">
        <v>997.92</v>
      </c>
    </row>
    <row r="109" spans="1:27" ht="28.5" x14ac:dyDescent="0.2">
      <c r="A109" s="19" t="s">
        <v>114</v>
      </c>
      <c r="B109" s="20" t="s">
        <v>115</v>
      </c>
      <c r="C109" s="20" t="s">
        <v>116</v>
      </c>
      <c r="D109" s="22" t="s">
        <v>86</v>
      </c>
      <c r="E109" s="21">
        <v>10.199999999999999</v>
      </c>
      <c r="F109" s="24">
        <v>3.8</v>
      </c>
      <c r="G109" s="27" t="s">
        <v>3</v>
      </c>
      <c r="H109" s="21">
        <v>1</v>
      </c>
      <c r="I109" s="25">
        <v>38.76</v>
      </c>
      <c r="J109" s="21">
        <v>2.83</v>
      </c>
      <c r="K109" s="25">
        <v>109.69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X109">
        <v>0</v>
      </c>
      <c r="Y109">
        <v>38.76</v>
      </c>
      <c r="Z109">
        <v>0</v>
      </c>
      <c r="AA109">
        <v>0</v>
      </c>
    </row>
    <row r="110" spans="1:27" ht="14.25" x14ac:dyDescent="0.2">
      <c r="A110" s="19"/>
      <c r="B110" s="20"/>
      <c r="C110" s="20" t="s">
        <v>253</v>
      </c>
      <c r="D110" s="22" t="s">
        <v>254</v>
      </c>
      <c r="E110" s="21">
        <v>114</v>
      </c>
      <c r="F110" s="24"/>
      <c r="G110" s="23"/>
      <c r="H110" s="21"/>
      <c r="I110" s="25">
        <v>74.08</v>
      </c>
      <c r="J110" s="21">
        <v>77</v>
      </c>
      <c r="K110" s="25">
        <v>1085.27</v>
      </c>
    </row>
    <row r="111" spans="1:27" ht="14.25" x14ac:dyDescent="0.2">
      <c r="A111" s="19"/>
      <c r="B111" s="20"/>
      <c r="C111" s="20" t="s">
        <v>255</v>
      </c>
      <c r="D111" s="22" t="s">
        <v>254</v>
      </c>
      <c r="E111" s="21">
        <v>67</v>
      </c>
      <c r="F111" s="24"/>
      <c r="G111" s="23"/>
      <c r="H111" s="21"/>
      <c r="I111" s="25">
        <v>43.54</v>
      </c>
      <c r="J111" s="21">
        <v>41</v>
      </c>
      <c r="K111" s="25">
        <v>577.87</v>
      </c>
    </row>
    <row r="112" spans="1:27" ht="14.25" x14ac:dyDescent="0.2">
      <c r="A112" s="19"/>
      <c r="B112" s="20"/>
      <c r="C112" s="20" t="s">
        <v>256</v>
      </c>
      <c r="D112" s="22" t="s">
        <v>254</v>
      </c>
      <c r="E112" s="21">
        <v>175</v>
      </c>
      <c r="F112" s="24"/>
      <c r="G112" s="23"/>
      <c r="H112" s="21"/>
      <c r="I112" s="25">
        <v>1</v>
      </c>
      <c r="J112" s="21">
        <v>157</v>
      </c>
      <c r="K112" s="25">
        <v>19.28</v>
      </c>
    </row>
    <row r="113" spans="1:27" ht="14.25" x14ac:dyDescent="0.2">
      <c r="A113" s="19"/>
      <c r="B113" s="20"/>
      <c r="C113" s="20" t="s">
        <v>257</v>
      </c>
      <c r="D113" s="22" t="s">
        <v>258</v>
      </c>
      <c r="E113" s="21">
        <v>40.67</v>
      </c>
      <c r="F113" s="24"/>
      <c r="G113" s="23" t="s">
        <v>22</v>
      </c>
      <c r="H113" s="21">
        <v>1</v>
      </c>
      <c r="I113" s="25">
        <v>5.3786075000000002</v>
      </c>
      <c r="J113" s="21"/>
      <c r="K113" s="25"/>
    </row>
    <row r="114" spans="1:27" ht="15" x14ac:dyDescent="0.25">
      <c r="A114" s="29"/>
      <c r="B114" s="29"/>
      <c r="C114" s="29"/>
      <c r="D114" s="29"/>
      <c r="E114" s="29"/>
      <c r="F114" s="29"/>
      <c r="G114" s="29"/>
      <c r="H114" s="53">
        <v>411.06</v>
      </c>
      <c r="I114" s="53"/>
      <c r="J114" s="53">
        <v>4231.03</v>
      </c>
      <c r="K114" s="53"/>
      <c r="O114" s="28">
        <v>411.06</v>
      </c>
      <c r="P114" s="28">
        <v>4231.03</v>
      </c>
      <c r="X114">
        <v>0</v>
      </c>
      <c r="Y114">
        <v>372.3</v>
      </c>
      <c r="Z114">
        <v>0</v>
      </c>
      <c r="AA114">
        <v>0</v>
      </c>
    </row>
    <row r="115" spans="1:27" ht="28.5" x14ac:dyDescent="0.2">
      <c r="A115" s="19" t="s">
        <v>118</v>
      </c>
      <c r="B115" s="20" t="s">
        <v>119</v>
      </c>
      <c r="C115" s="20" t="s">
        <v>120</v>
      </c>
      <c r="D115" s="22" t="s">
        <v>79</v>
      </c>
      <c r="E115" s="21">
        <v>0.2</v>
      </c>
      <c r="F115" s="24"/>
      <c r="G115" s="23"/>
      <c r="H115" s="21"/>
      <c r="I115" s="25"/>
      <c r="J115" s="21"/>
      <c r="K115" s="25"/>
      <c r="Q115">
        <v>11.49</v>
      </c>
      <c r="R115">
        <v>168.31</v>
      </c>
      <c r="S115">
        <v>6.75</v>
      </c>
      <c r="T115">
        <v>89.62</v>
      </c>
      <c r="U115">
        <v>0.11</v>
      </c>
      <c r="V115">
        <v>1.96</v>
      </c>
    </row>
    <row r="116" spans="1:27" ht="14.25" x14ac:dyDescent="0.2">
      <c r="A116" s="19"/>
      <c r="B116" s="20"/>
      <c r="C116" s="20" t="s">
        <v>248</v>
      </c>
      <c r="D116" s="22"/>
      <c r="E116" s="21"/>
      <c r="F116" s="24">
        <v>38.1</v>
      </c>
      <c r="G116" s="23" t="s">
        <v>22</v>
      </c>
      <c r="H116" s="21">
        <v>1</v>
      </c>
      <c r="I116" s="25">
        <v>10.08</v>
      </c>
      <c r="J116" s="21">
        <v>21.69</v>
      </c>
      <c r="K116" s="25">
        <v>218.58</v>
      </c>
      <c r="W116">
        <v>10.08</v>
      </c>
    </row>
    <row r="117" spans="1:27" ht="14.25" x14ac:dyDescent="0.2">
      <c r="A117" s="19"/>
      <c r="B117" s="20"/>
      <c r="C117" s="20" t="s">
        <v>249</v>
      </c>
      <c r="D117" s="22"/>
      <c r="E117" s="21"/>
      <c r="F117" s="24">
        <v>0.85</v>
      </c>
      <c r="G117" s="23" t="s">
        <v>21</v>
      </c>
      <c r="H117" s="21">
        <v>1</v>
      </c>
      <c r="I117" s="25">
        <v>0.24</v>
      </c>
      <c r="J117" s="21">
        <v>9.1199999999999992</v>
      </c>
      <c r="K117" s="25">
        <v>2.23</v>
      </c>
    </row>
    <row r="118" spans="1:27" ht="14.25" x14ac:dyDescent="0.2">
      <c r="A118" s="19"/>
      <c r="B118" s="20"/>
      <c r="C118" s="20" t="s">
        <v>250</v>
      </c>
      <c r="D118" s="22"/>
      <c r="E118" s="21"/>
      <c r="F118" s="24">
        <v>0.2</v>
      </c>
      <c r="G118" s="23" t="s">
        <v>21</v>
      </c>
      <c r="H118" s="21">
        <v>1</v>
      </c>
      <c r="I118" s="26">
        <v>0.06</v>
      </c>
      <c r="J118" s="21">
        <v>21.69</v>
      </c>
      <c r="K118" s="26">
        <v>1.25</v>
      </c>
      <c r="W118">
        <v>0.06</v>
      </c>
    </row>
    <row r="119" spans="1:27" ht="14.25" x14ac:dyDescent="0.2">
      <c r="A119" s="19"/>
      <c r="B119" s="20"/>
      <c r="C119" s="20" t="s">
        <v>251</v>
      </c>
      <c r="D119" s="22"/>
      <c r="E119" s="21"/>
      <c r="F119" s="24">
        <v>3.71</v>
      </c>
      <c r="G119" s="23" t="s">
        <v>3</v>
      </c>
      <c r="H119" s="21">
        <v>1</v>
      </c>
      <c r="I119" s="25">
        <v>0.74</v>
      </c>
      <c r="J119" s="21">
        <v>5.41</v>
      </c>
      <c r="K119" s="25">
        <v>4.01</v>
      </c>
    </row>
    <row r="120" spans="1:27" ht="99.75" x14ac:dyDescent="0.2">
      <c r="A120" s="19" t="s">
        <v>122</v>
      </c>
      <c r="B120" s="20" t="s">
        <v>123</v>
      </c>
      <c r="C120" s="20" t="s">
        <v>124</v>
      </c>
      <c r="D120" s="22" t="s">
        <v>125</v>
      </c>
      <c r="E120" s="21">
        <v>2.0400000000000001E-2</v>
      </c>
      <c r="F120" s="24">
        <v>16446.900000000001</v>
      </c>
      <c r="G120" s="27" t="s">
        <v>3</v>
      </c>
      <c r="H120" s="21">
        <v>1</v>
      </c>
      <c r="I120" s="25">
        <v>335.52</v>
      </c>
      <c r="J120" s="21">
        <v>2.39</v>
      </c>
      <c r="K120" s="25">
        <v>801.89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X120">
        <v>0</v>
      </c>
      <c r="Y120">
        <v>335.52</v>
      </c>
      <c r="Z120">
        <v>0</v>
      </c>
      <c r="AA120">
        <v>0</v>
      </c>
    </row>
    <row r="121" spans="1:27" ht="14.25" x14ac:dyDescent="0.2">
      <c r="A121" s="19"/>
      <c r="B121" s="20"/>
      <c r="C121" s="20" t="s">
        <v>253</v>
      </c>
      <c r="D121" s="22" t="s">
        <v>254</v>
      </c>
      <c r="E121" s="21">
        <v>114</v>
      </c>
      <c r="F121" s="24"/>
      <c r="G121" s="23"/>
      <c r="H121" s="21"/>
      <c r="I121" s="25">
        <v>11.49</v>
      </c>
      <c r="J121" s="21">
        <v>77</v>
      </c>
      <c r="K121" s="25">
        <v>168.31</v>
      </c>
    </row>
    <row r="122" spans="1:27" ht="14.25" x14ac:dyDescent="0.2">
      <c r="A122" s="19"/>
      <c r="B122" s="20"/>
      <c r="C122" s="20" t="s">
        <v>255</v>
      </c>
      <c r="D122" s="22" t="s">
        <v>254</v>
      </c>
      <c r="E122" s="21">
        <v>67</v>
      </c>
      <c r="F122" s="24"/>
      <c r="G122" s="23"/>
      <c r="H122" s="21"/>
      <c r="I122" s="25">
        <v>6.75</v>
      </c>
      <c r="J122" s="21">
        <v>41</v>
      </c>
      <c r="K122" s="25">
        <v>89.62</v>
      </c>
    </row>
    <row r="123" spans="1:27" ht="14.25" x14ac:dyDescent="0.2">
      <c r="A123" s="19"/>
      <c r="B123" s="20"/>
      <c r="C123" s="20" t="s">
        <v>256</v>
      </c>
      <c r="D123" s="22" t="s">
        <v>254</v>
      </c>
      <c r="E123" s="21">
        <v>175</v>
      </c>
      <c r="F123" s="24"/>
      <c r="G123" s="23"/>
      <c r="H123" s="21"/>
      <c r="I123" s="25">
        <v>0.11</v>
      </c>
      <c r="J123" s="21">
        <v>157</v>
      </c>
      <c r="K123" s="25">
        <v>1.96</v>
      </c>
    </row>
    <row r="124" spans="1:27" ht="14.25" x14ac:dyDescent="0.2">
      <c r="A124" s="19"/>
      <c r="B124" s="20"/>
      <c r="C124" s="20" t="s">
        <v>257</v>
      </c>
      <c r="D124" s="22" t="s">
        <v>258</v>
      </c>
      <c r="E124" s="21">
        <v>3.09</v>
      </c>
      <c r="F124" s="24"/>
      <c r="G124" s="23" t="s">
        <v>22</v>
      </c>
      <c r="H124" s="21">
        <v>1</v>
      </c>
      <c r="I124" s="25">
        <v>0.81730499999999984</v>
      </c>
      <c r="J124" s="21"/>
      <c r="K124" s="25"/>
    </row>
    <row r="125" spans="1:27" ht="15" x14ac:dyDescent="0.25">
      <c r="A125" s="29"/>
      <c r="B125" s="29"/>
      <c r="C125" s="29"/>
      <c r="D125" s="29"/>
      <c r="E125" s="29"/>
      <c r="F125" s="29"/>
      <c r="G125" s="29"/>
      <c r="H125" s="53">
        <v>364.93</v>
      </c>
      <c r="I125" s="53"/>
      <c r="J125" s="53">
        <v>1286.5999999999999</v>
      </c>
      <c r="K125" s="53"/>
      <c r="O125" s="28">
        <v>364.93</v>
      </c>
      <c r="P125" s="28">
        <v>1286.5999999999999</v>
      </c>
      <c r="X125">
        <v>0</v>
      </c>
      <c r="Y125">
        <v>29.41</v>
      </c>
      <c r="Z125">
        <v>0</v>
      </c>
      <c r="AA125">
        <v>0</v>
      </c>
    </row>
    <row r="127" spans="1:27" ht="15" x14ac:dyDescent="0.25">
      <c r="A127" s="56" t="s">
        <v>332</v>
      </c>
      <c r="B127" s="56"/>
      <c r="C127" s="56"/>
      <c r="D127" s="56"/>
      <c r="E127" s="56"/>
      <c r="F127" s="56"/>
      <c r="G127" s="56"/>
      <c r="H127" s="54">
        <v>22242.850000000002</v>
      </c>
      <c r="I127" s="55"/>
      <c r="J127" s="54">
        <v>194266.23999999999</v>
      </c>
      <c r="K127" s="55"/>
    </row>
    <row r="128" spans="1:27" hidden="1" x14ac:dyDescent="0.2">
      <c r="A128" t="s">
        <v>263</v>
      </c>
      <c r="I128">
        <v>0</v>
      </c>
      <c r="J128">
        <v>0</v>
      </c>
    </row>
    <row r="129" spans="1:38" hidden="1" x14ac:dyDescent="0.2">
      <c r="A129" t="s">
        <v>264</v>
      </c>
      <c r="I129">
        <v>0</v>
      </c>
      <c r="J129">
        <v>0</v>
      </c>
    </row>
    <row r="131" spans="1:38" ht="16.5" x14ac:dyDescent="0.25">
      <c r="A131" s="57" t="s">
        <v>329</v>
      </c>
      <c r="B131" s="57"/>
      <c r="C131" s="57"/>
      <c r="D131" s="57"/>
      <c r="E131" s="57"/>
      <c r="F131" s="57"/>
      <c r="G131" s="57"/>
      <c r="H131" s="57"/>
      <c r="I131" s="57"/>
      <c r="J131" s="57"/>
      <c r="K131" s="57"/>
    </row>
    <row r="132" spans="1:38" ht="42.75" x14ac:dyDescent="0.2">
      <c r="A132" s="19" t="s">
        <v>180</v>
      </c>
      <c r="B132" s="20" t="s">
        <v>181</v>
      </c>
      <c r="C132" s="20" t="s">
        <v>182</v>
      </c>
      <c r="D132" s="22" t="s">
        <v>183</v>
      </c>
      <c r="E132" s="21">
        <v>1</v>
      </c>
      <c r="F132" s="24"/>
      <c r="G132" s="23"/>
      <c r="H132" s="21"/>
      <c r="I132" s="25"/>
      <c r="J132" s="21"/>
      <c r="K132" s="25"/>
      <c r="Q132">
        <v>651.98</v>
      </c>
      <c r="R132">
        <v>12821.42</v>
      </c>
      <c r="S132">
        <v>608.51</v>
      </c>
      <c r="T132">
        <v>7730.56</v>
      </c>
      <c r="U132">
        <v>0</v>
      </c>
      <c r="V132">
        <v>0</v>
      </c>
    </row>
    <row r="133" spans="1:38" ht="14.25" x14ac:dyDescent="0.2">
      <c r="A133" s="19"/>
      <c r="B133" s="20"/>
      <c r="C133" s="20" t="s">
        <v>248</v>
      </c>
      <c r="D133" s="22"/>
      <c r="E133" s="21"/>
      <c r="F133" s="24">
        <v>1086.6199999999999</v>
      </c>
      <c r="G133" s="23" t="s">
        <v>185</v>
      </c>
      <c r="H133" s="21">
        <v>1</v>
      </c>
      <c r="I133" s="25">
        <v>869.3</v>
      </c>
      <c r="J133" s="21">
        <v>21.69</v>
      </c>
      <c r="K133" s="25">
        <v>18855.03</v>
      </c>
      <c r="W133">
        <v>869.3</v>
      </c>
    </row>
    <row r="134" spans="1:38" ht="14.25" x14ac:dyDescent="0.2">
      <c r="A134" s="19"/>
      <c r="B134" s="20"/>
      <c r="C134" s="20" t="s">
        <v>253</v>
      </c>
      <c r="D134" s="22" t="s">
        <v>254</v>
      </c>
      <c r="E134" s="21">
        <v>75</v>
      </c>
      <c r="F134" s="24"/>
      <c r="G134" s="23"/>
      <c r="H134" s="21"/>
      <c r="I134" s="25">
        <v>651.98</v>
      </c>
      <c r="J134" s="21">
        <v>68</v>
      </c>
      <c r="K134" s="25">
        <v>12821.42</v>
      </c>
    </row>
    <row r="135" spans="1:38" ht="14.25" x14ac:dyDescent="0.2">
      <c r="A135" s="19"/>
      <c r="B135" s="20"/>
      <c r="C135" s="20" t="s">
        <v>255</v>
      </c>
      <c r="D135" s="22" t="s">
        <v>254</v>
      </c>
      <c r="E135" s="21">
        <v>70</v>
      </c>
      <c r="F135" s="24"/>
      <c r="G135" s="23"/>
      <c r="H135" s="21"/>
      <c r="I135" s="25">
        <v>608.51</v>
      </c>
      <c r="J135" s="21">
        <v>41</v>
      </c>
      <c r="K135" s="25">
        <v>7730.56</v>
      </c>
    </row>
    <row r="136" spans="1:38" ht="14.25" x14ac:dyDescent="0.2">
      <c r="A136" s="19"/>
      <c r="B136" s="20"/>
      <c r="C136" s="20" t="s">
        <v>257</v>
      </c>
      <c r="D136" s="22" t="s">
        <v>258</v>
      </c>
      <c r="E136" s="21">
        <v>56</v>
      </c>
      <c r="F136" s="24"/>
      <c r="G136" s="23" t="s">
        <v>185</v>
      </c>
      <c r="H136" s="21">
        <v>1</v>
      </c>
      <c r="I136" s="25">
        <v>44.800000000000004</v>
      </c>
      <c r="J136" s="21"/>
      <c r="K136" s="25"/>
    </row>
    <row r="137" spans="1:38" ht="15" x14ac:dyDescent="0.25">
      <c r="A137" s="29"/>
      <c r="B137" s="29"/>
      <c r="C137" s="29"/>
      <c r="D137" s="29"/>
      <c r="E137" s="29"/>
      <c r="F137" s="29"/>
      <c r="G137" s="29"/>
      <c r="H137" s="53">
        <v>2129.79</v>
      </c>
      <c r="I137" s="53"/>
      <c r="J137" s="53">
        <v>39407.009999999995</v>
      </c>
      <c r="K137" s="53"/>
      <c r="O137" s="28">
        <v>2129.79</v>
      </c>
      <c r="P137" s="28">
        <v>39407.009999999995</v>
      </c>
      <c r="X137">
        <v>0</v>
      </c>
      <c r="Y137">
        <v>0</v>
      </c>
      <c r="Z137">
        <v>0</v>
      </c>
      <c r="AA137">
        <v>2129.79</v>
      </c>
    </row>
    <row r="139" spans="1:38" ht="15" x14ac:dyDescent="0.25">
      <c r="A139" s="56" t="s">
        <v>333</v>
      </c>
      <c r="B139" s="56"/>
      <c r="C139" s="56"/>
      <c r="D139" s="56"/>
      <c r="E139" s="56"/>
      <c r="F139" s="56"/>
      <c r="G139" s="56"/>
      <c r="H139" s="54">
        <v>2129.79</v>
      </c>
      <c r="I139" s="55"/>
      <c r="J139" s="54">
        <v>39407.009999999995</v>
      </c>
      <c r="K139" s="55"/>
    </row>
    <row r="140" spans="1:38" hidden="1" x14ac:dyDescent="0.2">
      <c r="A140" t="s">
        <v>263</v>
      </c>
      <c r="I140">
        <v>0</v>
      </c>
      <c r="J140">
        <v>0</v>
      </c>
    </row>
    <row r="141" spans="1:38" hidden="1" x14ac:dyDescent="0.2">
      <c r="A141" t="s">
        <v>264</v>
      </c>
      <c r="I141">
        <v>0</v>
      </c>
      <c r="J141">
        <v>0</v>
      </c>
    </row>
    <row r="143" spans="1:38" ht="15" x14ac:dyDescent="0.25">
      <c r="A143" s="56" t="s">
        <v>336</v>
      </c>
      <c r="B143" s="56"/>
      <c r="C143" s="56"/>
      <c r="D143" s="56"/>
      <c r="E143" s="56"/>
      <c r="F143" s="56"/>
      <c r="G143" s="56"/>
      <c r="H143" s="54">
        <v>24372.640000000003</v>
      </c>
      <c r="I143" s="55"/>
      <c r="J143" s="54">
        <v>233673.25</v>
      </c>
      <c r="K143" s="55"/>
      <c r="AL143" s="32" t="s">
        <v>334</v>
      </c>
    </row>
    <row r="144" spans="1:38" hidden="1" x14ac:dyDescent="0.2">
      <c r="A144" t="s">
        <v>263</v>
      </c>
      <c r="I144">
        <v>0</v>
      </c>
      <c r="J144">
        <v>0</v>
      </c>
    </row>
    <row r="145" spans="1:11" hidden="1" x14ac:dyDescent="0.2">
      <c r="A145" t="s">
        <v>264</v>
      </c>
      <c r="I145">
        <v>0</v>
      </c>
      <c r="J145">
        <v>0</v>
      </c>
    </row>
    <row r="146" spans="1:11" ht="14.25" x14ac:dyDescent="0.2">
      <c r="C146" s="51" t="s">
        <v>190</v>
      </c>
      <c r="D146" s="51"/>
      <c r="E146" s="51"/>
      <c r="F146" s="51"/>
      <c r="G146" s="51"/>
      <c r="H146" s="51"/>
      <c r="I146" s="51"/>
      <c r="J146" s="52">
        <v>233673.25</v>
      </c>
      <c r="K146" s="52"/>
    </row>
    <row r="147" spans="1:11" ht="14.25" x14ac:dyDescent="0.2">
      <c r="C147" s="51" t="s">
        <v>192</v>
      </c>
      <c r="D147" s="51"/>
      <c r="E147" s="51"/>
      <c r="F147" s="51"/>
      <c r="G147" s="51"/>
      <c r="H147" s="51"/>
      <c r="I147" s="51"/>
      <c r="J147" s="52">
        <v>46734.65</v>
      </c>
      <c r="K147" s="52"/>
    </row>
    <row r="148" spans="1:11" ht="14.25" x14ac:dyDescent="0.2">
      <c r="C148" s="51" t="s">
        <v>194</v>
      </c>
      <c r="D148" s="51"/>
      <c r="E148" s="51"/>
      <c r="F148" s="51"/>
      <c r="G148" s="51"/>
      <c r="H148" s="51"/>
      <c r="I148" s="51"/>
      <c r="J148" s="52">
        <v>280407.90000000002</v>
      </c>
      <c r="K148" s="52"/>
    </row>
    <row r="152" spans="1:11" ht="14.25" x14ac:dyDescent="0.2">
      <c r="A152" s="49" t="s">
        <v>266</v>
      </c>
      <c r="B152" s="49"/>
      <c r="C152" s="33" t="s">
        <v>335</v>
      </c>
      <c r="D152" s="33"/>
      <c r="E152" s="33"/>
      <c r="F152" s="33"/>
      <c r="G152" s="33"/>
      <c r="H152" s="12" t="s">
        <v>335</v>
      </c>
      <c r="I152" s="12"/>
      <c r="J152" s="12"/>
      <c r="K152" s="12"/>
    </row>
    <row r="153" spans="1:11" ht="14.25" x14ac:dyDescent="0.2">
      <c r="A153" s="12"/>
      <c r="B153" s="12"/>
      <c r="C153" s="50" t="s">
        <v>267</v>
      </c>
      <c r="D153" s="50"/>
      <c r="E153" s="50"/>
      <c r="F153" s="50"/>
      <c r="G153" s="50"/>
      <c r="H153" s="12"/>
      <c r="I153" s="12"/>
      <c r="J153" s="12"/>
      <c r="K153" s="12"/>
    </row>
    <row r="154" spans="1:11" ht="14.25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</row>
    <row r="155" spans="1:11" ht="14.25" x14ac:dyDescent="0.2">
      <c r="A155" s="49" t="s">
        <v>268</v>
      </c>
      <c r="B155" s="49"/>
      <c r="C155" s="33" t="s">
        <v>335</v>
      </c>
      <c r="D155" s="33"/>
      <c r="E155" s="33"/>
      <c r="F155" s="33"/>
      <c r="G155" s="33"/>
      <c r="H155" s="12" t="s">
        <v>335</v>
      </c>
      <c r="I155" s="12"/>
      <c r="J155" s="12"/>
      <c r="K155" s="12"/>
    </row>
    <row r="156" spans="1:11" ht="14.25" x14ac:dyDescent="0.2">
      <c r="A156" s="12"/>
      <c r="B156" s="12"/>
      <c r="C156" s="50" t="s">
        <v>267</v>
      </c>
      <c r="D156" s="50"/>
      <c r="E156" s="50"/>
      <c r="F156" s="50"/>
      <c r="G156" s="50"/>
      <c r="H156" s="12"/>
      <c r="I156" s="12"/>
      <c r="J156" s="12"/>
      <c r="K156" s="12"/>
    </row>
  </sheetData>
  <mergeCells count="54">
    <mergeCell ref="A19:K19"/>
    <mergeCell ref="A3:K3"/>
    <mergeCell ref="F5:H5"/>
    <mergeCell ref="F6:H6"/>
    <mergeCell ref="F7:H7"/>
    <mergeCell ref="F8:H8"/>
    <mergeCell ref="F9:H9"/>
    <mergeCell ref="F10:H10"/>
    <mergeCell ref="F12:H12"/>
    <mergeCell ref="A13:K13"/>
    <mergeCell ref="A17:K17"/>
    <mergeCell ref="J30:K30"/>
    <mergeCell ref="H30:I30"/>
    <mergeCell ref="J38:K38"/>
    <mergeCell ref="H38:I38"/>
    <mergeCell ref="J46:K46"/>
    <mergeCell ref="H46:I46"/>
    <mergeCell ref="J114:K114"/>
    <mergeCell ref="H114:I114"/>
    <mergeCell ref="J54:K54"/>
    <mergeCell ref="H54:I54"/>
    <mergeCell ref="J65:K65"/>
    <mergeCell ref="H65:I65"/>
    <mergeCell ref="J76:K76"/>
    <mergeCell ref="H76:I76"/>
    <mergeCell ref="B78:J78"/>
    <mergeCell ref="J92:K92"/>
    <mergeCell ref="H92:I92"/>
    <mergeCell ref="J103:K103"/>
    <mergeCell ref="H103:I103"/>
    <mergeCell ref="J143:K143"/>
    <mergeCell ref="H143:I143"/>
    <mergeCell ref="A143:G143"/>
    <mergeCell ref="J125:K125"/>
    <mergeCell ref="H125:I125"/>
    <mergeCell ref="J127:K127"/>
    <mergeCell ref="H127:I127"/>
    <mergeCell ref="A127:G127"/>
    <mergeCell ref="A131:K131"/>
    <mergeCell ref="J137:K137"/>
    <mergeCell ref="H137:I137"/>
    <mergeCell ref="J139:K139"/>
    <mergeCell ref="H139:I139"/>
    <mergeCell ref="A139:G139"/>
    <mergeCell ref="J146:K146"/>
    <mergeCell ref="C147:I147"/>
    <mergeCell ref="J147:K147"/>
    <mergeCell ref="C148:I148"/>
    <mergeCell ref="J148:K148"/>
    <mergeCell ref="A155:B155"/>
    <mergeCell ref="C156:G156"/>
    <mergeCell ref="A152:B152"/>
    <mergeCell ref="C153:G153"/>
    <mergeCell ref="C146:I146"/>
  </mergeCells>
  <pageMargins left="0.4" right="0.2" top="0.2" bottom="0.4" header="0.2" footer="0.2"/>
  <pageSetup paperSize="9" scale="64" fitToHeight="0" orientation="portrait" verticalDpi="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opLeftCell="A37" zoomScaleNormal="100" workbookViewId="0">
      <selection activeCell="B6" sqref="B6"/>
    </sheetView>
  </sheetViews>
  <sheetFormatPr defaultRowHeight="12.75" x14ac:dyDescent="0.2"/>
  <cols>
    <col min="1" max="1" width="6.7109375" customWidth="1"/>
    <col min="2" max="2" width="75.7109375" customWidth="1"/>
    <col min="3" max="5" width="15.7109375" customWidth="1"/>
  </cols>
  <sheetData>
    <row r="1" spans="1:5" x14ac:dyDescent="0.2">
      <c r="A1" s="11" t="str">
        <f>Source!B1</f>
        <v>Smeta.RU  (495) 974-1589</v>
      </c>
    </row>
    <row r="2" spans="1:5" ht="14.25" x14ac:dyDescent="0.2">
      <c r="C2" s="12"/>
      <c r="D2" s="12"/>
    </row>
    <row r="3" spans="1:5" ht="15" x14ac:dyDescent="0.25">
      <c r="C3" s="12"/>
      <c r="D3" s="31" t="s">
        <v>269</v>
      </c>
    </row>
    <row r="4" spans="1:5" ht="15" x14ac:dyDescent="0.25">
      <c r="C4" s="31"/>
      <c r="D4" s="31"/>
    </row>
    <row r="5" spans="1:5" ht="15" x14ac:dyDescent="0.25">
      <c r="C5" s="64" t="s">
        <v>270</v>
      </c>
      <c r="D5" s="64"/>
    </row>
    <row r="6" spans="1:5" ht="15" x14ac:dyDescent="0.25">
      <c r="C6" s="34"/>
      <c r="D6" s="34"/>
    </row>
    <row r="7" spans="1:5" ht="15" x14ac:dyDescent="0.25">
      <c r="C7" s="64" t="s">
        <v>270</v>
      </c>
      <c r="D7" s="64"/>
    </row>
    <row r="8" spans="1:5" ht="15" x14ac:dyDescent="0.25">
      <c r="C8" s="34"/>
      <c r="D8" s="34"/>
    </row>
    <row r="9" spans="1:5" ht="15" x14ac:dyDescent="0.25">
      <c r="C9" s="31" t="s">
        <v>271</v>
      </c>
      <c r="D9" s="12"/>
    </row>
    <row r="10" spans="1:5" ht="14.25" x14ac:dyDescent="0.2">
      <c r="A10" s="12"/>
      <c r="B10" s="12"/>
      <c r="C10" s="12"/>
      <c r="D10" s="12"/>
      <c r="E10" s="12"/>
    </row>
    <row r="11" spans="1:5" ht="15.75" x14ac:dyDescent="0.25">
      <c r="A11" s="65" t="str">
        <f>CONCATENATE("Дефектный акт ", IF(Source!AN15&lt;&gt;"", Source!AN15," "))</f>
        <v xml:space="preserve">Дефектный акт  </v>
      </c>
      <c r="B11" s="65"/>
      <c r="C11" s="65"/>
      <c r="D11" s="65"/>
      <c r="E11" s="12"/>
    </row>
    <row r="12" spans="1:5" ht="55.15" customHeight="1" x14ac:dyDescent="0.25">
      <c r="A12" s="66" t="s">
        <v>330</v>
      </c>
      <c r="B12" s="66"/>
      <c r="C12" s="66"/>
      <c r="D12" s="66"/>
      <c r="E12" s="12"/>
    </row>
    <row r="13" spans="1:5" ht="14.25" x14ac:dyDescent="0.2">
      <c r="A13" s="12"/>
      <c r="B13" s="12"/>
      <c r="C13" s="12"/>
      <c r="D13" s="12"/>
      <c r="E13" s="12"/>
    </row>
    <row r="14" spans="1:5" ht="15" x14ac:dyDescent="0.2">
      <c r="A14" s="12"/>
      <c r="B14" s="35" t="s">
        <v>272</v>
      </c>
      <c r="C14" s="12"/>
      <c r="D14" s="12"/>
      <c r="E14" s="12"/>
    </row>
    <row r="15" spans="1:5" ht="15" x14ac:dyDescent="0.2">
      <c r="A15" s="12"/>
      <c r="B15" s="35" t="s">
        <v>273</v>
      </c>
      <c r="C15" s="12"/>
      <c r="D15" s="12"/>
      <c r="E15" s="12"/>
    </row>
    <row r="16" spans="1:5" ht="15" x14ac:dyDescent="0.2">
      <c r="A16" s="12"/>
      <c r="B16" s="35" t="s">
        <v>274</v>
      </c>
      <c r="C16" s="12"/>
      <c r="D16" s="12"/>
      <c r="E16" s="12"/>
    </row>
    <row r="17" spans="1:5" ht="28.5" x14ac:dyDescent="0.2">
      <c r="A17" s="16" t="s">
        <v>275</v>
      </c>
      <c r="B17" s="16" t="s">
        <v>237</v>
      </c>
      <c r="C17" s="16" t="s">
        <v>238</v>
      </c>
      <c r="D17" s="16" t="s">
        <v>276</v>
      </c>
      <c r="E17" s="17" t="s">
        <v>277</v>
      </c>
    </row>
    <row r="18" spans="1:5" ht="14.25" x14ac:dyDescent="0.2">
      <c r="A18" s="36">
        <v>1</v>
      </c>
      <c r="B18" s="36">
        <v>2</v>
      </c>
      <c r="C18" s="36">
        <v>3</v>
      </c>
      <c r="D18" s="36">
        <v>4</v>
      </c>
      <c r="E18" s="37">
        <v>5</v>
      </c>
    </row>
    <row r="19" spans="1:5" ht="16.5" x14ac:dyDescent="0.25">
      <c r="A19" s="63" t="str">
        <f>CONCATENATE("Локальная смета: ", Source!G20)</f>
        <v>Локальная смета: Система оповещения и управления эвакуацией людей при пожаре</v>
      </c>
      <c r="B19" s="63"/>
      <c r="C19" s="63"/>
      <c r="D19" s="63"/>
      <c r="E19" s="63"/>
    </row>
    <row r="20" spans="1:5" ht="16.5" x14ac:dyDescent="0.25">
      <c r="A20" s="63" t="str">
        <f>CONCATENATE("Раздел: ", Source!G24)</f>
        <v>Раздел: Монтажные работы</v>
      </c>
      <c r="B20" s="63"/>
      <c r="C20" s="63"/>
      <c r="D20" s="63"/>
      <c r="E20" s="63"/>
    </row>
    <row r="21" spans="1:5" ht="28.5" x14ac:dyDescent="0.2">
      <c r="A21" s="42" t="str">
        <f>Source!E28</f>
        <v>1</v>
      </c>
      <c r="B21" s="43" t="str">
        <f>Source!G28</f>
        <v>Аппараты приемные, приборы приемно-контрольные объектовые на 2 луча</v>
      </c>
      <c r="C21" s="44" t="str">
        <f>Source!H28</f>
        <v>1  ШТ.</v>
      </c>
      <c r="D21" s="45">
        <f>Source!I28</f>
        <v>1</v>
      </c>
      <c r="E21" s="42"/>
    </row>
    <row r="22" spans="1:5" ht="14.25" x14ac:dyDescent="0.2">
      <c r="A22" s="42" t="str">
        <f>Source!E30</f>
        <v>1,1</v>
      </c>
      <c r="B22" s="43" t="str">
        <f>Source!G30</f>
        <v>Прибор управления речевыми оповещателями Соната-К-120М</v>
      </c>
      <c r="C22" s="44" t="str">
        <f>Source!H30</f>
        <v>шт.</v>
      </c>
      <c r="D22" s="45">
        <f>Source!I30</f>
        <v>1</v>
      </c>
      <c r="E22" s="42"/>
    </row>
    <row r="23" spans="1:5" ht="28.5" x14ac:dyDescent="0.2">
      <c r="A23" s="42" t="str">
        <f>Source!E32</f>
        <v>2</v>
      </c>
      <c r="B23" s="43" t="str">
        <f>Source!G32</f>
        <v>Аккумуляторы кислотные стационарные, аккумулятор С-6, СК-6, С-8, СК-8</v>
      </c>
      <c r="C23" s="44" t="str">
        <f>Source!H32</f>
        <v>1  ШТ.</v>
      </c>
      <c r="D23" s="45">
        <f>Source!I32</f>
        <v>2</v>
      </c>
      <c r="E23" s="42"/>
    </row>
    <row r="24" spans="1:5" ht="28.5" x14ac:dyDescent="0.2">
      <c r="A24" s="42" t="str">
        <f>Source!E34</f>
        <v>2,1</v>
      </c>
      <c r="B24" s="43" t="str">
        <f>Source!G34</f>
        <v>Аккумулятор герметичный свинцово-кислотный 12 В, 12 А·ч. Габаритные размеры не более 151x98x101мм</v>
      </c>
      <c r="C24" s="44" t="str">
        <f>Source!H34</f>
        <v>шт.</v>
      </c>
      <c r="D24" s="45">
        <f>Source!I34</f>
        <v>2</v>
      </c>
      <c r="E24" s="42"/>
    </row>
    <row r="25" spans="1:5" ht="14.25" x14ac:dyDescent="0.2">
      <c r="A25" s="42" t="str">
        <f>Source!E36</f>
        <v>3</v>
      </c>
      <c r="B25" s="43" t="str">
        <f>Source!G36</f>
        <v>Громкоговоритель или звуковая колонка в помещении</v>
      </c>
      <c r="C25" s="44" t="str">
        <f>Source!H36</f>
        <v>1  ШТ.</v>
      </c>
      <c r="D25" s="45">
        <f>Source!I36</f>
        <v>12</v>
      </c>
      <c r="E25" s="42"/>
    </row>
    <row r="26" spans="1:5" ht="14.25" x14ac:dyDescent="0.2">
      <c r="A26" s="42" t="str">
        <f>Source!E38</f>
        <v>3,1</v>
      </c>
      <c r="B26" s="43" t="str">
        <f>Source!G38</f>
        <v>Громкоговоритель настенный Соната-Т 100-3/1 ВТ (+1 резерв)</v>
      </c>
      <c r="C26" s="44" t="str">
        <f>Source!H38</f>
        <v>шт.</v>
      </c>
      <c r="D26" s="45">
        <f>Source!I38</f>
        <v>13</v>
      </c>
      <c r="E26" s="42"/>
    </row>
    <row r="27" spans="1:5" ht="14.25" x14ac:dyDescent="0.2">
      <c r="A27" s="42" t="str">
        <f>Source!E40</f>
        <v>4</v>
      </c>
      <c r="B27" s="43" t="str">
        <f>Source!G40</f>
        <v>Транспарант световой (табло)</v>
      </c>
      <c r="C27" s="44" t="str">
        <f>Source!H40</f>
        <v>1  ШТ.</v>
      </c>
      <c r="D27" s="45">
        <f>Source!I40</f>
        <v>8</v>
      </c>
      <c r="E27" s="42"/>
    </row>
    <row r="28" spans="1:5" ht="28.5" x14ac:dyDescent="0.2">
      <c r="A28" s="42" t="str">
        <f>Source!E42</f>
        <v>4,1</v>
      </c>
      <c r="B28" s="43" t="str">
        <f>Source!G42</f>
        <v>Оповещатель охранно-пожарный световой (табло) Молния-12 "Выход"  (+1 резерв)</v>
      </c>
      <c r="C28" s="44" t="str">
        <f>Source!H42</f>
        <v>шт.</v>
      </c>
      <c r="D28" s="45">
        <f>Source!I42</f>
        <v>9</v>
      </c>
      <c r="E28" s="42"/>
    </row>
    <row r="29" spans="1:5" ht="28.5" x14ac:dyDescent="0.2">
      <c r="A29" s="42" t="str">
        <f>Source!E44</f>
        <v>5</v>
      </c>
      <c r="B29" s="43" t="str">
        <f>Source!G44</f>
        <v>Пульты и шкафы управления, шкаф (пульт) управления навесной, высота, ширина, глубина до 600х600х350 мм</v>
      </c>
      <c r="C29" s="44" t="str">
        <f>Source!H44</f>
        <v>1  ШТ.</v>
      </c>
      <c r="D29" s="45">
        <f>Source!I44</f>
        <v>1</v>
      </c>
      <c r="E29" s="42"/>
    </row>
    <row r="30" spans="1:5" ht="42.75" x14ac:dyDescent="0.2">
      <c r="A30" s="42" t="str">
        <f>Source!E46</f>
        <v>5,1</v>
      </c>
      <c r="B30" s="43" t="str">
        <f>Source!G46</f>
        <v>Щиток модульный для автоматических выключателей, настенный, типоразмер: 1 ряд, 2 модуля, 140х53х83 мм, IP30, белый, Бокс КМПн 2/2 (MKP42-N-02-30-20)</v>
      </c>
      <c r="C30" s="44" t="str">
        <f>Source!H46</f>
        <v>шт.</v>
      </c>
      <c r="D30" s="45">
        <f>Source!I46</f>
        <v>1</v>
      </c>
      <c r="E30" s="42"/>
    </row>
    <row r="31" spans="1:5" ht="42.75" x14ac:dyDescent="0.2">
      <c r="A31" s="42" t="str">
        <f>Source!E48</f>
        <v>6</v>
      </c>
      <c r="B31" s="43" t="str">
        <f>Source!G48</f>
        <v>Выключатели установочные автоматические (автоматы) или неавтоматические, автомат одно-,двух-,трехполюсный, устанавливаемый на конструкции на стене или колонне на ток до 25 А</v>
      </c>
      <c r="C31" s="44" t="str">
        <f>Source!H48</f>
        <v>1  ШТ.</v>
      </c>
      <c r="D31" s="45">
        <f>Source!I48</f>
        <v>1</v>
      </c>
      <c r="E31" s="42"/>
    </row>
    <row r="32" spans="1:5" ht="42.75" x14ac:dyDescent="0.2">
      <c r="A32" s="42" t="str">
        <f>Source!E50</f>
        <v>6,1</v>
      </c>
      <c r="B32" s="43" t="str">
        <f>Source!G50</f>
        <v>Выключатель автоматический типа iC60N 1П 6A C. Номинальный ток 6А, максимальное рабочее напряжение 440 В, габаритные размеры 18х94х78,5 мм</v>
      </c>
      <c r="C32" s="44" t="str">
        <f>Source!H50</f>
        <v>шт.</v>
      </c>
      <c r="D32" s="45">
        <f>Source!I50</f>
        <v>1</v>
      </c>
      <c r="E32" s="42"/>
    </row>
    <row r="33" spans="1:5" ht="57" x14ac:dyDescent="0.2">
      <c r="A33" s="42" t="str">
        <f>Source!E53</f>
        <v>7</v>
      </c>
      <c r="B33" s="43" t="str">
        <f>Source!G53</f>
        <v>Трубы гофрированные поливинилхлоридные, прокладываемые в труднодоступных местах с усиленным креплением накладными скобами и установкой соединительных коробок, по железобетонным стенам и потолкам, диаметром до 27 мм</v>
      </c>
      <c r="C33" s="44" t="str">
        <f>Source!H53</f>
        <v>100 м</v>
      </c>
      <c r="D33" s="45">
        <f>Source!I53</f>
        <v>2</v>
      </c>
      <c r="E33" s="42"/>
    </row>
    <row r="34" spans="1:5" ht="28.5" x14ac:dyDescent="0.2">
      <c r="A34" s="42" t="str">
        <f>Source!E55</f>
        <v>7,1</v>
      </c>
      <c r="B34" s="43" t="str">
        <f>Source!G55</f>
        <v>Трубы электротехнические гофрированные, поливинилхлоридные, негорючие, с зондом, наружный диаметр 20 мм</v>
      </c>
      <c r="C34" s="44" t="str">
        <f>Source!H55</f>
        <v>м</v>
      </c>
      <c r="D34" s="45">
        <f>Source!I55</f>
        <v>204</v>
      </c>
      <c r="E34" s="42"/>
    </row>
    <row r="35" spans="1:5" ht="28.5" x14ac:dyDescent="0.2">
      <c r="A35" s="42" t="str">
        <f>Source!E57</f>
        <v>7,2</v>
      </c>
      <c r="B35" s="43" t="str">
        <f>Source!G57</f>
        <v>Коробки распаечные, серия "Tyco", открытой установки, из полистирола, степень защиты IP55, 7 вводов, размеры 70х70х40 мм, артикул 67030</v>
      </c>
      <c r="C35" s="44" t="str">
        <f>Source!H57</f>
        <v>шт.</v>
      </c>
      <c r="D35" s="45">
        <f>Source!I57</f>
        <v>1</v>
      </c>
      <c r="E35" s="42"/>
    </row>
    <row r="36" spans="1:5" ht="28.5" x14ac:dyDescent="0.2">
      <c r="A36" s="42" t="str">
        <f>Source!E59</f>
        <v>7,3</v>
      </c>
      <c r="B36" s="43" t="str">
        <f>Source!G59</f>
        <v>Коробки соединительные, тип КС-4, для подключения четырех пар проводов</v>
      </c>
      <c r="C36" s="44" t="str">
        <f>Source!H59</f>
        <v>шт.</v>
      </c>
      <c r="D36" s="45">
        <f>Source!I59</f>
        <v>12</v>
      </c>
      <c r="E36" s="42"/>
    </row>
    <row r="37" spans="1:5" ht="28.5" x14ac:dyDescent="0.2">
      <c r="A37" s="42" t="str">
        <f>Source!E61</f>
        <v>7,4</v>
      </c>
      <c r="B37" s="43" t="str">
        <f>Source!G61</f>
        <v>Держатели пластиковые с защелкой для крепления труб, рукавов и гибких вводов диаметром 20 мм</v>
      </c>
      <c r="C37" s="44" t="str">
        <f>Source!H61</f>
        <v>100 шт.</v>
      </c>
      <c r="D37" s="45">
        <f>Source!I61</f>
        <v>2</v>
      </c>
      <c r="E37" s="42"/>
    </row>
    <row r="38" spans="1:5" ht="42.75" x14ac:dyDescent="0.2">
      <c r="A38" s="42" t="str">
        <f>Source!E63</f>
        <v>8</v>
      </c>
      <c r="B38" s="43" t="str">
        <f>Source!G63</f>
        <v>Затягивание проводов и кабелей в проложенные трубы и металлические рукава, провод первый одножильный или многожильный в общей оплетке, суммарное сечение до 2,5 мм2</v>
      </c>
      <c r="C38" s="44" t="str">
        <f>Source!H63</f>
        <v>100 м</v>
      </c>
      <c r="D38" s="45">
        <f>Source!I63</f>
        <v>2</v>
      </c>
      <c r="E38" s="42"/>
    </row>
    <row r="39" spans="1:5" ht="28.5" x14ac:dyDescent="0.2">
      <c r="A39" s="42" t="str">
        <f>Source!E65</f>
        <v>8,1</v>
      </c>
      <c r="B39" s="43" t="str">
        <f>Source!G65</f>
        <v>Кабель для систем ОПС и СОУЭ огнестойкий, с низким дымо и газовыделением Лоутокс 20нг(А)-FRLSLTx 1х2х0,75</v>
      </c>
      <c r="C39" s="44" t="str">
        <f>Source!H65</f>
        <v>м</v>
      </c>
      <c r="D39" s="45">
        <f>Source!I65</f>
        <v>204</v>
      </c>
      <c r="E39" s="42"/>
    </row>
    <row r="40" spans="1:5" ht="14.25" x14ac:dyDescent="0.2">
      <c r="A40" s="42" t="str">
        <f>Source!E67</f>
        <v>9</v>
      </c>
      <c r="B40" s="43" t="str">
        <f>Source!G67</f>
        <v>Прокладка пластикового кабель-канала по бетонному основанию</v>
      </c>
      <c r="C40" s="44" t="str">
        <f>Source!H67</f>
        <v>100 м</v>
      </c>
      <c r="D40" s="45">
        <f>Source!I67</f>
        <v>0.1</v>
      </c>
      <c r="E40" s="42"/>
    </row>
    <row r="41" spans="1:5" ht="14.25" x14ac:dyDescent="0.2">
      <c r="A41" s="42" t="str">
        <f>Source!E69</f>
        <v>9,1</v>
      </c>
      <c r="B41" s="43" t="str">
        <f>Source!G69</f>
        <v>Короба электротехнические для прокладки проводов, размер 10х15 мм</v>
      </c>
      <c r="C41" s="44" t="str">
        <f>Source!H69</f>
        <v>м</v>
      </c>
      <c r="D41" s="45">
        <f>Source!I69</f>
        <v>10.199999999999999</v>
      </c>
      <c r="E41" s="42"/>
    </row>
    <row r="42" spans="1:5" ht="14.25" x14ac:dyDescent="0.2">
      <c r="A42" s="42" t="str">
        <f>Source!E71</f>
        <v>10</v>
      </c>
      <c r="B42" s="43" t="str">
        <f>Source!G71</f>
        <v>Провода и кабели в коробах, провод, сечением до 6 мм2</v>
      </c>
      <c r="C42" s="44" t="str">
        <f>Source!H71</f>
        <v>100 м</v>
      </c>
      <c r="D42" s="45">
        <f>Source!I71</f>
        <v>0.2</v>
      </c>
      <c r="E42" s="42"/>
    </row>
    <row r="43" spans="1:5" ht="57" x14ac:dyDescent="0.2">
      <c r="A43" s="42" t="str">
        <f>Source!E73</f>
        <v>10,1</v>
      </c>
      <c r="B43" s="43" t="str">
        <f>Source!G73</f>
        <v>Кабели силовые с медными жилами огнестойкие, с изоляцией и оболочкой из поливинилхлоридных композиций пониженной пожароопасности, с низким дымо- и газовыделением, напряжение 1000 В, марка ВВГнг-FRLS, число жил и сечение 3х1,5 мм2</v>
      </c>
      <c r="C43" s="44" t="str">
        <f>Source!H73</f>
        <v>км</v>
      </c>
      <c r="D43" s="45">
        <f>Source!I73</f>
        <v>2.0400000000000001E-2</v>
      </c>
      <c r="E43" s="42"/>
    </row>
    <row r="44" spans="1:5" ht="16.5" x14ac:dyDescent="0.25">
      <c r="A44" s="63" t="str">
        <f>CONCATENATE("Раздел: ", Source!G105)</f>
        <v>Раздел: Пусконаладочные работы</v>
      </c>
      <c r="B44" s="63"/>
      <c r="C44" s="63"/>
      <c r="D44" s="63"/>
      <c r="E44" s="63"/>
    </row>
    <row r="45" spans="1:5" ht="28.5" x14ac:dyDescent="0.2">
      <c r="A45" s="38" t="str">
        <f>Source!E109</f>
        <v>11</v>
      </c>
      <c r="B45" s="39" t="str">
        <f>Source!G109</f>
        <v>Проверка всего технологического комплекса в режимах работы и контроля, сдача в эксплуатацию</v>
      </c>
      <c r="C45" s="40" t="str">
        <f>Source!H109</f>
        <v>1 комплекс</v>
      </c>
      <c r="D45" s="41">
        <f>Source!I109</f>
        <v>1</v>
      </c>
      <c r="E45" s="38"/>
    </row>
    <row r="48" spans="1:5" ht="15" x14ac:dyDescent="0.25">
      <c r="A48" s="30" t="s">
        <v>278</v>
      </c>
      <c r="B48" s="30"/>
      <c r="C48" s="30" t="s">
        <v>279</v>
      </c>
      <c r="D48" s="30"/>
      <c r="E48" s="30"/>
    </row>
  </sheetData>
  <mergeCells count="7">
    <mergeCell ref="A44:E44"/>
    <mergeCell ref="C5:D5"/>
    <mergeCell ref="C7:D7"/>
    <mergeCell ref="A11:D11"/>
    <mergeCell ref="A12:D12"/>
    <mergeCell ref="A19:E19"/>
    <mergeCell ref="A20:E20"/>
  </mergeCells>
  <pageMargins left="0.4" right="0.2" top="0.2" bottom="0.4" header="0.2" footer="0.2"/>
  <pageSetup paperSize="9" scale="76" fitToHeight="0" orientation="portrait" verticalDpi="0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opLeftCell="A46" zoomScaleNormal="100" workbookViewId="0">
      <selection activeCell="B3" sqref="B3"/>
    </sheetView>
  </sheetViews>
  <sheetFormatPr defaultRowHeight="12.75" x14ac:dyDescent="0.2"/>
  <cols>
    <col min="1" max="1" width="6.7109375" customWidth="1"/>
    <col min="2" max="2" width="75.7109375" customWidth="1"/>
    <col min="3" max="5" width="15.7109375" customWidth="1"/>
  </cols>
  <sheetData>
    <row r="1" spans="1:5" x14ac:dyDescent="0.2">
      <c r="A1" s="11" t="str">
        <f>Source!B1</f>
        <v>Smeta.RU  (495) 974-1589</v>
      </c>
    </row>
    <row r="2" spans="1:5" ht="14.25" x14ac:dyDescent="0.2">
      <c r="C2" s="12"/>
      <c r="D2" s="12"/>
    </row>
    <row r="3" spans="1:5" ht="15" x14ac:dyDescent="0.25">
      <c r="C3" s="12"/>
      <c r="D3" s="31" t="s">
        <v>269</v>
      </c>
    </row>
    <row r="4" spans="1:5" ht="15" x14ac:dyDescent="0.25">
      <c r="C4" s="31"/>
      <c r="D4" s="31"/>
    </row>
    <row r="5" spans="1:5" ht="15" x14ac:dyDescent="0.25">
      <c r="C5" s="64" t="s">
        <v>270</v>
      </c>
      <c r="D5" s="64"/>
    </row>
    <row r="6" spans="1:5" ht="15" x14ac:dyDescent="0.25">
      <c r="C6" s="34"/>
      <c r="D6" s="34"/>
    </row>
    <row r="7" spans="1:5" ht="15" x14ac:dyDescent="0.25">
      <c r="C7" s="64" t="s">
        <v>270</v>
      </c>
      <c r="D7" s="64"/>
    </row>
    <row r="8" spans="1:5" ht="15" x14ac:dyDescent="0.25">
      <c r="C8" s="34"/>
      <c r="D8" s="34"/>
    </row>
    <row r="9" spans="1:5" ht="15" x14ac:dyDescent="0.25">
      <c r="C9" s="31" t="s">
        <v>271</v>
      </c>
      <c r="D9" s="12"/>
    </row>
    <row r="10" spans="1:5" ht="14.25" x14ac:dyDescent="0.2">
      <c r="A10" s="12"/>
      <c r="B10" s="12"/>
      <c r="C10" s="12"/>
      <c r="D10" s="12"/>
      <c r="E10" s="12"/>
    </row>
    <row r="11" spans="1:5" ht="15.75" x14ac:dyDescent="0.25">
      <c r="A11" s="65" t="str">
        <f>CONCATENATE("Ведомость объемов работ ", IF(Source!AN15&lt;&gt;"", Source!AN15," "))</f>
        <v xml:space="preserve">Ведомость объемов работ  </v>
      </c>
      <c r="B11" s="65"/>
      <c r="C11" s="65"/>
      <c r="D11" s="65"/>
      <c r="E11" s="12"/>
    </row>
    <row r="12" spans="1:5" ht="54.6" customHeight="1" x14ac:dyDescent="0.25">
      <c r="A12" s="66" t="s">
        <v>330</v>
      </c>
      <c r="B12" s="66"/>
      <c r="C12" s="66"/>
      <c r="D12" s="66"/>
      <c r="E12" s="12"/>
    </row>
    <row r="13" spans="1:5" ht="14.25" x14ac:dyDescent="0.2">
      <c r="A13" s="12"/>
      <c r="B13" s="12"/>
      <c r="C13" s="12"/>
      <c r="D13" s="12"/>
      <c r="E13" s="12"/>
    </row>
    <row r="14" spans="1:5" ht="15" x14ac:dyDescent="0.2">
      <c r="A14" s="12"/>
      <c r="B14" s="35" t="s">
        <v>272</v>
      </c>
      <c r="C14" s="12"/>
      <c r="D14" s="12"/>
      <c r="E14" s="12"/>
    </row>
    <row r="15" spans="1:5" ht="15" x14ac:dyDescent="0.2">
      <c r="A15" s="12"/>
      <c r="B15" s="35" t="s">
        <v>273</v>
      </c>
      <c r="C15" s="12"/>
      <c r="D15" s="12"/>
      <c r="E15" s="12"/>
    </row>
    <row r="16" spans="1:5" ht="15" x14ac:dyDescent="0.2">
      <c r="A16" s="12"/>
      <c r="B16" s="35" t="s">
        <v>274</v>
      </c>
      <c r="C16" s="12"/>
      <c r="D16" s="12"/>
      <c r="E16" s="12"/>
    </row>
    <row r="17" spans="1:5" ht="28.5" x14ac:dyDescent="0.2">
      <c r="A17" s="16" t="s">
        <v>275</v>
      </c>
      <c r="B17" s="16" t="s">
        <v>237</v>
      </c>
      <c r="C17" s="16" t="s">
        <v>238</v>
      </c>
      <c r="D17" s="16" t="s">
        <v>276</v>
      </c>
      <c r="E17" s="17" t="s">
        <v>277</v>
      </c>
    </row>
    <row r="18" spans="1:5" ht="14.25" x14ac:dyDescent="0.2">
      <c r="A18" s="36">
        <v>1</v>
      </c>
      <c r="B18" s="36">
        <v>2</v>
      </c>
      <c r="C18" s="36">
        <v>3</v>
      </c>
      <c r="D18" s="36">
        <v>4</v>
      </c>
      <c r="E18" s="37">
        <v>5</v>
      </c>
    </row>
    <row r="19" spans="1:5" ht="16.5" x14ac:dyDescent="0.25">
      <c r="A19" s="63" t="str">
        <f>CONCATENATE("Локальная смета: ", Source!G20)</f>
        <v>Локальная смета: Система оповещения и управления эвакуацией людей при пожаре</v>
      </c>
      <c r="B19" s="63"/>
      <c r="C19" s="63"/>
      <c r="D19" s="63"/>
      <c r="E19" s="63"/>
    </row>
    <row r="20" spans="1:5" ht="16.5" x14ac:dyDescent="0.25">
      <c r="A20" s="63" t="str">
        <f>CONCATENATE("Раздел: ", Source!G24)</f>
        <v>Раздел: Монтажные работы</v>
      </c>
      <c r="B20" s="63"/>
      <c r="C20" s="63"/>
      <c r="D20" s="63"/>
      <c r="E20" s="63"/>
    </row>
    <row r="21" spans="1:5" ht="28.5" x14ac:dyDescent="0.2">
      <c r="A21" s="42" t="str">
        <f>Source!E28</f>
        <v>1</v>
      </c>
      <c r="B21" s="43" t="str">
        <f>Source!G28</f>
        <v>Аппараты приемные, приборы приемно-контрольные объектовые на 2 луча</v>
      </c>
      <c r="C21" s="44" t="str">
        <f>Source!H28</f>
        <v>1  ШТ.</v>
      </c>
      <c r="D21" s="45">
        <f>Source!I28</f>
        <v>1</v>
      </c>
      <c r="E21" s="42"/>
    </row>
    <row r="22" spans="1:5" ht="14.25" x14ac:dyDescent="0.2">
      <c r="A22" s="42" t="str">
        <f>Source!E30</f>
        <v>1,1</v>
      </c>
      <c r="B22" s="43" t="str">
        <f>Source!G30</f>
        <v>Прибор управления речевыми оповещателями Соната-К-120М</v>
      </c>
      <c r="C22" s="44" t="str">
        <f>Source!H30</f>
        <v>шт.</v>
      </c>
      <c r="D22" s="45">
        <f>Source!I30</f>
        <v>1</v>
      </c>
      <c r="E22" s="42"/>
    </row>
    <row r="23" spans="1:5" ht="28.5" x14ac:dyDescent="0.2">
      <c r="A23" s="42" t="str">
        <f>Source!E32</f>
        <v>2</v>
      </c>
      <c r="B23" s="43" t="str">
        <f>Source!G32</f>
        <v>Аккумуляторы кислотные стационарные, аккумулятор С-6, СК-6, С-8, СК-8</v>
      </c>
      <c r="C23" s="44" t="str">
        <f>Source!H32</f>
        <v>1  ШТ.</v>
      </c>
      <c r="D23" s="45">
        <f>Source!I32</f>
        <v>2</v>
      </c>
      <c r="E23" s="42"/>
    </row>
    <row r="24" spans="1:5" ht="28.5" x14ac:dyDescent="0.2">
      <c r="A24" s="42" t="str">
        <f>Source!E34</f>
        <v>2,1</v>
      </c>
      <c r="B24" s="43" t="str">
        <f>Source!G34</f>
        <v>Аккумулятор герметичный свинцово-кислотный 12 В, 12 А·ч. Габаритные размеры не более 151x98x101мм</v>
      </c>
      <c r="C24" s="44" t="str">
        <f>Source!H34</f>
        <v>шт.</v>
      </c>
      <c r="D24" s="45">
        <f>Source!I34</f>
        <v>2</v>
      </c>
      <c r="E24" s="42"/>
    </row>
    <row r="25" spans="1:5" ht="14.25" x14ac:dyDescent="0.2">
      <c r="A25" s="42" t="str">
        <f>Source!E36</f>
        <v>3</v>
      </c>
      <c r="B25" s="43" t="str">
        <f>Source!G36</f>
        <v>Громкоговоритель или звуковая колонка в помещении</v>
      </c>
      <c r="C25" s="44" t="str">
        <f>Source!H36</f>
        <v>1  ШТ.</v>
      </c>
      <c r="D25" s="45">
        <f>Source!I36</f>
        <v>12</v>
      </c>
      <c r="E25" s="42"/>
    </row>
    <row r="26" spans="1:5" ht="14.25" x14ac:dyDescent="0.2">
      <c r="A26" s="42" t="str">
        <f>Source!E38</f>
        <v>3,1</v>
      </c>
      <c r="B26" s="43" t="str">
        <f>Source!G38</f>
        <v>Громкоговоритель настенный Соната-Т 100-3/1 ВТ (+1 резерв)</v>
      </c>
      <c r="C26" s="44" t="str">
        <f>Source!H38</f>
        <v>шт.</v>
      </c>
      <c r="D26" s="45">
        <f>Source!I38</f>
        <v>13</v>
      </c>
      <c r="E26" s="42"/>
    </row>
    <row r="27" spans="1:5" ht="14.25" x14ac:dyDescent="0.2">
      <c r="A27" s="42" t="str">
        <f>Source!E40</f>
        <v>4</v>
      </c>
      <c r="B27" s="43" t="str">
        <f>Source!G40</f>
        <v>Транспарант световой (табло)</v>
      </c>
      <c r="C27" s="44" t="str">
        <f>Source!H40</f>
        <v>1  ШТ.</v>
      </c>
      <c r="D27" s="45">
        <f>Source!I40</f>
        <v>8</v>
      </c>
      <c r="E27" s="42"/>
    </row>
    <row r="28" spans="1:5" ht="28.5" x14ac:dyDescent="0.2">
      <c r="A28" s="42" t="str">
        <f>Source!E42</f>
        <v>4,1</v>
      </c>
      <c r="B28" s="43" t="str">
        <f>Source!G42</f>
        <v>Оповещатель охранно-пожарный световой (табло) Молния-12 "Выход"  (+1 резерв)</v>
      </c>
      <c r="C28" s="44" t="str">
        <f>Source!H42</f>
        <v>шт.</v>
      </c>
      <c r="D28" s="45">
        <f>Source!I42</f>
        <v>9</v>
      </c>
      <c r="E28" s="42"/>
    </row>
    <row r="29" spans="1:5" ht="28.5" x14ac:dyDescent="0.2">
      <c r="A29" s="42" t="str">
        <f>Source!E44</f>
        <v>5</v>
      </c>
      <c r="B29" s="43" t="str">
        <f>Source!G44</f>
        <v>Пульты и шкафы управления, шкаф (пульт) управления навесной, высота, ширина, глубина до 600х600х350 мм</v>
      </c>
      <c r="C29" s="44" t="str">
        <f>Source!H44</f>
        <v>1  ШТ.</v>
      </c>
      <c r="D29" s="45">
        <f>Source!I44</f>
        <v>1</v>
      </c>
      <c r="E29" s="42"/>
    </row>
    <row r="30" spans="1:5" ht="42.75" x14ac:dyDescent="0.2">
      <c r="A30" s="42" t="str">
        <f>Source!E46</f>
        <v>5,1</v>
      </c>
      <c r="B30" s="43" t="str">
        <f>Source!G46</f>
        <v>Щиток модульный для автоматических выключателей, настенный, типоразмер: 1 ряд, 2 модуля, 140х53х83 мм, IP30, белый, Бокс КМПн 2/2 (MKP42-N-02-30-20)</v>
      </c>
      <c r="C30" s="44" t="str">
        <f>Source!H46</f>
        <v>шт.</v>
      </c>
      <c r="D30" s="45">
        <f>Source!I46</f>
        <v>1</v>
      </c>
      <c r="E30" s="42"/>
    </row>
    <row r="31" spans="1:5" ht="42.75" x14ac:dyDescent="0.2">
      <c r="A31" s="42" t="str">
        <f>Source!E48</f>
        <v>6</v>
      </c>
      <c r="B31" s="43" t="str">
        <f>Source!G48</f>
        <v>Выключатели установочные автоматические (автоматы) или неавтоматические, автомат одно-,двух-,трехполюсный, устанавливаемый на конструкции на стене или колонне на ток до 25 А</v>
      </c>
      <c r="C31" s="44" t="str">
        <f>Source!H48</f>
        <v>1  ШТ.</v>
      </c>
      <c r="D31" s="45">
        <f>Source!I48</f>
        <v>1</v>
      </c>
      <c r="E31" s="42"/>
    </row>
    <row r="32" spans="1:5" ht="42.75" x14ac:dyDescent="0.2">
      <c r="A32" s="42" t="str">
        <f>Source!E50</f>
        <v>6,1</v>
      </c>
      <c r="B32" s="43" t="str">
        <f>Source!G50</f>
        <v>Выключатель автоматический типа iC60N 1П 6A C. Номинальный ток 6А, максимальное рабочее напряжение 440 В, габаритные размеры 18х94х78,5 мм</v>
      </c>
      <c r="C32" s="44" t="str">
        <f>Source!H50</f>
        <v>шт.</v>
      </c>
      <c r="D32" s="45">
        <f>Source!I50</f>
        <v>1</v>
      </c>
      <c r="E32" s="42"/>
    </row>
    <row r="33" spans="1:5" ht="57" x14ac:dyDescent="0.2">
      <c r="A33" s="42" t="str">
        <f>Source!E53</f>
        <v>7</v>
      </c>
      <c r="B33" s="43" t="str">
        <f>Source!G53</f>
        <v>Трубы гофрированные поливинилхлоридные, прокладываемые в труднодоступных местах с усиленным креплением накладными скобами и установкой соединительных коробок, по железобетонным стенам и потолкам, диаметром до 27 мм</v>
      </c>
      <c r="C33" s="44" t="str">
        <f>Source!H53</f>
        <v>100 м</v>
      </c>
      <c r="D33" s="45">
        <f>Source!I53</f>
        <v>2</v>
      </c>
      <c r="E33" s="42"/>
    </row>
    <row r="34" spans="1:5" ht="28.5" x14ac:dyDescent="0.2">
      <c r="A34" s="42" t="str">
        <f>Source!E55</f>
        <v>7,1</v>
      </c>
      <c r="B34" s="43" t="str">
        <f>Source!G55</f>
        <v>Трубы электротехнические гофрированные, поливинилхлоридные, негорючие, с зондом, наружный диаметр 20 мм</v>
      </c>
      <c r="C34" s="44" t="str">
        <f>Source!H55</f>
        <v>м</v>
      </c>
      <c r="D34" s="45">
        <f>Source!I55</f>
        <v>204</v>
      </c>
      <c r="E34" s="42"/>
    </row>
    <row r="35" spans="1:5" ht="28.5" x14ac:dyDescent="0.2">
      <c r="A35" s="42" t="str">
        <f>Source!E57</f>
        <v>7,2</v>
      </c>
      <c r="B35" s="43" t="str">
        <f>Source!G57</f>
        <v>Коробки распаечные, серия "Tyco", открытой установки, из полистирола, степень защиты IP55, 7 вводов, размеры 70х70х40 мм, артикул 67030</v>
      </c>
      <c r="C35" s="44" t="str">
        <f>Source!H57</f>
        <v>шт.</v>
      </c>
      <c r="D35" s="45">
        <f>Source!I57</f>
        <v>1</v>
      </c>
      <c r="E35" s="42"/>
    </row>
    <row r="36" spans="1:5" ht="28.5" x14ac:dyDescent="0.2">
      <c r="A36" s="42" t="str">
        <f>Source!E59</f>
        <v>7,3</v>
      </c>
      <c r="B36" s="43" t="str">
        <f>Source!G59</f>
        <v>Коробки соединительные, тип КС-4, для подключения четырех пар проводов</v>
      </c>
      <c r="C36" s="44" t="str">
        <f>Source!H59</f>
        <v>шт.</v>
      </c>
      <c r="D36" s="45">
        <f>Source!I59</f>
        <v>12</v>
      </c>
      <c r="E36" s="42"/>
    </row>
    <row r="37" spans="1:5" ht="28.5" x14ac:dyDescent="0.2">
      <c r="A37" s="42" t="str">
        <f>Source!E61</f>
        <v>7,4</v>
      </c>
      <c r="B37" s="43" t="str">
        <f>Source!G61</f>
        <v>Держатели пластиковые с защелкой для крепления труб, рукавов и гибких вводов диаметром 20 мм</v>
      </c>
      <c r="C37" s="44" t="str">
        <f>Source!H61</f>
        <v>100 шт.</v>
      </c>
      <c r="D37" s="45">
        <f>Source!I61</f>
        <v>2</v>
      </c>
      <c r="E37" s="42"/>
    </row>
    <row r="38" spans="1:5" ht="42.75" x14ac:dyDescent="0.2">
      <c r="A38" s="42" t="str">
        <f>Source!E63</f>
        <v>8</v>
      </c>
      <c r="B38" s="43" t="str">
        <f>Source!G63</f>
        <v>Затягивание проводов и кабелей в проложенные трубы и металлические рукава, провод первый одножильный или многожильный в общей оплетке, суммарное сечение до 2,5 мм2</v>
      </c>
      <c r="C38" s="44" t="str">
        <f>Source!H63</f>
        <v>100 м</v>
      </c>
      <c r="D38" s="45">
        <f>Source!I63</f>
        <v>2</v>
      </c>
      <c r="E38" s="42"/>
    </row>
    <row r="39" spans="1:5" ht="28.5" x14ac:dyDescent="0.2">
      <c r="A39" s="42" t="str">
        <f>Source!E65</f>
        <v>8,1</v>
      </c>
      <c r="B39" s="43" t="str">
        <f>Source!G65</f>
        <v>Кабель для систем ОПС и СОУЭ огнестойкий, с низким дымо и газовыделением Лоутокс 20нг(А)-FRLSLTx 1х2х0,75</v>
      </c>
      <c r="C39" s="44" t="str">
        <f>Source!H65</f>
        <v>м</v>
      </c>
      <c r="D39" s="45">
        <f>Source!I65</f>
        <v>204</v>
      </c>
      <c r="E39" s="42"/>
    </row>
    <row r="40" spans="1:5" ht="14.25" x14ac:dyDescent="0.2">
      <c r="A40" s="42" t="str">
        <f>Source!E67</f>
        <v>9</v>
      </c>
      <c r="B40" s="43" t="str">
        <f>Source!G67</f>
        <v>Прокладка пластикового кабель-канала по бетонному основанию</v>
      </c>
      <c r="C40" s="44" t="str">
        <f>Source!H67</f>
        <v>100 м</v>
      </c>
      <c r="D40" s="45">
        <f>Source!I67</f>
        <v>0.1</v>
      </c>
      <c r="E40" s="42"/>
    </row>
    <row r="41" spans="1:5" ht="14.25" x14ac:dyDescent="0.2">
      <c r="A41" s="42" t="str">
        <f>Source!E69</f>
        <v>9,1</v>
      </c>
      <c r="B41" s="43" t="str">
        <f>Source!G69</f>
        <v>Короба электротехнические для прокладки проводов, размер 10х15 мм</v>
      </c>
      <c r="C41" s="44" t="str">
        <f>Source!H69</f>
        <v>м</v>
      </c>
      <c r="D41" s="45">
        <f>Source!I69</f>
        <v>10.199999999999999</v>
      </c>
      <c r="E41" s="42"/>
    </row>
    <row r="42" spans="1:5" ht="14.25" x14ac:dyDescent="0.2">
      <c r="A42" s="42" t="str">
        <f>Source!E71</f>
        <v>10</v>
      </c>
      <c r="B42" s="43" t="str">
        <f>Source!G71</f>
        <v>Провода и кабели в коробах, провод, сечением до 6 мм2</v>
      </c>
      <c r="C42" s="44" t="str">
        <f>Source!H71</f>
        <v>100 м</v>
      </c>
      <c r="D42" s="45">
        <f>Source!I71</f>
        <v>0.2</v>
      </c>
      <c r="E42" s="42"/>
    </row>
    <row r="43" spans="1:5" ht="57" x14ac:dyDescent="0.2">
      <c r="A43" s="42" t="str">
        <f>Source!E73</f>
        <v>10,1</v>
      </c>
      <c r="B43" s="43" t="str">
        <f>Source!G73</f>
        <v>Кабели силовые с медными жилами огнестойкие, с изоляцией и оболочкой из поливинилхлоридных композиций пониженной пожароопасности, с низким дымо- и газовыделением, напряжение 1000 В, марка ВВГнг-FRLS, число жил и сечение 3х1,5 мм2</v>
      </c>
      <c r="C43" s="44" t="str">
        <f>Source!H73</f>
        <v>км</v>
      </c>
      <c r="D43" s="45">
        <f>Source!I73</f>
        <v>2.0400000000000001E-2</v>
      </c>
      <c r="E43" s="42"/>
    </row>
    <row r="44" spans="1:5" ht="16.5" x14ac:dyDescent="0.25">
      <c r="A44" s="63" t="str">
        <f>CONCATENATE("Раздел: ", Source!G105)</f>
        <v>Раздел: Пусконаладочные работы</v>
      </c>
      <c r="B44" s="63"/>
      <c r="C44" s="63"/>
      <c r="D44" s="63"/>
      <c r="E44" s="63"/>
    </row>
    <row r="45" spans="1:5" ht="28.5" x14ac:dyDescent="0.2">
      <c r="A45" s="38" t="str">
        <f>Source!E109</f>
        <v>11</v>
      </c>
      <c r="B45" s="39" t="str">
        <f>Source!G109</f>
        <v>Проверка всего технологического комплекса в режимах работы и контроля, сдача в эксплуатацию</v>
      </c>
      <c r="C45" s="40" t="str">
        <f>Source!H109</f>
        <v>1 комплекс</v>
      </c>
      <c r="D45" s="41">
        <f>Source!I109</f>
        <v>1</v>
      </c>
      <c r="E45" s="38"/>
    </row>
    <row r="48" spans="1:5" ht="15" x14ac:dyDescent="0.25">
      <c r="A48" s="30" t="s">
        <v>278</v>
      </c>
      <c r="B48" s="30"/>
      <c r="C48" s="30" t="s">
        <v>279</v>
      </c>
      <c r="D48" s="30"/>
      <c r="E48" s="30"/>
    </row>
  </sheetData>
  <mergeCells count="7">
    <mergeCell ref="A44:E44"/>
    <mergeCell ref="C5:D5"/>
    <mergeCell ref="C7:D7"/>
    <mergeCell ref="A11:D11"/>
    <mergeCell ref="A12:D12"/>
    <mergeCell ref="A19:E19"/>
    <mergeCell ref="A20:E20"/>
  </mergeCells>
  <pageMargins left="0.4" right="0.2" top="0.2" bottom="0.4" header="0.2" footer="0.2"/>
  <pageSetup paperSize="9" scale="76" fitToHeight="0" orientation="portrait" verticalDpi="0" r:id="rId1"/>
  <headerFooter>
    <oddHeader>&amp;L&amp;8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/>
  </sheetViews>
  <sheetFormatPr defaultRowHeight="12.75" x14ac:dyDescent="0.2"/>
  <sheetData>
    <row r="1" spans="1:23" x14ac:dyDescent="0.2">
      <c r="A1" t="s">
        <v>303</v>
      </c>
      <c r="B1" t="s">
        <v>304</v>
      </c>
      <c r="C1" t="s">
        <v>305</v>
      </c>
      <c r="D1" t="s">
        <v>306</v>
      </c>
      <c r="E1" t="s">
        <v>307</v>
      </c>
      <c r="F1" t="s">
        <v>308</v>
      </c>
      <c r="G1" t="s">
        <v>309</v>
      </c>
      <c r="H1" t="s">
        <v>310</v>
      </c>
      <c r="I1" t="s">
        <v>311</v>
      </c>
      <c r="J1" t="s">
        <v>312</v>
      </c>
    </row>
    <row r="2" spans="1:23" x14ac:dyDescent="0.2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0</v>
      </c>
    </row>
    <row r="4" spans="1:23" x14ac:dyDescent="0.2">
      <c r="A4" t="s">
        <v>280</v>
      </c>
      <c r="B4" t="s">
        <v>281</v>
      </c>
      <c r="C4" t="s">
        <v>282</v>
      </c>
      <c r="D4" t="s">
        <v>283</v>
      </c>
      <c r="E4" t="s">
        <v>284</v>
      </c>
      <c r="F4" t="s">
        <v>285</v>
      </c>
      <c r="G4" t="s">
        <v>286</v>
      </c>
      <c r="H4" t="s">
        <v>287</v>
      </c>
      <c r="I4" t="s">
        <v>288</v>
      </c>
      <c r="J4" t="s">
        <v>289</v>
      </c>
      <c r="K4" t="s">
        <v>290</v>
      </c>
      <c r="L4" t="s">
        <v>291</v>
      </c>
      <c r="M4" t="s">
        <v>292</v>
      </c>
      <c r="N4" t="s">
        <v>293</v>
      </c>
      <c r="O4" t="s">
        <v>294</v>
      </c>
      <c r="P4" t="s">
        <v>295</v>
      </c>
      <c r="Q4" t="s">
        <v>296</v>
      </c>
      <c r="R4" t="s">
        <v>297</v>
      </c>
      <c r="S4" t="s">
        <v>298</v>
      </c>
      <c r="T4" t="s">
        <v>299</v>
      </c>
      <c r="U4" t="s">
        <v>300</v>
      </c>
      <c r="V4" t="s">
        <v>301</v>
      </c>
      <c r="W4" t="s">
        <v>302</v>
      </c>
    </row>
    <row r="6" spans="1:23" x14ac:dyDescent="0.2">
      <c r="A6">
        <f>Source!A20</f>
        <v>3</v>
      </c>
      <c r="B6">
        <v>20</v>
      </c>
      <c r="G6" t="str">
        <f>Source!G20</f>
        <v>Система оповещения и управления эвакуацией людей при пожаре</v>
      </c>
    </row>
    <row r="7" spans="1:23" x14ac:dyDescent="0.2">
      <c r="A7">
        <f>Source!A24</f>
        <v>4</v>
      </c>
      <c r="B7">
        <v>24</v>
      </c>
      <c r="G7" t="str">
        <f>Source!G24</f>
        <v>Монтажные работы</v>
      </c>
    </row>
    <row r="8" spans="1:23" x14ac:dyDescent="0.2">
      <c r="A8">
        <f>Source!A29</f>
        <v>17</v>
      </c>
      <c r="C8">
        <v>1</v>
      </c>
      <c r="D8">
        <v>0</v>
      </c>
      <c r="E8">
        <f>SmtRes!AV3</f>
        <v>1</v>
      </c>
      <c r="F8" t="str">
        <f>SmtRes!I3</f>
        <v>9999990008</v>
      </c>
      <c r="G8" t="str">
        <f>SmtRes!K3</f>
        <v>Трудозатраты рабочих</v>
      </c>
      <c r="H8" t="str">
        <f>SmtRes!O3</f>
        <v>чел.-ч.</v>
      </c>
      <c r="I8">
        <f>SmtRes!Y3*Source!I29</f>
        <v>7.5382499999999988</v>
      </c>
      <c r="J8">
        <f>SmtRes!AO3</f>
        <v>1</v>
      </c>
      <c r="K8">
        <f>SmtRes!AH3</f>
        <v>0</v>
      </c>
      <c r="L8">
        <f>SmtRes!DB3</f>
        <v>0</v>
      </c>
      <c r="M8">
        <f>ROUND(ROUND(L8*Source!I29, 6)*1, 2)</f>
        <v>0</v>
      </c>
      <c r="N8">
        <f>SmtRes!AD3</f>
        <v>0</v>
      </c>
      <c r="O8">
        <f>ROUND(ROUND(L8*Source!I29, 6)*SmtRes!DA3, 2)</f>
        <v>0</v>
      </c>
      <c r="P8">
        <f>SmtRes!AG3</f>
        <v>0</v>
      </c>
      <c r="Q8">
        <f>SmtRes!DC3</f>
        <v>0</v>
      </c>
      <c r="R8">
        <f>ROUND(ROUND(Q8*Source!I29, 6)*1, 2)</f>
        <v>0</v>
      </c>
      <c r="S8">
        <f>SmtRes!AC3</f>
        <v>0</v>
      </c>
      <c r="T8">
        <f>ROUND(ROUND(Q8*Source!I29, 6)*SmtRes!AK3, 2)</f>
        <v>0</v>
      </c>
      <c r="U8">
        <f>SmtRes!X3</f>
        <v>476480486</v>
      </c>
      <c r="V8">
        <v>1286141856</v>
      </c>
      <c r="W8">
        <v>1286141856</v>
      </c>
    </row>
    <row r="9" spans="1:23" x14ac:dyDescent="0.2">
      <c r="A9">
        <f>Source!A31</f>
        <v>18</v>
      </c>
      <c r="C9">
        <v>5</v>
      </c>
      <c r="D9">
        <f>Source!BI31</f>
        <v>3</v>
      </c>
      <c r="E9">
        <f>Source!FS31</f>
        <v>0</v>
      </c>
      <c r="F9" t="str">
        <f>Source!F31</f>
        <v>Цена поставщика</v>
      </c>
      <c r="G9" t="str">
        <f>Source!G31</f>
        <v>Прибор управления речевыми оповещателями Соната-К-120М</v>
      </c>
      <c r="H9" t="str">
        <f>Source!H31</f>
        <v>шт.</v>
      </c>
      <c r="I9">
        <f>Source!I31</f>
        <v>1</v>
      </c>
      <c r="J9">
        <v>1</v>
      </c>
      <c r="K9">
        <f>Source!AC31</f>
        <v>4490.21</v>
      </c>
      <c r="M9">
        <f>ROUND(K9*I9, 2)</f>
        <v>4490.21</v>
      </c>
      <c r="N9">
        <f>Source!AC31*IF(Source!BC31&lt;&gt; 0, Source!BC31, 1)</f>
        <v>19442.6093</v>
      </c>
      <c r="O9">
        <f>ROUND(N9*I9, 2)</f>
        <v>19442.61</v>
      </c>
      <c r="P9">
        <f>Source!AE31</f>
        <v>0</v>
      </c>
      <c r="R9">
        <f>ROUND(P9*I9, 2)</f>
        <v>0</v>
      </c>
      <c r="S9">
        <f>Source!AE31*IF(Source!BS31&lt;&gt; 0, Source!BS31, 1)</f>
        <v>0</v>
      </c>
      <c r="T9">
        <f>ROUND(S9*I9, 2)</f>
        <v>0</v>
      </c>
      <c r="U9">
        <f>Source!GF31</f>
        <v>394868748</v>
      </c>
      <c r="V9">
        <v>-480548697</v>
      </c>
      <c r="W9">
        <v>-467427941</v>
      </c>
    </row>
    <row r="10" spans="1:23" x14ac:dyDescent="0.2">
      <c r="A10">
        <f>Source!A33</f>
        <v>17</v>
      </c>
      <c r="C10">
        <v>1</v>
      </c>
      <c r="D10">
        <v>0</v>
      </c>
      <c r="E10">
        <f>SmtRes!AV7</f>
        <v>1</v>
      </c>
      <c r="F10" t="str">
        <f>SmtRes!I7</f>
        <v>9999990008</v>
      </c>
      <c r="G10" t="str">
        <f>SmtRes!K7</f>
        <v>Трудозатраты рабочих</v>
      </c>
      <c r="H10" t="str">
        <f>SmtRes!O7</f>
        <v>чел.-ч.</v>
      </c>
      <c r="I10">
        <f>SmtRes!Y7*Source!I33</f>
        <v>10.897399999999998</v>
      </c>
      <c r="J10">
        <f>SmtRes!AO7</f>
        <v>1</v>
      </c>
      <c r="K10">
        <f>SmtRes!AH7</f>
        <v>0</v>
      </c>
      <c r="L10">
        <f>SmtRes!DB7</f>
        <v>0</v>
      </c>
      <c r="M10">
        <f>ROUND(ROUND(L10*Source!I33, 6)*1, 2)</f>
        <v>0</v>
      </c>
      <c r="N10">
        <f>SmtRes!AD7</f>
        <v>0</v>
      </c>
      <c r="O10">
        <f>ROUND(ROUND(L10*Source!I33, 6)*SmtRes!DA7, 2)</f>
        <v>0</v>
      </c>
      <c r="P10">
        <f>SmtRes!AG7</f>
        <v>0</v>
      </c>
      <c r="Q10">
        <f>SmtRes!DC7</f>
        <v>0</v>
      </c>
      <c r="R10">
        <f>ROUND(ROUND(Q10*Source!I33, 6)*1, 2)</f>
        <v>0</v>
      </c>
      <c r="S10">
        <f>SmtRes!AC7</f>
        <v>0</v>
      </c>
      <c r="T10">
        <f>ROUND(ROUND(Q10*Source!I33, 6)*SmtRes!AK7, 2)</f>
        <v>0</v>
      </c>
      <c r="U10">
        <f>SmtRes!X7</f>
        <v>476480486</v>
      </c>
      <c r="V10">
        <v>1286141856</v>
      </c>
      <c r="W10">
        <v>1286141856</v>
      </c>
    </row>
    <row r="11" spans="1:23" x14ac:dyDescent="0.2">
      <c r="A11">
        <f>Source!A35</f>
        <v>18</v>
      </c>
      <c r="C11">
        <v>3</v>
      </c>
      <c r="D11">
        <f>Source!BI35</f>
        <v>2</v>
      </c>
      <c r="E11">
        <f>Source!FS35</f>
        <v>0</v>
      </c>
      <c r="F11" t="str">
        <f>Source!F35</f>
        <v>13.1-1-660</v>
      </c>
      <c r="G11" t="str">
        <f>Source!G35</f>
        <v>Аккумулятор герметичный свинцово-кислотный 12 В, 12 А·ч. Габаритные размеры не более 151x98x101мм</v>
      </c>
      <c r="H11" t="str">
        <f>Source!H35</f>
        <v>шт.</v>
      </c>
      <c r="I11">
        <f>Source!I35</f>
        <v>2</v>
      </c>
      <c r="J11">
        <v>1</v>
      </c>
      <c r="K11">
        <f>Source!AC35</f>
        <v>285.2</v>
      </c>
      <c r="M11">
        <f>ROUND(K11*I11, 2)</f>
        <v>570.4</v>
      </c>
      <c r="N11">
        <f>Source!AC35*IF(Source!BC35&lt;&gt; 0, Source!BC35, 1)</f>
        <v>1445.9639999999999</v>
      </c>
      <c r="O11">
        <f>ROUND(N11*I11, 2)</f>
        <v>2891.93</v>
      </c>
      <c r="P11">
        <f>Source!AE35</f>
        <v>0</v>
      </c>
      <c r="R11">
        <f>ROUND(P11*I11, 2)</f>
        <v>0</v>
      </c>
      <c r="S11">
        <f>Source!AE35*IF(Source!BS35&lt;&gt; 0, Source!BS35, 1)</f>
        <v>0</v>
      </c>
      <c r="T11">
        <f>ROUND(S11*I11, 2)</f>
        <v>0</v>
      </c>
      <c r="U11">
        <f>Source!GF35</f>
        <v>-1402373455</v>
      </c>
      <c r="V11">
        <v>-1091297514</v>
      </c>
      <c r="W11">
        <v>1278733895</v>
      </c>
    </row>
    <row r="12" spans="1:23" x14ac:dyDescent="0.2">
      <c r="A12">
        <f>Source!A37</f>
        <v>17</v>
      </c>
      <c r="C12">
        <v>1</v>
      </c>
      <c r="D12">
        <v>0</v>
      </c>
      <c r="E12">
        <f>SmtRes!AV11</f>
        <v>1</v>
      </c>
      <c r="F12" t="str">
        <f>SmtRes!I11</f>
        <v>9999990008</v>
      </c>
      <c r="G12" t="str">
        <f>SmtRes!K11</f>
        <v>Трудозатраты рабочих</v>
      </c>
      <c r="H12" t="str">
        <f>SmtRes!O11</f>
        <v>чел.-ч.</v>
      </c>
      <c r="I12">
        <f>SmtRes!Y11*Source!I37</f>
        <v>31.739999999999995</v>
      </c>
      <c r="J12">
        <f>SmtRes!AO11</f>
        <v>1</v>
      </c>
      <c r="K12">
        <f>SmtRes!AH11</f>
        <v>0</v>
      </c>
      <c r="L12">
        <f>SmtRes!DB11</f>
        <v>0</v>
      </c>
      <c r="M12">
        <f>ROUND(ROUND(L12*Source!I37, 6)*1, 2)</f>
        <v>0</v>
      </c>
      <c r="N12">
        <f>SmtRes!AD11</f>
        <v>0</v>
      </c>
      <c r="O12">
        <f>ROUND(ROUND(L12*Source!I37, 6)*SmtRes!DA11, 2)</f>
        <v>0</v>
      </c>
      <c r="P12">
        <f>SmtRes!AG11</f>
        <v>0</v>
      </c>
      <c r="Q12">
        <f>SmtRes!DC11</f>
        <v>0</v>
      </c>
      <c r="R12">
        <f>ROUND(ROUND(Q12*Source!I37, 6)*1, 2)</f>
        <v>0</v>
      </c>
      <c r="S12">
        <f>SmtRes!AC11</f>
        <v>0</v>
      </c>
      <c r="T12">
        <f>ROUND(ROUND(Q12*Source!I37, 6)*SmtRes!AK11, 2)</f>
        <v>0</v>
      </c>
      <c r="U12">
        <f>SmtRes!X11</f>
        <v>476480486</v>
      </c>
      <c r="V12">
        <v>1286141856</v>
      </c>
      <c r="W12">
        <v>1286141856</v>
      </c>
    </row>
    <row r="13" spans="1:23" x14ac:dyDescent="0.2">
      <c r="A13">
        <f>Source!A39</f>
        <v>18</v>
      </c>
      <c r="C13">
        <v>5</v>
      </c>
      <c r="D13">
        <f>Source!BI39</f>
        <v>3</v>
      </c>
      <c r="E13">
        <f>Source!FS39</f>
        <v>0</v>
      </c>
      <c r="F13" t="str">
        <f>Source!F39</f>
        <v>Цена поставщика</v>
      </c>
      <c r="G13" t="str">
        <f>Source!G39</f>
        <v>Громкоговоритель настенный Соната-Т 100-3/1 ВТ (+1 резерв)</v>
      </c>
      <c r="H13" t="str">
        <f>Source!H39</f>
        <v>шт.</v>
      </c>
      <c r="I13">
        <f>Source!I39</f>
        <v>13</v>
      </c>
      <c r="J13">
        <v>1</v>
      </c>
      <c r="K13">
        <f>Source!AC39</f>
        <v>185.56</v>
      </c>
      <c r="M13">
        <f>ROUND(K13*I13, 2)</f>
        <v>2412.2800000000002</v>
      </c>
      <c r="N13">
        <f>Source!AC39*IF(Source!BC39&lt;&gt; 0, Source!BC39, 1)</f>
        <v>803.47480000000007</v>
      </c>
      <c r="O13">
        <f>ROUND(N13*I13, 2)</f>
        <v>10445.17</v>
      </c>
      <c r="P13">
        <f>Source!AE39</f>
        <v>0</v>
      </c>
      <c r="R13">
        <f>ROUND(P13*I13, 2)</f>
        <v>0</v>
      </c>
      <c r="S13">
        <f>Source!AE39*IF(Source!BS39&lt;&gt; 0, Source!BS39, 1)</f>
        <v>0</v>
      </c>
      <c r="T13">
        <f>ROUND(S13*I13, 2)</f>
        <v>0</v>
      </c>
      <c r="U13">
        <f>Source!GF39</f>
        <v>1644072298</v>
      </c>
      <c r="V13">
        <v>479784419</v>
      </c>
      <c r="W13">
        <v>983482599</v>
      </c>
    </row>
    <row r="14" spans="1:23" x14ac:dyDescent="0.2">
      <c r="A14">
        <f>Source!A41</f>
        <v>17</v>
      </c>
      <c r="C14">
        <v>1</v>
      </c>
      <c r="D14">
        <v>0</v>
      </c>
      <c r="E14">
        <f>SmtRes!AV15</f>
        <v>1</v>
      </c>
      <c r="F14" t="str">
        <f>SmtRes!I15</f>
        <v>9999990008</v>
      </c>
      <c r="G14" t="str">
        <f>SmtRes!K15</f>
        <v>Трудозатраты рабочих</v>
      </c>
      <c r="H14" t="str">
        <f>SmtRes!O15</f>
        <v>чел.-ч.</v>
      </c>
      <c r="I14">
        <f>SmtRes!Y15*Source!I41</f>
        <v>21.159999999999997</v>
      </c>
      <c r="J14">
        <f>SmtRes!AO15</f>
        <v>1</v>
      </c>
      <c r="K14">
        <f>SmtRes!AH15</f>
        <v>0</v>
      </c>
      <c r="L14">
        <f>SmtRes!DB15</f>
        <v>0</v>
      </c>
      <c r="M14">
        <f>ROUND(ROUND(L14*Source!I41, 6)*1, 2)</f>
        <v>0</v>
      </c>
      <c r="N14">
        <f>SmtRes!AD15</f>
        <v>0</v>
      </c>
      <c r="O14">
        <f>ROUND(ROUND(L14*Source!I41, 6)*SmtRes!DA15, 2)</f>
        <v>0</v>
      </c>
      <c r="P14">
        <f>SmtRes!AG15</f>
        <v>0</v>
      </c>
      <c r="Q14">
        <f>SmtRes!DC15</f>
        <v>0</v>
      </c>
      <c r="R14">
        <f>ROUND(ROUND(Q14*Source!I41, 6)*1, 2)</f>
        <v>0</v>
      </c>
      <c r="S14">
        <f>SmtRes!AC15</f>
        <v>0</v>
      </c>
      <c r="T14">
        <f>ROUND(ROUND(Q14*Source!I41, 6)*SmtRes!AK15, 2)</f>
        <v>0</v>
      </c>
      <c r="U14">
        <f>SmtRes!X15</f>
        <v>476480486</v>
      </c>
      <c r="V14">
        <v>1286141856</v>
      </c>
      <c r="W14">
        <v>1286141856</v>
      </c>
    </row>
    <row r="15" spans="1:23" x14ac:dyDescent="0.2">
      <c r="A15">
        <f>Source!A43</f>
        <v>18</v>
      </c>
      <c r="C15">
        <v>3</v>
      </c>
      <c r="D15">
        <f>Source!BI43</f>
        <v>2</v>
      </c>
      <c r="E15">
        <f>Source!FS43</f>
        <v>0</v>
      </c>
      <c r="F15" t="str">
        <f>Source!F43</f>
        <v>Цена поставщика</v>
      </c>
      <c r="G15" t="str">
        <f>Source!G43</f>
        <v>Оповещатель охранно-пожарный световой (табло) Молния-12 "Выход"  (+1 резерв)</v>
      </c>
      <c r="H15" t="str">
        <f>Source!H43</f>
        <v>шт.</v>
      </c>
      <c r="I15">
        <f>Source!I43</f>
        <v>9</v>
      </c>
      <c r="J15">
        <v>1</v>
      </c>
      <c r="K15">
        <f>Source!AC43</f>
        <v>22.52</v>
      </c>
      <c r="M15">
        <f>ROUND(K15*I15, 2)</f>
        <v>202.68</v>
      </c>
      <c r="N15">
        <f>Source!AC43*IF(Source!BC43&lt;&gt; 0, Source!BC43, 1)</f>
        <v>120.7072</v>
      </c>
      <c r="O15">
        <f>ROUND(N15*I15, 2)</f>
        <v>1086.3599999999999</v>
      </c>
      <c r="P15">
        <f>Source!AE43</f>
        <v>0</v>
      </c>
      <c r="R15">
        <f>ROUND(P15*I15, 2)</f>
        <v>0</v>
      </c>
      <c r="S15">
        <f>Source!AE43*IF(Source!BS43&lt;&gt; 0, Source!BS43, 1)</f>
        <v>0</v>
      </c>
      <c r="T15">
        <f>ROUND(S15*I15, 2)</f>
        <v>0</v>
      </c>
      <c r="U15">
        <f>Source!GF43</f>
        <v>2012052233</v>
      </c>
      <c r="V15">
        <v>1297770042</v>
      </c>
      <c r="W15">
        <v>-1297475276</v>
      </c>
    </row>
    <row r="16" spans="1:23" x14ac:dyDescent="0.2">
      <c r="A16">
        <f>Source!A45</f>
        <v>17</v>
      </c>
      <c r="C16">
        <v>1</v>
      </c>
      <c r="D16">
        <v>0</v>
      </c>
      <c r="E16">
        <f>SmtRes!AV19</f>
        <v>1</v>
      </c>
      <c r="F16" t="str">
        <f>SmtRes!I19</f>
        <v>9999990008</v>
      </c>
      <c r="G16" t="str">
        <f>SmtRes!K19</f>
        <v>Трудозатраты рабочих</v>
      </c>
      <c r="H16" t="str">
        <f>SmtRes!O19</f>
        <v>чел.-ч.</v>
      </c>
      <c r="I16">
        <f>SmtRes!Y19*Source!I45</f>
        <v>2.7243499999999994</v>
      </c>
      <c r="J16">
        <f>SmtRes!AO19</f>
        <v>1</v>
      </c>
      <c r="K16">
        <f>SmtRes!AH19</f>
        <v>0</v>
      </c>
      <c r="L16">
        <f>SmtRes!DB19</f>
        <v>0</v>
      </c>
      <c r="M16">
        <f>ROUND(ROUND(L16*Source!I45, 6)*1, 2)</f>
        <v>0</v>
      </c>
      <c r="N16">
        <f>SmtRes!AD19</f>
        <v>0</v>
      </c>
      <c r="O16">
        <f>ROUND(ROUND(L16*Source!I45, 6)*SmtRes!DA19, 2)</f>
        <v>0</v>
      </c>
      <c r="P16">
        <f>SmtRes!AG19</f>
        <v>0</v>
      </c>
      <c r="Q16">
        <f>SmtRes!DC19</f>
        <v>0</v>
      </c>
      <c r="R16">
        <f>ROUND(ROUND(Q16*Source!I45, 6)*1, 2)</f>
        <v>0</v>
      </c>
      <c r="S16">
        <f>SmtRes!AC19</f>
        <v>0</v>
      </c>
      <c r="T16">
        <f>ROUND(ROUND(Q16*Source!I45, 6)*SmtRes!AK19, 2)</f>
        <v>0</v>
      </c>
      <c r="U16">
        <f>SmtRes!X19</f>
        <v>476480486</v>
      </c>
      <c r="V16">
        <v>1286141856</v>
      </c>
      <c r="W16">
        <v>1286141856</v>
      </c>
    </row>
    <row r="17" spans="1:23" x14ac:dyDescent="0.2">
      <c r="A17">
        <f>Source!A47</f>
        <v>18</v>
      </c>
      <c r="C17">
        <v>3</v>
      </c>
      <c r="D17">
        <f>Source!BI47</f>
        <v>2</v>
      </c>
      <c r="E17">
        <f>Source!FS47</f>
        <v>0</v>
      </c>
      <c r="F17" t="str">
        <f>Source!F47</f>
        <v>Цена поставщика</v>
      </c>
      <c r="G17" t="str">
        <f>Source!G47</f>
        <v>Щиток модульный для автоматических выключателей, настенный, типоразмер: 1 ряд, 2 модуля, 140х53х83 мм, IP30, белый, Бокс КМПн 2/2 (MKP42-N-02-30-20)</v>
      </c>
      <c r="H17" t="str">
        <f>Source!H47</f>
        <v>шт.</v>
      </c>
      <c r="I17">
        <f>Source!I47</f>
        <v>1</v>
      </c>
      <c r="J17">
        <v>1</v>
      </c>
      <c r="K17">
        <f>Source!AC47</f>
        <v>13.72</v>
      </c>
      <c r="M17">
        <f>ROUND(K17*I17, 2)</f>
        <v>13.72</v>
      </c>
      <c r="N17">
        <f>Source!AC47*IF(Source!BC47&lt;&gt; 0, Source!BC47, 1)</f>
        <v>73.539200000000008</v>
      </c>
      <c r="O17">
        <f>ROUND(N17*I17, 2)</f>
        <v>73.540000000000006</v>
      </c>
      <c r="P17">
        <f>Source!AE47</f>
        <v>0</v>
      </c>
      <c r="R17">
        <f>ROUND(P17*I17, 2)</f>
        <v>0</v>
      </c>
      <c r="S17">
        <f>Source!AE47*IF(Source!BS47&lt;&gt; 0, Source!BS47, 1)</f>
        <v>0</v>
      </c>
      <c r="T17">
        <f>ROUND(S17*I17, 2)</f>
        <v>0</v>
      </c>
      <c r="U17">
        <f>Source!GF47</f>
        <v>-856326276</v>
      </c>
      <c r="V17">
        <v>-568609012</v>
      </c>
      <c r="W17">
        <v>-1239290245</v>
      </c>
    </row>
    <row r="18" spans="1:23" x14ac:dyDescent="0.2">
      <c r="A18">
        <f>Source!A49</f>
        <v>17</v>
      </c>
      <c r="C18">
        <v>1</v>
      </c>
      <c r="D18">
        <v>0</v>
      </c>
      <c r="E18">
        <f>SmtRes!AV23</f>
        <v>1</v>
      </c>
      <c r="F18" t="str">
        <f>SmtRes!I23</f>
        <v>9999990008</v>
      </c>
      <c r="G18" t="str">
        <f>SmtRes!K23</f>
        <v>Трудозатраты рабочих</v>
      </c>
      <c r="H18" t="str">
        <f>SmtRes!O23</f>
        <v>чел.-ч.</v>
      </c>
      <c r="I18">
        <f>SmtRes!Y23*Source!I49</f>
        <v>1.7721499999999997</v>
      </c>
      <c r="J18">
        <f>SmtRes!AO23</f>
        <v>1</v>
      </c>
      <c r="K18">
        <f>SmtRes!AH23</f>
        <v>0</v>
      </c>
      <c r="L18">
        <f>SmtRes!DB23</f>
        <v>0</v>
      </c>
      <c r="M18">
        <f>ROUND(ROUND(L18*Source!I49, 6)*1, 2)</f>
        <v>0</v>
      </c>
      <c r="N18">
        <f>SmtRes!AD23</f>
        <v>0</v>
      </c>
      <c r="O18">
        <f>ROUND(ROUND(L18*Source!I49, 6)*SmtRes!DA23, 2)</f>
        <v>0</v>
      </c>
      <c r="P18">
        <f>SmtRes!AG23</f>
        <v>0</v>
      </c>
      <c r="Q18">
        <f>SmtRes!DC23</f>
        <v>0</v>
      </c>
      <c r="R18">
        <f>ROUND(ROUND(Q18*Source!I49, 6)*1, 2)</f>
        <v>0</v>
      </c>
      <c r="S18">
        <f>SmtRes!AC23</f>
        <v>0</v>
      </c>
      <c r="T18">
        <f>ROUND(ROUND(Q18*Source!I49, 6)*SmtRes!AK23, 2)</f>
        <v>0</v>
      </c>
      <c r="U18">
        <f>SmtRes!X23</f>
        <v>476480486</v>
      </c>
      <c r="V18">
        <v>1286141856</v>
      </c>
      <c r="W18">
        <v>1286141856</v>
      </c>
    </row>
    <row r="19" spans="1:23" x14ac:dyDescent="0.2">
      <c r="A19">
        <f>Source!A51</f>
        <v>18</v>
      </c>
      <c r="C19">
        <v>3</v>
      </c>
      <c r="D19">
        <f>Source!BI51</f>
        <v>2</v>
      </c>
      <c r="E19">
        <f>Source!FS51</f>
        <v>0</v>
      </c>
      <c r="F19" t="str">
        <f>Source!F51</f>
        <v>13.1-1-626</v>
      </c>
      <c r="G19" t="str">
        <f>Source!G51</f>
        <v>Выключатель автоматический типа iC60N 1П 6A C. Номинальный ток 6А, максимальное рабочее напряжение 440 В, габаритные размеры 18х94х78,5 мм</v>
      </c>
      <c r="H19" t="str">
        <f>Source!H51</f>
        <v>шт.</v>
      </c>
      <c r="I19">
        <f>Source!I51</f>
        <v>1</v>
      </c>
      <c r="J19">
        <v>1</v>
      </c>
      <c r="K19">
        <f>Source!AC51</f>
        <v>36.020000000000003</v>
      </c>
      <c r="M19">
        <f>ROUND(K19*I19, 2)</f>
        <v>36.020000000000003</v>
      </c>
      <c r="N19">
        <f>Source!AC51*IF(Source!BC51&lt;&gt; 0, Source!BC51, 1)</f>
        <v>382.5324</v>
      </c>
      <c r="O19">
        <f>ROUND(N19*I19, 2)</f>
        <v>382.53</v>
      </c>
      <c r="P19">
        <f>Source!AE51</f>
        <v>0</v>
      </c>
      <c r="R19">
        <f>ROUND(P19*I19, 2)</f>
        <v>0</v>
      </c>
      <c r="S19">
        <f>Source!AE51*IF(Source!BS51&lt;&gt; 0, Source!BS51, 1)</f>
        <v>0</v>
      </c>
      <c r="T19">
        <f>ROUND(S19*I19, 2)</f>
        <v>0</v>
      </c>
      <c r="U19">
        <f>Source!GF51</f>
        <v>-79380759</v>
      </c>
      <c r="V19">
        <v>508394543</v>
      </c>
      <c r="W19">
        <v>-59084153</v>
      </c>
    </row>
    <row r="20" spans="1:23" x14ac:dyDescent="0.2">
      <c r="A20">
        <f>Source!A54</f>
        <v>17</v>
      </c>
      <c r="C20">
        <v>1</v>
      </c>
      <c r="D20">
        <v>0</v>
      </c>
      <c r="E20">
        <f>SmtRes!AV30</f>
        <v>1</v>
      </c>
      <c r="F20" t="str">
        <f>SmtRes!I30</f>
        <v>9999990008</v>
      </c>
      <c r="G20" t="str">
        <f>SmtRes!K30</f>
        <v>Трудозатраты рабочих</v>
      </c>
      <c r="H20" t="str">
        <f>SmtRes!O30</f>
        <v>чел.-ч.</v>
      </c>
      <c r="I20">
        <f>SmtRes!Y30*Source!I54</f>
        <v>102.25569999999998</v>
      </c>
      <c r="J20">
        <f>SmtRes!AO30</f>
        <v>1</v>
      </c>
      <c r="K20">
        <f>SmtRes!AH30</f>
        <v>0</v>
      </c>
      <c r="L20">
        <f>SmtRes!DB30</f>
        <v>0</v>
      </c>
      <c r="M20">
        <f>ROUND(ROUND(L20*Source!I54, 6)*1, 2)</f>
        <v>0</v>
      </c>
      <c r="N20">
        <f>SmtRes!AD30</f>
        <v>0</v>
      </c>
      <c r="O20">
        <f>ROUND(ROUND(L20*Source!I54, 6)*SmtRes!DA30, 2)</f>
        <v>0</v>
      </c>
      <c r="P20">
        <f>SmtRes!AG30</f>
        <v>0</v>
      </c>
      <c r="Q20">
        <f>SmtRes!DC30</f>
        <v>0</v>
      </c>
      <c r="R20">
        <f>ROUND(ROUND(Q20*Source!I54, 6)*1, 2)</f>
        <v>0</v>
      </c>
      <c r="S20">
        <f>SmtRes!AC30</f>
        <v>0</v>
      </c>
      <c r="T20">
        <f>ROUND(ROUND(Q20*Source!I54, 6)*SmtRes!AK30, 2)</f>
        <v>0</v>
      </c>
      <c r="U20">
        <f>SmtRes!X30</f>
        <v>476480486</v>
      </c>
      <c r="V20">
        <v>1286141856</v>
      </c>
      <c r="W20">
        <v>1286141856</v>
      </c>
    </row>
    <row r="21" spans="1:23" x14ac:dyDescent="0.2">
      <c r="A21">
        <f>Source!A56</f>
        <v>18</v>
      </c>
      <c r="C21">
        <v>3</v>
      </c>
      <c r="D21">
        <f>Source!BI56</f>
        <v>2</v>
      </c>
      <c r="E21">
        <f>Source!FS56</f>
        <v>0</v>
      </c>
      <c r="F21" t="str">
        <f>Source!F56</f>
        <v>1.12-5-372</v>
      </c>
      <c r="G21" t="str">
        <f>Source!G56</f>
        <v>Трубы электротехнические гофрированные, поливинилхлоридные, негорючие, с зондом, наружный диаметр 20 мм</v>
      </c>
      <c r="H21" t="str">
        <f>Source!H56</f>
        <v>м</v>
      </c>
      <c r="I21">
        <f>Source!I56</f>
        <v>204</v>
      </c>
      <c r="J21">
        <v>1</v>
      </c>
      <c r="K21">
        <f>Source!AC56</f>
        <v>3.45</v>
      </c>
      <c r="M21">
        <f>ROUND(K21*I21, 2)</f>
        <v>703.8</v>
      </c>
      <c r="N21">
        <f>Source!AC56*IF(Source!BC56&lt;&gt; 0, Source!BC56, 1)</f>
        <v>21.631499999999999</v>
      </c>
      <c r="O21">
        <f>ROUND(N21*I21, 2)</f>
        <v>4412.83</v>
      </c>
      <c r="P21">
        <f>Source!AE56</f>
        <v>0</v>
      </c>
      <c r="R21">
        <f>ROUND(P21*I21, 2)</f>
        <v>0</v>
      </c>
      <c r="S21">
        <f>Source!AE56*IF(Source!BS56&lt;&gt; 0, Source!BS56, 1)</f>
        <v>0</v>
      </c>
      <c r="T21">
        <f>ROUND(S21*I21, 2)</f>
        <v>0</v>
      </c>
      <c r="U21">
        <f>Source!GF56</f>
        <v>-1319589642</v>
      </c>
      <c r="V21">
        <v>-1468279387</v>
      </c>
      <c r="W21">
        <v>-156029221</v>
      </c>
    </row>
    <row r="22" spans="1:23" x14ac:dyDescent="0.2">
      <c r="A22">
        <f>Source!A58</f>
        <v>18</v>
      </c>
      <c r="C22">
        <v>3</v>
      </c>
      <c r="D22">
        <f>Source!BI58</f>
        <v>2</v>
      </c>
      <c r="E22">
        <f>Source!FS58</f>
        <v>0</v>
      </c>
      <c r="F22" t="str">
        <f>Source!F58</f>
        <v>1.21-5-1105</v>
      </c>
      <c r="G22" t="str">
        <f>Source!G58</f>
        <v>Коробки распаечные, серия "Tyco", открытой установки, из полистирола, степень защиты IP55, 7 вводов, размеры 70х70х40 мм, артикул 67030</v>
      </c>
      <c r="H22" t="str">
        <f>Source!H58</f>
        <v>шт.</v>
      </c>
      <c r="I22">
        <f>Source!I58</f>
        <v>1</v>
      </c>
      <c r="J22">
        <v>1</v>
      </c>
      <c r="K22">
        <f>Source!AC58</f>
        <v>10.96</v>
      </c>
      <c r="M22">
        <f>ROUND(K22*I22, 2)</f>
        <v>10.96</v>
      </c>
      <c r="N22">
        <f>Source!AC58*IF(Source!BC58&lt;&gt; 0, Source!BC58, 1)</f>
        <v>22.248799999999999</v>
      </c>
      <c r="O22">
        <f>ROUND(N22*I22, 2)</f>
        <v>22.25</v>
      </c>
      <c r="P22">
        <f>Source!AE58</f>
        <v>0</v>
      </c>
      <c r="R22">
        <f>ROUND(P22*I22, 2)</f>
        <v>0</v>
      </c>
      <c r="S22">
        <f>Source!AE58*IF(Source!BS58&lt;&gt; 0, Source!BS58, 1)</f>
        <v>0</v>
      </c>
      <c r="T22">
        <f>ROUND(S22*I22, 2)</f>
        <v>0</v>
      </c>
      <c r="U22">
        <f>Source!GF58</f>
        <v>6169889</v>
      </c>
      <c r="V22">
        <v>-724603144</v>
      </c>
      <c r="W22">
        <v>-1601303226</v>
      </c>
    </row>
    <row r="23" spans="1:23" x14ac:dyDescent="0.2">
      <c r="A23">
        <f>Source!A60</f>
        <v>18</v>
      </c>
      <c r="C23">
        <v>3</v>
      </c>
      <c r="D23">
        <f>Source!BI60</f>
        <v>2</v>
      </c>
      <c r="E23">
        <f>Source!FS60</f>
        <v>0</v>
      </c>
      <c r="F23" t="str">
        <f>Source!F60</f>
        <v>1.14-1-549</v>
      </c>
      <c r="G23" t="str">
        <f>Source!G60</f>
        <v>Коробки соединительные, тип КС-4, для подключения четырех пар проводов</v>
      </c>
      <c r="H23" t="str">
        <f>Source!H60</f>
        <v>шт.</v>
      </c>
      <c r="I23">
        <f>Source!I60</f>
        <v>12</v>
      </c>
      <c r="J23">
        <v>1</v>
      </c>
      <c r="K23">
        <f>Source!AC60</f>
        <v>3.83</v>
      </c>
      <c r="M23">
        <f>ROUND(K23*I23, 2)</f>
        <v>45.96</v>
      </c>
      <c r="N23">
        <f>Source!AC60*IF(Source!BC60&lt;&gt; 0, Source!BC60, 1)</f>
        <v>16.354099999999999</v>
      </c>
      <c r="O23">
        <f>ROUND(N23*I23, 2)</f>
        <v>196.25</v>
      </c>
      <c r="P23">
        <f>Source!AE60</f>
        <v>0</v>
      </c>
      <c r="R23">
        <f>ROUND(P23*I23, 2)</f>
        <v>0</v>
      </c>
      <c r="S23">
        <f>Source!AE60*IF(Source!BS60&lt;&gt; 0, Source!BS60, 1)</f>
        <v>0</v>
      </c>
      <c r="T23">
        <f>ROUND(S23*I23, 2)</f>
        <v>0</v>
      </c>
      <c r="U23">
        <f>Source!GF60</f>
        <v>-443561284</v>
      </c>
      <c r="V23">
        <v>-1550725688</v>
      </c>
      <c r="W23">
        <v>-246955592</v>
      </c>
    </row>
    <row r="24" spans="1:23" x14ac:dyDescent="0.2">
      <c r="A24">
        <f>Source!A62</f>
        <v>18</v>
      </c>
      <c r="C24">
        <v>3</v>
      </c>
      <c r="D24">
        <f>Source!BI62</f>
        <v>2</v>
      </c>
      <c r="E24">
        <f>Source!FS62</f>
        <v>0</v>
      </c>
      <c r="F24" t="str">
        <f>Source!F62</f>
        <v>1.21-5-1136</v>
      </c>
      <c r="G24" t="str">
        <f>Source!G62</f>
        <v>Держатели пластиковые с защелкой для крепления труб, рукавов и гибких вводов диаметром 20 мм</v>
      </c>
      <c r="H24" t="str">
        <f>Source!H62</f>
        <v>100 шт.</v>
      </c>
      <c r="I24">
        <f>Source!I62</f>
        <v>2</v>
      </c>
      <c r="J24">
        <v>1</v>
      </c>
      <c r="K24">
        <f>Source!AC62</f>
        <v>146.88999999999999</v>
      </c>
      <c r="M24">
        <f>ROUND(K24*I24, 2)</f>
        <v>293.77999999999997</v>
      </c>
      <c r="N24">
        <f>Source!AC62*IF(Source!BC62&lt;&gt; 0, Source!BC62, 1)</f>
        <v>174.79909999999998</v>
      </c>
      <c r="O24">
        <f>ROUND(N24*I24, 2)</f>
        <v>349.6</v>
      </c>
      <c r="P24">
        <f>Source!AE62</f>
        <v>0</v>
      </c>
      <c r="R24">
        <f>ROUND(P24*I24, 2)</f>
        <v>0</v>
      </c>
      <c r="S24">
        <f>Source!AE62*IF(Source!BS62&lt;&gt; 0, Source!BS62, 1)</f>
        <v>0</v>
      </c>
      <c r="T24">
        <f>ROUND(S24*I24, 2)</f>
        <v>0</v>
      </c>
      <c r="U24">
        <f>Source!GF62</f>
        <v>128275168</v>
      </c>
      <c r="V24">
        <v>1538980692</v>
      </c>
      <c r="W24">
        <v>-830939967</v>
      </c>
    </row>
    <row r="25" spans="1:23" x14ac:dyDescent="0.2">
      <c r="A25">
        <f>Source!A64</f>
        <v>17</v>
      </c>
      <c r="C25">
        <v>1</v>
      </c>
      <c r="D25">
        <v>0</v>
      </c>
      <c r="E25">
        <f>SmtRes!AV37</f>
        <v>1</v>
      </c>
      <c r="F25" t="str">
        <f>SmtRes!I37</f>
        <v>9999990008</v>
      </c>
      <c r="G25" t="str">
        <f>SmtRes!K37</f>
        <v>Трудозатраты рабочих</v>
      </c>
      <c r="H25" t="str">
        <f>SmtRes!O37</f>
        <v>чел.-ч.</v>
      </c>
      <c r="I25">
        <f>SmtRes!Y37*Source!I64</f>
        <v>13.62175</v>
      </c>
      <c r="J25">
        <f>SmtRes!AO37</f>
        <v>1</v>
      </c>
      <c r="K25">
        <f>SmtRes!AH37</f>
        <v>0</v>
      </c>
      <c r="L25">
        <f>SmtRes!DB37</f>
        <v>0</v>
      </c>
      <c r="M25">
        <f>ROUND(ROUND(L25*Source!I64, 6)*1, 2)</f>
        <v>0</v>
      </c>
      <c r="N25">
        <f>SmtRes!AD37</f>
        <v>0</v>
      </c>
      <c r="O25">
        <f>ROUND(ROUND(L25*Source!I64, 6)*SmtRes!DA37, 2)</f>
        <v>0</v>
      </c>
      <c r="P25">
        <f>SmtRes!AG37</f>
        <v>0</v>
      </c>
      <c r="Q25">
        <f>SmtRes!DC37</f>
        <v>0</v>
      </c>
      <c r="R25">
        <f>ROUND(ROUND(Q25*Source!I64, 6)*1, 2)</f>
        <v>0</v>
      </c>
      <c r="S25">
        <f>SmtRes!AC37</f>
        <v>0</v>
      </c>
      <c r="T25">
        <f>ROUND(ROUND(Q25*Source!I64, 6)*SmtRes!AK37, 2)</f>
        <v>0</v>
      </c>
      <c r="U25">
        <f>SmtRes!X37</f>
        <v>476480486</v>
      </c>
      <c r="V25">
        <v>1286141856</v>
      </c>
      <c r="W25">
        <v>1286141856</v>
      </c>
    </row>
    <row r="26" spans="1:23" x14ac:dyDescent="0.2">
      <c r="A26">
        <f>Source!A66</f>
        <v>18</v>
      </c>
      <c r="C26">
        <v>3</v>
      </c>
      <c r="D26">
        <f>Source!BI66</f>
        <v>2</v>
      </c>
      <c r="E26">
        <f>Source!FS66</f>
        <v>0</v>
      </c>
      <c r="F26" t="str">
        <f>Source!F66</f>
        <v>Цена поставщика</v>
      </c>
      <c r="G26" t="str">
        <f>Source!G66</f>
        <v>Кабель для систем ОПС и СОУЭ огнестойкий, с низким дымо и газовыделением Лоутокс 20нг(А)-FRLSLTx 1х2х0,75</v>
      </c>
      <c r="H26" t="str">
        <f>Source!H66</f>
        <v>м</v>
      </c>
      <c r="I26">
        <f>Source!I66</f>
        <v>204</v>
      </c>
      <c r="J26">
        <v>1</v>
      </c>
      <c r="K26">
        <f>Source!AC66</f>
        <v>12.22</v>
      </c>
      <c r="M26">
        <f>ROUND(K26*I26, 2)</f>
        <v>2492.88</v>
      </c>
      <c r="N26">
        <f>Source!AC66*IF(Source!BC66&lt;&gt; 0, Source!BC66, 1)</f>
        <v>65.499200000000002</v>
      </c>
      <c r="O26">
        <f>ROUND(N26*I26, 2)</f>
        <v>13361.84</v>
      </c>
      <c r="P26">
        <f>Source!AE66</f>
        <v>0</v>
      </c>
      <c r="R26">
        <f>ROUND(P26*I26, 2)</f>
        <v>0</v>
      </c>
      <c r="S26">
        <f>Source!AE66*IF(Source!BS66&lt;&gt; 0, Source!BS66, 1)</f>
        <v>0</v>
      </c>
      <c r="T26">
        <f>ROUND(S26*I26, 2)</f>
        <v>0</v>
      </c>
      <c r="U26">
        <f>Source!GF66</f>
        <v>-1867889573</v>
      </c>
      <c r="V26">
        <v>-237611195</v>
      </c>
      <c r="W26">
        <v>236453391</v>
      </c>
    </row>
    <row r="27" spans="1:23" x14ac:dyDescent="0.2">
      <c r="A27">
        <f>Source!A68</f>
        <v>17</v>
      </c>
      <c r="C27">
        <v>1</v>
      </c>
      <c r="D27">
        <v>0</v>
      </c>
      <c r="E27">
        <f>SmtRes!AV41</f>
        <v>1</v>
      </c>
      <c r="F27" t="str">
        <f>SmtRes!I41</f>
        <v>9999990008</v>
      </c>
      <c r="G27" t="str">
        <f>SmtRes!K41</f>
        <v>Трудозатраты рабочих</v>
      </c>
      <c r="H27" t="str">
        <f>SmtRes!O41</f>
        <v>чел.-ч.</v>
      </c>
      <c r="I27">
        <f>SmtRes!Y41*Source!I68</f>
        <v>5.3786075000000002</v>
      </c>
      <c r="J27">
        <f>SmtRes!AO41</f>
        <v>1</v>
      </c>
      <c r="K27">
        <f>SmtRes!AH41</f>
        <v>0</v>
      </c>
      <c r="L27">
        <f>SmtRes!DB41</f>
        <v>0</v>
      </c>
      <c r="M27">
        <f>ROUND(ROUND(L27*Source!I68, 6)*1, 2)</f>
        <v>0</v>
      </c>
      <c r="N27">
        <f>SmtRes!AD41</f>
        <v>0</v>
      </c>
      <c r="O27">
        <f>ROUND(ROUND(L27*Source!I68, 6)*SmtRes!DA41, 2)</f>
        <v>0</v>
      </c>
      <c r="P27">
        <f>SmtRes!AG41</f>
        <v>0</v>
      </c>
      <c r="Q27">
        <f>SmtRes!DC41</f>
        <v>0</v>
      </c>
      <c r="R27">
        <f>ROUND(ROUND(Q27*Source!I68, 6)*1, 2)</f>
        <v>0</v>
      </c>
      <c r="S27">
        <f>SmtRes!AC41</f>
        <v>0</v>
      </c>
      <c r="T27">
        <f>ROUND(ROUND(Q27*Source!I68, 6)*SmtRes!AK41, 2)</f>
        <v>0</v>
      </c>
      <c r="U27">
        <f>SmtRes!X41</f>
        <v>476480486</v>
      </c>
      <c r="V27">
        <v>1286141856</v>
      </c>
      <c r="W27">
        <v>1286141856</v>
      </c>
    </row>
    <row r="28" spans="1:23" x14ac:dyDescent="0.2">
      <c r="A28">
        <f>Source!A70</f>
        <v>18</v>
      </c>
      <c r="C28">
        <v>3</v>
      </c>
      <c r="D28">
        <f>Source!BI70</f>
        <v>2</v>
      </c>
      <c r="E28">
        <f>Source!FS70</f>
        <v>0</v>
      </c>
      <c r="F28" t="str">
        <f>Source!F70</f>
        <v>1.1-1-1962</v>
      </c>
      <c r="G28" t="str">
        <f>Source!G70</f>
        <v>Короба электротехнические для прокладки проводов, размер 10х15 мм</v>
      </c>
      <c r="H28" t="str">
        <f>Source!H70</f>
        <v>м</v>
      </c>
      <c r="I28">
        <f>Source!I70</f>
        <v>10.199999999999999</v>
      </c>
      <c r="J28">
        <v>1</v>
      </c>
      <c r="K28">
        <f>Source!AC70</f>
        <v>3.8</v>
      </c>
      <c r="M28">
        <f>ROUND(K28*I28, 2)</f>
        <v>38.76</v>
      </c>
      <c r="N28">
        <f>Source!AC70*IF(Source!BC70&lt;&gt; 0, Source!BC70, 1)</f>
        <v>10.754</v>
      </c>
      <c r="O28">
        <f>ROUND(N28*I28, 2)</f>
        <v>109.69</v>
      </c>
      <c r="P28">
        <f>Source!AE70</f>
        <v>0</v>
      </c>
      <c r="R28">
        <f>ROUND(P28*I28, 2)</f>
        <v>0</v>
      </c>
      <c r="S28">
        <f>Source!AE70*IF(Source!BS70&lt;&gt; 0, Source!BS70, 1)</f>
        <v>0</v>
      </c>
      <c r="T28">
        <f>ROUND(S28*I28, 2)</f>
        <v>0</v>
      </c>
      <c r="U28">
        <f>Source!GF70</f>
        <v>-54299764</v>
      </c>
      <c r="V28">
        <v>1496781055</v>
      </c>
      <c r="W28">
        <v>648316078</v>
      </c>
    </row>
    <row r="29" spans="1:23" x14ac:dyDescent="0.2">
      <c r="A29">
        <f>Source!A72</f>
        <v>17</v>
      </c>
      <c r="C29">
        <v>1</v>
      </c>
      <c r="D29">
        <v>0</v>
      </c>
      <c r="E29">
        <f>SmtRes!AV45</f>
        <v>1</v>
      </c>
      <c r="F29" t="str">
        <f>SmtRes!I45</f>
        <v>9999990008</v>
      </c>
      <c r="G29" t="str">
        <f>SmtRes!K45</f>
        <v>Трудозатраты рабочих</v>
      </c>
      <c r="H29" t="str">
        <f>SmtRes!O45</f>
        <v>чел.-ч.</v>
      </c>
      <c r="I29">
        <f>SmtRes!Y45*Source!I72</f>
        <v>0.81730499999999984</v>
      </c>
      <c r="J29">
        <f>SmtRes!AO45</f>
        <v>1</v>
      </c>
      <c r="K29">
        <f>SmtRes!AH45</f>
        <v>0</v>
      </c>
      <c r="L29">
        <f>SmtRes!DB45</f>
        <v>0</v>
      </c>
      <c r="M29">
        <f>ROUND(ROUND(L29*Source!I72, 6)*1, 2)</f>
        <v>0</v>
      </c>
      <c r="N29">
        <f>SmtRes!AD45</f>
        <v>0</v>
      </c>
      <c r="O29">
        <f>ROUND(ROUND(L29*Source!I72, 6)*SmtRes!DA45, 2)</f>
        <v>0</v>
      </c>
      <c r="P29">
        <f>SmtRes!AG45</f>
        <v>0</v>
      </c>
      <c r="Q29">
        <f>SmtRes!DC45</f>
        <v>0</v>
      </c>
      <c r="R29">
        <f>ROUND(ROUND(Q29*Source!I72, 6)*1, 2)</f>
        <v>0</v>
      </c>
      <c r="S29">
        <f>SmtRes!AC45</f>
        <v>0</v>
      </c>
      <c r="T29">
        <f>ROUND(ROUND(Q29*Source!I72, 6)*SmtRes!AK45, 2)</f>
        <v>0</v>
      </c>
      <c r="U29">
        <f>SmtRes!X45</f>
        <v>476480486</v>
      </c>
      <c r="V29">
        <v>1286141856</v>
      </c>
      <c r="W29">
        <v>1286141856</v>
      </c>
    </row>
    <row r="30" spans="1:23" x14ac:dyDescent="0.2">
      <c r="A30">
        <f>Source!A74</f>
        <v>18</v>
      </c>
      <c r="C30">
        <v>3</v>
      </c>
      <c r="D30">
        <f>Source!BI74</f>
        <v>2</v>
      </c>
      <c r="E30">
        <f>Source!FS74</f>
        <v>0</v>
      </c>
      <c r="F30" t="str">
        <f>Source!F74</f>
        <v>1.23-8-625</v>
      </c>
      <c r="G30" t="str">
        <f>Source!G74</f>
        <v>Кабели силовые с медными жилами огнестойкие, с изоляцией и оболочкой из поливинилхлоридных композиций пониженной пожароопасности, с низким дымо- и газовыделением, напряжение 1000 В, марка ВВГнг-FRLS, число жил и сечение 3х1,5 мм2</v>
      </c>
      <c r="H30" t="str">
        <f>Source!H74</f>
        <v>км</v>
      </c>
      <c r="I30">
        <f>Source!I74</f>
        <v>2.0400000000000001E-2</v>
      </c>
      <c r="J30">
        <v>1</v>
      </c>
      <c r="K30">
        <f>Source!AC74</f>
        <v>16446.900000000001</v>
      </c>
      <c r="M30">
        <f>ROUND(K30*I30, 2)</f>
        <v>335.52</v>
      </c>
      <c r="N30">
        <f>Source!AC74*IF(Source!BC74&lt;&gt; 0, Source!BC74, 1)</f>
        <v>39308.091000000008</v>
      </c>
      <c r="O30">
        <f>ROUND(N30*I30, 2)</f>
        <v>801.89</v>
      </c>
      <c r="P30">
        <f>Source!AE74</f>
        <v>0</v>
      </c>
      <c r="R30">
        <f>ROUND(P30*I30, 2)</f>
        <v>0</v>
      </c>
      <c r="S30">
        <f>Source!AE74*IF(Source!BS74&lt;&gt; 0, Source!BS74, 1)</f>
        <v>0</v>
      </c>
      <c r="T30">
        <f>ROUND(S30*I30, 2)</f>
        <v>0</v>
      </c>
      <c r="U30">
        <f>Source!GF74</f>
        <v>-1401279109</v>
      </c>
      <c r="V30">
        <v>-2140790213</v>
      </c>
      <c r="W30">
        <v>-296717671</v>
      </c>
    </row>
    <row r="31" spans="1:23" x14ac:dyDescent="0.2">
      <c r="A31">
        <f>Source!A105</f>
        <v>4</v>
      </c>
      <c r="B31">
        <v>105</v>
      </c>
      <c r="G31" t="str">
        <f>Source!G105</f>
        <v>Пусконаладочные работы</v>
      </c>
    </row>
    <row r="32" spans="1:23" x14ac:dyDescent="0.2">
      <c r="A32">
        <f>Source!A110</f>
        <v>17</v>
      </c>
      <c r="C32">
        <v>1</v>
      </c>
      <c r="D32">
        <v>0</v>
      </c>
      <c r="E32">
        <f>SmtRes!AV48</f>
        <v>1</v>
      </c>
      <c r="F32" t="str">
        <f>SmtRes!I48</f>
        <v>9999990008</v>
      </c>
      <c r="G32" t="str">
        <f>SmtRes!K48</f>
        <v>Трудозатраты рабочих</v>
      </c>
      <c r="H32" t="str">
        <f>SmtRes!O48</f>
        <v>чел.-ч.</v>
      </c>
      <c r="I32">
        <f>SmtRes!Y48*Source!I110</f>
        <v>44.800000000000004</v>
      </c>
      <c r="J32">
        <f>SmtRes!AO48</f>
        <v>1</v>
      </c>
      <c r="K32">
        <f>SmtRes!AH48</f>
        <v>0</v>
      </c>
      <c r="L32">
        <f>SmtRes!DB48</f>
        <v>0</v>
      </c>
      <c r="M32">
        <f>ROUND(ROUND(L32*Source!I110, 6)*1, 2)</f>
        <v>0</v>
      </c>
      <c r="N32">
        <f>SmtRes!AD48</f>
        <v>0</v>
      </c>
      <c r="O32">
        <f>ROUND(ROUND(L32*Source!I110, 6)*SmtRes!DA48, 2)</f>
        <v>0</v>
      </c>
      <c r="P32">
        <f>SmtRes!AG48</f>
        <v>0</v>
      </c>
      <c r="Q32">
        <f>SmtRes!DC48</f>
        <v>0</v>
      </c>
      <c r="R32">
        <f>ROUND(ROUND(Q32*Source!I110, 6)*1, 2)</f>
        <v>0</v>
      </c>
      <c r="S32">
        <f>SmtRes!AC48</f>
        <v>0</v>
      </c>
      <c r="T32">
        <f>ROUND(ROUND(Q32*Source!I110, 6)*SmtRes!AK48, 2)</f>
        <v>0</v>
      </c>
      <c r="U32">
        <f>SmtRes!X48</f>
        <v>476480486</v>
      </c>
      <c r="V32">
        <v>1286141856</v>
      </c>
      <c r="W32">
        <v>1286141856</v>
      </c>
    </row>
    <row r="33" spans="1:1" x14ac:dyDescent="0.2">
      <c r="A33">
        <v>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3"/>
  <sheetViews>
    <sheetView workbookViewId="0">
      <selection activeCell="A3" sqref="A3:F3"/>
    </sheetView>
  </sheetViews>
  <sheetFormatPr defaultRowHeight="12.75" x14ac:dyDescent="0.2"/>
  <cols>
    <col min="1" max="1" width="14.28515625" customWidth="1"/>
    <col min="2" max="2" width="40.7109375" customWidth="1"/>
    <col min="3" max="6" width="12.7109375" customWidth="1"/>
    <col min="15" max="15" width="103.7109375" hidden="1" customWidth="1"/>
    <col min="16" max="18" width="0" hidden="1" customWidth="1"/>
  </cols>
  <sheetData>
    <row r="2" spans="1:17" ht="16.5" x14ac:dyDescent="0.2">
      <c r="A2" s="71" t="s">
        <v>313</v>
      </c>
      <c r="B2" s="72"/>
      <c r="C2" s="72"/>
      <c r="D2" s="72"/>
      <c r="E2" s="72"/>
      <c r="F2" s="72"/>
    </row>
    <row r="3" spans="1:17" ht="73.150000000000006" customHeight="1" x14ac:dyDescent="0.2">
      <c r="A3" s="71" t="s">
        <v>330</v>
      </c>
      <c r="B3" s="72"/>
      <c r="C3" s="72"/>
      <c r="D3" s="72"/>
      <c r="E3" s="72"/>
      <c r="F3" s="72"/>
      <c r="O3" s="47" t="s">
        <v>314</v>
      </c>
    </row>
    <row r="4" spans="1:17" x14ac:dyDescent="0.2">
      <c r="A4" s="73" t="s">
        <v>315</v>
      </c>
      <c r="B4" s="73" t="s">
        <v>316</v>
      </c>
      <c r="C4" s="73" t="s">
        <v>238</v>
      </c>
      <c r="D4" s="73" t="s">
        <v>317</v>
      </c>
      <c r="E4" s="76" t="s">
        <v>318</v>
      </c>
      <c r="F4" s="77"/>
    </row>
    <row r="5" spans="1:17" x14ac:dyDescent="0.2">
      <c r="A5" s="74"/>
      <c r="B5" s="74"/>
      <c r="C5" s="74"/>
      <c r="D5" s="74"/>
      <c r="E5" s="78"/>
      <c r="F5" s="79"/>
    </row>
    <row r="6" spans="1:17" ht="14.25" x14ac:dyDescent="0.2">
      <c r="A6" s="75"/>
      <c r="B6" s="75"/>
      <c r="C6" s="75"/>
      <c r="D6" s="75"/>
      <c r="E6" s="16" t="s">
        <v>319</v>
      </c>
      <c r="F6" s="16" t="s">
        <v>320</v>
      </c>
    </row>
    <row r="7" spans="1:17" ht="14.2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</row>
    <row r="8" spans="1:17" ht="33" x14ac:dyDescent="0.2">
      <c r="A8" s="71" t="s">
        <v>321</v>
      </c>
      <c r="B8" s="72"/>
      <c r="C8" s="72"/>
      <c r="D8" s="72"/>
      <c r="E8" s="72"/>
      <c r="F8" s="72"/>
      <c r="O8" s="47" t="s">
        <v>321</v>
      </c>
    </row>
    <row r="9" spans="1:17" ht="16.5" x14ac:dyDescent="0.2">
      <c r="A9" s="71" t="s">
        <v>328</v>
      </c>
      <c r="B9" s="72"/>
      <c r="C9" s="72"/>
      <c r="D9" s="72"/>
      <c r="E9" s="72"/>
      <c r="F9" s="72"/>
    </row>
    <row r="10" spans="1:17" ht="14.25" x14ac:dyDescent="0.2">
      <c r="A10" s="67" t="s">
        <v>322</v>
      </c>
      <c r="B10" s="68"/>
      <c r="C10" s="68"/>
      <c r="D10" s="68"/>
      <c r="E10" s="68"/>
      <c r="F10" s="68"/>
    </row>
    <row r="11" spans="1:17" ht="14.25" x14ac:dyDescent="0.2">
      <c r="A11" s="48" t="s">
        <v>210</v>
      </c>
      <c r="B11" s="39" t="s">
        <v>211</v>
      </c>
      <c r="C11" s="39" t="s">
        <v>212</v>
      </c>
      <c r="D11" s="40">
        <v>197.90551300000001</v>
      </c>
      <c r="E11" s="46">
        <v>0</v>
      </c>
      <c r="F11" s="46">
        <v>0</v>
      </c>
      <c r="Q11">
        <v>1</v>
      </c>
    </row>
    <row r="12" spans="1:17" ht="15" x14ac:dyDescent="0.25">
      <c r="A12" s="69" t="s">
        <v>323</v>
      </c>
      <c r="B12" s="69"/>
      <c r="C12" s="69"/>
      <c r="D12" s="69"/>
      <c r="E12" s="70">
        <v>0</v>
      </c>
      <c r="F12" s="70"/>
    </row>
    <row r="13" spans="1:17" ht="14.25" x14ac:dyDescent="0.2">
      <c r="A13" s="67" t="s">
        <v>324</v>
      </c>
      <c r="B13" s="68"/>
      <c r="C13" s="68"/>
      <c r="D13" s="68"/>
      <c r="E13" s="68"/>
      <c r="F13" s="68"/>
    </row>
    <row r="14" spans="1:17" ht="28.5" x14ac:dyDescent="0.2">
      <c r="A14" s="48" t="s">
        <v>115</v>
      </c>
      <c r="B14" s="39" t="s">
        <v>116</v>
      </c>
      <c r="C14" s="39" t="s">
        <v>86</v>
      </c>
      <c r="D14" s="40">
        <v>10.199999999999999</v>
      </c>
      <c r="E14" s="46">
        <v>3.8</v>
      </c>
      <c r="F14" s="46">
        <v>38.76</v>
      </c>
      <c r="Q14">
        <v>3</v>
      </c>
    </row>
    <row r="15" spans="1:17" ht="57" x14ac:dyDescent="0.2">
      <c r="A15" s="48" t="s">
        <v>84</v>
      </c>
      <c r="B15" s="39" t="s">
        <v>85</v>
      </c>
      <c r="C15" s="39" t="s">
        <v>86</v>
      </c>
      <c r="D15" s="40">
        <v>204</v>
      </c>
      <c r="E15" s="46">
        <v>3.45</v>
      </c>
      <c r="F15" s="46">
        <v>703.8</v>
      </c>
      <c r="Q15">
        <v>3</v>
      </c>
    </row>
    <row r="16" spans="1:17" ht="42.75" x14ac:dyDescent="0.2">
      <c r="A16" s="48" t="s">
        <v>93</v>
      </c>
      <c r="B16" s="39" t="s">
        <v>94</v>
      </c>
      <c r="C16" s="39" t="s">
        <v>30</v>
      </c>
      <c r="D16" s="40">
        <v>12</v>
      </c>
      <c r="E16" s="46">
        <v>3.83</v>
      </c>
      <c r="F16" s="46">
        <v>45.96</v>
      </c>
      <c r="Q16">
        <v>3</v>
      </c>
    </row>
    <row r="17" spans="1:17" ht="57" x14ac:dyDescent="0.2">
      <c r="A17" s="48" t="s">
        <v>89</v>
      </c>
      <c r="B17" s="39" t="s">
        <v>90</v>
      </c>
      <c r="C17" s="39" t="s">
        <v>30</v>
      </c>
      <c r="D17" s="40">
        <v>1</v>
      </c>
      <c r="E17" s="46">
        <v>10.96</v>
      </c>
      <c r="F17" s="46">
        <v>10.96</v>
      </c>
      <c r="Q17">
        <v>3</v>
      </c>
    </row>
    <row r="18" spans="1:17" ht="42.75" x14ac:dyDescent="0.2">
      <c r="A18" s="48" t="s">
        <v>97</v>
      </c>
      <c r="B18" s="39" t="s">
        <v>98</v>
      </c>
      <c r="C18" s="39" t="s">
        <v>99</v>
      </c>
      <c r="D18" s="40">
        <v>2</v>
      </c>
      <c r="E18" s="46">
        <v>146.88999999999999</v>
      </c>
      <c r="F18" s="46">
        <v>293.77999999999997</v>
      </c>
      <c r="Q18">
        <v>3</v>
      </c>
    </row>
    <row r="19" spans="1:17" ht="99.75" x14ac:dyDescent="0.2">
      <c r="A19" s="48" t="s">
        <v>123</v>
      </c>
      <c r="B19" s="39" t="s">
        <v>124</v>
      </c>
      <c r="C19" s="39" t="s">
        <v>125</v>
      </c>
      <c r="D19" s="40">
        <v>2.0400000000000001E-2</v>
      </c>
      <c r="E19" s="46">
        <v>16446.900000000001</v>
      </c>
      <c r="F19" s="46">
        <v>335.52</v>
      </c>
      <c r="Q19">
        <v>3</v>
      </c>
    </row>
    <row r="20" spans="1:17" ht="71.25" x14ac:dyDescent="0.2">
      <c r="A20" s="48" t="s">
        <v>73</v>
      </c>
      <c r="B20" s="39" t="s">
        <v>74</v>
      </c>
      <c r="C20" s="39" t="s">
        <v>30</v>
      </c>
      <c r="D20" s="40">
        <v>1</v>
      </c>
      <c r="E20" s="46">
        <v>36.020000000000003</v>
      </c>
      <c r="F20" s="46">
        <v>36.020000000000003</v>
      </c>
      <c r="Q20">
        <v>3</v>
      </c>
    </row>
    <row r="21" spans="1:17" ht="42.75" x14ac:dyDescent="0.2">
      <c r="A21" s="48" t="s">
        <v>42</v>
      </c>
      <c r="B21" s="39" t="s">
        <v>43</v>
      </c>
      <c r="C21" s="39" t="s">
        <v>30</v>
      </c>
      <c r="D21" s="40">
        <v>2</v>
      </c>
      <c r="E21" s="46">
        <v>285.2</v>
      </c>
      <c r="F21" s="46">
        <v>570.4</v>
      </c>
      <c r="Q21">
        <v>3</v>
      </c>
    </row>
    <row r="22" spans="1:17" ht="42.75" x14ac:dyDescent="0.2">
      <c r="A22" s="48" t="s">
        <v>28</v>
      </c>
      <c r="B22" s="39" t="s">
        <v>57</v>
      </c>
      <c r="C22" s="39" t="s">
        <v>30</v>
      </c>
      <c r="D22" s="40">
        <v>9</v>
      </c>
      <c r="E22" s="46">
        <v>22.52</v>
      </c>
      <c r="F22" s="46">
        <v>202.68</v>
      </c>
      <c r="Q22">
        <v>3</v>
      </c>
    </row>
    <row r="23" spans="1:17" ht="71.25" x14ac:dyDescent="0.2">
      <c r="A23" s="48" t="s">
        <v>28</v>
      </c>
      <c r="B23" s="39" t="s">
        <v>66</v>
      </c>
      <c r="C23" s="39" t="s">
        <v>30</v>
      </c>
      <c r="D23" s="40">
        <v>1</v>
      </c>
      <c r="E23" s="46">
        <v>13.72</v>
      </c>
      <c r="F23" s="46">
        <v>13.72</v>
      </c>
      <c r="Q23">
        <v>3</v>
      </c>
    </row>
    <row r="24" spans="1:17" ht="57" x14ac:dyDescent="0.2">
      <c r="A24" s="48" t="s">
        <v>28</v>
      </c>
      <c r="B24" s="39" t="s">
        <v>108</v>
      </c>
      <c r="C24" s="39" t="s">
        <v>86</v>
      </c>
      <c r="D24" s="40">
        <v>204</v>
      </c>
      <c r="E24" s="46">
        <v>12.22</v>
      </c>
      <c r="F24" s="46">
        <v>2492.88</v>
      </c>
      <c r="Q24">
        <v>3</v>
      </c>
    </row>
    <row r="25" spans="1:17" ht="15" x14ac:dyDescent="0.25">
      <c r="A25" s="69" t="s">
        <v>325</v>
      </c>
      <c r="B25" s="69"/>
      <c r="C25" s="69"/>
      <c r="D25" s="69"/>
      <c r="E25" s="70">
        <v>4744.4799999999996</v>
      </c>
      <c r="F25" s="70"/>
    </row>
    <row r="26" spans="1:17" ht="14.25" x14ac:dyDescent="0.2">
      <c r="A26" s="67" t="s">
        <v>326</v>
      </c>
      <c r="B26" s="68"/>
      <c r="C26" s="68"/>
      <c r="D26" s="68"/>
      <c r="E26" s="68"/>
      <c r="F26" s="68"/>
    </row>
    <row r="27" spans="1:17" ht="28.5" x14ac:dyDescent="0.2">
      <c r="A27" s="48" t="s">
        <v>28</v>
      </c>
      <c r="B27" s="39" t="s">
        <v>29</v>
      </c>
      <c r="C27" s="39" t="s">
        <v>30</v>
      </c>
      <c r="D27" s="40">
        <v>1</v>
      </c>
      <c r="E27" s="46">
        <v>4490.21</v>
      </c>
      <c r="F27" s="46">
        <v>4490.21</v>
      </c>
      <c r="Q27">
        <v>5</v>
      </c>
    </row>
    <row r="28" spans="1:17" ht="28.5" x14ac:dyDescent="0.2">
      <c r="A28" s="48" t="s">
        <v>28</v>
      </c>
      <c r="B28" s="39" t="s">
        <v>50</v>
      </c>
      <c r="C28" s="39" t="s">
        <v>30</v>
      </c>
      <c r="D28" s="40">
        <v>13</v>
      </c>
      <c r="E28" s="46">
        <v>185.56</v>
      </c>
      <c r="F28" s="46">
        <v>2412.2800000000002</v>
      </c>
      <c r="Q28">
        <v>5</v>
      </c>
    </row>
    <row r="29" spans="1:17" ht="15" x14ac:dyDescent="0.25">
      <c r="A29" s="69" t="s">
        <v>327</v>
      </c>
      <c r="B29" s="69"/>
      <c r="C29" s="69"/>
      <c r="D29" s="69"/>
      <c r="E29" s="70">
        <v>6902.49</v>
      </c>
      <c r="F29" s="70"/>
    </row>
    <row r="30" spans="1:17" ht="16.5" x14ac:dyDescent="0.2">
      <c r="A30" s="71" t="s">
        <v>329</v>
      </c>
      <c r="B30" s="72"/>
      <c r="C30" s="72"/>
      <c r="D30" s="72"/>
      <c r="E30" s="72"/>
      <c r="F30" s="72"/>
    </row>
    <row r="31" spans="1:17" ht="14.25" x14ac:dyDescent="0.2">
      <c r="A31" s="67" t="s">
        <v>322</v>
      </c>
      <c r="B31" s="68"/>
      <c r="C31" s="68"/>
      <c r="D31" s="68"/>
      <c r="E31" s="68"/>
      <c r="F31" s="68"/>
    </row>
    <row r="32" spans="1:17" ht="14.25" x14ac:dyDescent="0.2">
      <c r="A32" s="48" t="s">
        <v>210</v>
      </c>
      <c r="B32" s="39" t="s">
        <v>211</v>
      </c>
      <c r="C32" s="39" t="s">
        <v>212</v>
      </c>
      <c r="D32" s="40">
        <v>44.8</v>
      </c>
      <c r="E32" s="46">
        <v>0</v>
      </c>
      <c r="F32" s="46">
        <v>0</v>
      </c>
      <c r="Q32">
        <v>1</v>
      </c>
    </row>
    <row r="33" spans="1:6" ht="15" x14ac:dyDescent="0.25">
      <c r="A33" s="69" t="s">
        <v>323</v>
      </c>
      <c r="B33" s="69"/>
      <c r="C33" s="69"/>
      <c r="D33" s="69"/>
      <c r="E33" s="70">
        <v>0</v>
      </c>
      <c r="F33" s="70"/>
    </row>
  </sheetData>
  <sortState ref="A32:R32">
    <sortCondition ref="A32"/>
  </sortState>
  <mergeCells count="22">
    <mergeCell ref="A13:F13"/>
    <mergeCell ref="A2:F2"/>
    <mergeCell ref="A3:F3"/>
    <mergeCell ref="A4:A6"/>
    <mergeCell ref="B4:B6"/>
    <mergeCell ref="C4:C6"/>
    <mergeCell ref="D4:D6"/>
    <mergeCell ref="E4:F5"/>
    <mergeCell ref="A8:F8"/>
    <mergeCell ref="A9:F9"/>
    <mergeCell ref="A10:F10"/>
    <mergeCell ref="A12:D12"/>
    <mergeCell ref="E12:F12"/>
    <mergeCell ref="A31:F31"/>
    <mergeCell ref="A33:D33"/>
    <mergeCell ref="E33:F33"/>
    <mergeCell ref="A25:D25"/>
    <mergeCell ref="E25:F25"/>
    <mergeCell ref="A26:F26"/>
    <mergeCell ref="A29:D29"/>
    <mergeCell ref="E29:F29"/>
    <mergeCell ref="A30:F30"/>
  </mergeCells>
  <pageMargins left="0.6" right="0.4" top="0.65" bottom="0.4" header="0.4" footer="0.4"/>
  <pageSetup paperSize="9" scale="89" fitToHeight="0" orientation="portrait" verticalDpi="0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19"/>
  <sheetViews>
    <sheetView workbookViewId="0">
      <selection activeCell="A215" sqref="A215:O215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51759</v>
      </c>
      <c r="M1">
        <v>10</v>
      </c>
      <c r="N1">
        <v>10</v>
      </c>
      <c r="O1">
        <v>1</v>
      </c>
      <c r="P1">
        <v>0</v>
      </c>
      <c r="Q1">
        <v>11</v>
      </c>
    </row>
    <row r="12" spans="1:133" x14ac:dyDescent="0.2">
      <c r="A12" s="1">
        <v>1</v>
      </c>
      <c r="B12" s="1">
        <v>213</v>
      </c>
      <c r="C12" s="1">
        <v>0</v>
      </c>
      <c r="D12" s="1">
        <f>ROW(A173)</f>
        <v>173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>
        <v>157</v>
      </c>
      <c r="T12" s="1"/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16777224</v>
      </c>
      <c r="CI12" s="1" t="s">
        <v>3</v>
      </c>
      <c r="CJ12" s="1" t="s">
        <v>3</v>
      </c>
      <c r="CK12" s="1">
        <v>51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55" x14ac:dyDescent="0.2">
      <c r="A18" s="3">
        <v>52</v>
      </c>
      <c r="B18" s="3">
        <f t="shared" ref="B18:G18" si="0">B173</f>
        <v>213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Новый объект_(Копия)_(Копия)</v>
      </c>
      <c r="G18" s="3" t="str">
        <f t="shared" si="0"/>
        <v>ГБУК г. Москвы "ТКС "Фили-Давыдково" по адресу: г. Москва, Рублевское ш., д. 18, корп. 1_СОУЭ</v>
      </c>
      <c r="H18" s="3"/>
      <c r="I18" s="3"/>
      <c r="J18" s="3"/>
      <c r="K18" s="3"/>
      <c r="L18" s="3"/>
      <c r="M18" s="3"/>
      <c r="N18" s="3"/>
      <c r="O18" s="3">
        <f t="shared" ref="O18:AT18" si="1">O173</f>
        <v>97957.06</v>
      </c>
      <c r="P18" s="3">
        <f t="shared" si="1"/>
        <v>94321.17</v>
      </c>
      <c r="Q18" s="3">
        <f t="shared" si="1"/>
        <v>193.83</v>
      </c>
      <c r="R18" s="3">
        <f t="shared" si="1"/>
        <v>20.92</v>
      </c>
      <c r="S18" s="3">
        <f t="shared" si="1"/>
        <v>3442.06</v>
      </c>
      <c r="T18" s="3">
        <f t="shared" si="1"/>
        <v>0</v>
      </c>
      <c r="U18" s="3">
        <f t="shared" si="1"/>
        <v>242.70551249999994</v>
      </c>
      <c r="V18" s="3">
        <f t="shared" si="1"/>
        <v>0</v>
      </c>
      <c r="W18" s="3">
        <f t="shared" si="1"/>
        <v>0</v>
      </c>
      <c r="X18" s="3">
        <f t="shared" si="1"/>
        <v>3584.93</v>
      </c>
      <c r="Y18" s="3">
        <f t="shared" si="1"/>
        <v>2332.2600000000002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8757</v>
      </c>
      <c r="AQ18" s="3">
        <f t="shared" si="1"/>
        <v>0</v>
      </c>
      <c r="AR18" s="3">
        <f t="shared" si="1"/>
        <v>103874.25</v>
      </c>
      <c r="AS18" s="3">
        <f t="shared" si="1"/>
        <v>0</v>
      </c>
      <c r="AT18" s="3">
        <f t="shared" si="1"/>
        <v>92987.46</v>
      </c>
      <c r="AU18" s="3">
        <f t="shared" ref="AU18:BZ18" si="2">AU173</f>
        <v>2129.79</v>
      </c>
      <c r="AV18" s="3">
        <f t="shared" si="2"/>
        <v>94321.17</v>
      </c>
      <c r="AW18" s="3">
        <f t="shared" si="2"/>
        <v>85564.17</v>
      </c>
      <c r="AX18" s="3">
        <f t="shared" si="2"/>
        <v>0</v>
      </c>
      <c r="AY18" s="3">
        <f t="shared" si="2"/>
        <v>85564.17</v>
      </c>
      <c r="AZ18" s="3">
        <f t="shared" si="2"/>
        <v>8757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0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CA173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DG173</f>
        <v>146561.45000000001</v>
      </c>
      <c r="DH18" s="4">
        <f t="shared" si="4"/>
        <v>70542.070000000007</v>
      </c>
      <c r="DI18" s="4">
        <f t="shared" si="4"/>
        <v>1361.5</v>
      </c>
      <c r="DJ18" s="4">
        <f t="shared" si="4"/>
        <v>453.78</v>
      </c>
      <c r="DK18" s="4">
        <f t="shared" si="4"/>
        <v>74657.88</v>
      </c>
      <c r="DL18" s="4">
        <f t="shared" si="4"/>
        <v>0</v>
      </c>
      <c r="DM18" s="4">
        <f t="shared" si="4"/>
        <v>242.70551249999994</v>
      </c>
      <c r="DN18" s="4">
        <f t="shared" si="4"/>
        <v>0</v>
      </c>
      <c r="DO18" s="4">
        <f t="shared" si="4"/>
        <v>0</v>
      </c>
      <c r="DP18" s="4">
        <f t="shared" si="4"/>
        <v>55789.63</v>
      </c>
      <c r="DQ18" s="4">
        <f t="shared" si="4"/>
        <v>30609.72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29887.78</v>
      </c>
      <c r="EI18" s="4">
        <f t="shared" si="4"/>
        <v>0</v>
      </c>
      <c r="EJ18" s="4">
        <f t="shared" si="4"/>
        <v>233673.25</v>
      </c>
      <c r="EK18" s="4">
        <f t="shared" si="4"/>
        <v>0</v>
      </c>
      <c r="EL18" s="4">
        <f t="shared" si="4"/>
        <v>164378.46</v>
      </c>
      <c r="EM18" s="4">
        <f t="shared" ref="EM18:FR18" si="5">EM173</f>
        <v>39407.01</v>
      </c>
      <c r="EN18" s="4">
        <f t="shared" si="5"/>
        <v>70542.070000000007</v>
      </c>
      <c r="EO18" s="4">
        <f t="shared" si="5"/>
        <v>40654.29</v>
      </c>
      <c r="EP18" s="4">
        <f t="shared" si="5"/>
        <v>0</v>
      </c>
      <c r="EQ18" s="4">
        <f t="shared" si="5"/>
        <v>40654.29</v>
      </c>
      <c r="ER18" s="4">
        <f t="shared" si="5"/>
        <v>29887.78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FS173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</row>
    <row r="20" spans="1:255" x14ac:dyDescent="0.2">
      <c r="A20" s="1">
        <v>3</v>
      </c>
      <c r="B20" s="1">
        <v>1</v>
      </c>
      <c r="C20" s="1"/>
      <c r="D20" s="1">
        <f>ROW(A141)</f>
        <v>141</v>
      </c>
      <c r="E20" s="1"/>
      <c r="F20" s="1" t="s">
        <v>12</v>
      </c>
      <c r="G20" s="1" t="s">
        <v>13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/>
      <c r="N20" s="1"/>
      <c r="O20" s="1"/>
      <c r="P20" s="1"/>
      <c r="Q20" s="1"/>
      <c r="R20" s="1"/>
      <c r="S20" s="1"/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</row>
    <row r="22" spans="1:255" x14ac:dyDescent="0.2">
      <c r="A22" s="3">
        <v>52</v>
      </c>
      <c r="B22" s="3">
        <f t="shared" ref="B22:G22" si="7">B141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Новая локальная смета</v>
      </c>
      <c r="G22" s="3" t="str">
        <f t="shared" si="7"/>
        <v>Система оповещения и управления эвакуацией людей при пожаре</v>
      </c>
      <c r="H22" s="3"/>
      <c r="I22" s="3"/>
      <c r="J22" s="3"/>
      <c r="K22" s="3"/>
      <c r="L22" s="3"/>
      <c r="M22" s="3"/>
      <c r="N22" s="3"/>
      <c r="O22" s="3">
        <f t="shared" ref="O22:AT22" si="8">O141</f>
        <v>97957.06</v>
      </c>
      <c r="P22" s="3">
        <f t="shared" si="8"/>
        <v>94321.17</v>
      </c>
      <c r="Q22" s="3">
        <f t="shared" si="8"/>
        <v>193.83</v>
      </c>
      <c r="R22" s="3">
        <f t="shared" si="8"/>
        <v>20.92</v>
      </c>
      <c r="S22" s="3">
        <f t="shared" si="8"/>
        <v>3442.06</v>
      </c>
      <c r="T22" s="3">
        <f t="shared" si="8"/>
        <v>0</v>
      </c>
      <c r="U22" s="3">
        <f t="shared" si="8"/>
        <v>242.70551249999994</v>
      </c>
      <c r="V22" s="3">
        <f t="shared" si="8"/>
        <v>0</v>
      </c>
      <c r="W22" s="3">
        <f t="shared" si="8"/>
        <v>0</v>
      </c>
      <c r="X22" s="3">
        <f t="shared" si="8"/>
        <v>3584.93</v>
      </c>
      <c r="Y22" s="3">
        <f t="shared" si="8"/>
        <v>2332.2600000000002</v>
      </c>
      <c r="Z22" s="3">
        <f t="shared" si="8"/>
        <v>0</v>
      </c>
      <c r="AA22" s="3">
        <f t="shared" si="8"/>
        <v>0</v>
      </c>
      <c r="AB22" s="3">
        <f t="shared" si="8"/>
        <v>0</v>
      </c>
      <c r="AC22" s="3">
        <f t="shared" si="8"/>
        <v>0</v>
      </c>
      <c r="AD22" s="3">
        <f t="shared" si="8"/>
        <v>0</v>
      </c>
      <c r="AE22" s="3">
        <f t="shared" si="8"/>
        <v>0</v>
      </c>
      <c r="AF22" s="3">
        <f t="shared" si="8"/>
        <v>0</v>
      </c>
      <c r="AG22" s="3">
        <f t="shared" si="8"/>
        <v>0</v>
      </c>
      <c r="AH22" s="3">
        <f t="shared" si="8"/>
        <v>0</v>
      </c>
      <c r="AI22" s="3">
        <f t="shared" si="8"/>
        <v>0</v>
      </c>
      <c r="AJ22" s="3">
        <f t="shared" si="8"/>
        <v>0</v>
      </c>
      <c r="AK22" s="3">
        <f t="shared" si="8"/>
        <v>0</v>
      </c>
      <c r="AL22" s="3">
        <f t="shared" si="8"/>
        <v>0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8757</v>
      </c>
      <c r="AQ22" s="3">
        <f t="shared" si="8"/>
        <v>0</v>
      </c>
      <c r="AR22" s="3">
        <f t="shared" si="8"/>
        <v>103874.25</v>
      </c>
      <c r="AS22" s="3">
        <f t="shared" si="8"/>
        <v>0</v>
      </c>
      <c r="AT22" s="3">
        <f t="shared" si="8"/>
        <v>92987.46</v>
      </c>
      <c r="AU22" s="3">
        <f t="shared" ref="AU22:BZ22" si="9">AU141</f>
        <v>2129.79</v>
      </c>
      <c r="AV22" s="3">
        <f t="shared" si="9"/>
        <v>94321.17</v>
      </c>
      <c r="AW22" s="3">
        <f t="shared" si="9"/>
        <v>85564.17</v>
      </c>
      <c r="AX22" s="3">
        <f t="shared" si="9"/>
        <v>0</v>
      </c>
      <c r="AY22" s="3">
        <f t="shared" si="9"/>
        <v>85564.17</v>
      </c>
      <c r="AZ22" s="3">
        <f t="shared" si="9"/>
        <v>8757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0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CA141</f>
        <v>0</v>
      </c>
      <c r="CB22" s="3">
        <f t="shared" si="10"/>
        <v>0</v>
      </c>
      <c r="CC22" s="3">
        <f t="shared" si="10"/>
        <v>0</v>
      </c>
      <c r="CD22" s="3">
        <f t="shared" si="10"/>
        <v>0</v>
      </c>
      <c r="CE22" s="3">
        <f t="shared" si="10"/>
        <v>0</v>
      </c>
      <c r="CF22" s="3">
        <f t="shared" si="10"/>
        <v>0</v>
      </c>
      <c r="CG22" s="3">
        <f t="shared" si="10"/>
        <v>0</v>
      </c>
      <c r="CH22" s="3">
        <f t="shared" si="10"/>
        <v>0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DG141</f>
        <v>146561.45000000001</v>
      </c>
      <c r="DH22" s="4">
        <f t="shared" si="11"/>
        <v>70542.070000000007</v>
      </c>
      <c r="DI22" s="4">
        <f t="shared" si="11"/>
        <v>1361.5</v>
      </c>
      <c r="DJ22" s="4">
        <f t="shared" si="11"/>
        <v>453.78</v>
      </c>
      <c r="DK22" s="4">
        <f t="shared" si="11"/>
        <v>74657.88</v>
      </c>
      <c r="DL22" s="4">
        <f t="shared" si="11"/>
        <v>0</v>
      </c>
      <c r="DM22" s="4">
        <f t="shared" si="11"/>
        <v>242.70551249999994</v>
      </c>
      <c r="DN22" s="4">
        <f t="shared" si="11"/>
        <v>0</v>
      </c>
      <c r="DO22" s="4">
        <f t="shared" si="11"/>
        <v>0</v>
      </c>
      <c r="DP22" s="4">
        <f t="shared" si="11"/>
        <v>55789.63</v>
      </c>
      <c r="DQ22" s="4">
        <f t="shared" si="11"/>
        <v>30609.72</v>
      </c>
      <c r="DR22" s="4">
        <f t="shared" si="11"/>
        <v>0</v>
      </c>
      <c r="DS22" s="4">
        <f t="shared" si="11"/>
        <v>0</v>
      </c>
      <c r="DT22" s="4">
        <f t="shared" si="11"/>
        <v>0</v>
      </c>
      <c r="DU22" s="4">
        <f t="shared" si="11"/>
        <v>0</v>
      </c>
      <c r="DV22" s="4">
        <f t="shared" si="11"/>
        <v>0</v>
      </c>
      <c r="DW22" s="4">
        <f t="shared" si="11"/>
        <v>0</v>
      </c>
      <c r="DX22" s="4">
        <f t="shared" si="11"/>
        <v>0</v>
      </c>
      <c r="DY22" s="4">
        <f t="shared" si="11"/>
        <v>0</v>
      </c>
      <c r="DZ22" s="4">
        <f t="shared" si="11"/>
        <v>0</v>
      </c>
      <c r="EA22" s="4">
        <f t="shared" si="11"/>
        <v>0</v>
      </c>
      <c r="EB22" s="4">
        <f t="shared" si="11"/>
        <v>0</v>
      </c>
      <c r="EC22" s="4">
        <f t="shared" si="11"/>
        <v>0</v>
      </c>
      <c r="ED22" s="4">
        <f t="shared" si="11"/>
        <v>0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29887.78</v>
      </c>
      <c r="EI22" s="4">
        <f t="shared" si="11"/>
        <v>0</v>
      </c>
      <c r="EJ22" s="4">
        <f t="shared" si="11"/>
        <v>233673.25</v>
      </c>
      <c r="EK22" s="4">
        <f t="shared" si="11"/>
        <v>0</v>
      </c>
      <c r="EL22" s="4">
        <f t="shared" si="11"/>
        <v>164378.46</v>
      </c>
      <c r="EM22" s="4">
        <f t="shared" ref="EM22:FR22" si="12">EM141</f>
        <v>39407.01</v>
      </c>
      <c r="EN22" s="4">
        <f t="shared" si="12"/>
        <v>70542.070000000007</v>
      </c>
      <c r="EO22" s="4">
        <f t="shared" si="12"/>
        <v>40654.29</v>
      </c>
      <c r="EP22" s="4">
        <f t="shared" si="12"/>
        <v>0</v>
      </c>
      <c r="EQ22" s="4">
        <f t="shared" si="12"/>
        <v>40654.29</v>
      </c>
      <c r="ER22" s="4">
        <f t="shared" si="12"/>
        <v>29887.78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FS141</f>
        <v>0</v>
      </c>
      <c r="FT22" s="4">
        <f t="shared" si="13"/>
        <v>0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</row>
    <row r="24" spans="1:255" x14ac:dyDescent="0.2">
      <c r="A24" s="1">
        <v>4</v>
      </c>
      <c r="B24" s="1">
        <v>1</v>
      </c>
      <c r="C24" s="1"/>
      <c r="D24" s="1">
        <f>ROW(A76)</f>
        <v>76</v>
      </c>
      <c r="E24" s="1"/>
      <c r="F24" s="1" t="s">
        <v>14</v>
      </c>
      <c r="G24" s="1" t="s">
        <v>15</v>
      </c>
      <c r="H24" s="1" t="s">
        <v>3</v>
      </c>
      <c r="I24" s="1">
        <v>0</v>
      </c>
      <c r="J24" s="1"/>
      <c r="K24" s="1">
        <v>0</v>
      </c>
      <c r="L24" s="1"/>
      <c r="M24" s="1"/>
      <c r="N24" s="1"/>
      <c r="O24" s="1"/>
      <c r="P24" s="1"/>
      <c r="Q24" s="1"/>
      <c r="R24" s="1"/>
      <c r="S24" s="1"/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55" x14ac:dyDescent="0.2">
      <c r="A26" s="3">
        <v>52</v>
      </c>
      <c r="B26" s="3">
        <f t="shared" ref="B26:G26" si="14">B76</f>
        <v>1</v>
      </c>
      <c r="C26" s="3">
        <f t="shared" si="14"/>
        <v>4</v>
      </c>
      <c r="D26" s="3">
        <f t="shared" si="14"/>
        <v>24</v>
      </c>
      <c r="E26" s="3">
        <f t="shared" si="14"/>
        <v>0</v>
      </c>
      <c r="F26" s="3" t="str">
        <f t="shared" si="14"/>
        <v>Новый раздел</v>
      </c>
      <c r="G26" s="3" t="str">
        <f t="shared" si="14"/>
        <v>Монтажные работы</v>
      </c>
      <c r="H26" s="3"/>
      <c r="I26" s="3"/>
      <c r="J26" s="3"/>
      <c r="K26" s="3"/>
      <c r="L26" s="3"/>
      <c r="M26" s="3"/>
      <c r="N26" s="3"/>
      <c r="O26" s="3">
        <f t="shared" ref="O26:AT26" si="15">O76</f>
        <v>97087.76</v>
      </c>
      <c r="P26" s="3">
        <f t="shared" si="15"/>
        <v>94321.17</v>
      </c>
      <c r="Q26" s="3">
        <f t="shared" si="15"/>
        <v>193.83</v>
      </c>
      <c r="R26" s="3">
        <f t="shared" si="15"/>
        <v>20.92</v>
      </c>
      <c r="S26" s="3">
        <f t="shared" si="15"/>
        <v>2572.7600000000002</v>
      </c>
      <c r="T26" s="3">
        <f t="shared" si="15"/>
        <v>0</v>
      </c>
      <c r="U26" s="3">
        <f t="shared" si="15"/>
        <v>197.90551249999993</v>
      </c>
      <c r="V26" s="3">
        <f t="shared" si="15"/>
        <v>0</v>
      </c>
      <c r="W26" s="3">
        <f t="shared" si="15"/>
        <v>0</v>
      </c>
      <c r="X26" s="3">
        <f t="shared" si="15"/>
        <v>2932.95</v>
      </c>
      <c r="Y26" s="3">
        <f t="shared" si="15"/>
        <v>1723.75</v>
      </c>
      <c r="Z26" s="3">
        <f t="shared" si="15"/>
        <v>0</v>
      </c>
      <c r="AA26" s="3">
        <f t="shared" si="15"/>
        <v>0</v>
      </c>
      <c r="AB26" s="3">
        <f t="shared" si="15"/>
        <v>97087.76</v>
      </c>
      <c r="AC26" s="3">
        <f t="shared" si="15"/>
        <v>94321.17</v>
      </c>
      <c r="AD26" s="3">
        <f t="shared" si="15"/>
        <v>193.83</v>
      </c>
      <c r="AE26" s="3">
        <f t="shared" si="15"/>
        <v>20.92</v>
      </c>
      <c r="AF26" s="3">
        <f t="shared" si="15"/>
        <v>2572.7600000000002</v>
      </c>
      <c r="AG26" s="3">
        <f t="shared" si="15"/>
        <v>0</v>
      </c>
      <c r="AH26" s="3">
        <f t="shared" si="15"/>
        <v>197.90551249999993</v>
      </c>
      <c r="AI26" s="3">
        <f t="shared" si="15"/>
        <v>0</v>
      </c>
      <c r="AJ26" s="3">
        <f t="shared" si="15"/>
        <v>0</v>
      </c>
      <c r="AK26" s="3">
        <f t="shared" si="15"/>
        <v>2932.95</v>
      </c>
      <c r="AL26" s="3">
        <f t="shared" si="15"/>
        <v>1723.75</v>
      </c>
      <c r="AM26" s="3">
        <f t="shared" si="15"/>
        <v>0</v>
      </c>
      <c r="AN26" s="3">
        <f t="shared" si="15"/>
        <v>0</v>
      </c>
      <c r="AO26" s="3">
        <f t="shared" si="15"/>
        <v>0</v>
      </c>
      <c r="AP26" s="3">
        <f t="shared" si="15"/>
        <v>8757</v>
      </c>
      <c r="AQ26" s="3">
        <f t="shared" si="15"/>
        <v>0</v>
      </c>
      <c r="AR26" s="3">
        <f t="shared" si="15"/>
        <v>101744.46</v>
      </c>
      <c r="AS26" s="3">
        <f t="shared" si="15"/>
        <v>0</v>
      </c>
      <c r="AT26" s="3">
        <f t="shared" si="15"/>
        <v>92987.46</v>
      </c>
      <c r="AU26" s="3">
        <f t="shared" ref="AU26:BZ26" si="16">AU76</f>
        <v>0</v>
      </c>
      <c r="AV26" s="3">
        <f t="shared" si="16"/>
        <v>94321.17</v>
      </c>
      <c r="AW26" s="3">
        <f t="shared" si="16"/>
        <v>85564.17</v>
      </c>
      <c r="AX26" s="3">
        <f t="shared" si="16"/>
        <v>0</v>
      </c>
      <c r="AY26" s="3">
        <f t="shared" si="16"/>
        <v>85564.17</v>
      </c>
      <c r="AZ26" s="3">
        <f t="shared" si="16"/>
        <v>8757</v>
      </c>
      <c r="BA26" s="3">
        <f t="shared" si="16"/>
        <v>0</v>
      </c>
      <c r="BB26" s="3">
        <f t="shared" si="16"/>
        <v>0</v>
      </c>
      <c r="BC26" s="3">
        <f t="shared" si="16"/>
        <v>0</v>
      </c>
      <c r="BD26" s="3">
        <f t="shared" si="16"/>
        <v>0</v>
      </c>
      <c r="BE26" s="3">
        <f t="shared" si="16"/>
        <v>0</v>
      </c>
      <c r="BF26" s="3">
        <f t="shared" si="16"/>
        <v>0</v>
      </c>
      <c r="BG26" s="3">
        <f t="shared" si="16"/>
        <v>0</v>
      </c>
      <c r="BH26" s="3">
        <f t="shared" si="16"/>
        <v>0</v>
      </c>
      <c r="BI26" s="3">
        <f t="shared" si="16"/>
        <v>0</v>
      </c>
      <c r="BJ26" s="3">
        <f t="shared" si="16"/>
        <v>0</v>
      </c>
      <c r="BK26" s="3">
        <f t="shared" si="16"/>
        <v>0</v>
      </c>
      <c r="BL26" s="3">
        <f t="shared" si="16"/>
        <v>0</v>
      </c>
      <c r="BM26" s="3">
        <f t="shared" si="16"/>
        <v>0</v>
      </c>
      <c r="BN26" s="3">
        <f t="shared" si="16"/>
        <v>0</v>
      </c>
      <c r="BO26" s="3">
        <f t="shared" si="16"/>
        <v>0</v>
      </c>
      <c r="BP26" s="3">
        <f t="shared" si="16"/>
        <v>0</v>
      </c>
      <c r="BQ26" s="3">
        <f t="shared" si="16"/>
        <v>0</v>
      </c>
      <c r="BR26" s="3">
        <f t="shared" si="16"/>
        <v>0</v>
      </c>
      <c r="BS26" s="3">
        <f t="shared" si="16"/>
        <v>0</v>
      </c>
      <c r="BT26" s="3">
        <f t="shared" si="16"/>
        <v>0</v>
      </c>
      <c r="BU26" s="3">
        <f t="shared" si="16"/>
        <v>0</v>
      </c>
      <c r="BV26" s="3">
        <f t="shared" si="16"/>
        <v>0</v>
      </c>
      <c r="BW26" s="3">
        <f t="shared" si="16"/>
        <v>0</v>
      </c>
      <c r="BX26" s="3">
        <f t="shared" si="16"/>
        <v>0</v>
      </c>
      <c r="BY26" s="3">
        <f t="shared" si="16"/>
        <v>8757</v>
      </c>
      <c r="BZ26" s="3">
        <f t="shared" si="16"/>
        <v>0</v>
      </c>
      <c r="CA26" s="3">
        <f t="shared" ref="CA26:DF26" si="17">CA76</f>
        <v>101744.46</v>
      </c>
      <c r="CB26" s="3">
        <f t="shared" si="17"/>
        <v>0</v>
      </c>
      <c r="CC26" s="3">
        <f t="shared" si="17"/>
        <v>92987.46</v>
      </c>
      <c r="CD26" s="3">
        <f t="shared" si="17"/>
        <v>0</v>
      </c>
      <c r="CE26" s="3">
        <f t="shared" si="17"/>
        <v>94321.17</v>
      </c>
      <c r="CF26" s="3">
        <f t="shared" si="17"/>
        <v>85564.17</v>
      </c>
      <c r="CG26" s="3">
        <f t="shared" si="17"/>
        <v>0</v>
      </c>
      <c r="CH26" s="3">
        <f t="shared" si="17"/>
        <v>85564.17</v>
      </c>
      <c r="CI26" s="3">
        <f t="shared" si="17"/>
        <v>8757</v>
      </c>
      <c r="CJ26" s="3">
        <f t="shared" si="17"/>
        <v>0</v>
      </c>
      <c r="CK26" s="3">
        <f t="shared" si="17"/>
        <v>0</v>
      </c>
      <c r="CL26" s="3">
        <f t="shared" si="17"/>
        <v>0</v>
      </c>
      <c r="CM26" s="3">
        <f t="shared" si="17"/>
        <v>0</v>
      </c>
      <c r="CN26" s="3">
        <f t="shared" si="17"/>
        <v>0</v>
      </c>
      <c r="CO26" s="3">
        <f t="shared" si="17"/>
        <v>0</v>
      </c>
      <c r="CP26" s="3">
        <f t="shared" si="17"/>
        <v>0</v>
      </c>
      <c r="CQ26" s="3">
        <f t="shared" si="17"/>
        <v>0</v>
      </c>
      <c r="CR26" s="3">
        <f t="shared" si="17"/>
        <v>0</v>
      </c>
      <c r="CS26" s="3">
        <f t="shared" si="17"/>
        <v>0</v>
      </c>
      <c r="CT26" s="3">
        <f t="shared" si="17"/>
        <v>0</v>
      </c>
      <c r="CU26" s="3">
        <f t="shared" si="17"/>
        <v>0</v>
      </c>
      <c r="CV26" s="3">
        <f t="shared" si="17"/>
        <v>0</v>
      </c>
      <c r="CW26" s="3">
        <f t="shared" si="17"/>
        <v>0</v>
      </c>
      <c r="CX26" s="3">
        <f t="shared" si="17"/>
        <v>0</v>
      </c>
      <c r="CY26" s="3">
        <f t="shared" si="17"/>
        <v>0</v>
      </c>
      <c r="CZ26" s="3">
        <f t="shared" si="17"/>
        <v>0</v>
      </c>
      <c r="DA26" s="3">
        <f t="shared" si="17"/>
        <v>0</v>
      </c>
      <c r="DB26" s="3">
        <f t="shared" si="17"/>
        <v>0</v>
      </c>
      <c r="DC26" s="3">
        <f t="shared" si="17"/>
        <v>0</v>
      </c>
      <c r="DD26" s="3">
        <f t="shared" si="17"/>
        <v>0</v>
      </c>
      <c r="DE26" s="3">
        <f t="shared" si="17"/>
        <v>0</v>
      </c>
      <c r="DF26" s="3">
        <f t="shared" si="17"/>
        <v>0</v>
      </c>
      <c r="DG26" s="4">
        <f t="shared" ref="DG26:EL26" si="18">DG76</f>
        <v>127706.42</v>
      </c>
      <c r="DH26" s="4">
        <f t="shared" si="18"/>
        <v>70542.070000000007</v>
      </c>
      <c r="DI26" s="4">
        <f t="shared" si="18"/>
        <v>1361.5</v>
      </c>
      <c r="DJ26" s="4">
        <f t="shared" si="18"/>
        <v>453.78</v>
      </c>
      <c r="DK26" s="4">
        <f t="shared" si="18"/>
        <v>55802.85</v>
      </c>
      <c r="DL26" s="4">
        <f t="shared" si="18"/>
        <v>0</v>
      </c>
      <c r="DM26" s="4">
        <f t="shared" si="18"/>
        <v>197.90551249999993</v>
      </c>
      <c r="DN26" s="4">
        <f t="shared" si="18"/>
        <v>0</v>
      </c>
      <c r="DO26" s="4">
        <f t="shared" si="18"/>
        <v>0</v>
      </c>
      <c r="DP26" s="4">
        <f t="shared" si="18"/>
        <v>42968.21</v>
      </c>
      <c r="DQ26" s="4">
        <f t="shared" si="18"/>
        <v>22879.16</v>
      </c>
      <c r="DR26" s="4">
        <f t="shared" si="18"/>
        <v>0</v>
      </c>
      <c r="DS26" s="4">
        <f t="shared" si="18"/>
        <v>0</v>
      </c>
      <c r="DT26" s="4">
        <f t="shared" si="18"/>
        <v>127706.42</v>
      </c>
      <c r="DU26" s="4">
        <f t="shared" si="18"/>
        <v>70542.070000000007</v>
      </c>
      <c r="DV26" s="4">
        <f t="shared" si="18"/>
        <v>1361.5</v>
      </c>
      <c r="DW26" s="4">
        <f t="shared" si="18"/>
        <v>453.78</v>
      </c>
      <c r="DX26" s="4">
        <f t="shared" si="18"/>
        <v>55802.85</v>
      </c>
      <c r="DY26" s="4">
        <f t="shared" si="18"/>
        <v>0</v>
      </c>
      <c r="DZ26" s="4">
        <f t="shared" si="18"/>
        <v>197.90551249999993</v>
      </c>
      <c r="EA26" s="4">
        <f t="shared" si="18"/>
        <v>0</v>
      </c>
      <c r="EB26" s="4">
        <f t="shared" si="18"/>
        <v>0</v>
      </c>
      <c r="EC26" s="4">
        <f t="shared" si="18"/>
        <v>42968.21</v>
      </c>
      <c r="ED26" s="4">
        <f t="shared" si="18"/>
        <v>22879.16</v>
      </c>
      <c r="EE26" s="4">
        <f t="shared" si="18"/>
        <v>0</v>
      </c>
      <c r="EF26" s="4">
        <f t="shared" si="18"/>
        <v>0</v>
      </c>
      <c r="EG26" s="4">
        <f t="shared" si="18"/>
        <v>0</v>
      </c>
      <c r="EH26" s="4">
        <f t="shared" si="18"/>
        <v>29887.78</v>
      </c>
      <c r="EI26" s="4">
        <f t="shared" si="18"/>
        <v>0</v>
      </c>
      <c r="EJ26" s="4">
        <f t="shared" si="18"/>
        <v>194266.23999999999</v>
      </c>
      <c r="EK26" s="4">
        <f t="shared" si="18"/>
        <v>0</v>
      </c>
      <c r="EL26" s="4">
        <f t="shared" si="18"/>
        <v>164378.46</v>
      </c>
      <c r="EM26" s="4">
        <f t="shared" ref="EM26:FR26" si="19">EM76</f>
        <v>0</v>
      </c>
      <c r="EN26" s="4">
        <f t="shared" si="19"/>
        <v>70542.070000000007</v>
      </c>
      <c r="EO26" s="4">
        <f t="shared" si="19"/>
        <v>40654.29</v>
      </c>
      <c r="EP26" s="4">
        <f t="shared" si="19"/>
        <v>0</v>
      </c>
      <c r="EQ26" s="4">
        <f t="shared" si="19"/>
        <v>40654.29</v>
      </c>
      <c r="ER26" s="4">
        <f t="shared" si="19"/>
        <v>29887.78</v>
      </c>
      <c r="ES26" s="4">
        <f t="shared" si="19"/>
        <v>0</v>
      </c>
      <c r="ET26" s="4">
        <f t="shared" si="19"/>
        <v>0</v>
      </c>
      <c r="EU26" s="4">
        <f t="shared" si="19"/>
        <v>0</v>
      </c>
      <c r="EV26" s="4">
        <f t="shared" si="19"/>
        <v>0</v>
      </c>
      <c r="EW26" s="4">
        <f t="shared" si="19"/>
        <v>0</v>
      </c>
      <c r="EX26" s="4">
        <f t="shared" si="19"/>
        <v>0</v>
      </c>
      <c r="EY26" s="4">
        <f t="shared" si="19"/>
        <v>0</v>
      </c>
      <c r="EZ26" s="4">
        <f t="shared" si="19"/>
        <v>0</v>
      </c>
      <c r="FA26" s="4">
        <f t="shared" si="19"/>
        <v>0</v>
      </c>
      <c r="FB26" s="4">
        <f t="shared" si="19"/>
        <v>0</v>
      </c>
      <c r="FC26" s="4">
        <f t="shared" si="19"/>
        <v>0</v>
      </c>
      <c r="FD26" s="4">
        <f t="shared" si="19"/>
        <v>0</v>
      </c>
      <c r="FE26" s="4">
        <f t="shared" si="19"/>
        <v>0</v>
      </c>
      <c r="FF26" s="4">
        <f t="shared" si="19"/>
        <v>0</v>
      </c>
      <c r="FG26" s="4">
        <f t="shared" si="19"/>
        <v>0</v>
      </c>
      <c r="FH26" s="4">
        <f t="shared" si="19"/>
        <v>0</v>
      </c>
      <c r="FI26" s="4">
        <f t="shared" si="19"/>
        <v>0</v>
      </c>
      <c r="FJ26" s="4">
        <f t="shared" si="19"/>
        <v>0</v>
      </c>
      <c r="FK26" s="4">
        <f t="shared" si="19"/>
        <v>0</v>
      </c>
      <c r="FL26" s="4">
        <f t="shared" si="19"/>
        <v>0</v>
      </c>
      <c r="FM26" s="4">
        <f t="shared" si="19"/>
        <v>0</v>
      </c>
      <c r="FN26" s="4">
        <f t="shared" si="19"/>
        <v>0</v>
      </c>
      <c r="FO26" s="4">
        <f t="shared" si="19"/>
        <v>0</v>
      </c>
      <c r="FP26" s="4">
        <f t="shared" si="19"/>
        <v>0</v>
      </c>
      <c r="FQ26" s="4">
        <f t="shared" si="19"/>
        <v>29887.78</v>
      </c>
      <c r="FR26" s="4">
        <f t="shared" si="19"/>
        <v>0</v>
      </c>
      <c r="FS26" s="4">
        <f t="shared" ref="FS26:GX26" si="20">FS76</f>
        <v>194266.23999999999</v>
      </c>
      <c r="FT26" s="4">
        <f t="shared" si="20"/>
        <v>0</v>
      </c>
      <c r="FU26" s="4">
        <f t="shared" si="20"/>
        <v>164378.46</v>
      </c>
      <c r="FV26" s="4">
        <f t="shared" si="20"/>
        <v>0</v>
      </c>
      <c r="FW26" s="4">
        <f t="shared" si="20"/>
        <v>70542.070000000007</v>
      </c>
      <c r="FX26" s="4">
        <f t="shared" si="20"/>
        <v>40654.290000000008</v>
      </c>
      <c r="FY26" s="4">
        <f t="shared" si="20"/>
        <v>0</v>
      </c>
      <c r="FZ26" s="4">
        <f t="shared" si="20"/>
        <v>40654.290000000008</v>
      </c>
      <c r="GA26" s="4">
        <f t="shared" si="20"/>
        <v>29887.78</v>
      </c>
      <c r="GB26" s="4">
        <f t="shared" si="20"/>
        <v>0</v>
      </c>
      <c r="GC26" s="4">
        <f t="shared" si="20"/>
        <v>0</v>
      </c>
      <c r="GD26" s="4">
        <f t="shared" si="20"/>
        <v>0</v>
      </c>
      <c r="GE26" s="4">
        <f t="shared" si="20"/>
        <v>0</v>
      </c>
      <c r="GF26" s="4">
        <f t="shared" si="20"/>
        <v>0</v>
      </c>
      <c r="GG26" s="4">
        <f t="shared" si="20"/>
        <v>0</v>
      </c>
      <c r="GH26" s="4">
        <f t="shared" si="20"/>
        <v>0</v>
      </c>
      <c r="GI26" s="4">
        <f t="shared" si="20"/>
        <v>0</v>
      </c>
      <c r="GJ26" s="4">
        <f t="shared" si="20"/>
        <v>0</v>
      </c>
      <c r="GK26" s="4">
        <f t="shared" si="20"/>
        <v>0</v>
      </c>
      <c r="GL26" s="4">
        <f t="shared" si="20"/>
        <v>0</v>
      </c>
      <c r="GM26" s="4">
        <f t="shared" si="20"/>
        <v>0</v>
      </c>
      <c r="GN26" s="4">
        <f t="shared" si="20"/>
        <v>0</v>
      </c>
      <c r="GO26" s="4">
        <f t="shared" si="20"/>
        <v>0</v>
      </c>
      <c r="GP26" s="4">
        <f t="shared" si="20"/>
        <v>0</v>
      </c>
      <c r="GQ26" s="4">
        <f t="shared" si="20"/>
        <v>0</v>
      </c>
      <c r="GR26" s="4">
        <f t="shared" si="20"/>
        <v>0</v>
      </c>
      <c r="GS26" s="4">
        <f t="shared" si="20"/>
        <v>0</v>
      </c>
      <c r="GT26" s="4">
        <f t="shared" si="20"/>
        <v>0</v>
      </c>
      <c r="GU26" s="4">
        <f t="shared" si="20"/>
        <v>0</v>
      </c>
      <c r="GV26" s="4">
        <f t="shared" si="20"/>
        <v>0</v>
      </c>
      <c r="GW26" s="4">
        <f t="shared" si="20"/>
        <v>0</v>
      </c>
      <c r="GX26" s="4">
        <f t="shared" si="20"/>
        <v>0</v>
      </c>
    </row>
    <row r="28" spans="1:255" x14ac:dyDescent="0.2">
      <c r="A28" s="2">
        <v>17</v>
      </c>
      <c r="B28" s="2">
        <v>1</v>
      </c>
      <c r="C28" s="2">
        <f>ROW(SmtRes!A2)</f>
        <v>2</v>
      </c>
      <c r="D28" s="2">
        <f>ROW(EtalonRes!A1)</f>
        <v>1</v>
      </c>
      <c r="E28" s="2" t="s">
        <v>16</v>
      </c>
      <c r="F28" s="2" t="s">
        <v>17</v>
      </c>
      <c r="G28" s="2" t="s">
        <v>18</v>
      </c>
      <c r="H28" s="2" t="s">
        <v>19</v>
      </c>
      <c r="I28" s="2">
        <v>1</v>
      </c>
      <c r="J28" s="2">
        <v>0</v>
      </c>
      <c r="K28" s="2"/>
      <c r="L28" s="2"/>
      <c r="M28" s="2"/>
      <c r="N28" s="2"/>
      <c r="O28" s="2">
        <f t="shared" ref="O28:O51" si="21">ROUND(CP28,2)</f>
        <v>107.2</v>
      </c>
      <c r="P28" s="2">
        <f t="shared" ref="P28:P51" si="22">ROUND(CQ28*I28,2)</f>
        <v>4.83</v>
      </c>
      <c r="Q28" s="2">
        <f t="shared" ref="Q28:Q51" si="23">ROUND(CR28*I28,2)</f>
        <v>7.0000000000000007E-2</v>
      </c>
      <c r="R28" s="2">
        <f t="shared" ref="R28:R51" si="24">ROUND(CS28*I28,2)</f>
        <v>0.01</v>
      </c>
      <c r="S28" s="2">
        <f t="shared" ref="S28:S51" si="25">ROUND(CT28*I28,2)</f>
        <v>102.3</v>
      </c>
      <c r="T28" s="2">
        <f t="shared" ref="T28:T51" si="26">ROUND(CU28*I28,2)</f>
        <v>0</v>
      </c>
      <c r="U28" s="2">
        <f t="shared" ref="U28:U51" si="27">CV28*I28</f>
        <v>7.5382499999999988</v>
      </c>
      <c r="V28" s="2">
        <f t="shared" ref="V28:V51" si="28">CW28*I28</f>
        <v>0</v>
      </c>
      <c r="W28" s="2">
        <f t="shared" ref="W28:W51" si="29">ROUND(CX28*I28,2)</f>
        <v>0</v>
      </c>
      <c r="X28" s="2">
        <f t="shared" ref="X28:X51" si="30">ROUND(CY28,2)</f>
        <v>116.62</v>
      </c>
      <c r="Y28" s="2">
        <f t="shared" ref="Y28:Y51" si="31">ROUND(CZ28,2)</f>
        <v>68.540000000000006</v>
      </c>
      <c r="Z28" s="2"/>
      <c r="AA28" s="2">
        <v>42119681</v>
      </c>
      <c r="AB28" s="2">
        <f t="shared" ref="AB28:AB51" si="32">ROUND((AC28+AD28+AF28),6)</f>
        <v>107.19725</v>
      </c>
      <c r="AC28" s="2">
        <f t="shared" ref="AC28:AC51" si="33">ROUND((ES28),6)</f>
        <v>4.83</v>
      </c>
      <c r="AD28" s="2">
        <f>ROUND((((((ET28*1.25)*1.15))-(((EU28*1.25)*1.15)))+AE28),6)</f>
        <v>7.1874999999999994E-2</v>
      </c>
      <c r="AE28" s="2">
        <f>ROUND((((EU28*1.25)*1.15)),6)</f>
        <v>1.4375000000000001E-2</v>
      </c>
      <c r="AF28" s="2">
        <f>ROUND((((EV28*1.15)*1.15)),6)</f>
        <v>102.29537500000001</v>
      </c>
      <c r="AG28" s="2">
        <f t="shared" ref="AG28:AG51" si="34">ROUND((AP28),6)</f>
        <v>0</v>
      </c>
      <c r="AH28" s="2">
        <f>(((EW28*1.15)*1.15))</f>
        <v>7.5382499999999988</v>
      </c>
      <c r="AI28" s="2">
        <f>(((EX28*1.25)*1.15))</f>
        <v>0</v>
      </c>
      <c r="AJ28" s="2">
        <f t="shared" ref="AJ28:AJ51" si="35">(AS28)</f>
        <v>0</v>
      </c>
      <c r="AK28" s="2">
        <v>82.23</v>
      </c>
      <c r="AL28" s="2">
        <v>4.83</v>
      </c>
      <c r="AM28" s="2">
        <v>0.05</v>
      </c>
      <c r="AN28" s="2">
        <v>0.01</v>
      </c>
      <c r="AO28" s="2">
        <v>77.349999999999994</v>
      </c>
      <c r="AP28" s="2">
        <v>0</v>
      </c>
      <c r="AQ28" s="2">
        <v>5.7</v>
      </c>
      <c r="AR28" s="2">
        <v>0</v>
      </c>
      <c r="AS28" s="2">
        <v>0</v>
      </c>
      <c r="AT28" s="2">
        <v>114</v>
      </c>
      <c r="AU28" s="2">
        <v>67</v>
      </c>
      <c r="AV28" s="2">
        <v>1</v>
      </c>
      <c r="AW28" s="2">
        <v>1</v>
      </c>
      <c r="AX28" s="2"/>
      <c r="AY28" s="2"/>
      <c r="AZ28" s="2">
        <v>1</v>
      </c>
      <c r="BA28" s="2">
        <v>1</v>
      </c>
      <c r="BB28" s="2">
        <v>1</v>
      </c>
      <c r="BC28" s="2">
        <v>1</v>
      </c>
      <c r="BD28" s="2" t="s">
        <v>3</v>
      </c>
      <c r="BE28" s="2" t="s">
        <v>3</v>
      </c>
      <c r="BF28" s="2" t="s">
        <v>3</v>
      </c>
      <c r="BG28" s="2" t="s">
        <v>3</v>
      </c>
      <c r="BH28" s="2">
        <v>0</v>
      </c>
      <c r="BI28" s="2">
        <v>2</v>
      </c>
      <c r="BJ28" s="2" t="s">
        <v>20</v>
      </c>
      <c r="BK28" s="2"/>
      <c r="BL28" s="2"/>
      <c r="BM28" s="2">
        <v>336</v>
      </c>
      <c r="BN28" s="2">
        <v>0</v>
      </c>
      <c r="BO28" s="2" t="s">
        <v>3</v>
      </c>
      <c r="BP28" s="2">
        <v>0</v>
      </c>
      <c r="BQ28" s="2">
        <v>40</v>
      </c>
      <c r="BR28" s="2">
        <v>0</v>
      </c>
      <c r="BS28" s="2">
        <v>1</v>
      </c>
      <c r="BT28" s="2">
        <v>1</v>
      </c>
      <c r="BU28" s="2">
        <v>1</v>
      </c>
      <c r="BV28" s="2">
        <v>1</v>
      </c>
      <c r="BW28" s="2">
        <v>1</v>
      </c>
      <c r="BX28" s="2">
        <v>1</v>
      </c>
      <c r="BY28" s="2" t="s">
        <v>3</v>
      </c>
      <c r="BZ28" s="2">
        <v>114</v>
      </c>
      <c r="CA28" s="2">
        <v>67</v>
      </c>
      <c r="CB28" s="2"/>
      <c r="CC28" s="2"/>
      <c r="CD28" s="2"/>
      <c r="CE28" s="2">
        <v>0</v>
      </c>
      <c r="CF28" s="2">
        <v>0</v>
      </c>
      <c r="CG28" s="2">
        <v>0</v>
      </c>
      <c r="CH28" s="2"/>
      <c r="CI28" s="2"/>
      <c r="CJ28" s="2"/>
      <c r="CK28" s="2"/>
      <c r="CL28" s="2"/>
      <c r="CM28" s="2">
        <v>0</v>
      </c>
      <c r="CN28" s="2" t="s">
        <v>225</v>
      </c>
      <c r="CO28" s="2">
        <v>0</v>
      </c>
      <c r="CP28" s="2">
        <f t="shared" ref="CP28:CP51" si="36">(P28+Q28+S28)</f>
        <v>107.2</v>
      </c>
      <c r="CQ28" s="2">
        <f t="shared" ref="CQ28:CQ51" si="37">(AC28*BC28*AW28)</f>
        <v>4.83</v>
      </c>
      <c r="CR28" s="2">
        <f>((((((ET28*1.25)*1.15))*BB28-(((EU28*1.25)*1.15))*BS28)+AE28*BS28)*AV28)</f>
        <v>7.1874999999999994E-2</v>
      </c>
      <c r="CS28" s="2">
        <f t="shared" ref="CS28:CS51" si="38">(AE28*BS28*AV28)</f>
        <v>1.4375000000000001E-2</v>
      </c>
      <c r="CT28" s="2">
        <f t="shared" ref="CT28:CT51" si="39">(AF28*BA28*AV28)</f>
        <v>102.29537500000001</v>
      </c>
      <c r="CU28" s="2">
        <f t="shared" ref="CU28:CU51" si="40">AG28</f>
        <v>0</v>
      </c>
      <c r="CV28" s="2">
        <f t="shared" ref="CV28:CV51" si="41">(AH28*AV28)</f>
        <v>7.5382499999999988</v>
      </c>
      <c r="CW28" s="2">
        <f t="shared" ref="CW28:CW51" si="42">AI28</f>
        <v>0</v>
      </c>
      <c r="CX28" s="2">
        <f t="shared" ref="CX28:CX51" si="43">AJ28</f>
        <v>0</v>
      </c>
      <c r="CY28" s="2">
        <f>((S28*BZ28)/100)</f>
        <v>116.62199999999999</v>
      </c>
      <c r="CZ28" s="2">
        <f>((S28*CA28)/100)</f>
        <v>68.540999999999997</v>
      </c>
      <c r="DA28" s="2"/>
      <c r="DB28" s="2"/>
      <c r="DC28" s="2" t="s">
        <v>3</v>
      </c>
      <c r="DD28" s="2" t="s">
        <v>3</v>
      </c>
      <c r="DE28" s="2" t="s">
        <v>21</v>
      </c>
      <c r="DF28" s="2" t="s">
        <v>21</v>
      </c>
      <c r="DG28" s="2" t="s">
        <v>22</v>
      </c>
      <c r="DH28" s="2" t="s">
        <v>3</v>
      </c>
      <c r="DI28" s="2" t="s">
        <v>22</v>
      </c>
      <c r="DJ28" s="2" t="s">
        <v>21</v>
      </c>
      <c r="DK28" s="2" t="s">
        <v>3</v>
      </c>
      <c r="DL28" s="2" t="s">
        <v>3</v>
      </c>
      <c r="DM28" s="2" t="s">
        <v>3</v>
      </c>
      <c r="DN28" s="2">
        <v>0</v>
      </c>
      <c r="DO28" s="2">
        <v>0</v>
      </c>
      <c r="DP28" s="2">
        <v>1</v>
      </c>
      <c r="DQ28" s="2">
        <v>1</v>
      </c>
      <c r="DR28" s="2"/>
      <c r="DS28" s="2"/>
      <c r="DT28" s="2"/>
      <c r="DU28" s="2">
        <v>1013</v>
      </c>
      <c r="DV28" s="2" t="s">
        <v>19</v>
      </c>
      <c r="DW28" s="2" t="s">
        <v>19</v>
      </c>
      <c r="DX28" s="2">
        <v>1</v>
      </c>
      <c r="DY28" s="2"/>
      <c r="DZ28" s="2"/>
      <c r="EA28" s="2"/>
      <c r="EB28" s="2"/>
      <c r="EC28" s="2"/>
      <c r="ED28" s="2"/>
      <c r="EE28" s="2">
        <v>41393065</v>
      </c>
      <c r="EF28" s="2">
        <v>40</v>
      </c>
      <c r="EG28" s="2" t="s">
        <v>23</v>
      </c>
      <c r="EH28" s="2">
        <v>0</v>
      </c>
      <c r="EI28" s="2" t="s">
        <v>3</v>
      </c>
      <c r="EJ28" s="2">
        <v>2</v>
      </c>
      <c r="EK28" s="2">
        <v>336</v>
      </c>
      <c r="EL28" s="2" t="s">
        <v>24</v>
      </c>
      <c r="EM28" s="2" t="s">
        <v>25</v>
      </c>
      <c r="EN28" s="2"/>
      <c r="EO28" s="2" t="s">
        <v>26</v>
      </c>
      <c r="EP28" s="2"/>
      <c r="EQ28" s="2">
        <v>0</v>
      </c>
      <c r="ER28" s="2">
        <v>82.23</v>
      </c>
      <c r="ES28" s="2">
        <v>4.83</v>
      </c>
      <c r="ET28" s="2">
        <v>0.05</v>
      </c>
      <c r="EU28" s="2">
        <v>0.01</v>
      </c>
      <c r="EV28" s="2">
        <v>77.349999999999994</v>
      </c>
      <c r="EW28" s="2">
        <v>5.7</v>
      </c>
      <c r="EX28" s="2">
        <v>0</v>
      </c>
      <c r="EY28" s="2">
        <v>0</v>
      </c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>
        <v>0</v>
      </c>
      <c r="FR28" s="2">
        <f t="shared" ref="FR28:FR51" si="44">ROUND(IF(AND(BH28=3,BI28=3),P28,0),2)</f>
        <v>0</v>
      </c>
      <c r="FS28" s="2">
        <v>0</v>
      </c>
      <c r="FT28" s="2"/>
      <c r="FU28" s="2"/>
      <c r="FV28" s="2"/>
      <c r="FW28" s="2"/>
      <c r="FX28" s="2">
        <v>114</v>
      </c>
      <c r="FY28" s="2">
        <v>67</v>
      </c>
      <c r="FZ28" s="2"/>
      <c r="GA28" s="2" t="s">
        <v>3</v>
      </c>
      <c r="GB28" s="2"/>
      <c r="GC28" s="2"/>
      <c r="GD28" s="2">
        <v>1</v>
      </c>
      <c r="GE28" s="2"/>
      <c r="GF28" s="2">
        <v>-1061080243</v>
      </c>
      <c r="GG28" s="2">
        <v>2</v>
      </c>
      <c r="GH28" s="2">
        <v>1</v>
      </c>
      <c r="GI28" s="2">
        <v>-2</v>
      </c>
      <c r="GJ28" s="2">
        <v>0</v>
      </c>
      <c r="GK28" s="2">
        <v>0</v>
      </c>
      <c r="GL28" s="2">
        <f t="shared" ref="GL28:GL51" si="45">ROUND(IF(AND(BH28=3,BI28=3,FS28&lt;&gt;0),P28,0),2)</f>
        <v>0</v>
      </c>
      <c r="GM28" s="2">
        <f>ROUND(O28+X28+Y28,2)+GX28</f>
        <v>292.36</v>
      </c>
      <c r="GN28" s="2">
        <f>IF(OR(BI28=0,BI28=1),ROUND(O28+X28+Y28,2),0)</f>
        <v>0</v>
      </c>
      <c r="GO28" s="2">
        <f>IF(BI28=2,ROUND(O28+X28+Y28,2),0)</f>
        <v>292.36</v>
      </c>
      <c r="GP28" s="2">
        <f>IF(BI28=4,ROUND(O28+X28+Y28,2)+GX28,0)</f>
        <v>0</v>
      </c>
      <c r="GQ28" s="2"/>
      <c r="GR28" s="2">
        <v>0</v>
      </c>
      <c r="GS28" s="2">
        <v>3</v>
      </c>
      <c r="GT28" s="2">
        <v>0</v>
      </c>
      <c r="GU28" s="2" t="s">
        <v>3</v>
      </c>
      <c r="GV28" s="2">
        <f t="shared" ref="GV28:GV51" si="46">ROUND((GT28),6)</f>
        <v>0</v>
      </c>
      <c r="GW28" s="2">
        <v>1</v>
      </c>
      <c r="GX28" s="2">
        <f t="shared" ref="GX28:GX51" si="47">ROUND(HC28*I28,2)</f>
        <v>0</v>
      </c>
      <c r="GY28" s="2"/>
      <c r="GZ28" s="2"/>
      <c r="HA28" s="2">
        <v>0</v>
      </c>
      <c r="HB28" s="2">
        <v>0</v>
      </c>
      <c r="HC28" s="2">
        <f t="shared" ref="HC28:HC51" si="48">GV28*GW28</f>
        <v>0</v>
      </c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>
        <v>0</v>
      </c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x14ac:dyDescent="0.2">
      <c r="A29">
        <v>17</v>
      </c>
      <c r="B29">
        <v>1</v>
      </c>
      <c r="C29">
        <f>ROW(SmtRes!A4)</f>
        <v>4</v>
      </c>
      <c r="D29">
        <f>ROW(EtalonRes!A2)</f>
        <v>2</v>
      </c>
      <c r="E29" t="s">
        <v>16</v>
      </c>
      <c r="F29" t="s">
        <v>17</v>
      </c>
      <c r="G29" t="s">
        <v>18</v>
      </c>
      <c r="H29" t="s">
        <v>19</v>
      </c>
      <c r="I29">
        <v>1</v>
      </c>
      <c r="J29">
        <v>0</v>
      </c>
      <c r="O29">
        <f t="shared" si="21"/>
        <v>2245.54</v>
      </c>
      <c r="P29">
        <f t="shared" si="22"/>
        <v>26.13</v>
      </c>
      <c r="Q29">
        <f t="shared" si="23"/>
        <v>0.62</v>
      </c>
      <c r="R29">
        <f t="shared" si="24"/>
        <v>0.31</v>
      </c>
      <c r="S29">
        <f t="shared" si="25"/>
        <v>2218.79</v>
      </c>
      <c r="T29">
        <f t="shared" si="26"/>
        <v>0</v>
      </c>
      <c r="U29">
        <f t="shared" si="27"/>
        <v>7.5382499999999988</v>
      </c>
      <c r="V29">
        <f t="shared" si="28"/>
        <v>0</v>
      </c>
      <c r="W29">
        <f t="shared" si="29"/>
        <v>0</v>
      </c>
      <c r="X29">
        <f t="shared" si="30"/>
        <v>1708.47</v>
      </c>
      <c r="Y29">
        <f t="shared" si="31"/>
        <v>909.7</v>
      </c>
      <c r="AA29">
        <v>42119679</v>
      </c>
      <c r="AB29">
        <f t="shared" si="32"/>
        <v>107.19725</v>
      </c>
      <c r="AC29">
        <f t="shared" si="33"/>
        <v>4.83</v>
      </c>
      <c r="AD29">
        <f>ROUND((((((ET29*1.25)*1.15))-(((EU29*1.25)*1.15)))+AE29),6)</f>
        <v>7.1874999999999994E-2</v>
      </c>
      <c r="AE29">
        <f>ROUND((((EU29*1.25)*1.15)),6)</f>
        <v>1.4375000000000001E-2</v>
      </c>
      <c r="AF29">
        <f>ROUND((((EV29*1.15)*1.15)),6)</f>
        <v>102.29537500000001</v>
      </c>
      <c r="AG29">
        <f t="shared" si="34"/>
        <v>0</v>
      </c>
      <c r="AH29">
        <f>(((EW29*1.15)*1.15))</f>
        <v>7.5382499999999988</v>
      </c>
      <c r="AI29">
        <f>(((EX29*1.25)*1.15))</f>
        <v>0</v>
      </c>
      <c r="AJ29">
        <f t="shared" si="35"/>
        <v>0</v>
      </c>
      <c r="AK29">
        <v>82.23</v>
      </c>
      <c r="AL29">
        <v>4.83</v>
      </c>
      <c r="AM29">
        <v>0.05</v>
      </c>
      <c r="AN29">
        <v>0.01</v>
      </c>
      <c r="AO29">
        <v>77.349999999999994</v>
      </c>
      <c r="AP29">
        <v>0</v>
      </c>
      <c r="AQ29">
        <v>5.7</v>
      </c>
      <c r="AR29">
        <v>0</v>
      </c>
      <c r="AS29">
        <v>0</v>
      </c>
      <c r="AT29">
        <v>77</v>
      </c>
      <c r="AU29">
        <v>41</v>
      </c>
      <c r="AV29">
        <v>1</v>
      </c>
      <c r="AW29">
        <v>1</v>
      </c>
      <c r="AZ29">
        <v>1</v>
      </c>
      <c r="BA29">
        <v>21.69</v>
      </c>
      <c r="BB29">
        <v>8.6</v>
      </c>
      <c r="BC29">
        <v>5.41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2</v>
      </c>
      <c r="BJ29" t="s">
        <v>20</v>
      </c>
      <c r="BM29">
        <v>336</v>
      </c>
      <c r="BN29">
        <v>0</v>
      </c>
      <c r="BO29" t="s">
        <v>17</v>
      </c>
      <c r="BP29">
        <v>1</v>
      </c>
      <c r="BQ29">
        <v>40</v>
      </c>
      <c r="BR29">
        <v>0</v>
      </c>
      <c r="BS29">
        <v>21.69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77</v>
      </c>
      <c r="CA29">
        <v>41</v>
      </c>
      <c r="CE29">
        <v>0</v>
      </c>
      <c r="CF29">
        <v>0</v>
      </c>
      <c r="CG29">
        <v>0</v>
      </c>
      <c r="CM29">
        <v>0</v>
      </c>
      <c r="CN29" t="s">
        <v>225</v>
      </c>
      <c r="CO29">
        <v>0</v>
      </c>
      <c r="CP29">
        <f t="shared" si="36"/>
        <v>2245.54</v>
      </c>
      <c r="CQ29">
        <f t="shared" si="37"/>
        <v>26.130300000000002</v>
      </c>
      <c r="CR29">
        <f>((((((ET29*1.25)*1.15))*BB29-(((EU29*1.25)*1.15))*BS29)+AE29*BS29)*AV29)</f>
        <v>0.61812500000000004</v>
      </c>
      <c r="CS29">
        <f t="shared" si="38"/>
        <v>0.31179375000000004</v>
      </c>
      <c r="CT29">
        <f t="shared" si="39"/>
        <v>2218.7866837500001</v>
      </c>
      <c r="CU29">
        <f t="shared" si="40"/>
        <v>0</v>
      </c>
      <c r="CV29">
        <f t="shared" si="41"/>
        <v>7.5382499999999988</v>
      </c>
      <c r="CW29">
        <f t="shared" si="42"/>
        <v>0</v>
      </c>
      <c r="CX29">
        <f t="shared" si="43"/>
        <v>0</v>
      </c>
      <c r="CY29">
        <f>S29*(BZ29/100)</f>
        <v>1708.4683</v>
      </c>
      <c r="CZ29">
        <f>S29*(CA29/100)</f>
        <v>909.70389999999998</v>
      </c>
      <c r="DC29" t="s">
        <v>3</v>
      </c>
      <c r="DD29" t="s">
        <v>3</v>
      </c>
      <c r="DE29" t="s">
        <v>21</v>
      </c>
      <c r="DF29" t="s">
        <v>21</v>
      </c>
      <c r="DG29" t="s">
        <v>22</v>
      </c>
      <c r="DH29" t="s">
        <v>3</v>
      </c>
      <c r="DI29" t="s">
        <v>22</v>
      </c>
      <c r="DJ29" t="s">
        <v>21</v>
      </c>
      <c r="DK29" t="s">
        <v>3</v>
      </c>
      <c r="DL29" t="s">
        <v>3</v>
      </c>
      <c r="DM29" t="s">
        <v>3</v>
      </c>
      <c r="DN29">
        <v>114</v>
      </c>
      <c r="DO29">
        <v>67</v>
      </c>
      <c r="DP29">
        <v>1</v>
      </c>
      <c r="DQ29">
        <v>1</v>
      </c>
      <c r="DU29">
        <v>1013</v>
      </c>
      <c r="DV29" t="s">
        <v>19</v>
      </c>
      <c r="DW29" t="s">
        <v>19</v>
      </c>
      <c r="DX29">
        <v>1</v>
      </c>
      <c r="EE29">
        <v>41393065</v>
      </c>
      <c r="EF29">
        <v>40</v>
      </c>
      <c r="EG29" t="s">
        <v>23</v>
      </c>
      <c r="EH29">
        <v>0</v>
      </c>
      <c r="EI29" t="s">
        <v>3</v>
      </c>
      <c r="EJ29">
        <v>2</v>
      </c>
      <c r="EK29">
        <v>336</v>
      </c>
      <c r="EL29" t="s">
        <v>24</v>
      </c>
      <c r="EM29" t="s">
        <v>25</v>
      </c>
      <c r="EO29" t="s">
        <v>26</v>
      </c>
      <c r="EQ29">
        <v>0</v>
      </c>
      <c r="ER29">
        <v>82.23</v>
      </c>
      <c r="ES29">
        <v>4.83</v>
      </c>
      <c r="ET29">
        <v>0.05</v>
      </c>
      <c r="EU29">
        <v>0.01</v>
      </c>
      <c r="EV29">
        <v>77.349999999999994</v>
      </c>
      <c r="EW29">
        <v>5.7</v>
      </c>
      <c r="EX29">
        <v>0</v>
      </c>
      <c r="EY29">
        <v>0</v>
      </c>
      <c r="FQ29">
        <v>0</v>
      </c>
      <c r="FR29">
        <f t="shared" si="44"/>
        <v>0</v>
      </c>
      <c r="FS29">
        <v>0</v>
      </c>
      <c r="FX29">
        <v>114</v>
      </c>
      <c r="FY29">
        <v>67</v>
      </c>
      <c r="GA29" t="s">
        <v>3</v>
      </c>
      <c r="GD29">
        <v>0</v>
      </c>
      <c r="GF29">
        <v>-1061080243</v>
      </c>
      <c r="GG29">
        <v>2</v>
      </c>
      <c r="GH29">
        <v>1</v>
      </c>
      <c r="GI29">
        <v>2</v>
      </c>
      <c r="GJ29">
        <v>0</v>
      </c>
      <c r="GK29">
        <f>ROUND(R29*(S12)/100,2)</f>
        <v>0.49</v>
      </c>
      <c r="GL29">
        <f t="shared" si="45"/>
        <v>0</v>
      </c>
      <c r="GM29">
        <f>ROUND(O29+X29+Y29+GK29,2)+GX29</f>
        <v>4864.2</v>
      </c>
      <c r="GN29">
        <f>IF(OR(BI29=0,BI29=1),ROUND(O29+X29+Y29+GK29,2),0)</f>
        <v>0</v>
      </c>
      <c r="GO29">
        <f>IF(BI29=2,ROUND(O29+X29+Y29+GK29,2),0)</f>
        <v>4864.2</v>
      </c>
      <c r="GP29">
        <f>IF(BI29=4,ROUND(O29+X29+Y29+GK29,2)+GX29,0)</f>
        <v>0</v>
      </c>
      <c r="GR29">
        <v>0</v>
      </c>
      <c r="GS29">
        <v>3</v>
      </c>
      <c r="GT29">
        <v>0</v>
      </c>
      <c r="GU29" t="s">
        <v>3</v>
      </c>
      <c r="GV29">
        <f t="shared" si="46"/>
        <v>0</v>
      </c>
      <c r="GW29">
        <v>1</v>
      </c>
      <c r="GX29">
        <f t="shared" si="47"/>
        <v>0</v>
      </c>
      <c r="HA29">
        <v>0</v>
      </c>
      <c r="HB29">
        <v>0</v>
      </c>
      <c r="HC29">
        <f t="shared" si="48"/>
        <v>0</v>
      </c>
      <c r="IK29">
        <v>0</v>
      </c>
    </row>
    <row r="30" spans="1:255" x14ac:dyDescent="0.2">
      <c r="A30" s="2">
        <v>18</v>
      </c>
      <c r="B30" s="2">
        <v>1</v>
      </c>
      <c r="C30" s="2">
        <v>2</v>
      </c>
      <c r="D30" s="2"/>
      <c r="E30" s="2" t="s">
        <v>27</v>
      </c>
      <c r="F30" s="2" t="s">
        <v>28</v>
      </c>
      <c r="G30" s="2" t="s">
        <v>29</v>
      </c>
      <c r="H30" s="2" t="s">
        <v>30</v>
      </c>
      <c r="I30" s="2">
        <f>I28*J30</f>
        <v>1</v>
      </c>
      <c r="J30" s="2">
        <v>1</v>
      </c>
      <c r="K30" s="2"/>
      <c r="L30" s="2"/>
      <c r="M30" s="2"/>
      <c r="N30" s="2"/>
      <c r="O30" s="2">
        <f t="shared" si="21"/>
        <v>625.5</v>
      </c>
      <c r="P30" s="2">
        <f t="shared" si="22"/>
        <v>625.5</v>
      </c>
      <c r="Q30" s="2">
        <f t="shared" si="23"/>
        <v>0</v>
      </c>
      <c r="R30" s="2">
        <f t="shared" si="24"/>
        <v>0</v>
      </c>
      <c r="S30" s="2">
        <f t="shared" si="25"/>
        <v>0</v>
      </c>
      <c r="T30" s="2">
        <f t="shared" si="26"/>
        <v>0</v>
      </c>
      <c r="U30" s="2">
        <f t="shared" si="27"/>
        <v>0</v>
      </c>
      <c r="V30" s="2">
        <f t="shared" si="28"/>
        <v>0</v>
      </c>
      <c r="W30" s="2">
        <f t="shared" si="29"/>
        <v>0</v>
      </c>
      <c r="X30" s="2">
        <f t="shared" si="30"/>
        <v>0</v>
      </c>
      <c r="Y30" s="2">
        <f t="shared" si="31"/>
        <v>0</v>
      </c>
      <c r="Z30" s="2"/>
      <c r="AA30" s="2">
        <v>42119681</v>
      </c>
      <c r="AB30" s="2">
        <f t="shared" si="32"/>
        <v>625.5</v>
      </c>
      <c r="AC30" s="2">
        <f t="shared" si="33"/>
        <v>625.5</v>
      </c>
      <c r="AD30" s="2">
        <f>ROUND((((ET30)-(EU30))+AE30),6)</f>
        <v>0</v>
      </c>
      <c r="AE30" s="2">
        <f>ROUND((EU30),6)</f>
        <v>0</v>
      </c>
      <c r="AF30" s="2">
        <f>ROUND((EV30),6)</f>
        <v>0</v>
      </c>
      <c r="AG30" s="2">
        <f t="shared" si="34"/>
        <v>0</v>
      </c>
      <c r="AH30" s="2">
        <f>(EW30)</f>
        <v>0</v>
      </c>
      <c r="AI30" s="2">
        <f>(EX30)</f>
        <v>0</v>
      </c>
      <c r="AJ30" s="2">
        <f t="shared" si="35"/>
        <v>0</v>
      </c>
      <c r="AK30" s="2">
        <v>625.5</v>
      </c>
      <c r="AL30" s="2">
        <v>625.5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114</v>
      </c>
      <c r="AU30" s="2">
        <v>67</v>
      </c>
      <c r="AV30" s="2">
        <v>1</v>
      </c>
      <c r="AW30" s="2">
        <v>1</v>
      </c>
      <c r="AX30" s="2"/>
      <c r="AY30" s="2"/>
      <c r="AZ30" s="2">
        <v>1</v>
      </c>
      <c r="BA30" s="2">
        <v>1</v>
      </c>
      <c r="BB30" s="2">
        <v>1</v>
      </c>
      <c r="BC30" s="2">
        <v>1</v>
      </c>
      <c r="BD30" s="2" t="s">
        <v>3</v>
      </c>
      <c r="BE30" s="2" t="s">
        <v>3</v>
      </c>
      <c r="BF30" s="2" t="s">
        <v>3</v>
      </c>
      <c r="BG30" s="2" t="s">
        <v>3</v>
      </c>
      <c r="BH30" s="2">
        <v>3</v>
      </c>
      <c r="BI30" s="2">
        <v>3</v>
      </c>
      <c r="BJ30" s="2" t="s">
        <v>3</v>
      </c>
      <c r="BK30" s="2"/>
      <c r="BL30" s="2"/>
      <c r="BM30" s="2">
        <v>746</v>
      </c>
      <c r="BN30" s="2">
        <v>0</v>
      </c>
      <c r="BO30" s="2" t="s">
        <v>3</v>
      </c>
      <c r="BP30" s="2">
        <v>0</v>
      </c>
      <c r="BQ30" s="2">
        <v>130</v>
      </c>
      <c r="BR30" s="2">
        <v>0</v>
      </c>
      <c r="BS30" s="2">
        <v>1</v>
      </c>
      <c r="BT30" s="2">
        <v>1</v>
      </c>
      <c r="BU30" s="2">
        <v>1</v>
      </c>
      <c r="BV30" s="2">
        <v>1</v>
      </c>
      <c r="BW30" s="2">
        <v>1</v>
      </c>
      <c r="BX30" s="2">
        <v>1</v>
      </c>
      <c r="BY30" s="2" t="s">
        <v>3</v>
      </c>
      <c r="BZ30" s="2">
        <v>114</v>
      </c>
      <c r="CA30" s="2">
        <v>67</v>
      </c>
      <c r="CB30" s="2"/>
      <c r="CC30" s="2"/>
      <c r="CD30" s="2"/>
      <c r="CE30" s="2">
        <v>0</v>
      </c>
      <c r="CF30" s="2">
        <v>0</v>
      </c>
      <c r="CG30" s="2">
        <v>0</v>
      </c>
      <c r="CH30" s="2"/>
      <c r="CI30" s="2"/>
      <c r="CJ30" s="2"/>
      <c r="CK30" s="2"/>
      <c r="CL30" s="2"/>
      <c r="CM30" s="2">
        <v>0</v>
      </c>
      <c r="CN30" s="2" t="s">
        <v>3</v>
      </c>
      <c r="CO30" s="2">
        <v>0</v>
      </c>
      <c r="CP30" s="2">
        <f t="shared" si="36"/>
        <v>625.5</v>
      </c>
      <c r="CQ30" s="2">
        <f t="shared" si="37"/>
        <v>625.5</v>
      </c>
      <c r="CR30" s="2">
        <f>((((ET30)*BB30-(EU30)*BS30)+AE30*BS30)*AV30)</f>
        <v>0</v>
      </c>
      <c r="CS30" s="2">
        <f t="shared" si="38"/>
        <v>0</v>
      </c>
      <c r="CT30" s="2">
        <f t="shared" si="39"/>
        <v>0</v>
      </c>
      <c r="CU30" s="2">
        <f t="shared" si="40"/>
        <v>0</v>
      </c>
      <c r="CV30" s="2">
        <f t="shared" si="41"/>
        <v>0</v>
      </c>
      <c r="CW30" s="2">
        <f t="shared" si="42"/>
        <v>0</v>
      </c>
      <c r="CX30" s="2">
        <f t="shared" si="43"/>
        <v>0</v>
      </c>
      <c r="CY30" s="2">
        <f>((S30*BZ30)/100)</f>
        <v>0</v>
      </c>
      <c r="CZ30" s="2">
        <f>((S30*CA30)/100)</f>
        <v>0</v>
      </c>
      <c r="DA30" s="2"/>
      <c r="DB30" s="2"/>
      <c r="DC30" s="2" t="s">
        <v>3</v>
      </c>
      <c r="DD30" s="2" t="s">
        <v>3</v>
      </c>
      <c r="DE30" s="2" t="s">
        <v>3</v>
      </c>
      <c r="DF30" s="2" t="s">
        <v>3</v>
      </c>
      <c r="DG30" s="2" t="s">
        <v>3</v>
      </c>
      <c r="DH30" s="2" t="s">
        <v>3</v>
      </c>
      <c r="DI30" s="2" t="s">
        <v>3</v>
      </c>
      <c r="DJ30" s="2" t="s">
        <v>3</v>
      </c>
      <c r="DK30" s="2" t="s">
        <v>3</v>
      </c>
      <c r="DL30" s="2" t="s">
        <v>3</v>
      </c>
      <c r="DM30" s="2" t="s">
        <v>3</v>
      </c>
      <c r="DN30" s="2">
        <v>0</v>
      </c>
      <c r="DO30" s="2">
        <v>0</v>
      </c>
      <c r="DP30" s="2">
        <v>1</v>
      </c>
      <c r="DQ30" s="2">
        <v>1</v>
      </c>
      <c r="DR30" s="2"/>
      <c r="DS30" s="2"/>
      <c r="DT30" s="2"/>
      <c r="DU30" s="2">
        <v>1010</v>
      </c>
      <c r="DV30" s="2" t="s">
        <v>30</v>
      </c>
      <c r="DW30" s="2" t="s">
        <v>30</v>
      </c>
      <c r="DX30" s="2">
        <v>1</v>
      </c>
      <c r="DY30" s="2"/>
      <c r="DZ30" s="2"/>
      <c r="EA30" s="2"/>
      <c r="EB30" s="2"/>
      <c r="EC30" s="2"/>
      <c r="ED30" s="2"/>
      <c r="EE30" s="2">
        <v>41393475</v>
      </c>
      <c r="EF30" s="2">
        <v>130</v>
      </c>
      <c r="EG30" s="2" t="s">
        <v>31</v>
      </c>
      <c r="EH30" s="2">
        <v>0</v>
      </c>
      <c r="EI30" s="2" t="s">
        <v>3</v>
      </c>
      <c r="EJ30" s="2">
        <v>3</v>
      </c>
      <c r="EK30" s="2">
        <v>746</v>
      </c>
      <c r="EL30" s="2" t="s">
        <v>32</v>
      </c>
      <c r="EM30" s="2" t="s">
        <v>33</v>
      </c>
      <c r="EN30" s="2"/>
      <c r="EO30" s="2" t="s">
        <v>3</v>
      </c>
      <c r="EP30" s="2"/>
      <c r="EQ30" s="2">
        <v>0</v>
      </c>
      <c r="ER30" s="2">
        <v>625.5</v>
      </c>
      <c r="ES30" s="2">
        <v>625.5</v>
      </c>
      <c r="ET30" s="2">
        <v>0</v>
      </c>
      <c r="EU30" s="2">
        <v>0</v>
      </c>
      <c r="EV30" s="2">
        <v>0</v>
      </c>
      <c r="EW30" s="2">
        <v>0</v>
      </c>
      <c r="EX30" s="2">
        <v>0</v>
      </c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>
        <v>0</v>
      </c>
      <c r="FR30" s="2">
        <f t="shared" si="44"/>
        <v>625.5</v>
      </c>
      <c r="FS30" s="2">
        <v>0</v>
      </c>
      <c r="FT30" s="2"/>
      <c r="FU30" s="2"/>
      <c r="FV30" s="2"/>
      <c r="FW30" s="2"/>
      <c r="FX30" s="2">
        <v>114</v>
      </c>
      <c r="FY30" s="2">
        <v>67</v>
      </c>
      <c r="FZ30" s="2"/>
      <c r="GA30" s="2" t="s">
        <v>3</v>
      </c>
      <c r="GB30" s="2"/>
      <c r="GC30" s="2"/>
      <c r="GD30" s="2">
        <v>1</v>
      </c>
      <c r="GE30" s="2"/>
      <c r="GF30" s="2">
        <v>394868748</v>
      </c>
      <c r="GG30" s="2">
        <v>2</v>
      </c>
      <c r="GH30" s="2">
        <v>0</v>
      </c>
      <c r="GI30" s="2">
        <v>-2</v>
      </c>
      <c r="GJ30" s="2">
        <v>0</v>
      </c>
      <c r="GK30" s="2">
        <v>0</v>
      </c>
      <c r="GL30" s="2">
        <f t="shared" si="45"/>
        <v>0</v>
      </c>
      <c r="GM30" s="2">
        <f>ROUND(O30+X30+Y30,2)+GX30</f>
        <v>625.5</v>
      </c>
      <c r="GN30" s="2">
        <f>IF(OR(BI30=0,BI30=1),ROUND(O30+X30+Y30,2),0)</f>
        <v>0</v>
      </c>
      <c r="GO30" s="2">
        <f>IF(BI30=2,ROUND(O30+X30+Y30,2),0)</f>
        <v>0</v>
      </c>
      <c r="GP30" s="2">
        <f>IF(BI30=4,ROUND(O30+X30+Y30,2)+GX30,0)</f>
        <v>0</v>
      </c>
      <c r="GQ30" s="2"/>
      <c r="GR30" s="2">
        <v>0</v>
      </c>
      <c r="GS30" s="2">
        <v>0</v>
      </c>
      <c r="GT30" s="2">
        <v>0</v>
      </c>
      <c r="GU30" s="2" t="s">
        <v>3</v>
      </c>
      <c r="GV30" s="2">
        <f t="shared" si="46"/>
        <v>0</v>
      </c>
      <c r="GW30" s="2">
        <v>1</v>
      </c>
      <c r="GX30" s="2">
        <f t="shared" si="47"/>
        <v>0</v>
      </c>
      <c r="GY30" s="2"/>
      <c r="GZ30" s="2"/>
      <c r="HA30" s="2">
        <v>0</v>
      </c>
      <c r="HB30" s="2">
        <v>0</v>
      </c>
      <c r="HC30" s="2">
        <f t="shared" si="48"/>
        <v>0</v>
      </c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>
        <v>0</v>
      </c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x14ac:dyDescent="0.2">
      <c r="A31">
        <v>18</v>
      </c>
      <c r="B31">
        <v>1</v>
      </c>
      <c r="C31">
        <v>4</v>
      </c>
      <c r="E31" t="s">
        <v>27</v>
      </c>
      <c r="F31" t="s">
        <v>28</v>
      </c>
      <c r="G31" t="s">
        <v>29</v>
      </c>
      <c r="H31" t="s">
        <v>30</v>
      </c>
      <c r="I31">
        <f>I29*J31</f>
        <v>1</v>
      </c>
      <c r="J31">
        <v>1</v>
      </c>
      <c r="O31">
        <f t="shared" si="21"/>
        <v>19442.61</v>
      </c>
      <c r="P31">
        <f t="shared" si="22"/>
        <v>19442.61</v>
      </c>
      <c r="Q31">
        <f t="shared" si="23"/>
        <v>0</v>
      </c>
      <c r="R31">
        <f t="shared" si="24"/>
        <v>0</v>
      </c>
      <c r="S31">
        <f t="shared" si="25"/>
        <v>0</v>
      </c>
      <c r="T31">
        <f t="shared" si="26"/>
        <v>0</v>
      </c>
      <c r="U31">
        <f t="shared" si="27"/>
        <v>0</v>
      </c>
      <c r="V31">
        <f t="shared" si="28"/>
        <v>0</v>
      </c>
      <c r="W31">
        <f t="shared" si="29"/>
        <v>0</v>
      </c>
      <c r="X31">
        <f t="shared" si="30"/>
        <v>0</v>
      </c>
      <c r="Y31">
        <f t="shared" si="31"/>
        <v>0</v>
      </c>
      <c r="AA31">
        <v>42119679</v>
      </c>
      <c r="AB31">
        <f t="shared" si="32"/>
        <v>4490.21</v>
      </c>
      <c r="AC31">
        <f t="shared" si="33"/>
        <v>4490.21</v>
      </c>
      <c r="AD31">
        <f>ROUND((((ET31)-(EU31))+AE31),6)</f>
        <v>0</v>
      </c>
      <c r="AE31">
        <f>ROUND((EU31),6)</f>
        <v>0</v>
      </c>
      <c r="AF31">
        <f>ROUND((EV31),6)</f>
        <v>0</v>
      </c>
      <c r="AG31">
        <f t="shared" si="34"/>
        <v>0</v>
      </c>
      <c r="AH31">
        <f>(EW31)</f>
        <v>0</v>
      </c>
      <c r="AI31">
        <f>(EX31)</f>
        <v>0</v>
      </c>
      <c r="AJ31">
        <f t="shared" si="35"/>
        <v>0</v>
      </c>
      <c r="AK31">
        <v>4490.2099999999991</v>
      </c>
      <c r="AL31">
        <v>4490.2099999999991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4.33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3</v>
      </c>
      <c r="BJ31" t="s">
        <v>3</v>
      </c>
      <c r="BM31">
        <v>746</v>
      </c>
      <c r="BN31">
        <v>0</v>
      </c>
      <c r="BO31" t="s">
        <v>3</v>
      </c>
      <c r="BP31">
        <v>0</v>
      </c>
      <c r="BQ31">
        <v>130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0</v>
      </c>
      <c r="CA31">
        <v>0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36"/>
        <v>19442.61</v>
      </c>
      <c r="CQ31">
        <f t="shared" si="37"/>
        <v>19442.6093</v>
      </c>
      <c r="CR31">
        <f>((((ET31)*BB31-(EU31)*BS31)+AE31*BS31)*AV31)</f>
        <v>0</v>
      </c>
      <c r="CS31">
        <f t="shared" si="38"/>
        <v>0</v>
      </c>
      <c r="CT31">
        <f t="shared" si="39"/>
        <v>0</v>
      </c>
      <c r="CU31">
        <f t="shared" si="40"/>
        <v>0</v>
      </c>
      <c r="CV31">
        <f t="shared" si="41"/>
        <v>0</v>
      </c>
      <c r="CW31">
        <f t="shared" si="42"/>
        <v>0</v>
      </c>
      <c r="CX31">
        <f t="shared" si="43"/>
        <v>0</v>
      </c>
      <c r="CY31">
        <f>S31*(BZ31/100)</f>
        <v>0</v>
      </c>
      <c r="CZ31">
        <f>S31*(CA31/100)</f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114</v>
      </c>
      <c r="DO31">
        <v>67</v>
      </c>
      <c r="DP31">
        <v>1</v>
      </c>
      <c r="DQ31">
        <v>1</v>
      </c>
      <c r="DU31">
        <v>1010</v>
      </c>
      <c r="DV31" t="s">
        <v>30</v>
      </c>
      <c r="DW31" t="s">
        <v>30</v>
      </c>
      <c r="DX31">
        <v>1</v>
      </c>
      <c r="EE31">
        <v>41393475</v>
      </c>
      <c r="EF31">
        <v>130</v>
      </c>
      <c r="EG31" t="s">
        <v>31</v>
      </c>
      <c r="EH31">
        <v>0</v>
      </c>
      <c r="EI31" t="s">
        <v>3</v>
      </c>
      <c r="EJ31">
        <v>3</v>
      </c>
      <c r="EK31">
        <v>746</v>
      </c>
      <c r="EL31" t="s">
        <v>32</v>
      </c>
      <c r="EM31" t="s">
        <v>33</v>
      </c>
      <c r="EO31" t="s">
        <v>3</v>
      </c>
      <c r="EQ31">
        <v>0</v>
      </c>
      <c r="ER31">
        <v>4490.2099999999991</v>
      </c>
      <c r="ES31">
        <v>4490.2099999999991</v>
      </c>
      <c r="ET31">
        <v>0</v>
      </c>
      <c r="EU31">
        <v>0</v>
      </c>
      <c r="EV31">
        <v>0</v>
      </c>
      <c r="EW31">
        <v>0</v>
      </c>
      <c r="EX31">
        <v>0</v>
      </c>
      <c r="EZ31">
        <v>5</v>
      </c>
      <c r="FC31">
        <v>1</v>
      </c>
      <c r="FD31">
        <v>18</v>
      </c>
      <c r="FF31">
        <v>22383</v>
      </c>
      <c r="FQ31">
        <v>0</v>
      </c>
      <c r="FR31">
        <f t="shared" si="44"/>
        <v>19442.61</v>
      </c>
      <c r="FS31">
        <v>0</v>
      </c>
      <c r="FX31">
        <v>114</v>
      </c>
      <c r="FY31">
        <v>67</v>
      </c>
      <c r="GA31" t="s">
        <v>34</v>
      </c>
      <c r="GD31">
        <v>0</v>
      </c>
      <c r="GF31">
        <v>394868748</v>
      </c>
      <c r="GG31">
        <v>2</v>
      </c>
      <c r="GH31">
        <v>3</v>
      </c>
      <c r="GI31">
        <v>5</v>
      </c>
      <c r="GJ31">
        <v>0</v>
      </c>
      <c r="GK31">
        <f>ROUND(R31*(S12)/100,2)</f>
        <v>0</v>
      </c>
      <c r="GL31">
        <f t="shared" si="45"/>
        <v>0</v>
      </c>
      <c r="GM31">
        <f>ROUND(O31+X31+Y31+GK31,2)+GX31</f>
        <v>19442.61</v>
      </c>
      <c r="GN31">
        <f>IF(OR(BI31=0,BI31=1),ROUND(O31+X31+Y31+GK31,2),0)</f>
        <v>0</v>
      </c>
      <c r="GO31">
        <f>IF(BI31=2,ROUND(O31+X31+Y31+GK31,2),0)</f>
        <v>0</v>
      </c>
      <c r="GP31">
        <f>IF(BI31=4,ROUND(O31+X31+Y31+GK31,2)+GX31,0)</f>
        <v>0</v>
      </c>
      <c r="GR31">
        <v>1</v>
      </c>
      <c r="GS31">
        <v>1</v>
      </c>
      <c r="GT31">
        <v>0</v>
      </c>
      <c r="GU31" t="s">
        <v>3</v>
      </c>
      <c r="GV31">
        <f t="shared" si="46"/>
        <v>0</v>
      </c>
      <c r="GW31">
        <v>1</v>
      </c>
      <c r="GX31">
        <f t="shared" si="47"/>
        <v>0</v>
      </c>
      <c r="HA31">
        <v>0</v>
      </c>
      <c r="HB31">
        <v>0</v>
      </c>
      <c r="HC31">
        <f t="shared" si="48"/>
        <v>0</v>
      </c>
      <c r="IK31">
        <v>0</v>
      </c>
    </row>
    <row r="32" spans="1:255" x14ac:dyDescent="0.2">
      <c r="A32" s="2">
        <v>17</v>
      </c>
      <c r="B32" s="2">
        <v>1</v>
      </c>
      <c r="C32" s="2">
        <f>ROW(SmtRes!A6)</f>
        <v>6</v>
      </c>
      <c r="D32" s="2">
        <f>ROW(EtalonRes!A3)</f>
        <v>3</v>
      </c>
      <c r="E32" s="2" t="s">
        <v>35</v>
      </c>
      <c r="F32" s="2" t="s">
        <v>36</v>
      </c>
      <c r="G32" s="2" t="s">
        <v>37</v>
      </c>
      <c r="H32" s="2" t="s">
        <v>19</v>
      </c>
      <c r="I32" s="2">
        <v>2</v>
      </c>
      <c r="J32" s="2">
        <v>0</v>
      </c>
      <c r="K32" s="2"/>
      <c r="L32" s="2"/>
      <c r="M32" s="2"/>
      <c r="N32" s="2"/>
      <c r="O32" s="2">
        <f t="shared" si="21"/>
        <v>150.81</v>
      </c>
      <c r="P32" s="2">
        <f t="shared" si="22"/>
        <v>13.3</v>
      </c>
      <c r="Q32" s="2">
        <f t="shared" si="23"/>
        <v>0</v>
      </c>
      <c r="R32" s="2">
        <f t="shared" si="24"/>
        <v>0</v>
      </c>
      <c r="S32" s="2">
        <f t="shared" si="25"/>
        <v>137.51</v>
      </c>
      <c r="T32" s="2">
        <f t="shared" si="26"/>
        <v>0</v>
      </c>
      <c r="U32" s="2">
        <f t="shared" si="27"/>
        <v>10.897399999999998</v>
      </c>
      <c r="V32" s="2">
        <f t="shared" si="28"/>
        <v>0</v>
      </c>
      <c r="W32" s="2">
        <f t="shared" si="29"/>
        <v>0</v>
      </c>
      <c r="X32" s="2">
        <f t="shared" si="30"/>
        <v>156.76</v>
      </c>
      <c r="Y32" s="2">
        <f t="shared" si="31"/>
        <v>92.13</v>
      </c>
      <c r="Z32" s="2"/>
      <c r="AA32" s="2">
        <v>42119681</v>
      </c>
      <c r="AB32" s="2">
        <f t="shared" si="32"/>
        <v>75.406774999999996</v>
      </c>
      <c r="AC32" s="2">
        <f t="shared" si="33"/>
        <v>6.65</v>
      </c>
      <c r="AD32" s="2">
        <f>ROUND((((((ET32*1.25)*1.15))-(((EU32*1.25)*1.15)))+AE32),6)</f>
        <v>0</v>
      </c>
      <c r="AE32" s="2">
        <f>ROUND((((EU32*1.25)*1.15)),6)</f>
        <v>0</v>
      </c>
      <c r="AF32" s="2">
        <f>ROUND((((EV32*1.15)*1.15)),6)</f>
        <v>68.756775000000005</v>
      </c>
      <c r="AG32" s="2">
        <f t="shared" si="34"/>
        <v>0</v>
      </c>
      <c r="AH32" s="2">
        <f>(((EW32*1.15)*1.15))</f>
        <v>5.4486999999999988</v>
      </c>
      <c r="AI32" s="2">
        <f>(((EX32*1.25)*1.15))</f>
        <v>0</v>
      </c>
      <c r="AJ32" s="2">
        <f t="shared" si="35"/>
        <v>0</v>
      </c>
      <c r="AK32" s="2">
        <v>58.64</v>
      </c>
      <c r="AL32" s="2">
        <v>6.65</v>
      </c>
      <c r="AM32" s="2">
        <v>0</v>
      </c>
      <c r="AN32" s="2">
        <v>0</v>
      </c>
      <c r="AO32" s="2">
        <v>51.99</v>
      </c>
      <c r="AP32" s="2">
        <v>0</v>
      </c>
      <c r="AQ32" s="2">
        <v>4.12</v>
      </c>
      <c r="AR32" s="2">
        <v>0</v>
      </c>
      <c r="AS32" s="2">
        <v>0</v>
      </c>
      <c r="AT32" s="2">
        <v>114</v>
      </c>
      <c r="AU32" s="2">
        <v>67</v>
      </c>
      <c r="AV32" s="2">
        <v>1</v>
      </c>
      <c r="AW32" s="2">
        <v>1</v>
      </c>
      <c r="AX32" s="2"/>
      <c r="AY32" s="2"/>
      <c r="AZ32" s="2">
        <v>1</v>
      </c>
      <c r="BA32" s="2">
        <v>1</v>
      </c>
      <c r="BB32" s="2">
        <v>1</v>
      </c>
      <c r="BC32" s="2">
        <v>1</v>
      </c>
      <c r="BD32" s="2" t="s">
        <v>3</v>
      </c>
      <c r="BE32" s="2" t="s">
        <v>3</v>
      </c>
      <c r="BF32" s="2" t="s">
        <v>3</v>
      </c>
      <c r="BG32" s="2" t="s">
        <v>3</v>
      </c>
      <c r="BH32" s="2">
        <v>0</v>
      </c>
      <c r="BI32" s="2">
        <v>2</v>
      </c>
      <c r="BJ32" s="2" t="s">
        <v>38</v>
      </c>
      <c r="BK32" s="2"/>
      <c r="BL32" s="2"/>
      <c r="BM32" s="2">
        <v>317</v>
      </c>
      <c r="BN32" s="2">
        <v>0</v>
      </c>
      <c r="BO32" s="2" t="s">
        <v>3</v>
      </c>
      <c r="BP32" s="2">
        <v>0</v>
      </c>
      <c r="BQ32" s="2">
        <v>40</v>
      </c>
      <c r="BR32" s="2">
        <v>0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 t="s">
        <v>3</v>
      </c>
      <c r="BZ32" s="2">
        <v>114</v>
      </c>
      <c r="CA32" s="2">
        <v>67</v>
      </c>
      <c r="CB32" s="2"/>
      <c r="CC32" s="2"/>
      <c r="CD32" s="2"/>
      <c r="CE32" s="2">
        <v>0</v>
      </c>
      <c r="CF32" s="2">
        <v>0</v>
      </c>
      <c r="CG32" s="2">
        <v>0</v>
      </c>
      <c r="CH32" s="2"/>
      <c r="CI32" s="2"/>
      <c r="CJ32" s="2"/>
      <c r="CK32" s="2"/>
      <c r="CL32" s="2"/>
      <c r="CM32" s="2">
        <v>0</v>
      </c>
      <c r="CN32" s="2" t="s">
        <v>225</v>
      </c>
      <c r="CO32" s="2">
        <v>0</v>
      </c>
      <c r="CP32" s="2">
        <f t="shared" si="36"/>
        <v>150.81</v>
      </c>
      <c r="CQ32" s="2">
        <f t="shared" si="37"/>
        <v>6.65</v>
      </c>
      <c r="CR32" s="2">
        <f>((((((ET32*1.25)*1.15))*BB32-(((EU32*1.25)*1.15))*BS32)+AE32*BS32)*AV32)</f>
        <v>0</v>
      </c>
      <c r="CS32" s="2">
        <f t="shared" si="38"/>
        <v>0</v>
      </c>
      <c r="CT32" s="2">
        <f t="shared" si="39"/>
        <v>68.756775000000005</v>
      </c>
      <c r="CU32" s="2">
        <f t="shared" si="40"/>
        <v>0</v>
      </c>
      <c r="CV32" s="2">
        <f t="shared" si="41"/>
        <v>5.4486999999999988</v>
      </c>
      <c r="CW32" s="2">
        <f t="shared" si="42"/>
        <v>0</v>
      </c>
      <c r="CX32" s="2">
        <f t="shared" si="43"/>
        <v>0</v>
      </c>
      <c r="CY32" s="2">
        <f>((S32*BZ32)/100)</f>
        <v>156.76139999999998</v>
      </c>
      <c r="CZ32" s="2">
        <f>((S32*CA32)/100)</f>
        <v>92.131699999999995</v>
      </c>
      <c r="DA32" s="2"/>
      <c r="DB32" s="2"/>
      <c r="DC32" s="2" t="s">
        <v>3</v>
      </c>
      <c r="DD32" s="2" t="s">
        <v>3</v>
      </c>
      <c r="DE32" s="2" t="s">
        <v>21</v>
      </c>
      <c r="DF32" s="2" t="s">
        <v>21</v>
      </c>
      <c r="DG32" s="2" t="s">
        <v>22</v>
      </c>
      <c r="DH32" s="2" t="s">
        <v>3</v>
      </c>
      <c r="DI32" s="2" t="s">
        <v>22</v>
      </c>
      <c r="DJ32" s="2" t="s">
        <v>21</v>
      </c>
      <c r="DK32" s="2" t="s">
        <v>3</v>
      </c>
      <c r="DL32" s="2" t="s">
        <v>3</v>
      </c>
      <c r="DM32" s="2" t="s">
        <v>3</v>
      </c>
      <c r="DN32" s="2">
        <v>0</v>
      </c>
      <c r="DO32" s="2">
        <v>0</v>
      </c>
      <c r="DP32" s="2">
        <v>1</v>
      </c>
      <c r="DQ32" s="2">
        <v>1</v>
      </c>
      <c r="DR32" s="2"/>
      <c r="DS32" s="2"/>
      <c r="DT32" s="2"/>
      <c r="DU32" s="2">
        <v>1013</v>
      </c>
      <c r="DV32" s="2" t="s">
        <v>19</v>
      </c>
      <c r="DW32" s="2" t="s">
        <v>19</v>
      </c>
      <c r="DX32" s="2">
        <v>1</v>
      </c>
      <c r="DY32" s="2"/>
      <c r="DZ32" s="2"/>
      <c r="EA32" s="2"/>
      <c r="EB32" s="2"/>
      <c r="EC32" s="2"/>
      <c r="ED32" s="2"/>
      <c r="EE32" s="2">
        <v>41393046</v>
      </c>
      <c r="EF32" s="2">
        <v>40</v>
      </c>
      <c r="EG32" s="2" t="s">
        <v>23</v>
      </c>
      <c r="EH32" s="2">
        <v>0</v>
      </c>
      <c r="EI32" s="2" t="s">
        <v>3</v>
      </c>
      <c r="EJ32" s="2">
        <v>2</v>
      </c>
      <c r="EK32" s="2">
        <v>317</v>
      </c>
      <c r="EL32" s="2" t="s">
        <v>39</v>
      </c>
      <c r="EM32" s="2" t="s">
        <v>40</v>
      </c>
      <c r="EN32" s="2"/>
      <c r="EO32" s="2" t="s">
        <v>26</v>
      </c>
      <c r="EP32" s="2"/>
      <c r="EQ32" s="2">
        <v>0</v>
      </c>
      <c r="ER32" s="2">
        <v>58.64</v>
      </c>
      <c r="ES32" s="2">
        <v>6.65</v>
      </c>
      <c r="ET32" s="2">
        <v>0</v>
      </c>
      <c r="EU32" s="2">
        <v>0</v>
      </c>
      <c r="EV32" s="2">
        <v>51.99</v>
      </c>
      <c r="EW32" s="2">
        <v>4.12</v>
      </c>
      <c r="EX32" s="2">
        <v>0</v>
      </c>
      <c r="EY32" s="2">
        <v>0</v>
      </c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>
        <v>0</v>
      </c>
      <c r="FR32" s="2">
        <f t="shared" si="44"/>
        <v>0</v>
      </c>
      <c r="FS32" s="2">
        <v>0</v>
      </c>
      <c r="FT32" s="2"/>
      <c r="FU32" s="2"/>
      <c r="FV32" s="2"/>
      <c r="FW32" s="2"/>
      <c r="FX32" s="2">
        <v>114</v>
      </c>
      <c r="FY32" s="2">
        <v>67</v>
      </c>
      <c r="FZ32" s="2"/>
      <c r="GA32" s="2" t="s">
        <v>3</v>
      </c>
      <c r="GB32" s="2"/>
      <c r="GC32" s="2"/>
      <c r="GD32" s="2">
        <v>1</v>
      </c>
      <c r="GE32" s="2"/>
      <c r="GF32" s="2">
        <v>2056297800</v>
      </c>
      <c r="GG32" s="2">
        <v>2</v>
      </c>
      <c r="GH32" s="2">
        <v>1</v>
      </c>
      <c r="GI32" s="2">
        <v>-2</v>
      </c>
      <c r="GJ32" s="2">
        <v>0</v>
      </c>
      <c r="GK32" s="2">
        <v>0</v>
      </c>
      <c r="GL32" s="2">
        <f t="shared" si="45"/>
        <v>0</v>
      </c>
      <c r="GM32" s="2">
        <f>ROUND(O32+X32+Y32,2)+GX32</f>
        <v>399.7</v>
      </c>
      <c r="GN32" s="2">
        <f>IF(OR(BI32=0,BI32=1),ROUND(O32+X32+Y32,2),0)</f>
        <v>0</v>
      </c>
      <c r="GO32" s="2">
        <f>IF(BI32=2,ROUND(O32+X32+Y32,2),0)</f>
        <v>399.7</v>
      </c>
      <c r="GP32" s="2">
        <f>IF(BI32=4,ROUND(O32+X32+Y32,2)+GX32,0)</f>
        <v>0</v>
      </c>
      <c r="GQ32" s="2"/>
      <c r="GR32" s="2">
        <v>0</v>
      </c>
      <c r="GS32" s="2">
        <v>3</v>
      </c>
      <c r="GT32" s="2">
        <v>0</v>
      </c>
      <c r="GU32" s="2" t="s">
        <v>3</v>
      </c>
      <c r="GV32" s="2">
        <f t="shared" si="46"/>
        <v>0</v>
      </c>
      <c r="GW32" s="2">
        <v>1</v>
      </c>
      <c r="GX32" s="2">
        <f t="shared" si="47"/>
        <v>0</v>
      </c>
      <c r="GY32" s="2"/>
      <c r="GZ32" s="2"/>
      <c r="HA32" s="2">
        <v>0</v>
      </c>
      <c r="HB32" s="2">
        <v>0</v>
      </c>
      <c r="HC32" s="2">
        <f t="shared" si="48"/>
        <v>0</v>
      </c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>
        <v>0</v>
      </c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x14ac:dyDescent="0.2">
      <c r="A33">
        <v>17</v>
      </c>
      <c r="B33">
        <v>1</v>
      </c>
      <c r="C33">
        <f>ROW(SmtRes!A8)</f>
        <v>8</v>
      </c>
      <c r="D33">
        <f>ROW(EtalonRes!A4)</f>
        <v>4</v>
      </c>
      <c r="E33" t="s">
        <v>35</v>
      </c>
      <c r="F33" t="s">
        <v>36</v>
      </c>
      <c r="G33" t="s">
        <v>37</v>
      </c>
      <c r="H33" t="s">
        <v>19</v>
      </c>
      <c r="I33">
        <v>2</v>
      </c>
      <c r="J33">
        <v>0</v>
      </c>
      <c r="O33">
        <f t="shared" si="21"/>
        <v>3054.62</v>
      </c>
      <c r="P33">
        <f t="shared" si="22"/>
        <v>71.95</v>
      </c>
      <c r="Q33">
        <f t="shared" si="23"/>
        <v>0</v>
      </c>
      <c r="R33">
        <f t="shared" si="24"/>
        <v>0</v>
      </c>
      <c r="S33">
        <f t="shared" si="25"/>
        <v>2982.67</v>
      </c>
      <c r="T33">
        <f t="shared" si="26"/>
        <v>0</v>
      </c>
      <c r="U33">
        <f t="shared" si="27"/>
        <v>10.897399999999998</v>
      </c>
      <c r="V33">
        <f t="shared" si="28"/>
        <v>0</v>
      </c>
      <c r="W33">
        <f t="shared" si="29"/>
        <v>0</v>
      </c>
      <c r="X33">
        <f t="shared" si="30"/>
        <v>2296.66</v>
      </c>
      <c r="Y33">
        <f t="shared" si="31"/>
        <v>1222.8900000000001</v>
      </c>
      <c r="AA33">
        <v>42119679</v>
      </c>
      <c r="AB33">
        <f t="shared" si="32"/>
        <v>75.406774999999996</v>
      </c>
      <c r="AC33">
        <f t="shared" si="33"/>
        <v>6.65</v>
      </c>
      <c r="AD33">
        <f>ROUND((((((ET33*1.25)*1.15))-(((EU33*1.25)*1.15)))+AE33),6)</f>
        <v>0</v>
      </c>
      <c r="AE33">
        <f>ROUND((((EU33*1.25)*1.15)),6)</f>
        <v>0</v>
      </c>
      <c r="AF33">
        <f>ROUND((((EV33*1.15)*1.15)),6)</f>
        <v>68.756775000000005</v>
      </c>
      <c r="AG33">
        <f t="shared" si="34"/>
        <v>0</v>
      </c>
      <c r="AH33">
        <f>(((EW33*1.15)*1.15))</f>
        <v>5.4486999999999988</v>
      </c>
      <c r="AI33">
        <f>(((EX33*1.25)*1.15))</f>
        <v>0</v>
      </c>
      <c r="AJ33">
        <f t="shared" si="35"/>
        <v>0</v>
      </c>
      <c r="AK33">
        <v>58.64</v>
      </c>
      <c r="AL33">
        <v>6.65</v>
      </c>
      <c r="AM33">
        <v>0</v>
      </c>
      <c r="AN33">
        <v>0</v>
      </c>
      <c r="AO33">
        <v>51.99</v>
      </c>
      <c r="AP33">
        <v>0</v>
      </c>
      <c r="AQ33">
        <v>4.12</v>
      </c>
      <c r="AR33">
        <v>0</v>
      </c>
      <c r="AS33">
        <v>0</v>
      </c>
      <c r="AT33">
        <v>77</v>
      </c>
      <c r="AU33">
        <v>41</v>
      </c>
      <c r="AV33">
        <v>1</v>
      </c>
      <c r="AW33">
        <v>1</v>
      </c>
      <c r="AZ33">
        <v>1</v>
      </c>
      <c r="BA33">
        <v>21.69</v>
      </c>
      <c r="BB33">
        <v>1</v>
      </c>
      <c r="BC33">
        <v>5.41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2</v>
      </c>
      <c r="BJ33" t="s">
        <v>38</v>
      </c>
      <c r="BM33">
        <v>317</v>
      </c>
      <c r="BN33">
        <v>0</v>
      </c>
      <c r="BO33" t="s">
        <v>36</v>
      </c>
      <c r="BP33">
        <v>1</v>
      </c>
      <c r="BQ33">
        <v>40</v>
      </c>
      <c r="BR33">
        <v>0</v>
      </c>
      <c r="BS33">
        <v>21.69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77</v>
      </c>
      <c r="CA33">
        <v>41</v>
      </c>
      <c r="CE33">
        <v>0</v>
      </c>
      <c r="CF33">
        <v>0</v>
      </c>
      <c r="CG33">
        <v>0</v>
      </c>
      <c r="CM33">
        <v>0</v>
      </c>
      <c r="CN33" t="s">
        <v>225</v>
      </c>
      <c r="CO33">
        <v>0</v>
      </c>
      <c r="CP33">
        <f t="shared" si="36"/>
        <v>3054.62</v>
      </c>
      <c r="CQ33">
        <f t="shared" si="37"/>
        <v>35.976500000000001</v>
      </c>
      <c r="CR33">
        <f>((((((ET33*1.25)*1.15))*BB33-(((EU33*1.25)*1.15))*BS33)+AE33*BS33)*AV33)</f>
        <v>0</v>
      </c>
      <c r="CS33">
        <f t="shared" si="38"/>
        <v>0</v>
      </c>
      <c r="CT33">
        <f t="shared" si="39"/>
        <v>1491.3344497500002</v>
      </c>
      <c r="CU33">
        <f t="shared" si="40"/>
        <v>0</v>
      </c>
      <c r="CV33">
        <f t="shared" si="41"/>
        <v>5.4486999999999988</v>
      </c>
      <c r="CW33">
        <f t="shared" si="42"/>
        <v>0</v>
      </c>
      <c r="CX33">
        <f t="shared" si="43"/>
        <v>0</v>
      </c>
      <c r="CY33">
        <f>S33*(BZ33/100)</f>
        <v>2296.6559000000002</v>
      </c>
      <c r="CZ33">
        <f>S33*(CA33/100)</f>
        <v>1222.8947000000001</v>
      </c>
      <c r="DC33" t="s">
        <v>3</v>
      </c>
      <c r="DD33" t="s">
        <v>3</v>
      </c>
      <c r="DE33" t="s">
        <v>21</v>
      </c>
      <c r="DF33" t="s">
        <v>21</v>
      </c>
      <c r="DG33" t="s">
        <v>22</v>
      </c>
      <c r="DH33" t="s">
        <v>3</v>
      </c>
      <c r="DI33" t="s">
        <v>22</v>
      </c>
      <c r="DJ33" t="s">
        <v>21</v>
      </c>
      <c r="DK33" t="s">
        <v>3</v>
      </c>
      <c r="DL33" t="s">
        <v>3</v>
      </c>
      <c r="DM33" t="s">
        <v>3</v>
      </c>
      <c r="DN33">
        <v>114</v>
      </c>
      <c r="DO33">
        <v>67</v>
      </c>
      <c r="DP33">
        <v>1</v>
      </c>
      <c r="DQ33">
        <v>1</v>
      </c>
      <c r="DU33">
        <v>1013</v>
      </c>
      <c r="DV33" t="s">
        <v>19</v>
      </c>
      <c r="DW33" t="s">
        <v>19</v>
      </c>
      <c r="DX33">
        <v>1</v>
      </c>
      <c r="EE33">
        <v>41393046</v>
      </c>
      <c r="EF33">
        <v>40</v>
      </c>
      <c r="EG33" t="s">
        <v>23</v>
      </c>
      <c r="EH33">
        <v>0</v>
      </c>
      <c r="EI33" t="s">
        <v>3</v>
      </c>
      <c r="EJ33">
        <v>2</v>
      </c>
      <c r="EK33">
        <v>317</v>
      </c>
      <c r="EL33" t="s">
        <v>39</v>
      </c>
      <c r="EM33" t="s">
        <v>40</v>
      </c>
      <c r="EO33" t="s">
        <v>26</v>
      </c>
      <c r="EQ33">
        <v>0</v>
      </c>
      <c r="ER33">
        <v>58.64</v>
      </c>
      <c r="ES33">
        <v>6.65</v>
      </c>
      <c r="ET33">
        <v>0</v>
      </c>
      <c r="EU33">
        <v>0</v>
      </c>
      <c r="EV33">
        <v>51.99</v>
      </c>
      <c r="EW33">
        <v>4.12</v>
      </c>
      <c r="EX33">
        <v>0</v>
      </c>
      <c r="EY33">
        <v>0</v>
      </c>
      <c r="FQ33">
        <v>0</v>
      </c>
      <c r="FR33">
        <f t="shared" si="44"/>
        <v>0</v>
      </c>
      <c r="FS33">
        <v>0</v>
      </c>
      <c r="FX33">
        <v>114</v>
      </c>
      <c r="FY33">
        <v>67</v>
      </c>
      <c r="GA33" t="s">
        <v>3</v>
      </c>
      <c r="GD33">
        <v>0</v>
      </c>
      <c r="GF33">
        <v>2056297800</v>
      </c>
      <c r="GG33">
        <v>2</v>
      </c>
      <c r="GH33">
        <v>1</v>
      </c>
      <c r="GI33">
        <v>2</v>
      </c>
      <c r="GJ33">
        <v>0</v>
      </c>
      <c r="GK33">
        <f>ROUND(R33*(S12)/100,2)</f>
        <v>0</v>
      </c>
      <c r="GL33">
        <f t="shared" si="45"/>
        <v>0</v>
      </c>
      <c r="GM33">
        <f>ROUND(O33+X33+Y33+GK33,2)+GX33</f>
        <v>6574.17</v>
      </c>
      <c r="GN33">
        <f>IF(OR(BI33=0,BI33=1),ROUND(O33+X33+Y33+GK33,2),0)</f>
        <v>0</v>
      </c>
      <c r="GO33">
        <f>IF(BI33=2,ROUND(O33+X33+Y33+GK33,2),0)</f>
        <v>6574.17</v>
      </c>
      <c r="GP33">
        <f>IF(BI33=4,ROUND(O33+X33+Y33+GK33,2)+GX33,0)</f>
        <v>0</v>
      </c>
      <c r="GR33">
        <v>0</v>
      </c>
      <c r="GS33">
        <v>3</v>
      </c>
      <c r="GT33">
        <v>0</v>
      </c>
      <c r="GU33" t="s">
        <v>3</v>
      </c>
      <c r="GV33">
        <f t="shared" si="46"/>
        <v>0</v>
      </c>
      <c r="GW33">
        <v>1</v>
      </c>
      <c r="GX33">
        <f t="shared" si="47"/>
        <v>0</v>
      </c>
      <c r="HA33">
        <v>0</v>
      </c>
      <c r="HB33">
        <v>0</v>
      </c>
      <c r="HC33">
        <f t="shared" si="48"/>
        <v>0</v>
      </c>
      <c r="IK33">
        <v>0</v>
      </c>
    </row>
    <row r="34" spans="1:255" x14ac:dyDescent="0.2">
      <c r="A34" s="2">
        <v>18</v>
      </c>
      <c r="B34" s="2">
        <v>1</v>
      </c>
      <c r="C34" s="2">
        <v>6</v>
      </c>
      <c r="D34" s="2"/>
      <c r="E34" s="2" t="s">
        <v>41</v>
      </c>
      <c r="F34" s="2" t="s">
        <v>42</v>
      </c>
      <c r="G34" s="2" t="s">
        <v>43</v>
      </c>
      <c r="H34" s="2" t="s">
        <v>30</v>
      </c>
      <c r="I34" s="2">
        <f>I32*J34</f>
        <v>2</v>
      </c>
      <c r="J34" s="2">
        <v>1</v>
      </c>
      <c r="K34" s="2"/>
      <c r="L34" s="2"/>
      <c r="M34" s="2"/>
      <c r="N34" s="2"/>
      <c r="O34" s="2">
        <f t="shared" si="21"/>
        <v>570.4</v>
      </c>
      <c r="P34" s="2">
        <f t="shared" si="22"/>
        <v>570.4</v>
      </c>
      <c r="Q34" s="2">
        <f t="shared" si="23"/>
        <v>0</v>
      </c>
      <c r="R34" s="2">
        <f t="shared" si="24"/>
        <v>0</v>
      </c>
      <c r="S34" s="2">
        <f t="shared" si="25"/>
        <v>0</v>
      </c>
      <c r="T34" s="2">
        <f t="shared" si="26"/>
        <v>0</v>
      </c>
      <c r="U34" s="2">
        <f t="shared" si="27"/>
        <v>0</v>
      </c>
      <c r="V34" s="2">
        <f t="shared" si="28"/>
        <v>0</v>
      </c>
      <c r="W34" s="2">
        <f t="shared" si="29"/>
        <v>0</v>
      </c>
      <c r="X34" s="2">
        <f t="shared" si="30"/>
        <v>0</v>
      </c>
      <c r="Y34" s="2">
        <f t="shared" si="31"/>
        <v>0</v>
      </c>
      <c r="Z34" s="2"/>
      <c r="AA34" s="2">
        <v>42119681</v>
      </c>
      <c r="AB34" s="2">
        <f t="shared" si="32"/>
        <v>285.2</v>
      </c>
      <c r="AC34" s="2">
        <f t="shared" si="33"/>
        <v>285.2</v>
      </c>
      <c r="AD34" s="2">
        <f>ROUND((((ET34)-(EU34))+AE34),6)</f>
        <v>0</v>
      </c>
      <c r="AE34" s="2">
        <f>ROUND((EU34),6)</f>
        <v>0</v>
      </c>
      <c r="AF34" s="2">
        <f>ROUND((EV34),6)</f>
        <v>0</v>
      </c>
      <c r="AG34" s="2">
        <f t="shared" si="34"/>
        <v>0</v>
      </c>
      <c r="AH34" s="2">
        <f>(EW34)</f>
        <v>0</v>
      </c>
      <c r="AI34" s="2">
        <f>(EX34)</f>
        <v>0</v>
      </c>
      <c r="AJ34" s="2">
        <f t="shared" si="35"/>
        <v>0</v>
      </c>
      <c r="AK34" s="2">
        <v>285.2</v>
      </c>
      <c r="AL34" s="2">
        <v>285.2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114</v>
      </c>
      <c r="AU34" s="2">
        <v>67</v>
      </c>
      <c r="AV34" s="2">
        <v>1</v>
      </c>
      <c r="AW34" s="2">
        <v>1</v>
      </c>
      <c r="AX34" s="2"/>
      <c r="AY34" s="2"/>
      <c r="AZ34" s="2">
        <v>1</v>
      </c>
      <c r="BA34" s="2">
        <v>1</v>
      </c>
      <c r="BB34" s="2">
        <v>1</v>
      </c>
      <c r="BC34" s="2">
        <v>1</v>
      </c>
      <c r="BD34" s="2" t="s">
        <v>3</v>
      </c>
      <c r="BE34" s="2" t="s">
        <v>3</v>
      </c>
      <c r="BF34" s="2" t="s">
        <v>3</v>
      </c>
      <c r="BG34" s="2" t="s">
        <v>3</v>
      </c>
      <c r="BH34" s="2">
        <v>3</v>
      </c>
      <c r="BI34" s="2">
        <v>2</v>
      </c>
      <c r="BJ34" s="2" t="s">
        <v>3</v>
      </c>
      <c r="BK34" s="2"/>
      <c r="BL34" s="2"/>
      <c r="BM34" s="2">
        <v>317</v>
      </c>
      <c r="BN34" s="2">
        <v>0</v>
      </c>
      <c r="BO34" s="2" t="s">
        <v>3</v>
      </c>
      <c r="BP34" s="2">
        <v>0</v>
      </c>
      <c r="BQ34" s="2">
        <v>40</v>
      </c>
      <c r="BR34" s="2">
        <v>0</v>
      </c>
      <c r="BS34" s="2">
        <v>1</v>
      </c>
      <c r="BT34" s="2">
        <v>1</v>
      </c>
      <c r="BU34" s="2">
        <v>1</v>
      </c>
      <c r="BV34" s="2">
        <v>1</v>
      </c>
      <c r="BW34" s="2">
        <v>1</v>
      </c>
      <c r="BX34" s="2">
        <v>1</v>
      </c>
      <c r="BY34" s="2" t="s">
        <v>3</v>
      </c>
      <c r="BZ34" s="2">
        <v>114</v>
      </c>
      <c r="CA34" s="2">
        <v>67</v>
      </c>
      <c r="CB34" s="2"/>
      <c r="CC34" s="2"/>
      <c r="CD34" s="2"/>
      <c r="CE34" s="2">
        <v>0</v>
      </c>
      <c r="CF34" s="2">
        <v>0</v>
      </c>
      <c r="CG34" s="2">
        <v>0</v>
      </c>
      <c r="CH34" s="2"/>
      <c r="CI34" s="2"/>
      <c r="CJ34" s="2"/>
      <c r="CK34" s="2"/>
      <c r="CL34" s="2"/>
      <c r="CM34" s="2">
        <v>0</v>
      </c>
      <c r="CN34" s="2" t="s">
        <v>3</v>
      </c>
      <c r="CO34" s="2">
        <v>0</v>
      </c>
      <c r="CP34" s="2">
        <f t="shared" si="36"/>
        <v>570.4</v>
      </c>
      <c r="CQ34" s="2">
        <f t="shared" si="37"/>
        <v>285.2</v>
      </c>
      <c r="CR34" s="2">
        <f>((((ET34)*BB34-(EU34)*BS34)+AE34*BS34)*AV34)</f>
        <v>0</v>
      </c>
      <c r="CS34" s="2">
        <f t="shared" si="38"/>
        <v>0</v>
      </c>
      <c r="CT34" s="2">
        <f t="shared" si="39"/>
        <v>0</v>
      </c>
      <c r="CU34" s="2">
        <f t="shared" si="40"/>
        <v>0</v>
      </c>
      <c r="CV34" s="2">
        <f t="shared" si="41"/>
        <v>0</v>
      </c>
      <c r="CW34" s="2">
        <f t="shared" si="42"/>
        <v>0</v>
      </c>
      <c r="CX34" s="2">
        <f t="shared" si="43"/>
        <v>0</v>
      </c>
      <c r="CY34" s="2">
        <f>((S34*BZ34)/100)</f>
        <v>0</v>
      </c>
      <c r="CZ34" s="2">
        <f>((S34*CA34)/100)</f>
        <v>0</v>
      </c>
      <c r="DA34" s="2"/>
      <c r="DB34" s="2"/>
      <c r="DC34" s="2" t="s">
        <v>3</v>
      </c>
      <c r="DD34" s="2" t="s">
        <v>3</v>
      </c>
      <c r="DE34" s="2" t="s">
        <v>3</v>
      </c>
      <c r="DF34" s="2" t="s">
        <v>3</v>
      </c>
      <c r="DG34" s="2" t="s">
        <v>3</v>
      </c>
      <c r="DH34" s="2" t="s">
        <v>3</v>
      </c>
      <c r="DI34" s="2" t="s">
        <v>3</v>
      </c>
      <c r="DJ34" s="2" t="s">
        <v>3</v>
      </c>
      <c r="DK34" s="2" t="s">
        <v>3</v>
      </c>
      <c r="DL34" s="2" t="s">
        <v>3</v>
      </c>
      <c r="DM34" s="2" t="s">
        <v>3</v>
      </c>
      <c r="DN34" s="2">
        <v>0</v>
      </c>
      <c r="DO34" s="2">
        <v>0</v>
      </c>
      <c r="DP34" s="2">
        <v>1</v>
      </c>
      <c r="DQ34" s="2">
        <v>1</v>
      </c>
      <c r="DR34" s="2"/>
      <c r="DS34" s="2"/>
      <c r="DT34" s="2"/>
      <c r="DU34" s="2">
        <v>1010</v>
      </c>
      <c r="DV34" s="2" t="s">
        <v>30</v>
      </c>
      <c r="DW34" s="2" t="s">
        <v>30</v>
      </c>
      <c r="DX34" s="2">
        <v>1</v>
      </c>
      <c r="DY34" s="2"/>
      <c r="DZ34" s="2"/>
      <c r="EA34" s="2"/>
      <c r="EB34" s="2"/>
      <c r="EC34" s="2"/>
      <c r="ED34" s="2"/>
      <c r="EE34" s="2">
        <v>41393046</v>
      </c>
      <c r="EF34" s="2">
        <v>40</v>
      </c>
      <c r="EG34" s="2" t="s">
        <v>23</v>
      </c>
      <c r="EH34" s="2">
        <v>0</v>
      </c>
      <c r="EI34" s="2" t="s">
        <v>3</v>
      </c>
      <c r="EJ34" s="2">
        <v>2</v>
      </c>
      <c r="EK34" s="2">
        <v>317</v>
      </c>
      <c r="EL34" s="2" t="s">
        <v>39</v>
      </c>
      <c r="EM34" s="2" t="s">
        <v>40</v>
      </c>
      <c r="EN34" s="2"/>
      <c r="EO34" s="2" t="s">
        <v>3</v>
      </c>
      <c r="EP34" s="2"/>
      <c r="EQ34" s="2">
        <v>0</v>
      </c>
      <c r="ER34" s="2">
        <v>0</v>
      </c>
      <c r="ES34" s="2">
        <v>285.2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>
        <v>0</v>
      </c>
      <c r="FR34" s="2">
        <f t="shared" si="44"/>
        <v>0</v>
      </c>
      <c r="FS34" s="2">
        <v>0</v>
      </c>
      <c r="FT34" s="2"/>
      <c r="FU34" s="2"/>
      <c r="FV34" s="2"/>
      <c r="FW34" s="2"/>
      <c r="FX34" s="2">
        <v>114</v>
      </c>
      <c r="FY34" s="2">
        <v>67</v>
      </c>
      <c r="FZ34" s="2"/>
      <c r="GA34" s="2" t="s">
        <v>44</v>
      </c>
      <c r="GB34" s="2"/>
      <c r="GC34" s="2"/>
      <c r="GD34" s="2">
        <v>1</v>
      </c>
      <c r="GE34" s="2"/>
      <c r="GF34" s="2">
        <v>-1402373455</v>
      </c>
      <c r="GG34" s="2">
        <v>2</v>
      </c>
      <c r="GH34" s="2">
        <v>4</v>
      </c>
      <c r="GI34" s="2">
        <v>-2</v>
      </c>
      <c r="GJ34" s="2">
        <v>0</v>
      </c>
      <c r="GK34" s="2">
        <v>0</v>
      </c>
      <c r="GL34" s="2">
        <f t="shared" si="45"/>
        <v>0</v>
      </c>
      <c r="GM34" s="2">
        <f>ROUND(O34+X34+Y34,2)+GX34</f>
        <v>570.4</v>
      </c>
      <c r="GN34" s="2">
        <f>IF(OR(BI34=0,BI34=1),ROUND(O34+X34+Y34,2),0)</f>
        <v>0</v>
      </c>
      <c r="GO34" s="2">
        <f>IF(BI34=2,ROUND(O34+X34+Y34,2),0)</f>
        <v>570.4</v>
      </c>
      <c r="GP34" s="2">
        <f>IF(BI34=4,ROUND(O34+X34+Y34,2)+GX34,0)</f>
        <v>0</v>
      </c>
      <c r="GQ34" s="2"/>
      <c r="GR34" s="2">
        <v>0</v>
      </c>
      <c r="GS34" s="2">
        <v>2</v>
      </c>
      <c r="GT34" s="2">
        <v>0</v>
      </c>
      <c r="GU34" s="2" t="s">
        <v>3</v>
      </c>
      <c r="GV34" s="2">
        <f t="shared" si="46"/>
        <v>0</v>
      </c>
      <c r="GW34" s="2">
        <v>1</v>
      </c>
      <c r="GX34" s="2">
        <f t="shared" si="47"/>
        <v>0</v>
      </c>
      <c r="GY34" s="2"/>
      <c r="GZ34" s="2"/>
      <c r="HA34" s="2">
        <v>0</v>
      </c>
      <c r="HB34" s="2">
        <v>0</v>
      </c>
      <c r="HC34" s="2">
        <f t="shared" si="48"/>
        <v>0</v>
      </c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>
        <v>0</v>
      </c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x14ac:dyDescent="0.2">
      <c r="A35">
        <v>18</v>
      </c>
      <c r="B35">
        <v>1</v>
      </c>
      <c r="C35">
        <v>8</v>
      </c>
      <c r="E35" t="s">
        <v>41</v>
      </c>
      <c r="F35" t="s">
        <v>42</v>
      </c>
      <c r="G35" t="s">
        <v>43</v>
      </c>
      <c r="H35" t="s">
        <v>30</v>
      </c>
      <c r="I35">
        <f>I33*J35</f>
        <v>2</v>
      </c>
      <c r="J35">
        <v>1</v>
      </c>
      <c r="O35">
        <f t="shared" si="21"/>
        <v>2891.93</v>
      </c>
      <c r="P35">
        <f t="shared" si="22"/>
        <v>2891.93</v>
      </c>
      <c r="Q35">
        <f t="shared" si="23"/>
        <v>0</v>
      </c>
      <c r="R35">
        <f t="shared" si="24"/>
        <v>0</v>
      </c>
      <c r="S35">
        <f t="shared" si="25"/>
        <v>0</v>
      </c>
      <c r="T35">
        <f t="shared" si="26"/>
        <v>0</v>
      </c>
      <c r="U35">
        <f t="shared" si="27"/>
        <v>0</v>
      </c>
      <c r="V35">
        <f t="shared" si="28"/>
        <v>0</v>
      </c>
      <c r="W35">
        <f t="shared" si="29"/>
        <v>0</v>
      </c>
      <c r="X35">
        <f t="shared" si="30"/>
        <v>0</v>
      </c>
      <c r="Y35">
        <f t="shared" si="31"/>
        <v>0</v>
      </c>
      <c r="AA35">
        <v>42119679</v>
      </c>
      <c r="AB35">
        <f t="shared" si="32"/>
        <v>285.2</v>
      </c>
      <c r="AC35">
        <f t="shared" si="33"/>
        <v>285.2</v>
      </c>
      <c r="AD35">
        <f>ROUND((((ET35)-(EU35))+AE35),6)</f>
        <v>0</v>
      </c>
      <c r="AE35">
        <f>ROUND((EU35),6)</f>
        <v>0</v>
      </c>
      <c r="AF35">
        <f>ROUND((EV35),6)</f>
        <v>0</v>
      </c>
      <c r="AG35">
        <f t="shared" si="34"/>
        <v>0</v>
      </c>
      <c r="AH35">
        <f>(EW35)</f>
        <v>0</v>
      </c>
      <c r="AI35">
        <f>(EX35)</f>
        <v>0</v>
      </c>
      <c r="AJ35">
        <f t="shared" si="35"/>
        <v>0</v>
      </c>
      <c r="AK35">
        <v>285.2</v>
      </c>
      <c r="AL35">
        <v>285.2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5.07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2</v>
      </c>
      <c r="BJ35" t="s">
        <v>3</v>
      </c>
      <c r="BM35">
        <v>317</v>
      </c>
      <c r="BN35">
        <v>0</v>
      </c>
      <c r="BO35" t="s">
        <v>3</v>
      </c>
      <c r="BP35">
        <v>0</v>
      </c>
      <c r="BQ35">
        <v>40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0</v>
      </c>
      <c r="CA35">
        <v>0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36"/>
        <v>2891.93</v>
      </c>
      <c r="CQ35">
        <f t="shared" si="37"/>
        <v>1445.9639999999999</v>
      </c>
      <c r="CR35">
        <f>((((ET35)*BB35-(EU35)*BS35)+AE35*BS35)*AV35)</f>
        <v>0</v>
      </c>
      <c r="CS35">
        <f t="shared" si="38"/>
        <v>0</v>
      </c>
      <c r="CT35">
        <f t="shared" si="39"/>
        <v>0</v>
      </c>
      <c r="CU35">
        <f t="shared" si="40"/>
        <v>0</v>
      </c>
      <c r="CV35">
        <f t="shared" si="41"/>
        <v>0</v>
      </c>
      <c r="CW35">
        <f t="shared" si="42"/>
        <v>0</v>
      </c>
      <c r="CX35">
        <f t="shared" si="43"/>
        <v>0</v>
      </c>
      <c r="CY35">
        <f>S35*(BZ35/100)</f>
        <v>0</v>
      </c>
      <c r="CZ35">
        <f>S35*(CA35/100)</f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114</v>
      </c>
      <c r="DO35">
        <v>67</v>
      </c>
      <c r="DP35">
        <v>1</v>
      </c>
      <c r="DQ35">
        <v>1</v>
      </c>
      <c r="DU35">
        <v>1010</v>
      </c>
      <c r="DV35" t="s">
        <v>30</v>
      </c>
      <c r="DW35" t="s">
        <v>30</v>
      </c>
      <c r="DX35">
        <v>1</v>
      </c>
      <c r="EE35">
        <v>41393046</v>
      </c>
      <c r="EF35">
        <v>40</v>
      </c>
      <c r="EG35" t="s">
        <v>23</v>
      </c>
      <c r="EH35">
        <v>0</v>
      </c>
      <c r="EI35" t="s">
        <v>3</v>
      </c>
      <c r="EJ35">
        <v>2</v>
      </c>
      <c r="EK35">
        <v>317</v>
      </c>
      <c r="EL35" t="s">
        <v>39</v>
      </c>
      <c r="EM35" t="s">
        <v>40</v>
      </c>
      <c r="EO35" t="s">
        <v>3</v>
      </c>
      <c r="EQ35">
        <v>0</v>
      </c>
      <c r="ER35">
        <v>285.2</v>
      </c>
      <c r="ES35">
        <v>285.2</v>
      </c>
      <c r="ET35">
        <v>0</v>
      </c>
      <c r="EU35">
        <v>0</v>
      </c>
      <c r="EV35">
        <v>0</v>
      </c>
      <c r="EW35">
        <v>0</v>
      </c>
      <c r="EX35">
        <v>0</v>
      </c>
      <c r="FQ35">
        <v>0</v>
      </c>
      <c r="FR35">
        <f t="shared" si="44"/>
        <v>0</v>
      </c>
      <c r="FS35">
        <v>0</v>
      </c>
      <c r="FX35">
        <v>114</v>
      </c>
      <c r="FY35">
        <v>67</v>
      </c>
      <c r="GA35" t="s">
        <v>44</v>
      </c>
      <c r="GD35">
        <v>0</v>
      </c>
      <c r="GF35">
        <v>-1402373455</v>
      </c>
      <c r="GG35">
        <v>2</v>
      </c>
      <c r="GH35">
        <v>0</v>
      </c>
      <c r="GI35">
        <v>3</v>
      </c>
      <c r="GJ35">
        <v>0</v>
      </c>
      <c r="GK35">
        <f>ROUND(R35*(S12)/100,2)</f>
        <v>0</v>
      </c>
      <c r="GL35">
        <f t="shared" si="45"/>
        <v>0</v>
      </c>
      <c r="GM35">
        <f>ROUND(O35+X35+Y35+GK35,2)+GX35</f>
        <v>2891.93</v>
      </c>
      <c r="GN35">
        <f>IF(OR(BI35=0,BI35=1),ROUND(O35+X35+Y35+GK35,2),0)</f>
        <v>0</v>
      </c>
      <c r="GO35">
        <f>IF(BI35=2,ROUND(O35+X35+Y35+GK35,2),0)</f>
        <v>2891.93</v>
      </c>
      <c r="GP35">
        <f>IF(BI35=4,ROUND(O35+X35+Y35+GK35,2)+GX35,0)</f>
        <v>0</v>
      </c>
      <c r="GR35">
        <v>0</v>
      </c>
      <c r="GS35">
        <v>4</v>
      </c>
      <c r="GT35">
        <v>0</v>
      </c>
      <c r="GU35" t="s">
        <v>3</v>
      </c>
      <c r="GV35">
        <f t="shared" si="46"/>
        <v>0</v>
      </c>
      <c r="GW35">
        <v>1</v>
      </c>
      <c r="GX35">
        <f t="shared" si="47"/>
        <v>0</v>
      </c>
      <c r="HA35">
        <v>0</v>
      </c>
      <c r="HB35">
        <v>0</v>
      </c>
      <c r="HC35">
        <f t="shared" si="48"/>
        <v>0</v>
      </c>
      <c r="IK35">
        <v>0</v>
      </c>
    </row>
    <row r="36" spans="1:255" x14ac:dyDescent="0.2">
      <c r="A36" s="2">
        <v>17</v>
      </c>
      <c r="B36" s="2">
        <v>1</v>
      </c>
      <c r="C36" s="2">
        <f>ROW(SmtRes!A10)</f>
        <v>10</v>
      </c>
      <c r="D36" s="2">
        <f>ROW(EtalonRes!A5)</f>
        <v>5</v>
      </c>
      <c r="E36" s="2" t="s">
        <v>45</v>
      </c>
      <c r="F36" s="2" t="s">
        <v>46</v>
      </c>
      <c r="G36" s="2" t="s">
        <v>47</v>
      </c>
      <c r="H36" s="2" t="s">
        <v>19</v>
      </c>
      <c r="I36" s="2">
        <v>12</v>
      </c>
      <c r="J36" s="2">
        <v>0</v>
      </c>
      <c r="K36" s="2"/>
      <c r="L36" s="2"/>
      <c r="M36" s="2"/>
      <c r="N36" s="2"/>
      <c r="O36" s="2">
        <f t="shared" si="21"/>
        <v>388.63</v>
      </c>
      <c r="P36" s="2">
        <f t="shared" si="22"/>
        <v>10.92</v>
      </c>
      <c r="Q36" s="2">
        <f t="shared" si="23"/>
        <v>0</v>
      </c>
      <c r="R36" s="2">
        <f t="shared" si="24"/>
        <v>0</v>
      </c>
      <c r="S36" s="2">
        <f t="shared" si="25"/>
        <v>377.71</v>
      </c>
      <c r="T36" s="2">
        <f t="shared" si="26"/>
        <v>0</v>
      </c>
      <c r="U36" s="2">
        <f t="shared" si="27"/>
        <v>31.739999999999995</v>
      </c>
      <c r="V36" s="2">
        <f t="shared" si="28"/>
        <v>0</v>
      </c>
      <c r="W36" s="2">
        <f t="shared" si="29"/>
        <v>0</v>
      </c>
      <c r="X36" s="2">
        <f t="shared" si="30"/>
        <v>430.59</v>
      </c>
      <c r="Y36" s="2">
        <f t="shared" si="31"/>
        <v>253.07</v>
      </c>
      <c r="Z36" s="2"/>
      <c r="AA36" s="2">
        <v>42119681</v>
      </c>
      <c r="AB36" s="2">
        <f t="shared" si="32"/>
        <v>32.3855</v>
      </c>
      <c r="AC36" s="2">
        <f t="shared" si="33"/>
        <v>0.91</v>
      </c>
      <c r="AD36" s="2">
        <f>ROUND((((((ET36*1.25)*1.15))-(((EU36*1.25)*1.15)))+AE36),6)</f>
        <v>0</v>
      </c>
      <c r="AE36" s="2">
        <f>ROUND((((EU36*1.25)*1.15)),6)</f>
        <v>0</v>
      </c>
      <c r="AF36" s="2">
        <f>ROUND((((EV36*1.15)*1.15)),6)</f>
        <v>31.4755</v>
      </c>
      <c r="AG36" s="2">
        <f t="shared" si="34"/>
        <v>0</v>
      </c>
      <c r="AH36" s="2">
        <f>(((EW36*1.15)*1.15))</f>
        <v>2.6449999999999996</v>
      </c>
      <c r="AI36" s="2">
        <f>(((EX36*1.25)*1.15))</f>
        <v>0</v>
      </c>
      <c r="AJ36" s="2">
        <f t="shared" si="35"/>
        <v>0</v>
      </c>
      <c r="AK36" s="2">
        <v>24.71</v>
      </c>
      <c r="AL36" s="2">
        <v>0.91</v>
      </c>
      <c r="AM36" s="2">
        <v>0</v>
      </c>
      <c r="AN36" s="2">
        <v>0</v>
      </c>
      <c r="AO36" s="2">
        <v>23.8</v>
      </c>
      <c r="AP36" s="2">
        <v>0</v>
      </c>
      <c r="AQ36" s="2">
        <v>2</v>
      </c>
      <c r="AR36" s="2">
        <v>0</v>
      </c>
      <c r="AS36" s="2">
        <v>0</v>
      </c>
      <c r="AT36" s="2">
        <v>114</v>
      </c>
      <c r="AU36" s="2">
        <v>67</v>
      </c>
      <c r="AV36" s="2">
        <v>1</v>
      </c>
      <c r="AW36" s="2">
        <v>1</v>
      </c>
      <c r="AX36" s="2"/>
      <c r="AY36" s="2"/>
      <c r="AZ36" s="2">
        <v>1</v>
      </c>
      <c r="BA36" s="2">
        <v>1</v>
      </c>
      <c r="BB36" s="2">
        <v>1</v>
      </c>
      <c r="BC36" s="2">
        <v>1</v>
      </c>
      <c r="BD36" s="2" t="s">
        <v>3</v>
      </c>
      <c r="BE36" s="2" t="s">
        <v>3</v>
      </c>
      <c r="BF36" s="2" t="s">
        <v>3</v>
      </c>
      <c r="BG36" s="2" t="s">
        <v>3</v>
      </c>
      <c r="BH36" s="2">
        <v>0</v>
      </c>
      <c r="BI36" s="2">
        <v>2</v>
      </c>
      <c r="BJ36" s="2" t="s">
        <v>48</v>
      </c>
      <c r="BK36" s="2"/>
      <c r="BL36" s="2"/>
      <c r="BM36" s="2">
        <v>336</v>
      </c>
      <c r="BN36" s="2">
        <v>0</v>
      </c>
      <c r="BO36" s="2" t="s">
        <v>3</v>
      </c>
      <c r="BP36" s="2">
        <v>0</v>
      </c>
      <c r="BQ36" s="2">
        <v>40</v>
      </c>
      <c r="BR36" s="2">
        <v>0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 t="s">
        <v>3</v>
      </c>
      <c r="BZ36" s="2">
        <v>114</v>
      </c>
      <c r="CA36" s="2">
        <v>67</v>
      </c>
      <c r="CB36" s="2"/>
      <c r="CC36" s="2"/>
      <c r="CD36" s="2"/>
      <c r="CE36" s="2">
        <v>0</v>
      </c>
      <c r="CF36" s="2">
        <v>0</v>
      </c>
      <c r="CG36" s="2">
        <v>0</v>
      </c>
      <c r="CH36" s="2"/>
      <c r="CI36" s="2"/>
      <c r="CJ36" s="2"/>
      <c r="CK36" s="2"/>
      <c r="CL36" s="2"/>
      <c r="CM36" s="2">
        <v>0</v>
      </c>
      <c r="CN36" s="2" t="s">
        <v>225</v>
      </c>
      <c r="CO36" s="2">
        <v>0</v>
      </c>
      <c r="CP36" s="2">
        <f t="shared" si="36"/>
        <v>388.63</v>
      </c>
      <c r="CQ36" s="2">
        <f t="shared" si="37"/>
        <v>0.91</v>
      </c>
      <c r="CR36" s="2">
        <f>((((((ET36*1.25)*1.15))*BB36-(((EU36*1.25)*1.15))*BS36)+AE36*BS36)*AV36)</f>
        <v>0</v>
      </c>
      <c r="CS36" s="2">
        <f t="shared" si="38"/>
        <v>0</v>
      </c>
      <c r="CT36" s="2">
        <f t="shared" si="39"/>
        <v>31.4755</v>
      </c>
      <c r="CU36" s="2">
        <f t="shared" si="40"/>
        <v>0</v>
      </c>
      <c r="CV36" s="2">
        <f t="shared" si="41"/>
        <v>2.6449999999999996</v>
      </c>
      <c r="CW36" s="2">
        <f t="shared" si="42"/>
        <v>0</v>
      </c>
      <c r="CX36" s="2">
        <f t="shared" si="43"/>
        <v>0</v>
      </c>
      <c r="CY36" s="2">
        <f>((S36*BZ36)/100)</f>
        <v>430.58939999999996</v>
      </c>
      <c r="CZ36" s="2">
        <f>((S36*CA36)/100)</f>
        <v>253.06569999999999</v>
      </c>
      <c r="DA36" s="2"/>
      <c r="DB36" s="2"/>
      <c r="DC36" s="2" t="s">
        <v>3</v>
      </c>
      <c r="DD36" s="2" t="s">
        <v>3</v>
      </c>
      <c r="DE36" s="2" t="s">
        <v>21</v>
      </c>
      <c r="DF36" s="2" t="s">
        <v>21</v>
      </c>
      <c r="DG36" s="2" t="s">
        <v>22</v>
      </c>
      <c r="DH36" s="2" t="s">
        <v>3</v>
      </c>
      <c r="DI36" s="2" t="s">
        <v>22</v>
      </c>
      <c r="DJ36" s="2" t="s">
        <v>21</v>
      </c>
      <c r="DK36" s="2" t="s">
        <v>3</v>
      </c>
      <c r="DL36" s="2" t="s">
        <v>3</v>
      </c>
      <c r="DM36" s="2" t="s">
        <v>3</v>
      </c>
      <c r="DN36" s="2">
        <v>0</v>
      </c>
      <c r="DO36" s="2">
        <v>0</v>
      </c>
      <c r="DP36" s="2">
        <v>1</v>
      </c>
      <c r="DQ36" s="2">
        <v>1</v>
      </c>
      <c r="DR36" s="2"/>
      <c r="DS36" s="2"/>
      <c r="DT36" s="2"/>
      <c r="DU36" s="2">
        <v>1013</v>
      </c>
      <c r="DV36" s="2" t="s">
        <v>19</v>
      </c>
      <c r="DW36" s="2" t="s">
        <v>19</v>
      </c>
      <c r="DX36" s="2">
        <v>1</v>
      </c>
      <c r="DY36" s="2"/>
      <c r="DZ36" s="2"/>
      <c r="EA36" s="2"/>
      <c r="EB36" s="2"/>
      <c r="EC36" s="2"/>
      <c r="ED36" s="2"/>
      <c r="EE36" s="2">
        <v>41393065</v>
      </c>
      <c r="EF36" s="2">
        <v>40</v>
      </c>
      <c r="EG36" s="2" t="s">
        <v>23</v>
      </c>
      <c r="EH36" s="2">
        <v>0</v>
      </c>
      <c r="EI36" s="2" t="s">
        <v>3</v>
      </c>
      <c r="EJ36" s="2">
        <v>2</v>
      </c>
      <c r="EK36" s="2">
        <v>336</v>
      </c>
      <c r="EL36" s="2" t="s">
        <v>24</v>
      </c>
      <c r="EM36" s="2" t="s">
        <v>25</v>
      </c>
      <c r="EN36" s="2"/>
      <c r="EO36" s="2" t="s">
        <v>26</v>
      </c>
      <c r="EP36" s="2"/>
      <c r="EQ36" s="2">
        <v>0</v>
      </c>
      <c r="ER36" s="2">
        <v>24.71</v>
      </c>
      <c r="ES36" s="2">
        <v>0.91</v>
      </c>
      <c r="ET36" s="2">
        <v>0</v>
      </c>
      <c r="EU36" s="2">
        <v>0</v>
      </c>
      <c r="EV36" s="2">
        <v>23.8</v>
      </c>
      <c r="EW36" s="2">
        <v>2</v>
      </c>
      <c r="EX36" s="2">
        <v>0</v>
      </c>
      <c r="EY36" s="2">
        <v>0</v>
      </c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>
        <v>0</v>
      </c>
      <c r="FR36" s="2">
        <f t="shared" si="44"/>
        <v>0</v>
      </c>
      <c r="FS36" s="2">
        <v>0</v>
      </c>
      <c r="FT36" s="2"/>
      <c r="FU36" s="2"/>
      <c r="FV36" s="2"/>
      <c r="FW36" s="2"/>
      <c r="FX36" s="2">
        <v>114</v>
      </c>
      <c r="FY36" s="2">
        <v>67</v>
      </c>
      <c r="FZ36" s="2"/>
      <c r="GA36" s="2" t="s">
        <v>3</v>
      </c>
      <c r="GB36" s="2"/>
      <c r="GC36" s="2"/>
      <c r="GD36" s="2">
        <v>1</v>
      </c>
      <c r="GE36" s="2"/>
      <c r="GF36" s="2">
        <v>-632217048</v>
      </c>
      <c r="GG36" s="2">
        <v>2</v>
      </c>
      <c r="GH36" s="2">
        <v>1</v>
      </c>
      <c r="GI36" s="2">
        <v>-2</v>
      </c>
      <c r="GJ36" s="2">
        <v>0</v>
      </c>
      <c r="GK36" s="2">
        <v>0</v>
      </c>
      <c r="GL36" s="2">
        <f t="shared" si="45"/>
        <v>0</v>
      </c>
      <c r="GM36" s="2">
        <f>ROUND(O36+X36+Y36,2)+GX36</f>
        <v>1072.29</v>
      </c>
      <c r="GN36" s="2">
        <f>IF(OR(BI36=0,BI36=1),ROUND(O36+X36+Y36,2),0)</f>
        <v>0</v>
      </c>
      <c r="GO36" s="2">
        <f>IF(BI36=2,ROUND(O36+X36+Y36,2),0)</f>
        <v>1072.29</v>
      </c>
      <c r="GP36" s="2">
        <f>IF(BI36=4,ROUND(O36+X36+Y36,2)+GX36,0)</f>
        <v>0</v>
      </c>
      <c r="GQ36" s="2"/>
      <c r="GR36" s="2">
        <v>0</v>
      </c>
      <c r="GS36" s="2">
        <v>3</v>
      </c>
      <c r="GT36" s="2">
        <v>0</v>
      </c>
      <c r="GU36" s="2" t="s">
        <v>3</v>
      </c>
      <c r="GV36" s="2">
        <f t="shared" si="46"/>
        <v>0</v>
      </c>
      <c r="GW36" s="2">
        <v>1</v>
      </c>
      <c r="GX36" s="2">
        <f t="shared" si="47"/>
        <v>0</v>
      </c>
      <c r="GY36" s="2"/>
      <c r="GZ36" s="2"/>
      <c r="HA36" s="2">
        <v>0</v>
      </c>
      <c r="HB36" s="2">
        <v>0</v>
      </c>
      <c r="HC36" s="2">
        <f t="shared" si="48"/>
        <v>0</v>
      </c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>
        <v>0</v>
      </c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x14ac:dyDescent="0.2">
      <c r="A37">
        <v>17</v>
      </c>
      <c r="B37">
        <v>1</v>
      </c>
      <c r="C37">
        <f>ROW(SmtRes!A12)</f>
        <v>12</v>
      </c>
      <c r="D37">
        <f>ROW(EtalonRes!A6)</f>
        <v>6</v>
      </c>
      <c r="E37" t="s">
        <v>45</v>
      </c>
      <c r="F37" t="s">
        <v>46</v>
      </c>
      <c r="G37" t="s">
        <v>47</v>
      </c>
      <c r="H37" t="s">
        <v>19</v>
      </c>
      <c r="I37">
        <v>12</v>
      </c>
      <c r="J37">
        <v>0</v>
      </c>
      <c r="O37">
        <f t="shared" si="21"/>
        <v>8251.52</v>
      </c>
      <c r="P37">
        <f t="shared" si="22"/>
        <v>59.08</v>
      </c>
      <c r="Q37">
        <f t="shared" si="23"/>
        <v>0</v>
      </c>
      <c r="R37">
        <f t="shared" si="24"/>
        <v>0</v>
      </c>
      <c r="S37">
        <f t="shared" si="25"/>
        <v>8192.44</v>
      </c>
      <c r="T37">
        <f t="shared" si="26"/>
        <v>0</v>
      </c>
      <c r="U37">
        <f t="shared" si="27"/>
        <v>31.739999999999995</v>
      </c>
      <c r="V37">
        <f t="shared" si="28"/>
        <v>0</v>
      </c>
      <c r="W37">
        <f t="shared" si="29"/>
        <v>0</v>
      </c>
      <c r="X37">
        <f t="shared" si="30"/>
        <v>6308.18</v>
      </c>
      <c r="Y37">
        <f t="shared" si="31"/>
        <v>3358.9</v>
      </c>
      <c r="AA37">
        <v>42119679</v>
      </c>
      <c r="AB37">
        <f t="shared" si="32"/>
        <v>32.3855</v>
      </c>
      <c r="AC37">
        <f t="shared" si="33"/>
        <v>0.91</v>
      </c>
      <c r="AD37">
        <f>ROUND((((((ET37*1.25)*1.15))-(((EU37*1.25)*1.15)))+AE37),6)</f>
        <v>0</v>
      </c>
      <c r="AE37">
        <f>ROUND((((EU37*1.25)*1.15)),6)</f>
        <v>0</v>
      </c>
      <c r="AF37">
        <f>ROUND((((EV37*1.15)*1.15)),6)</f>
        <v>31.4755</v>
      </c>
      <c r="AG37">
        <f t="shared" si="34"/>
        <v>0</v>
      </c>
      <c r="AH37">
        <f>(((EW37*1.15)*1.15))</f>
        <v>2.6449999999999996</v>
      </c>
      <c r="AI37">
        <f>(((EX37*1.25)*1.15))</f>
        <v>0</v>
      </c>
      <c r="AJ37">
        <f t="shared" si="35"/>
        <v>0</v>
      </c>
      <c r="AK37">
        <v>24.71</v>
      </c>
      <c r="AL37">
        <v>0.91</v>
      </c>
      <c r="AM37">
        <v>0</v>
      </c>
      <c r="AN37">
        <v>0</v>
      </c>
      <c r="AO37">
        <v>23.8</v>
      </c>
      <c r="AP37">
        <v>0</v>
      </c>
      <c r="AQ37">
        <v>2</v>
      </c>
      <c r="AR37">
        <v>0</v>
      </c>
      <c r="AS37">
        <v>0</v>
      </c>
      <c r="AT37">
        <v>77</v>
      </c>
      <c r="AU37">
        <v>41</v>
      </c>
      <c r="AV37">
        <v>1</v>
      </c>
      <c r="AW37">
        <v>1</v>
      </c>
      <c r="AZ37">
        <v>1</v>
      </c>
      <c r="BA37">
        <v>21.69</v>
      </c>
      <c r="BB37">
        <v>1</v>
      </c>
      <c r="BC37">
        <v>5.41</v>
      </c>
      <c r="BD37" t="s">
        <v>3</v>
      </c>
      <c r="BE37" t="s">
        <v>3</v>
      </c>
      <c r="BF37" t="s">
        <v>3</v>
      </c>
      <c r="BG37" t="s">
        <v>3</v>
      </c>
      <c r="BH37">
        <v>0</v>
      </c>
      <c r="BI37">
        <v>2</v>
      </c>
      <c r="BJ37" t="s">
        <v>48</v>
      </c>
      <c r="BM37">
        <v>336</v>
      </c>
      <c r="BN37">
        <v>0</v>
      </c>
      <c r="BO37" t="s">
        <v>46</v>
      </c>
      <c r="BP37">
        <v>1</v>
      </c>
      <c r="BQ37">
        <v>40</v>
      </c>
      <c r="BR37">
        <v>0</v>
      </c>
      <c r="BS37">
        <v>21.69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77</v>
      </c>
      <c r="CA37">
        <v>41</v>
      </c>
      <c r="CE37">
        <v>0</v>
      </c>
      <c r="CF37">
        <v>0</v>
      </c>
      <c r="CG37">
        <v>0</v>
      </c>
      <c r="CM37">
        <v>0</v>
      </c>
      <c r="CN37" t="s">
        <v>225</v>
      </c>
      <c r="CO37">
        <v>0</v>
      </c>
      <c r="CP37">
        <f t="shared" si="36"/>
        <v>8251.52</v>
      </c>
      <c r="CQ37">
        <f t="shared" si="37"/>
        <v>4.9231000000000007</v>
      </c>
      <c r="CR37">
        <f>((((((ET37*1.25)*1.15))*BB37-(((EU37*1.25)*1.15))*BS37)+AE37*BS37)*AV37)</f>
        <v>0</v>
      </c>
      <c r="CS37">
        <f t="shared" si="38"/>
        <v>0</v>
      </c>
      <c r="CT37">
        <f t="shared" si="39"/>
        <v>682.70359500000006</v>
      </c>
      <c r="CU37">
        <f t="shared" si="40"/>
        <v>0</v>
      </c>
      <c r="CV37">
        <f t="shared" si="41"/>
        <v>2.6449999999999996</v>
      </c>
      <c r="CW37">
        <f t="shared" si="42"/>
        <v>0</v>
      </c>
      <c r="CX37">
        <f t="shared" si="43"/>
        <v>0</v>
      </c>
      <c r="CY37">
        <f>S37*(BZ37/100)</f>
        <v>6308.1788000000006</v>
      </c>
      <c r="CZ37">
        <f>S37*(CA37/100)</f>
        <v>3358.9004</v>
      </c>
      <c r="DC37" t="s">
        <v>3</v>
      </c>
      <c r="DD37" t="s">
        <v>3</v>
      </c>
      <c r="DE37" t="s">
        <v>21</v>
      </c>
      <c r="DF37" t="s">
        <v>21</v>
      </c>
      <c r="DG37" t="s">
        <v>22</v>
      </c>
      <c r="DH37" t="s">
        <v>3</v>
      </c>
      <c r="DI37" t="s">
        <v>22</v>
      </c>
      <c r="DJ37" t="s">
        <v>21</v>
      </c>
      <c r="DK37" t="s">
        <v>3</v>
      </c>
      <c r="DL37" t="s">
        <v>3</v>
      </c>
      <c r="DM37" t="s">
        <v>3</v>
      </c>
      <c r="DN37">
        <v>114</v>
      </c>
      <c r="DO37">
        <v>67</v>
      </c>
      <c r="DP37">
        <v>1</v>
      </c>
      <c r="DQ37">
        <v>1</v>
      </c>
      <c r="DU37">
        <v>1013</v>
      </c>
      <c r="DV37" t="s">
        <v>19</v>
      </c>
      <c r="DW37" t="s">
        <v>19</v>
      </c>
      <c r="DX37">
        <v>1</v>
      </c>
      <c r="EE37">
        <v>41393065</v>
      </c>
      <c r="EF37">
        <v>40</v>
      </c>
      <c r="EG37" t="s">
        <v>23</v>
      </c>
      <c r="EH37">
        <v>0</v>
      </c>
      <c r="EI37" t="s">
        <v>3</v>
      </c>
      <c r="EJ37">
        <v>2</v>
      </c>
      <c r="EK37">
        <v>336</v>
      </c>
      <c r="EL37" t="s">
        <v>24</v>
      </c>
      <c r="EM37" t="s">
        <v>25</v>
      </c>
      <c r="EO37" t="s">
        <v>26</v>
      </c>
      <c r="EQ37">
        <v>0</v>
      </c>
      <c r="ER37">
        <v>24.71</v>
      </c>
      <c r="ES37">
        <v>0.91</v>
      </c>
      <c r="ET37">
        <v>0</v>
      </c>
      <c r="EU37">
        <v>0</v>
      </c>
      <c r="EV37">
        <v>23.8</v>
      </c>
      <c r="EW37">
        <v>2</v>
      </c>
      <c r="EX37">
        <v>0</v>
      </c>
      <c r="EY37">
        <v>0</v>
      </c>
      <c r="FQ37">
        <v>0</v>
      </c>
      <c r="FR37">
        <f t="shared" si="44"/>
        <v>0</v>
      </c>
      <c r="FS37">
        <v>0</v>
      </c>
      <c r="FX37">
        <v>114</v>
      </c>
      <c r="FY37">
        <v>67</v>
      </c>
      <c r="GA37" t="s">
        <v>3</v>
      </c>
      <c r="GD37">
        <v>0</v>
      </c>
      <c r="GF37">
        <v>-632217048</v>
      </c>
      <c r="GG37">
        <v>2</v>
      </c>
      <c r="GH37">
        <v>1</v>
      </c>
      <c r="GI37">
        <v>2</v>
      </c>
      <c r="GJ37">
        <v>0</v>
      </c>
      <c r="GK37">
        <f>ROUND(R37*(S12)/100,2)</f>
        <v>0</v>
      </c>
      <c r="GL37">
        <f t="shared" si="45"/>
        <v>0</v>
      </c>
      <c r="GM37">
        <f>ROUND(O37+X37+Y37+GK37,2)+GX37</f>
        <v>17918.599999999999</v>
      </c>
      <c r="GN37">
        <f>IF(OR(BI37=0,BI37=1),ROUND(O37+X37+Y37+GK37,2),0)</f>
        <v>0</v>
      </c>
      <c r="GO37">
        <f>IF(BI37=2,ROUND(O37+X37+Y37+GK37,2),0)</f>
        <v>17918.599999999999</v>
      </c>
      <c r="GP37">
        <f>IF(BI37=4,ROUND(O37+X37+Y37+GK37,2)+GX37,0)</f>
        <v>0</v>
      </c>
      <c r="GR37">
        <v>0</v>
      </c>
      <c r="GS37">
        <v>3</v>
      </c>
      <c r="GT37">
        <v>0</v>
      </c>
      <c r="GU37" t="s">
        <v>3</v>
      </c>
      <c r="GV37">
        <f t="shared" si="46"/>
        <v>0</v>
      </c>
      <c r="GW37">
        <v>1</v>
      </c>
      <c r="GX37">
        <f t="shared" si="47"/>
        <v>0</v>
      </c>
      <c r="HA37">
        <v>0</v>
      </c>
      <c r="HB37">
        <v>0</v>
      </c>
      <c r="HC37">
        <f t="shared" si="48"/>
        <v>0</v>
      </c>
      <c r="IK37">
        <v>0</v>
      </c>
    </row>
    <row r="38" spans="1:255" x14ac:dyDescent="0.2">
      <c r="A38" s="2">
        <v>18</v>
      </c>
      <c r="B38" s="2">
        <v>1</v>
      </c>
      <c r="C38" s="2">
        <v>10</v>
      </c>
      <c r="D38" s="2"/>
      <c r="E38" s="2" t="s">
        <v>49</v>
      </c>
      <c r="F38" s="2" t="s">
        <v>28</v>
      </c>
      <c r="G38" s="2" t="s">
        <v>50</v>
      </c>
      <c r="H38" s="2" t="s">
        <v>30</v>
      </c>
      <c r="I38" s="2">
        <f>I36*J38</f>
        <v>13</v>
      </c>
      <c r="J38" s="2">
        <v>1.0833333333333333</v>
      </c>
      <c r="K38" s="2"/>
      <c r="L38" s="2"/>
      <c r="M38" s="2"/>
      <c r="N38" s="2"/>
      <c r="O38" s="2">
        <f t="shared" si="21"/>
        <v>8131.5</v>
      </c>
      <c r="P38" s="2">
        <f t="shared" si="22"/>
        <v>8131.5</v>
      </c>
      <c r="Q38" s="2">
        <f t="shared" si="23"/>
        <v>0</v>
      </c>
      <c r="R38" s="2">
        <f t="shared" si="24"/>
        <v>0</v>
      </c>
      <c r="S38" s="2">
        <f t="shared" si="25"/>
        <v>0</v>
      </c>
      <c r="T38" s="2">
        <f t="shared" si="26"/>
        <v>0</v>
      </c>
      <c r="U38" s="2">
        <f t="shared" si="27"/>
        <v>0</v>
      </c>
      <c r="V38" s="2">
        <f t="shared" si="28"/>
        <v>0</v>
      </c>
      <c r="W38" s="2">
        <f t="shared" si="29"/>
        <v>0</v>
      </c>
      <c r="X38" s="2">
        <f t="shared" si="30"/>
        <v>0</v>
      </c>
      <c r="Y38" s="2">
        <f t="shared" si="31"/>
        <v>0</v>
      </c>
      <c r="Z38" s="2"/>
      <c r="AA38" s="2">
        <v>42119681</v>
      </c>
      <c r="AB38" s="2">
        <f t="shared" si="32"/>
        <v>625.5</v>
      </c>
      <c r="AC38" s="2">
        <f t="shared" si="33"/>
        <v>625.5</v>
      </c>
      <c r="AD38" s="2">
        <f>ROUND((((ET38)-(EU38))+AE38),6)</f>
        <v>0</v>
      </c>
      <c r="AE38" s="2">
        <f>ROUND((EU38),6)</f>
        <v>0</v>
      </c>
      <c r="AF38" s="2">
        <f>ROUND((EV38),6)</f>
        <v>0</v>
      </c>
      <c r="AG38" s="2">
        <f t="shared" si="34"/>
        <v>0</v>
      </c>
      <c r="AH38" s="2">
        <f>(EW38)</f>
        <v>0</v>
      </c>
      <c r="AI38" s="2">
        <f>(EX38)</f>
        <v>0</v>
      </c>
      <c r="AJ38" s="2">
        <f t="shared" si="35"/>
        <v>0</v>
      </c>
      <c r="AK38" s="2">
        <v>625.5</v>
      </c>
      <c r="AL38" s="2">
        <v>625.5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114</v>
      </c>
      <c r="AU38" s="2">
        <v>67</v>
      </c>
      <c r="AV38" s="2">
        <v>1</v>
      </c>
      <c r="AW38" s="2">
        <v>1</v>
      </c>
      <c r="AX38" s="2"/>
      <c r="AY38" s="2"/>
      <c r="AZ38" s="2">
        <v>1</v>
      </c>
      <c r="BA38" s="2">
        <v>1</v>
      </c>
      <c r="BB38" s="2">
        <v>1</v>
      </c>
      <c r="BC38" s="2">
        <v>1</v>
      </c>
      <c r="BD38" s="2" t="s">
        <v>3</v>
      </c>
      <c r="BE38" s="2" t="s">
        <v>3</v>
      </c>
      <c r="BF38" s="2" t="s">
        <v>3</v>
      </c>
      <c r="BG38" s="2" t="s">
        <v>3</v>
      </c>
      <c r="BH38" s="2">
        <v>3</v>
      </c>
      <c r="BI38" s="2">
        <v>3</v>
      </c>
      <c r="BJ38" s="2" t="s">
        <v>3</v>
      </c>
      <c r="BK38" s="2"/>
      <c r="BL38" s="2"/>
      <c r="BM38" s="2">
        <v>746</v>
      </c>
      <c r="BN38" s="2">
        <v>0</v>
      </c>
      <c r="BO38" s="2" t="s">
        <v>3</v>
      </c>
      <c r="BP38" s="2">
        <v>0</v>
      </c>
      <c r="BQ38" s="2">
        <v>130</v>
      </c>
      <c r="BR38" s="2">
        <v>0</v>
      </c>
      <c r="BS38" s="2">
        <v>1</v>
      </c>
      <c r="BT38" s="2">
        <v>1</v>
      </c>
      <c r="BU38" s="2">
        <v>1</v>
      </c>
      <c r="BV38" s="2">
        <v>1</v>
      </c>
      <c r="BW38" s="2">
        <v>1</v>
      </c>
      <c r="BX38" s="2">
        <v>1</v>
      </c>
      <c r="BY38" s="2" t="s">
        <v>3</v>
      </c>
      <c r="BZ38" s="2">
        <v>114</v>
      </c>
      <c r="CA38" s="2">
        <v>67</v>
      </c>
      <c r="CB38" s="2"/>
      <c r="CC38" s="2"/>
      <c r="CD38" s="2"/>
      <c r="CE38" s="2">
        <v>0</v>
      </c>
      <c r="CF38" s="2">
        <v>0</v>
      </c>
      <c r="CG38" s="2">
        <v>0</v>
      </c>
      <c r="CH38" s="2"/>
      <c r="CI38" s="2"/>
      <c r="CJ38" s="2"/>
      <c r="CK38" s="2"/>
      <c r="CL38" s="2"/>
      <c r="CM38" s="2">
        <v>0</v>
      </c>
      <c r="CN38" s="2" t="s">
        <v>3</v>
      </c>
      <c r="CO38" s="2">
        <v>0</v>
      </c>
      <c r="CP38" s="2">
        <f t="shared" si="36"/>
        <v>8131.5</v>
      </c>
      <c r="CQ38" s="2">
        <f t="shared" si="37"/>
        <v>625.5</v>
      </c>
      <c r="CR38" s="2">
        <f>((((ET38)*BB38-(EU38)*BS38)+AE38*BS38)*AV38)</f>
        <v>0</v>
      </c>
      <c r="CS38" s="2">
        <f t="shared" si="38"/>
        <v>0</v>
      </c>
      <c r="CT38" s="2">
        <f t="shared" si="39"/>
        <v>0</v>
      </c>
      <c r="CU38" s="2">
        <f t="shared" si="40"/>
        <v>0</v>
      </c>
      <c r="CV38" s="2">
        <f t="shared" si="41"/>
        <v>0</v>
      </c>
      <c r="CW38" s="2">
        <f t="shared" si="42"/>
        <v>0</v>
      </c>
      <c r="CX38" s="2">
        <f t="shared" si="43"/>
        <v>0</v>
      </c>
      <c r="CY38" s="2">
        <f>((S38*BZ38)/100)</f>
        <v>0</v>
      </c>
      <c r="CZ38" s="2">
        <f>((S38*CA38)/100)</f>
        <v>0</v>
      </c>
      <c r="DA38" s="2"/>
      <c r="DB38" s="2"/>
      <c r="DC38" s="2" t="s">
        <v>3</v>
      </c>
      <c r="DD38" s="2" t="s">
        <v>3</v>
      </c>
      <c r="DE38" s="2" t="s">
        <v>3</v>
      </c>
      <c r="DF38" s="2" t="s">
        <v>3</v>
      </c>
      <c r="DG38" s="2" t="s">
        <v>3</v>
      </c>
      <c r="DH38" s="2" t="s">
        <v>3</v>
      </c>
      <c r="DI38" s="2" t="s">
        <v>3</v>
      </c>
      <c r="DJ38" s="2" t="s">
        <v>3</v>
      </c>
      <c r="DK38" s="2" t="s">
        <v>3</v>
      </c>
      <c r="DL38" s="2" t="s">
        <v>3</v>
      </c>
      <c r="DM38" s="2" t="s">
        <v>3</v>
      </c>
      <c r="DN38" s="2">
        <v>0</v>
      </c>
      <c r="DO38" s="2">
        <v>0</v>
      </c>
      <c r="DP38" s="2">
        <v>1</v>
      </c>
      <c r="DQ38" s="2">
        <v>1</v>
      </c>
      <c r="DR38" s="2"/>
      <c r="DS38" s="2"/>
      <c r="DT38" s="2"/>
      <c r="DU38" s="2">
        <v>1010</v>
      </c>
      <c r="DV38" s="2" t="s">
        <v>30</v>
      </c>
      <c r="DW38" s="2" t="s">
        <v>30</v>
      </c>
      <c r="DX38" s="2">
        <v>1</v>
      </c>
      <c r="DY38" s="2"/>
      <c r="DZ38" s="2"/>
      <c r="EA38" s="2"/>
      <c r="EB38" s="2"/>
      <c r="EC38" s="2"/>
      <c r="ED38" s="2"/>
      <c r="EE38" s="2">
        <v>41393475</v>
      </c>
      <c r="EF38" s="2">
        <v>130</v>
      </c>
      <c r="EG38" s="2" t="s">
        <v>31</v>
      </c>
      <c r="EH38" s="2">
        <v>0</v>
      </c>
      <c r="EI38" s="2" t="s">
        <v>3</v>
      </c>
      <c r="EJ38" s="2">
        <v>3</v>
      </c>
      <c r="EK38" s="2">
        <v>746</v>
      </c>
      <c r="EL38" s="2" t="s">
        <v>32</v>
      </c>
      <c r="EM38" s="2" t="s">
        <v>33</v>
      </c>
      <c r="EN38" s="2"/>
      <c r="EO38" s="2" t="s">
        <v>3</v>
      </c>
      <c r="EP38" s="2"/>
      <c r="EQ38" s="2">
        <v>0</v>
      </c>
      <c r="ER38" s="2">
        <v>625.5</v>
      </c>
      <c r="ES38" s="2">
        <v>625.5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>
        <v>0</v>
      </c>
      <c r="FR38" s="2">
        <f t="shared" si="44"/>
        <v>8131.5</v>
      </c>
      <c r="FS38" s="2">
        <v>0</v>
      </c>
      <c r="FT38" s="2"/>
      <c r="FU38" s="2"/>
      <c r="FV38" s="2"/>
      <c r="FW38" s="2"/>
      <c r="FX38" s="2">
        <v>114</v>
      </c>
      <c r="FY38" s="2">
        <v>67</v>
      </c>
      <c r="FZ38" s="2"/>
      <c r="GA38" s="2" t="s">
        <v>3</v>
      </c>
      <c r="GB38" s="2"/>
      <c r="GC38" s="2"/>
      <c r="GD38" s="2">
        <v>1</v>
      </c>
      <c r="GE38" s="2"/>
      <c r="GF38" s="2">
        <v>1644072298</v>
      </c>
      <c r="GG38" s="2">
        <v>2</v>
      </c>
      <c r="GH38" s="2">
        <v>0</v>
      </c>
      <c r="GI38" s="2">
        <v>-2</v>
      </c>
      <c r="GJ38" s="2">
        <v>0</v>
      </c>
      <c r="GK38" s="2">
        <v>0</v>
      </c>
      <c r="GL38" s="2">
        <f t="shared" si="45"/>
        <v>0</v>
      </c>
      <c r="GM38" s="2">
        <f>ROUND(O38+X38+Y38,2)+GX38</f>
        <v>8131.5</v>
      </c>
      <c r="GN38" s="2">
        <f>IF(OR(BI38=0,BI38=1),ROUND(O38+X38+Y38,2),0)</f>
        <v>0</v>
      </c>
      <c r="GO38" s="2">
        <f>IF(BI38=2,ROUND(O38+X38+Y38,2),0)</f>
        <v>0</v>
      </c>
      <c r="GP38" s="2">
        <f>IF(BI38=4,ROUND(O38+X38+Y38,2)+GX38,0)</f>
        <v>0</v>
      </c>
      <c r="GQ38" s="2"/>
      <c r="GR38" s="2">
        <v>0</v>
      </c>
      <c r="GS38" s="2">
        <v>0</v>
      </c>
      <c r="GT38" s="2">
        <v>0</v>
      </c>
      <c r="GU38" s="2" t="s">
        <v>3</v>
      </c>
      <c r="GV38" s="2">
        <f t="shared" si="46"/>
        <v>0</v>
      </c>
      <c r="GW38" s="2">
        <v>1</v>
      </c>
      <c r="GX38" s="2">
        <f t="shared" si="47"/>
        <v>0</v>
      </c>
      <c r="GY38" s="2"/>
      <c r="GZ38" s="2"/>
      <c r="HA38" s="2">
        <v>0</v>
      </c>
      <c r="HB38" s="2">
        <v>0</v>
      </c>
      <c r="HC38" s="2">
        <f t="shared" si="48"/>
        <v>0</v>
      </c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>
        <v>0</v>
      </c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x14ac:dyDescent="0.2">
      <c r="A39">
        <v>18</v>
      </c>
      <c r="B39">
        <v>1</v>
      </c>
      <c r="C39">
        <v>12</v>
      </c>
      <c r="E39" t="s">
        <v>49</v>
      </c>
      <c r="F39" t="s">
        <v>28</v>
      </c>
      <c r="G39" t="s">
        <v>50</v>
      </c>
      <c r="H39" t="s">
        <v>30</v>
      </c>
      <c r="I39">
        <f>I37*J39</f>
        <v>13</v>
      </c>
      <c r="J39">
        <v>1.0833333333333333</v>
      </c>
      <c r="O39">
        <f t="shared" si="21"/>
        <v>10445.17</v>
      </c>
      <c r="P39">
        <f t="shared" si="22"/>
        <v>10445.17</v>
      </c>
      <c r="Q39">
        <f t="shared" si="23"/>
        <v>0</v>
      </c>
      <c r="R39">
        <f t="shared" si="24"/>
        <v>0</v>
      </c>
      <c r="S39">
        <f t="shared" si="25"/>
        <v>0</v>
      </c>
      <c r="T39">
        <f t="shared" si="26"/>
        <v>0</v>
      </c>
      <c r="U39">
        <f t="shared" si="27"/>
        <v>0</v>
      </c>
      <c r="V39">
        <f t="shared" si="28"/>
        <v>0</v>
      </c>
      <c r="W39">
        <f t="shared" si="29"/>
        <v>0</v>
      </c>
      <c r="X39">
        <f t="shared" si="30"/>
        <v>0</v>
      </c>
      <c r="Y39">
        <f t="shared" si="31"/>
        <v>0</v>
      </c>
      <c r="AA39">
        <v>42119679</v>
      </c>
      <c r="AB39">
        <f t="shared" si="32"/>
        <v>185.56</v>
      </c>
      <c r="AC39">
        <f t="shared" si="33"/>
        <v>185.56</v>
      </c>
      <c r="AD39">
        <f>ROUND((((ET39)-(EU39))+AE39),6)</f>
        <v>0</v>
      </c>
      <c r="AE39">
        <f>ROUND((EU39),6)</f>
        <v>0</v>
      </c>
      <c r="AF39">
        <f>ROUND((EV39),6)</f>
        <v>0</v>
      </c>
      <c r="AG39">
        <f t="shared" si="34"/>
        <v>0</v>
      </c>
      <c r="AH39">
        <f>(EW39)</f>
        <v>0</v>
      </c>
      <c r="AI39">
        <f>(EX39)</f>
        <v>0</v>
      </c>
      <c r="AJ39">
        <f t="shared" si="35"/>
        <v>0</v>
      </c>
      <c r="AK39">
        <v>185.56</v>
      </c>
      <c r="AL39">
        <v>185.56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4.33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3</v>
      </c>
      <c r="BJ39" t="s">
        <v>3</v>
      </c>
      <c r="BM39">
        <v>746</v>
      </c>
      <c r="BN39">
        <v>0</v>
      </c>
      <c r="BO39" t="s">
        <v>3</v>
      </c>
      <c r="BP39">
        <v>0</v>
      </c>
      <c r="BQ39">
        <v>130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0</v>
      </c>
      <c r="CA39">
        <v>0</v>
      </c>
      <c r="CE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36"/>
        <v>10445.17</v>
      </c>
      <c r="CQ39">
        <f t="shared" si="37"/>
        <v>803.47480000000007</v>
      </c>
      <c r="CR39">
        <f>((((ET39)*BB39-(EU39)*BS39)+AE39*BS39)*AV39)</f>
        <v>0</v>
      </c>
      <c r="CS39">
        <f t="shared" si="38"/>
        <v>0</v>
      </c>
      <c r="CT39">
        <f t="shared" si="39"/>
        <v>0</v>
      </c>
      <c r="CU39">
        <f t="shared" si="40"/>
        <v>0</v>
      </c>
      <c r="CV39">
        <f t="shared" si="41"/>
        <v>0</v>
      </c>
      <c r="CW39">
        <f t="shared" si="42"/>
        <v>0</v>
      </c>
      <c r="CX39">
        <f t="shared" si="43"/>
        <v>0</v>
      </c>
      <c r="CY39">
        <f>S39*(BZ39/100)</f>
        <v>0</v>
      </c>
      <c r="CZ39">
        <f>S39*(CA39/100)</f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114</v>
      </c>
      <c r="DO39">
        <v>67</v>
      </c>
      <c r="DP39">
        <v>1</v>
      </c>
      <c r="DQ39">
        <v>1</v>
      </c>
      <c r="DU39">
        <v>1010</v>
      </c>
      <c r="DV39" t="s">
        <v>30</v>
      </c>
      <c r="DW39" t="s">
        <v>30</v>
      </c>
      <c r="DX39">
        <v>1</v>
      </c>
      <c r="EE39">
        <v>41393475</v>
      </c>
      <c r="EF39">
        <v>130</v>
      </c>
      <c r="EG39" t="s">
        <v>31</v>
      </c>
      <c r="EH39">
        <v>0</v>
      </c>
      <c r="EI39" t="s">
        <v>3</v>
      </c>
      <c r="EJ39">
        <v>3</v>
      </c>
      <c r="EK39">
        <v>746</v>
      </c>
      <c r="EL39" t="s">
        <v>32</v>
      </c>
      <c r="EM39" t="s">
        <v>33</v>
      </c>
      <c r="EO39" t="s">
        <v>3</v>
      </c>
      <c r="EQ39">
        <v>0</v>
      </c>
      <c r="ER39">
        <v>185.56</v>
      </c>
      <c r="ES39">
        <v>185.56</v>
      </c>
      <c r="ET39">
        <v>0</v>
      </c>
      <c r="EU39">
        <v>0</v>
      </c>
      <c r="EV39">
        <v>0</v>
      </c>
      <c r="EW39">
        <v>0</v>
      </c>
      <c r="EX39">
        <v>0</v>
      </c>
      <c r="EZ39">
        <v>5</v>
      </c>
      <c r="FC39">
        <v>1</v>
      </c>
      <c r="FD39">
        <v>18</v>
      </c>
      <c r="FF39">
        <v>925</v>
      </c>
      <c r="FQ39">
        <v>0</v>
      </c>
      <c r="FR39">
        <f t="shared" si="44"/>
        <v>10445.17</v>
      </c>
      <c r="FS39">
        <v>0</v>
      </c>
      <c r="FX39">
        <v>114</v>
      </c>
      <c r="FY39">
        <v>67</v>
      </c>
      <c r="GA39" t="s">
        <v>51</v>
      </c>
      <c r="GD39">
        <v>0</v>
      </c>
      <c r="GF39">
        <v>1644072298</v>
      </c>
      <c r="GG39">
        <v>2</v>
      </c>
      <c r="GH39">
        <v>3</v>
      </c>
      <c r="GI39">
        <v>5</v>
      </c>
      <c r="GJ39">
        <v>0</v>
      </c>
      <c r="GK39">
        <f>ROUND(R39*(S12)/100,2)</f>
        <v>0</v>
      </c>
      <c r="GL39">
        <f t="shared" si="45"/>
        <v>0</v>
      </c>
      <c r="GM39">
        <f>ROUND(O39+X39+Y39+GK39,2)+GX39</f>
        <v>10445.17</v>
      </c>
      <c r="GN39">
        <f>IF(OR(BI39=0,BI39=1),ROUND(O39+X39+Y39+GK39,2),0)</f>
        <v>0</v>
      </c>
      <c r="GO39">
        <f>IF(BI39=2,ROUND(O39+X39+Y39+GK39,2),0)</f>
        <v>0</v>
      </c>
      <c r="GP39">
        <f>IF(BI39=4,ROUND(O39+X39+Y39+GK39,2)+GX39,0)</f>
        <v>0</v>
      </c>
      <c r="GR39">
        <v>1</v>
      </c>
      <c r="GS39">
        <v>1</v>
      </c>
      <c r="GT39">
        <v>0</v>
      </c>
      <c r="GU39" t="s">
        <v>3</v>
      </c>
      <c r="GV39">
        <f t="shared" si="46"/>
        <v>0</v>
      </c>
      <c r="GW39">
        <v>1</v>
      </c>
      <c r="GX39">
        <f t="shared" si="47"/>
        <v>0</v>
      </c>
      <c r="HA39">
        <v>0</v>
      </c>
      <c r="HB39">
        <v>0</v>
      </c>
      <c r="HC39">
        <f t="shared" si="48"/>
        <v>0</v>
      </c>
      <c r="IK39">
        <v>0</v>
      </c>
    </row>
    <row r="40" spans="1:255" x14ac:dyDescent="0.2">
      <c r="A40" s="2">
        <v>17</v>
      </c>
      <c r="B40" s="2">
        <v>1</v>
      </c>
      <c r="C40" s="2">
        <f>ROW(SmtRes!A14)</f>
        <v>14</v>
      </c>
      <c r="D40" s="2">
        <f>ROW(EtalonRes!A7)</f>
        <v>7</v>
      </c>
      <c r="E40" s="2" t="s">
        <v>52</v>
      </c>
      <c r="F40" s="2" t="s">
        <v>53</v>
      </c>
      <c r="G40" s="2" t="s">
        <v>54</v>
      </c>
      <c r="H40" s="2" t="s">
        <v>19</v>
      </c>
      <c r="I40" s="2">
        <v>8</v>
      </c>
      <c r="J40" s="2">
        <v>0</v>
      </c>
      <c r="K40" s="2"/>
      <c r="L40" s="2"/>
      <c r="M40" s="2"/>
      <c r="N40" s="2"/>
      <c r="O40" s="2">
        <f t="shared" si="21"/>
        <v>372.32</v>
      </c>
      <c r="P40" s="2">
        <f t="shared" si="22"/>
        <v>105.28</v>
      </c>
      <c r="Q40" s="2">
        <f t="shared" si="23"/>
        <v>0</v>
      </c>
      <c r="R40" s="2">
        <f t="shared" si="24"/>
        <v>0</v>
      </c>
      <c r="S40" s="2">
        <f t="shared" si="25"/>
        <v>267.04000000000002</v>
      </c>
      <c r="T40" s="2">
        <f t="shared" si="26"/>
        <v>0</v>
      </c>
      <c r="U40" s="2">
        <f t="shared" si="27"/>
        <v>21.159999999999997</v>
      </c>
      <c r="V40" s="2">
        <f t="shared" si="28"/>
        <v>0</v>
      </c>
      <c r="W40" s="2">
        <f t="shared" si="29"/>
        <v>0</v>
      </c>
      <c r="X40" s="2">
        <f t="shared" si="30"/>
        <v>304.43</v>
      </c>
      <c r="Y40" s="2">
        <f t="shared" si="31"/>
        <v>178.92</v>
      </c>
      <c r="Z40" s="2"/>
      <c r="AA40" s="2">
        <v>42119681</v>
      </c>
      <c r="AB40" s="2">
        <f t="shared" si="32"/>
        <v>46.539900000000003</v>
      </c>
      <c r="AC40" s="2">
        <f t="shared" si="33"/>
        <v>13.16</v>
      </c>
      <c r="AD40" s="2">
        <f>ROUND((((((ET40*1.25)*1.15))-(((EU40*1.25)*1.15)))+AE40),6)</f>
        <v>0</v>
      </c>
      <c r="AE40" s="2">
        <f>ROUND((((EU40*1.25)*1.15)),6)</f>
        <v>0</v>
      </c>
      <c r="AF40" s="2">
        <f>ROUND((((EV40*1.15)*1.15)),6)</f>
        <v>33.379899999999999</v>
      </c>
      <c r="AG40" s="2">
        <f t="shared" si="34"/>
        <v>0</v>
      </c>
      <c r="AH40" s="2">
        <f>(((EW40*1.15)*1.15))</f>
        <v>2.6449999999999996</v>
      </c>
      <c r="AI40" s="2">
        <f>(((EX40*1.25)*1.15))</f>
        <v>0</v>
      </c>
      <c r="AJ40" s="2">
        <f t="shared" si="35"/>
        <v>0</v>
      </c>
      <c r="AK40" s="2">
        <v>38.4</v>
      </c>
      <c r="AL40" s="2">
        <v>13.16</v>
      </c>
      <c r="AM40" s="2">
        <v>0</v>
      </c>
      <c r="AN40" s="2">
        <v>0</v>
      </c>
      <c r="AO40" s="2">
        <v>25.24</v>
      </c>
      <c r="AP40" s="2">
        <v>0</v>
      </c>
      <c r="AQ40" s="2">
        <v>2</v>
      </c>
      <c r="AR40" s="2">
        <v>0</v>
      </c>
      <c r="AS40" s="2">
        <v>0</v>
      </c>
      <c r="AT40" s="2">
        <v>114</v>
      </c>
      <c r="AU40" s="2">
        <v>67</v>
      </c>
      <c r="AV40" s="2">
        <v>1</v>
      </c>
      <c r="AW40" s="2">
        <v>1</v>
      </c>
      <c r="AX40" s="2"/>
      <c r="AY40" s="2"/>
      <c r="AZ40" s="2">
        <v>1</v>
      </c>
      <c r="BA40" s="2">
        <v>1</v>
      </c>
      <c r="BB40" s="2">
        <v>1</v>
      </c>
      <c r="BC40" s="2">
        <v>1</v>
      </c>
      <c r="BD40" s="2" t="s">
        <v>3</v>
      </c>
      <c r="BE40" s="2" t="s">
        <v>3</v>
      </c>
      <c r="BF40" s="2" t="s">
        <v>3</v>
      </c>
      <c r="BG40" s="2" t="s">
        <v>3</v>
      </c>
      <c r="BH40" s="2">
        <v>0</v>
      </c>
      <c r="BI40" s="2">
        <v>2</v>
      </c>
      <c r="BJ40" s="2" t="s">
        <v>55</v>
      </c>
      <c r="BK40" s="2"/>
      <c r="BL40" s="2"/>
      <c r="BM40" s="2">
        <v>336</v>
      </c>
      <c r="BN40" s="2">
        <v>0</v>
      </c>
      <c r="BO40" s="2" t="s">
        <v>3</v>
      </c>
      <c r="BP40" s="2">
        <v>0</v>
      </c>
      <c r="BQ40" s="2">
        <v>40</v>
      </c>
      <c r="BR40" s="2">
        <v>0</v>
      </c>
      <c r="BS40" s="2">
        <v>1</v>
      </c>
      <c r="BT40" s="2">
        <v>1</v>
      </c>
      <c r="BU40" s="2">
        <v>1</v>
      </c>
      <c r="BV40" s="2">
        <v>1</v>
      </c>
      <c r="BW40" s="2">
        <v>1</v>
      </c>
      <c r="BX40" s="2">
        <v>1</v>
      </c>
      <c r="BY40" s="2" t="s">
        <v>3</v>
      </c>
      <c r="BZ40" s="2">
        <v>114</v>
      </c>
      <c r="CA40" s="2">
        <v>67</v>
      </c>
      <c r="CB40" s="2"/>
      <c r="CC40" s="2"/>
      <c r="CD40" s="2"/>
      <c r="CE40" s="2">
        <v>0</v>
      </c>
      <c r="CF40" s="2">
        <v>0</v>
      </c>
      <c r="CG40" s="2">
        <v>0</v>
      </c>
      <c r="CH40" s="2"/>
      <c r="CI40" s="2"/>
      <c r="CJ40" s="2"/>
      <c r="CK40" s="2"/>
      <c r="CL40" s="2"/>
      <c r="CM40" s="2">
        <v>0</v>
      </c>
      <c r="CN40" s="2" t="s">
        <v>225</v>
      </c>
      <c r="CO40" s="2">
        <v>0</v>
      </c>
      <c r="CP40" s="2">
        <f t="shared" si="36"/>
        <v>372.32000000000005</v>
      </c>
      <c r="CQ40" s="2">
        <f t="shared" si="37"/>
        <v>13.16</v>
      </c>
      <c r="CR40" s="2">
        <f>((((((ET40*1.25)*1.15))*BB40-(((EU40*1.25)*1.15))*BS40)+AE40*BS40)*AV40)</f>
        <v>0</v>
      </c>
      <c r="CS40" s="2">
        <f t="shared" si="38"/>
        <v>0</v>
      </c>
      <c r="CT40" s="2">
        <f t="shared" si="39"/>
        <v>33.379899999999999</v>
      </c>
      <c r="CU40" s="2">
        <f t="shared" si="40"/>
        <v>0</v>
      </c>
      <c r="CV40" s="2">
        <f t="shared" si="41"/>
        <v>2.6449999999999996</v>
      </c>
      <c r="CW40" s="2">
        <f t="shared" si="42"/>
        <v>0</v>
      </c>
      <c r="CX40" s="2">
        <f t="shared" si="43"/>
        <v>0</v>
      </c>
      <c r="CY40" s="2">
        <f>((S40*BZ40)/100)</f>
        <v>304.42560000000003</v>
      </c>
      <c r="CZ40" s="2">
        <f>((S40*CA40)/100)</f>
        <v>178.91679999999999</v>
      </c>
      <c r="DA40" s="2"/>
      <c r="DB40" s="2"/>
      <c r="DC40" s="2" t="s">
        <v>3</v>
      </c>
      <c r="DD40" s="2" t="s">
        <v>3</v>
      </c>
      <c r="DE40" s="2" t="s">
        <v>21</v>
      </c>
      <c r="DF40" s="2" t="s">
        <v>21</v>
      </c>
      <c r="DG40" s="2" t="s">
        <v>22</v>
      </c>
      <c r="DH40" s="2" t="s">
        <v>3</v>
      </c>
      <c r="DI40" s="2" t="s">
        <v>22</v>
      </c>
      <c r="DJ40" s="2" t="s">
        <v>21</v>
      </c>
      <c r="DK40" s="2" t="s">
        <v>3</v>
      </c>
      <c r="DL40" s="2" t="s">
        <v>3</v>
      </c>
      <c r="DM40" s="2" t="s">
        <v>3</v>
      </c>
      <c r="DN40" s="2">
        <v>0</v>
      </c>
      <c r="DO40" s="2">
        <v>0</v>
      </c>
      <c r="DP40" s="2">
        <v>1</v>
      </c>
      <c r="DQ40" s="2">
        <v>1</v>
      </c>
      <c r="DR40" s="2"/>
      <c r="DS40" s="2"/>
      <c r="DT40" s="2"/>
      <c r="DU40" s="2">
        <v>1013</v>
      </c>
      <c r="DV40" s="2" t="s">
        <v>19</v>
      </c>
      <c r="DW40" s="2" t="s">
        <v>19</v>
      </c>
      <c r="DX40" s="2">
        <v>1</v>
      </c>
      <c r="DY40" s="2"/>
      <c r="DZ40" s="2"/>
      <c r="EA40" s="2"/>
      <c r="EB40" s="2"/>
      <c r="EC40" s="2"/>
      <c r="ED40" s="2"/>
      <c r="EE40" s="2">
        <v>41393065</v>
      </c>
      <c r="EF40" s="2">
        <v>40</v>
      </c>
      <c r="EG40" s="2" t="s">
        <v>23</v>
      </c>
      <c r="EH40" s="2">
        <v>0</v>
      </c>
      <c r="EI40" s="2" t="s">
        <v>3</v>
      </c>
      <c r="EJ40" s="2">
        <v>2</v>
      </c>
      <c r="EK40" s="2">
        <v>336</v>
      </c>
      <c r="EL40" s="2" t="s">
        <v>24</v>
      </c>
      <c r="EM40" s="2" t="s">
        <v>25</v>
      </c>
      <c r="EN40" s="2"/>
      <c r="EO40" s="2" t="s">
        <v>26</v>
      </c>
      <c r="EP40" s="2"/>
      <c r="EQ40" s="2">
        <v>0</v>
      </c>
      <c r="ER40" s="2">
        <v>38.4</v>
      </c>
      <c r="ES40" s="2">
        <v>13.16</v>
      </c>
      <c r="ET40" s="2">
        <v>0</v>
      </c>
      <c r="EU40" s="2">
        <v>0</v>
      </c>
      <c r="EV40" s="2">
        <v>25.24</v>
      </c>
      <c r="EW40" s="2">
        <v>2</v>
      </c>
      <c r="EX40" s="2">
        <v>0</v>
      </c>
      <c r="EY40" s="2">
        <v>0</v>
      </c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>
        <v>0</v>
      </c>
      <c r="FR40" s="2">
        <f t="shared" si="44"/>
        <v>0</v>
      </c>
      <c r="FS40" s="2">
        <v>0</v>
      </c>
      <c r="FT40" s="2"/>
      <c r="FU40" s="2"/>
      <c r="FV40" s="2"/>
      <c r="FW40" s="2"/>
      <c r="FX40" s="2">
        <v>114</v>
      </c>
      <c r="FY40" s="2">
        <v>67</v>
      </c>
      <c r="FZ40" s="2"/>
      <c r="GA40" s="2" t="s">
        <v>3</v>
      </c>
      <c r="GB40" s="2"/>
      <c r="GC40" s="2"/>
      <c r="GD40" s="2">
        <v>1</v>
      </c>
      <c r="GE40" s="2"/>
      <c r="GF40" s="2">
        <v>541402474</v>
      </c>
      <c r="GG40" s="2">
        <v>2</v>
      </c>
      <c r="GH40" s="2">
        <v>1</v>
      </c>
      <c r="GI40" s="2">
        <v>-2</v>
      </c>
      <c r="GJ40" s="2">
        <v>0</v>
      </c>
      <c r="GK40" s="2">
        <v>0</v>
      </c>
      <c r="GL40" s="2">
        <f t="shared" si="45"/>
        <v>0</v>
      </c>
      <c r="GM40" s="2">
        <f>ROUND(O40+X40+Y40,2)+GX40</f>
        <v>855.67</v>
      </c>
      <c r="GN40" s="2">
        <f>IF(OR(BI40=0,BI40=1),ROUND(O40+X40+Y40,2),0)</f>
        <v>0</v>
      </c>
      <c r="GO40" s="2">
        <f>IF(BI40=2,ROUND(O40+X40+Y40,2),0)</f>
        <v>855.67</v>
      </c>
      <c r="GP40" s="2">
        <f>IF(BI40=4,ROUND(O40+X40+Y40,2)+GX40,0)</f>
        <v>0</v>
      </c>
      <c r="GQ40" s="2"/>
      <c r="GR40" s="2">
        <v>0</v>
      </c>
      <c r="GS40" s="2">
        <v>3</v>
      </c>
      <c r="GT40" s="2">
        <v>0</v>
      </c>
      <c r="GU40" s="2" t="s">
        <v>3</v>
      </c>
      <c r="GV40" s="2">
        <f t="shared" si="46"/>
        <v>0</v>
      </c>
      <c r="GW40" s="2">
        <v>1</v>
      </c>
      <c r="GX40" s="2">
        <f t="shared" si="47"/>
        <v>0</v>
      </c>
      <c r="GY40" s="2"/>
      <c r="GZ40" s="2"/>
      <c r="HA40" s="2">
        <v>0</v>
      </c>
      <c r="HB40" s="2">
        <v>0</v>
      </c>
      <c r="HC40" s="2">
        <f t="shared" si="48"/>
        <v>0</v>
      </c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>
        <v>0</v>
      </c>
      <c r="IL40" s="2"/>
      <c r="IM40" s="2"/>
      <c r="IN40" s="2"/>
      <c r="IO40" s="2"/>
      <c r="IP40" s="2"/>
      <c r="IQ40" s="2"/>
      <c r="IR40" s="2"/>
      <c r="IS40" s="2"/>
      <c r="IT40" s="2"/>
      <c r="IU40" s="2"/>
    </row>
    <row r="41" spans="1:255" x14ac:dyDescent="0.2">
      <c r="A41">
        <v>17</v>
      </c>
      <c r="B41">
        <v>1</v>
      </c>
      <c r="C41">
        <f>ROW(SmtRes!A16)</f>
        <v>16</v>
      </c>
      <c r="D41">
        <f>ROW(EtalonRes!A8)</f>
        <v>8</v>
      </c>
      <c r="E41" t="s">
        <v>52</v>
      </c>
      <c r="F41" t="s">
        <v>53</v>
      </c>
      <c r="G41" t="s">
        <v>54</v>
      </c>
      <c r="H41" t="s">
        <v>19</v>
      </c>
      <c r="I41">
        <v>8</v>
      </c>
      <c r="J41">
        <v>0</v>
      </c>
      <c r="O41">
        <f t="shared" si="21"/>
        <v>6361.64</v>
      </c>
      <c r="P41">
        <f t="shared" si="22"/>
        <v>569.55999999999995</v>
      </c>
      <c r="Q41">
        <f t="shared" si="23"/>
        <v>0</v>
      </c>
      <c r="R41">
        <f t="shared" si="24"/>
        <v>0</v>
      </c>
      <c r="S41">
        <f t="shared" si="25"/>
        <v>5792.08</v>
      </c>
      <c r="T41">
        <f t="shared" si="26"/>
        <v>0</v>
      </c>
      <c r="U41">
        <f t="shared" si="27"/>
        <v>21.159999999999997</v>
      </c>
      <c r="V41">
        <f t="shared" si="28"/>
        <v>0</v>
      </c>
      <c r="W41">
        <f t="shared" si="29"/>
        <v>0</v>
      </c>
      <c r="X41">
        <f t="shared" si="30"/>
        <v>4459.8999999999996</v>
      </c>
      <c r="Y41">
        <f t="shared" si="31"/>
        <v>2374.75</v>
      </c>
      <c r="AA41">
        <v>42119679</v>
      </c>
      <c r="AB41">
        <f t="shared" si="32"/>
        <v>46.539900000000003</v>
      </c>
      <c r="AC41">
        <f t="shared" si="33"/>
        <v>13.16</v>
      </c>
      <c r="AD41">
        <f>ROUND((((((ET41*1.25)*1.15))-(((EU41*1.25)*1.15)))+AE41),6)</f>
        <v>0</v>
      </c>
      <c r="AE41">
        <f>ROUND((((EU41*1.25)*1.15)),6)</f>
        <v>0</v>
      </c>
      <c r="AF41">
        <f>ROUND((((EV41*1.15)*1.15)),6)</f>
        <v>33.379899999999999</v>
      </c>
      <c r="AG41">
        <f t="shared" si="34"/>
        <v>0</v>
      </c>
      <c r="AH41">
        <f>(((EW41*1.15)*1.15))</f>
        <v>2.6449999999999996</v>
      </c>
      <c r="AI41">
        <f>(((EX41*1.25)*1.15))</f>
        <v>0</v>
      </c>
      <c r="AJ41">
        <f t="shared" si="35"/>
        <v>0</v>
      </c>
      <c r="AK41">
        <v>38.4</v>
      </c>
      <c r="AL41">
        <v>13.16</v>
      </c>
      <c r="AM41">
        <v>0</v>
      </c>
      <c r="AN41">
        <v>0</v>
      </c>
      <c r="AO41">
        <v>25.24</v>
      </c>
      <c r="AP41">
        <v>0</v>
      </c>
      <c r="AQ41">
        <v>2</v>
      </c>
      <c r="AR41">
        <v>0</v>
      </c>
      <c r="AS41">
        <v>0</v>
      </c>
      <c r="AT41">
        <v>77</v>
      </c>
      <c r="AU41">
        <v>41</v>
      </c>
      <c r="AV41">
        <v>1</v>
      </c>
      <c r="AW41">
        <v>1</v>
      </c>
      <c r="AZ41">
        <v>1</v>
      </c>
      <c r="BA41">
        <v>21.69</v>
      </c>
      <c r="BB41">
        <v>1</v>
      </c>
      <c r="BC41">
        <v>5.41</v>
      </c>
      <c r="BD41" t="s">
        <v>3</v>
      </c>
      <c r="BE41" t="s">
        <v>3</v>
      </c>
      <c r="BF41" t="s">
        <v>3</v>
      </c>
      <c r="BG41" t="s">
        <v>3</v>
      </c>
      <c r="BH41">
        <v>0</v>
      </c>
      <c r="BI41">
        <v>2</v>
      </c>
      <c r="BJ41" t="s">
        <v>55</v>
      </c>
      <c r="BM41">
        <v>336</v>
      </c>
      <c r="BN41">
        <v>0</v>
      </c>
      <c r="BO41" t="s">
        <v>53</v>
      </c>
      <c r="BP41">
        <v>1</v>
      </c>
      <c r="BQ41">
        <v>40</v>
      </c>
      <c r="BR41">
        <v>0</v>
      </c>
      <c r="BS41">
        <v>21.69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77</v>
      </c>
      <c r="CA41">
        <v>41</v>
      </c>
      <c r="CE41">
        <v>0</v>
      </c>
      <c r="CF41">
        <v>0</v>
      </c>
      <c r="CG41">
        <v>0</v>
      </c>
      <c r="CM41">
        <v>0</v>
      </c>
      <c r="CN41" t="s">
        <v>225</v>
      </c>
      <c r="CO41">
        <v>0</v>
      </c>
      <c r="CP41">
        <f t="shared" si="36"/>
        <v>6361.6399999999994</v>
      </c>
      <c r="CQ41">
        <f t="shared" si="37"/>
        <v>71.195599999999999</v>
      </c>
      <c r="CR41">
        <f>((((((ET41*1.25)*1.15))*BB41-(((EU41*1.25)*1.15))*BS41)+AE41*BS41)*AV41)</f>
        <v>0</v>
      </c>
      <c r="CS41">
        <f t="shared" si="38"/>
        <v>0</v>
      </c>
      <c r="CT41">
        <f t="shared" si="39"/>
        <v>724.01003100000003</v>
      </c>
      <c r="CU41">
        <f t="shared" si="40"/>
        <v>0</v>
      </c>
      <c r="CV41">
        <f t="shared" si="41"/>
        <v>2.6449999999999996</v>
      </c>
      <c r="CW41">
        <f t="shared" si="42"/>
        <v>0</v>
      </c>
      <c r="CX41">
        <f t="shared" si="43"/>
        <v>0</v>
      </c>
      <c r="CY41">
        <f>S41*(BZ41/100)</f>
        <v>4459.9016000000001</v>
      </c>
      <c r="CZ41">
        <f>S41*(CA41/100)</f>
        <v>2374.7527999999998</v>
      </c>
      <c r="DC41" t="s">
        <v>3</v>
      </c>
      <c r="DD41" t="s">
        <v>3</v>
      </c>
      <c r="DE41" t="s">
        <v>21</v>
      </c>
      <c r="DF41" t="s">
        <v>21</v>
      </c>
      <c r="DG41" t="s">
        <v>22</v>
      </c>
      <c r="DH41" t="s">
        <v>3</v>
      </c>
      <c r="DI41" t="s">
        <v>22</v>
      </c>
      <c r="DJ41" t="s">
        <v>21</v>
      </c>
      <c r="DK41" t="s">
        <v>3</v>
      </c>
      <c r="DL41" t="s">
        <v>3</v>
      </c>
      <c r="DM41" t="s">
        <v>3</v>
      </c>
      <c r="DN41">
        <v>114</v>
      </c>
      <c r="DO41">
        <v>67</v>
      </c>
      <c r="DP41">
        <v>1</v>
      </c>
      <c r="DQ41">
        <v>1</v>
      </c>
      <c r="DU41">
        <v>1013</v>
      </c>
      <c r="DV41" t="s">
        <v>19</v>
      </c>
      <c r="DW41" t="s">
        <v>19</v>
      </c>
      <c r="DX41">
        <v>1</v>
      </c>
      <c r="EE41">
        <v>41393065</v>
      </c>
      <c r="EF41">
        <v>40</v>
      </c>
      <c r="EG41" t="s">
        <v>23</v>
      </c>
      <c r="EH41">
        <v>0</v>
      </c>
      <c r="EI41" t="s">
        <v>3</v>
      </c>
      <c r="EJ41">
        <v>2</v>
      </c>
      <c r="EK41">
        <v>336</v>
      </c>
      <c r="EL41" t="s">
        <v>24</v>
      </c>
      <c r="EM41" t="s">
        <v>25</v>
      </c>
      <c r="EO41" t="s">
        <v>26</v>
      </c>
      <c r="EQ41">
        <v>0</v>
      </c>
      <c r="ER41">
        <v>38.4</v>
      </c>
      <c r="ES41">
        <v>13.16</v>
      </c>
      <c r="ET41">
        <v>0</v>
      </c>
      <c r="EU41">
        <v>0</v>
      </c>
      <c r="EV41">
        <v>25.24</v>
      </c>
      <c r="EW41">
        <v>2</v>
      </c>
      <c r="EX41">
        <v>0</v>
      </c>
      <c r="EY41">
        <v>0</v>
      </c>
      <c r="FQ41">
        <v>0</v>
      </c>
      <c r="FR41">
        <f t="shared" si="44"/>
        <v>0</v>
      </c>
      <c r="FS41">
        <v>0</v>
      </c>
      <c r="FX41">
        <v>114</v>
      </c>
      <c r="FY41">
        <v>67</v>
      </c>
      <c r="GA41" t="s">
        <v>3</v>
      </c>
      <c r="GD41">
        <v>0</v>
      </c>
      <c r="GF41">
        <v>541402474</v>
      </c>
      <c r="GG41">
        <v>2</v>
      </c>
      <c r="GH41">
        <v>1</v>
      </c>
      <c r="GI41">
        <v>2</v>
      </c>
      <c r="GJ41">
        <v>0</v>
      </c>
      <c r="GK41">
        <f>ROUND(R41*(S12)/100,2)</f>
        <v>0</v>
      </c>
      <c r="GL41">
        <f t="shared" si="45"/>
        <v>0</v>
      </c>
      <c r="GM41">
        <f>ROUND(O41+X41+Y41+GK41,2)+GX41</f>
        <v>13196.29</v>
      </c>
      <c r="GN41">
        <f>IF(OR(BI41=0,BI41=1),ROUND(O41+X41+Y41+GK41,2),0)</f>
        <v>0</v>
      </c>
      <c r="GO41">
        <f>IF(BI41=2,ROUND(O41+X41+Y41+GK41,2),0)</f>
        <v>13196.29</v>
      </c>
      <c r="GP41">
        <f>IF(BI41=4,ROUND(O41+X41+Y41+GK41,2)+GX41,0)</f>
        <v>0</v>
      </c>
      <c r="GR41">
        <v>0</v>
      </c>
      <c r="GS41">
        <v>3</v>
      </c>
      <c r="GT41">
        <v>0</v>
      </c>
      <c r="GU41" t="s">
        <v>3</v>
      </c>
      <c r="GV41">
        <f t="shared" si="46"/>
        <v>0</v>
      </c>
      <c r="GW41">
        <v>1</v>
      </c>
      <c r="GX41">
        <f t="shared" si="47"/>
        <v>0</v>
      </c>
      <c r="HA41">
        <v>0</v>
      </c>
      <c r="HB41">
        <v>0</v>
      </c>
      <c r="HC41">
        <f t="shared" si="48"/>
        <v>0</v>
      </c>
      <c r="IK41">
        <v>0</v>
      </c>
    </row>
    <row r="42" spans="1:255" x14ac:dyDescent="0.2">
      <c r="A42" s="2">
        <v>18</v>
      </c>
      <c r="B42" s="2">
        <v>1</v>
      </c>
      <c r="C42" s="2">
        <v>14</v>
      </c>
      <c r="D42" s="2"/>
      <c r="E42" s="2" t="s">
        <v>56</v>
      </c>
      <c r="F42" s="2" t="s">
        <v>28</v>
      </c>
      <c r="G42" s="2" t="s">
        <v>57</v>
      </c>
      <c r="H42" s="2" t="s">
        <v>30</v>
      </c>
      <c r="I42" s="2">
        <f>I40*J42</f>
        <v>9</v>
      </c>
      <c r="J42" s="2">
        <v>1.125</v>
      </c>
      <c r="K42" s="2"/>
      <c r="L42" s="2"/>
      <c r="M42" s="2"/>
      <c r="N42" s="2"/>
      <c r="O42" s="2">
        <f t="shared" si="21"/>
        <v>5629.5</v>
      </c>
      <c r="P42" s="2">
        <f t="shared" si="22"/>
        <v>5629.5</v>
      </c>
      <c r="Q42" s="2">
        <f t="shared" si="23"/>
        <v>0</v>
      </c>
      <c r="R42" s="2">
        <f t="shared" si="24"/>
        <v>0</v>
      </c>
      <c r="S42" s="2">
        <f t="shared" si="25"/>
        <v>0</v>
      </c>
      <c r="T42" s="2">
        <f t="shared" si="26"/>
        <v>0</v>
      </c>
      <c r="U42" s="2">
        <f t="shared" si="27"/>
        <v>0</v>
      </c>
      <c r="V42" s="2">
        <f t="shared" si="28"/>
        <v>0</v>
      </c>
      <c r="W42" s="2">
        <f t="shared" si="29"/>
        <v>0</v>
      </c>
      <c r="X42" s="2">
        <f t="shared" si="30"/>
        <v>0</v>
      </c>
      <c r="Y42" s="2">
        <f t="shared" si="31"/>
        <v>0</v>
      </c>
      <c r="Z42" s="2"/>
      <c r="AA42" s="2">
        <v>42119681</v>
      </c>
      <c r="AB42" s="2">
        <f t="shared" si="32"/>
        <v>625.5</v>
      </c>
      <c r="AC42" s="2">
        <f t="shared" si="33"/>
        <v>625.5</v>
      </c>
      <c r="AD42" s="2">
        <f>ROUND((((ET42)-(EU42))+AE42),6)</f>
        <v>0</v>
      </c>
      <c r="AE42" s="2">
        <f>ROUND((EU42),6)</f>
        <v>0</v>
      </c>
      <c r="AF42" s="2">
        <f>ROUND((EV42),6)</f>
        <v>0</v>
      </c>
      <c r="AG42" s="2">
        <f t="shared" si="34"/>
        <v>0</v>
      </c>
      <c r="AH42" s="2">
        <f>(EW42)</f>
        <v>0</v>
      </c>
      <c r="AI42" s="2">
        <f>(EX42)</f>
        <v>0</v>
      </c>
      <c r="AJ42" s="2">
        <f t="shared" si="35"/>
        <v>0</v>
      </c>
      <c r="AK42" s="2">
        <v>625.5</v>
      </c>
      <c r="AL42" s="2">
        <v>625.5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114</v>
      </c>
      <c r="AU42" s="2">
        <v>67</v>
      </c>
      <c r="AV42" s="2">
        <v>1</v>
      </c>
      <c r="AW42" s="2">
        <v>1</v>
      </c>
      <c r="AX42" s="2"/>
      <c r="AY42" s="2"/>
      <c r="AZ42" s="2">
        <v>1</v>
      </c>
      <c r="BA42" s="2">
        <v>1</v>
      </c>
      <c r="BB42" s="2">
        <v>1</v>
      </c>
      <c r="BC42" s="2">
        <v>1</v>
      </c>
      <c r="BD42" s="2" t="s">
        <v>3</v>
      </c>
      <c r="BE42" s="2" t="s">
        <v>3</v>
      </c>
      <c r="BF42" s="2" t="s">
        <v>3</v>
      </c>
      <c r="BG42" s="2" t="s">
        <v>3</v>
      </c>
      <c r="BH42" s="2">
        <v>3</v>
      </c>
      <c r="BI42" s="2">
        <v>2</v>
      </c>
      <c r="BJ42" s="2" t="s">
        <v>3</v>
      </c>
      <c r="BK42" s="2"/>
      <c r="BL42" s="2"/>
      <c r="BM42" s="2">
        <v>317</v>
      </c>
      <c r="BN42" s="2">
        <v>0</v>
      </c>
      <c r="BO42" s="2" t="s">
        <v>3</v>
      </c>
      <c r="BP42" s="2">
        <v>0</v>
      </c>
      <c r="BQ42" s="2">
        <v>40</v>
      </c>
      <c r="BR42" s="2">
        <v>0</v>
      </c>
      <c r="BS42" s="2">
        <v>1</v>
      </c>
      <c r="BT42" s="2">
        <v>1</v>
      </c>
      <c r="BU42" s="2">
        <v>1</v>
      </c>
      <c r="BV42" s="2">
        <v>1</v>
      </c>
      <c r="BW42" s="2">
        <v>1</v>
      </c>
      <c r="BX42" s="2">
        <v>1</v>
      </c>
      <c r="BY42" s="2" t="s">
        <v>3</v>
      </c>
      <c r="BZ42" s="2">
        <v>114</v>
      </c>
      <c r="CA42" s="2">
        <v>67</v>
      </c>
      <c r="CB42" s="2"/>
      <c r="CC42" s="2"/>
      <c r="CD42" s="2"/>
      <c r="CE42" s="2">
        <v>0</v>
      </c>
      <c r="CF42" s="2">
        <v>0</v>
      </c>
      <c r="CG42" s="2">
        <v>0</v>
      </c>
      <c r="CH42" s="2"/>
      <c r="CI42" s="2"/>
      <c r="CJ42" s="2"/>
      <c r="CK42" s="2"/>
      <c r="CL42" s="2"/>
      <c r="CM42" s="2">
        <v>0</v>
      </c>
      <c r="CN42" s="2" t="s">
        <v>3</v>
      </c>
      <c r="CO42" s="2">
        <v>0</v>
      </c>
      <c r="CP42" s="2">
        <f t="shared" si="36"/>
        <v>5629.5</v>
      </c>
      <c r="CQ42" s="2">
        <f t="shared" si="37"/>
        <v>625.5</v>
      </c>
      <c r="CR42" s="2">
        <f>((((ET42)*BB42-(EU42)*BS42)+AE42*BS42)*AV42)</f>
        <v>0</v>
      </c>
      <c r="CS42" s="2">
        <f t="shared" si="38"/>
        <v>0</v>
      </c>
      <c r="CT42" s="2">
        <f t="shared" si="39"/>
        <v>0</v>
      </c>
      <c r="CU42" s="2">
        <f t="shared" si="40"/>
        <v>0</v>
      </c>
      <c r="CV42" s="2">
        <f t="shared" si="41"/>
        <v>0</v>
      </c>
      <c r="CW42" s="2">
        <f t="shared" si="42"/>
        <v>0</v>
      </c>
      <c r="CX42" s="2">
        <f t="shared" si="43"/>
        <v>0</v>
      </c>
      <c r="CY42" s="2">
        <f>((S42*BZ42)/100)</f>
        <v>0</v>
      </c>
      <c r="CZ42" s="2">
        <f>((S42*CA42)/100)</f>
        <v>0</v>
      </c>
      <c r="DA42" s="2"/>
      <c r="DB42" s="2"/>
      <c r="DC42" s="2" t="s">
        <v>3</v>
      </c>
      <c r="DD42" s="2" t="s">
        <v>3</v>
      </c>
      <c r="DE42" s="2" t="s">
        <v>3</v>
      </c>
      <c r="DF42" s="2" t="s">
        <v>3</v>
      </c>
      <c r="DG42" s="2" t="s">
        <v>3</v>
      </c>
      <c r="DH42" s="2" t="s">
        <v>3</v>
      </c>
      <c r="DI42" s="2" t="s">
        <v>3</v>
      </c>
      <c r="DJ42" s="2" t="s">
        <v>3</v>
      </c>
      <c r="DK42" s="2" t="s">
        <v>3</v>
      </c>
      <c r="DL42" s="2" t="s">
        <v>3</v>
      </c>
      <c r="DM42" s="2" t="s">
        <v>3</v>
      </c>
      <c r="DN42" s="2">
        <v>0</v>
      </c>
      <c r="DO42" s="2">
        <v>0</v>
      </c>
      <c r="DP42" s="2">
        <v>1</v>
      </c>
      <c r="DQ42" s="2">
        <v>1</v>
      </c>
      <c r="DR42" s="2"/>
      <c r="DS42" s="2"/>
      <c r="DT42" s="2"/>
      <c r="DU42" s="2">
        <v>1010</v>
      </c>
      <c r="DV42" s="2" t="s">
        <v>30</v>
      </c>
      <c r="DW42" s="2" t="s">
        <v>30</v>
      </c>
      <c r="DX42" s="2">
        <v>1</v>
      </c>
      <c r="DY42" s="2"/>
      <c r="DZ42" s="2"/>
      <c r="EA42" s="2"/>
      <c r="EB42" s="2"/>
      <c r="EC42" s="2"/>
      <c r="ED42" s="2"/>
      <c r="EE42" s="2">
        <v>41393046</v>
      </c>
      <c r="EF42" s="2">
        <v>40</v>
      </c>
      <c r="EG42" s="2" t="s">
        <v>23</v>
      </c>
      <c r="EH42" s="2">
        <v>0</v>
      </c>
      <c r="EI42" s="2" t="s">
        <v>3</v>
      </c>
      <c r="EJ42" s="2">
        <v>2</v>
      </c>
      <c r="EK42" s="2">
        <v>317</v>
      </c>
      <c r="EL42" s="2" t="s">
        <v>39</v>
      </c>
      <c r="EM42" s="2" t="s">
        <v>40</v>
      </c>
      <c r="EN42" s="2"/>
      <c r="EO42" s="2" t="s">
        <v>3</v>
      </c>
      <c r="EP42" s="2"/>
      <c r="EQ42" s="2">
        <v>0</v>
      </c>
      <c r="ER42" s="2">
        <v>625.5</v>
      </c>
      <c r="ES42" s="2">
        <v>625.5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>
        <v>0</v>
      </c>
      <c r="FR42" s="2">
        <f t="shared" si="44"/>
        <v>0</v>
      </c>
      <c r="FS42" s="2">
        <v>0</v>
      </c>
      <c r="FT42" s="2"/>
      <c r="FU42" s="2"/>
      <c r="FV42" s="2"/>
      <c r="FW42" s="2"/>
      <c r="FX42" s="2">
        <v>114</v>
      </c>
      <c r="FY42" s="2">
        <v>67</v>
      </c>
      <c r="FZ42" s="2"/>
      <c r="GA42" s="2" t="s">
        <v>3</v>
      </c>
      <c r="GB42" s="2"/>
      <c r="GC42" s="2"/>
      <c r="GD42" s="2">
        <v>1</v>
      </c>
      <c r="GE42" s="2"/>
      <c r="GF42" s="2">
        <v>2012052233</v>
      </c>
      <c r="GG42" s="2">
        <v>2</v>
      </c>
      <c r="GH42" s="2">
        <v>0</v>
      </c>
      <c r="GI42" s="2">
        <v>-2</v>
      </c>
      <c r="GJ42" s="2">
        <v>0</v>
      </c>
      <c r="GK42" s="2">
        <v>0</v>
      </c>
      <c r="GL42" s="2">
        <f t="shared" si="45"/>
        <v>0</v>
      </c>
      <c r="GM42" s="2">
        <f>ROUND(O42+X42+Y42,2)+GX42</f>
        <v>5629.5</v>
      </c>
      <c r="GN42" s="2">
        <f>IF(OR(BI42=0,BI42=1),ROUND(O42+X42+Y42,2),0)</f>
        <v>0</v>
      </c>
      <c r="GO42" s="2">
        <f>IF(BI42=2,ROUND(O42+X42+Y42,2),0)</f>
        <v>5629.5</v>
      </c>
      <c r="GP42" s="2">
        <f>IF(BI42=4,ROUND(O42+X42+Y42,2)+GX42,0)</f>
        <v>0</v>
      </c>
      <c r="GQ42" s="2"/>
      <c r="GR42" s="2">
        <v>0</v>
      </c>
      <c r="GS42" s="2">
        <v>0</v>
      </c>
      <c r="GT42" s="2">
        <v>0</v>
      </c>
      <c r="GU42" s="2" t="s">
        <v>3</v>
      </c>
      <c r="GV42" s="2">
        <f t="shared" si="46"/>
        <v>0</v>
      </c>
      <c r="GW42" s="2">
        <v>1</v>
      </c>
      <c r="GX42" s="2">
        <f t="shared" si="47"/>
        <v>0</v>
      </c>
      <c r="GY42" s="2"/>
      <c r="GZ42" s="2"/>
      <c r="HA42" s="2">
        <v>0</v>
      </c>
      <c r="HB42" s="2">
        <v>0</v>
      </c>
      <c r="HC42" s="2">
        <f t="shared" si="48"/>
        <v>0</v>
      </c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>
        <v>0</v>
      </c>
      <c r="IL42" s="2"/>
      <c r="IM42" s="2"/>
      <c r="IN42" s="2"/>
      <c r="IO42" s="2"/>
      <c r="IP42" s="2"/>
      <c r="IQ42" s="2"/>
      <c r="IR42" s="2"/>
      <c r="IS42" s="2"/>
      <c r="IT42" s="2"/>
      <c r="IU42" s="2"/>
    </row>
    <row r="43" spans="1:255" x14ac:dyDescent="0.2">
      <c r="A43">
        <v>18</v>
      </c>
      <c r="B43">
        <v>1</v>
      </c>
      <c r="C43">
        <v>16</v>
      </c>
      <c r="E43" t="s">
        <v>56</v>
      </c>
      <c r="F43" t="s">
        <v>28</v>
      </c>
      <c r="G43" t="s">
        <v>57</v>
      </c>
      <c r="H43" t="s">
        <v>30</v>
      </c>
      <c r="I43">
        <f>I41*J43</f>
        <v>9</v>
      </c>
      <c r="J43">
        <v>1.125</v>
      </c>
      <c r="O43">
        <f t="shared" si="21"/>
        <v>1086.3599999999999</v>
      </c>
      <c r="P43">
        <f t="shared" si="22"/>
        <v>1086.3599999999999</v>
      </c>
      <c r="Q43">
        <f t="shared" si="23"/>
        <v>0</v>
      </c>
      <c r="R43">
        <f t="shared" si="24"/>
        <v>0</v>
      </c>
      <c r="S43">
        <f t="shared" si="25"/>
        <v>0</v>
      </c>
      <c r="T43">
        <f t="shared" si="26"/>
        <v>0</v>
      </c>
      <c r="U43">
        <f t="shared" si="27"/>
        <v>0</v>
      </c>
      <c r="V43">
        <f t="shared" si="28"/>
        <v>0</v>
      </c>
      <c r="W43">
        <f t="shared" si="29"/>
        <v>0</v>
      </c>
      <c r="X43">
        <f t="shared" si="30"/>
        <v>0</v>
      </c>
      <c r="Y43">
        <f t="shared" si="31"/>
        <v>0</v>
      </c>
      <c r="AA43">
        <v>42119679</v>
      </c>
      <c r="AB43">
        <f t="shared" si="32"/>
        <v>22.52</v>
      </c>
      <c r="AC43">
        <f t="shared" si="33"/>
        <v>22.52</v>
      </c>
      <c r="AD43">
        <f>ROUND((((ET43)-(EU43))+AE43),6)</f>
        <v>0</v>
      </c>
      <c r="AE43">
        <f>ROUND((EU43),6)</f>
        <v>0</v>
      </c>
      <c r="AF43">
        <f>ROUND((EV43),6)</f>
        <v>0</v>
      </c>
      <c r="AG43">
        <f t="shared" si="34"/>
        <v>0</v>
      </c>
      <c r="AH43">
        <f>(EW43)</f>
        <v>0</v>
      </c>
      <c r="AI43">
        <f>(EX43)</f>
        <v>0</v>
      </c>
      <c r="AJ43">
        <f t="shared" si="35"/>
        <v>0</v>
      </c>
      <c r="AK43">
        <v>22.52</v>
      </c>
      <c r="AL43">
        <v>22.52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5.36</v>
      </c>
      <c r="BD43" t="s">
        <v>3</v>
      </c>
      <c r="BE43" t="s">
        <v>3</v>
      </c>
      <c r="BF43" t="s">
        <v>3</v>
      </c>
      <c r="BG43" t="s">
        <v>3</v>
      </c>
      <c r="BH43">
        <v>3</v>
      </c>
      <c r="BI43">
        <v>2</v>
      </c>
      <c r="BJ43" t="s">
        <v>3</v>
      </c>
      <c r="BM43">
        <v>317</v>
      </c>
      <c r="BN43">
        <v>0</v>
      </c>
      <c r="BO43" t="s">
        <v>3</v>
      </c>
      <c r="BP43">
        <v>0</v>
      </c>
      <c r="BQ43">
        <v>40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0</v>
      </c>
      <c r="CA43">
        <v>0</v>
      </c>
      <c r="CE43">
        <v>0</v>
      </c>
      <c r="CF43">
        <v>0</v>
      </c>
      <c r="CG43">
        <v>0</v>
      </c>
      <c r="CM43">
        <v>0</v>
      </c>
      <c r="CN43" t="s">
        <v>3</v>
      </c>
      <c r="CO43">
        <v>0</v>
      </c>
      <c r="CP43">
        <f t="shared" si="36"/>
        <v>1086.3599999999999</v>
      </c>
      <c r="CQ43">
        <f t="shared" si="37"/>
        <v>120.7072</v>
      </c>
      <c r="CR43">
        <f>((((ET43)*BB43-(EU43)*BS43)+AE43*BS43)*AV43)</f>
        <v>0</v>
      </c>
      <c r="CS43">
        <f t="shared" si="38"/>
        <v>0</v>
      </c>
      <c r="CT43">
        <f t="shared" si="39"/>
        <v>0</v>
      </c>
      <c r="CU43">
        <f t="shared" si="40"/>
        <v>0</v>
      </c>
      <c r="CV43">
        <f t="shared" si="41"/>
        <v>0</v>
      </c>
      <c r="CW43">
        <f t="shared" si="42"/>
        <v>0</v>
      </c>
      <c r="CX43">
        <f t="shared" si="43"/>
        <v>0</v>
      </c>
      <c r="CY43">
        <f>S43*(BZ43/100)</f>
        <v>0</v>
      </c>
      <c r="CZ43">
        <f>S43*(CA43/100)</f>
        <v>0</v>
      </c>
      <c r="DC43" t="s">
        <v>3</v>
      </c>
      <c r="DD43" t="s">
        <v>3</v>
      </c>
      <c r="DE43" t="s">
        <v>3</v>
      </c>
      <c r="DF43" t="s">
        <v>3</v>
      </c>
      <c r="DG43" t="s">
        <v>3</v>
      </c>
      <c r="DH43" t="s">
        <v>3</v>
      </c>
      <c r="DI43" t="s">
        <v>3</v>
      </c>
      <c r="DJ43" t="s">
        <v>3</v>
      </c>
      <c r="DK43" t="s">
        <v>3</v>
      </c>
      <c r="DL43" t="s">
        <v>3</v>
      </c>
      <c r="DM43" t="s">
        <v>3</v>
      </c>
      <c r="DN43">
        <v>114</v>
      </c>
      <c r="DO43">
        <v>67</v>
      </c>
      <c r="DP43">
        <v>1</v>
      </c>
      <c r="DQ43">
        <v>1</v>
      </c>
      <c r="DU43">
        <v>1010</v>
      </c>
      <c r="DV43" t="s">
        <v>30</v>
      </c>
      <c r="DW43" t="s">
        <v>30</v>
      </c>
      <c r="DX43">
        <v>1</v>
      </c>
      <c r="EE43">
        <v>41393046</v>
      </c>
      <c r="EF43">
        <v>40</v>
      </c>
      <c r="EG43" t="s">
        <v>23</v>
      </c>
      <c r="EH43">
        <v>0</v>
      </c>
      <c r="EI43" t="s">
        <v>3</v>
      </c>
      <c r="EJ43">
        <v>2</v>
      </c>
      <c r="EK43">
        <v>317</v>
      </c>
      <c r="EL43" t="s">
        <v>39</v>
      </c>
      <c r="EM43" t="s">
        <v>40</v>
      </c>
      <c r="EO43" t="s">
        <v>3</v>
      </c>
      <c r="EQ43">
        <v>0</v>
      </c>
      <c r="ER43">
        <v>22.52</v>
      </c>
      <c r="ES43">
        <v>22.52</v>
      </c>
      <c r="ET43">
        <v>0</v>
      </c>
      <c r="EU43">
        <v>0</v>
      </c>
      <c r="EV43">
        <v>0</v>
      </c>
      <c r="EW43">
        <v>0</v>
      </c>
      <c r="EX43">
        <v>0</v>
      </c>
      <c r="EZ43">
        <v>5</v>
      </c>
      <c r="FC43">
        <v>1</v>
      </c>
      <c r="FD43">
        <v>18</v>
      </c>
      <c r="FF43">
        <v>142</v>
      </c>
      <c r="FQ43">
        <v>0</v>
      </c>
      <c r="FR43">
        <f t="shared" si="44"/>
        <v>0</v>
      </c>
      <c r="FS43">
        <v>0</v>
      </c>
      <c r="FX43">
        <v>114</v>
      </c>
      <c r="FY43">
        <v>67</v>
      </c>
      <c r="GA43" t="s">
        <v>58</v>
      </c>
      <c r="GD43">
        <v>0</v>
      </c>
      <c r="GF43">
        <v>2012052233</v>
      </c>
      <c r="GG43">
        <v>2</v>
      </c>
      <c r="GH43">
        <v>3</v>
      </c>
      <c r="GI43">
        <v>5</v>
      </c>
      <c r="GJ43">
        <v>0</v>
      </c>
      <c r="GK43">
        <f>ROUND(R43*(S12)/100,2)</f>
        <v>0</v>
      </c>
      <c r="GL43">
        <f t="shared" si="45"/>
        <v>0</v>
      </c>
      <c r="GM43">
        <f>ROUND(O43+X43+Y43+GK43,2)+GX43</f>
        <v>1086.3599999999999</v>
      </c>
      <c r="GN43">
        <f>IF(OR(BI43=0,BI43=1),ROUND(O43+X43+Y43+GK43,2),0)</f>
        <v>0</v>
      </c>
      <c r="GO43">
        <f>IF(BI43=2,ROUND(O43+X43+Y43+GK43,2),0)</f>
        <v>1086.3599999999999</v>
      </c>
      <c r="GP43">
        <f>IF(BI43=4,ROUND(O43+X43+Y43+GK43,2)+GX43,0)</f>
        <v>0</v>
      </c>
      <c r="GR43">
        <v>1</v>
      </c>
      <c r="GS43">
        <v>1</v>
      </c>
      <c r="GT43">
        <v>0</v>
      </c>
      <c r="GU43" t="s">
        <v>3</v>
      </c>
      <c r="GV43">
        <f t="shared" si="46"/>
        <v>0</v>
      </c>
      <c r="GW43">
        <v>1</v>
      </c>
      <c r="GX43">
        <f t="shared" si="47"/>
        <v>0</v>
      </c>
      <c r="HA43">
        <v>0</v>
      </c>
      <c r="HB43">
        <v>0</v>
      </c>
      <c r="HC43">
        <f t="shared" si="48"/>
        <v>0</v>
      </c>
      <c r="IK43">
        <v>0</v>
      </c>
    </row>
    <row r="44" spans="1:255" x14ac:dyDescent="0.2">
      <c r="A44" s="2">
        <v>17</v>
      </c>
      <c r="B44" s="2">
        <v>1</v>
      </c>
      <c r="C44" s="2">
        <f>ROW(SmtRes!A18)</f>
        <v>18</v>
      </c>
      <c r="D44" s="2">
        <f>ROW(EtalonRes!A9)</f>
        <v>9</v>
      </c>
      <c r="E44" s="2" t="s">
        <v>59</v>
      </c>
      <c r="F44" s="2" t="s">
        <v>60</v>
      </c>
      <c r="G44" s="2" t="s">
        <v>61</v>
      </c>
      <c r="H44" s="2" t="s">
        <v>19</v>
      </c>
      <c r="I44" s="2">
        <v>1</v>
      </c>
      <c r="J44" s="2">
        <v>0</v>
      </c>
      <c r="K44" s="2"/>
      <c r="L44" s="2"/>
      <c r="M44" s="2"/>
      <c r="N44" s="2"/>
      <c r="O44" s="2">
        <f t="shared" si="21"/>
        <v>135.99</v>
      </c>
      <c r="P44" s="2">
        <f t="shared" si="22"/>
        <v>9.17</v>
      </c>
      <c r="Q44" s="2">
        <f t="shared" si="23"/>
        <v>91.4</v>
      </c>
      <c r="R44" s="2">
        <f t="shared" si="24"/>
        <v>14.23</v>
      </c>
      <c r="S44" s="2">
        <f t="shared" si="25"/>
        <v>35.42</v>
      </c>
      <c r="T44" s="2">
        <f t="shared" si="26"/>
        <v>0</v>
      </c>
      <c r="U44" s="2">
        <f t="shared" si="27"/>
        <v>2.7243499999999994</v>
      </c>
      <c r="V44" s="2">
        <f t="shared" si="28"/>
        <v>0</v>
      </c>
      <c r="W44" s="2">
        <f t="shared" si="29"/>
        <v>0</v>
      </c>
      <c r="X44" s="2">
        <f t="shared" si="30"/>
        <v>40.380000000000003</v>
      </c>
      <c r="Y44" s="2">
        <f t="shared" si="31"/>
        <v>23.73</v>
      </c>
      <c r="Z44" s="2"/>
      <c r="AA44" s="2">
        <v>42119681</v>
      </c>
      <c r="AB44" s="2">
        <f t="shared" si="32"/>
        <v>135.9828</v>
      </c>
      <c r="AC44" s="2">
        <f t="shared" si="33"/>
        <v>9.17</v>
      </c>
      <c r="AD44" s="2">
        <f>ROUND((((((ET44*1.25)*1.15))-(((EU44*1.25)*1.15)))+AE44),6)</f>
        <v>91.396249999999995</v>
      </c>
      <c r="AE44" s="2">
        <f>ROUND((((EU44*1.25)*1.15)),6)</f>
        <v>14.231249999999999</v>
      </c>
      <c r="AF44" s="2">
        <f>ROUND((((EV44*1.15)*1.15)),6)</f>
        <v>35.416550000000001</v>
      </c>
      <c r="AG44" s="2">
        <f t="shared" si="34"/>
        <v>0</v>
      </c>
      <c r="AH44" s="2">
        <f>(((EW44*1.15)*1.15))</f>
        <v>2.7243499999999994</v>
      </c>
      <c r="AI44" s="2">
        <f>(((EX44*1.25)*1.15))</f>
        <v>0</v>
      </c>
      <c r="AJ44" s="2">
        <f t="shared" si="35"/>
        <v>0</v>
      </c>
      <c r="AK44" s="2">
        <v>99.53</v>
      </c>
      <c r="AL44" s="2">
        <v>9.17</v>
      </c>
      <c r="AM44" s="2">
        <v>63.58</v>
      </c>
      <c r="AN44" s="2">
        <v>9.9</v>
      </c>
      <c r="AO44" s="2">
        <v>26.78</v>
      </c>
      <c r="AP44" s="2">
        <v>0</v>
      </c>
      <c r="AQ44" s="2">
        <v>2.06</v>
      </c>
      <c r="AR44" s="2">
        <v>0</v>
      </c>
      <c r="AS44" s="2">
        <v>0</v>
      </c>
      <c r="AT44" s="2">
        <v>114</v>
      </c>
      <c r="AU44" s="2">
        <v>67</v>
      </c>
      <c r="AV44" s="2">
        <v>1</v>
      </c>
      <c r="AW44" s="2">
        <v>1</v>
      </c>
      <c r="AX44" s="2"/>
      <c r="AY44" s="2"/>
      <c r="AZ44" s="2">
        <v>1</v>
      </c>
      <c r="BA44" s="2">
        <v>1</v>
      </c>
      <c r="BB44" s="2">
        <v>1</v>
      </c>
      <c r="BC44" s="2">
        <v>1</v>
      </c>
      <c r="BD44" s="2" t="s">
        <v>3</v>
      </c>
      <c r="BE44" s="2" t="s">
        <v>3</v>
      </c>
      <c r="BF44" s="2" t="s">
        <v>3</v>
      </c>
      <c r="BG44" s="2" t="s">
        <v>3</v>
      </c>
      <c r="BH44" s="2">
        <v>0</v>
      </c>
      <c r="BI44" s="2">
        <v>2</v>
      </c>
      <c r="BJ44" s="2" t="s">
        <v>62</v>
      </c>
      <c r="BK44" s="2"/>
      <c r="BL44" s="2"/>
      <c r="BM44" s="2">
        <v>333</v>
      </c>
      <c r="BN44" s="2">
        <v>0</v>
      </c>
      <c r="BO44" s="2" t="s">
        <v>3</v>
      </c>
      <c r="BP44" s="2">
        <v>0</v>
      </c>
      <c r="BQ44" s="2">
        <v>40</v>
      </c>
      <c r="BR44" s="2">
        <v>0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 t="s">
        <v>3</v>
      </c>
      <c r="BZ44" s="2">
        <v>114</v>
      </c>
      <c r="CA44" s="2">
        <v>67</v>
      </c>
      <c r="CB44" s="2"/>
      <c r="CC44" s="2"/>
      <c r="CD44" s="2"/>
      <c r="CE44" s="2">
        <v>0</v>
      </c>
      <c r="CF44" s="2">
        <v>0</v>
      </c>
      <c r="CG44" s="2">
        <v>0</v>
      </c>
      <c r="CH44" s="2"/>
      <c r="CI44" s="2"/>
      <c r="CJ44" s="2"/>
      <c r="CK44" s="2"/>
      <c r="CL44" s="2"/>
      <c r="CM44" s="2">
        <v>0</v>
      </c>
      <c r="CN44" s="2" t="s">
        <v>225</v>
      </c>
      <c r="CO44" s="2">
        <v>0</v>
      </c>
      <c r="CP44" s="2">
        <f t="shared" si="36"/>
        <v>135.99</v>
      </c>
      <c r="CQ44" s="2">
        <f t="shared" si="37"/>
        <v>9.17</v>
      </c>
      <c r="CR44" s="2">
        <f>((((((ET44*1.25)*1.15))*BB44-(((EU44*1.25)*1.15))*BS44)+AE44*BS44)*AV44)</f>
        <v>91.396249999999981</v>
      </c>
      <c r="CS44" s="2">
        <f t="shared" si="38"/>
        <v>14.231249999999999</v>
      </c>
      <c r="CT44" s="2">
        <f t="shared" si="39"/>
        <v>35.416550000000001</v>
      </c>
      <c r="CU44" s="2">
        <f t="shared" si="40"/>
        <v>0</v>
      </c>
      <c r="CV44" s="2">
        <f t="shared" si="41"/>
        <v>2.7243499999999994</v>
      </c>
      <c r="CW44" s="2">
        <f t="shared" si="42"/>
        <v>0</v>
      </c>
      <c r="CX44" s="2">
        <f t="shared" si="43"/>
        <v>0</v>
      </c>
      <c r="CY44" s="2">
        <f>((S44*BZ44)/100)</f>
        <v>40.378799999999998</v>
      </c>
      <c r="CZ44" s="2">
        <f>((S44*CA44)/100)</f>
        <v>23.731400000000004</v>
      </c>
      <c r="DA44" s="2"/>
      <c r="DB44" s="2"/>
      <c r="DC44" s="2" t="s">
        <v>3</v>
      </c>
      <c r="DD44" s="2" t="s">
        <v>3</v>
      </c>
      <c r="DE44" s="2" t="s">
        <v>21</v>
      </c>
      <c r="DF44" s="2" t="s">
        <v>21</v>
      </c>
      <c r="DG44" s="2" t="s">
        <v>22</v>
      </c>
      <c r="DH44" s="2" t="s">
        <v>3</v>
      </c>
      <c r="DI44" s="2" t="s">
        <v>22</v>
      </c>
      <c r="DJ44" s="2" t="s">
        <v>21</v>
      </c>
      <c r="DK44" s="2" t="s">
        <v>3</v>
      </c>
      <c r="DL44" s="2" t="s">
        <v>3</v>
      </c>
      <c r="DM44" s="2" t="s">
        <v>3</v>
      </c>
      <c r="DN44" s="2">
        <v>0</v>
      </c>
      <c r="DO44" s="2">
        <v>0</v>
      </c>
      <c r="DP44" s="2">
        <v>1</v>
      </c>
      <c r="DQ44" s="2">
        <v>1</v>
      </c>
      <c r="DR44" s="2"/>
      <c r="DS44" s="2"/>
      <c r="DT44" s="2"/>
      <c r="DU44" s="2">
        <v>1013</v>
      </c>
      <c r="DV44" s="2" t="s">
        <v>19</v>
      </c>
      <c r="DW44" s="2" t="s">
        <v>19</v>
      </c>
      <c r="DX44" s="2">
        <v>1</v>
      </c>
      <c r="DY44" s="2"/>
      <c r="DZ44" s="2"/>
      <c r="EA44" s="2"/>
      <c r="EB44" s="2"/>
      <c r="EC44" s="2"/>
      <c r="ED44" s="2"/>
      <c r="EE44" s="2">
        <v>41393062</v>
      </c>
      <c r="EF44" s="2">
        <v>40</v>
      </c>
      <c r="EG44" s="2" t="s">
        <v>23</v>
      </c>
      <c r="EH44" s="2">
        <v>0</v>
      </c>
      <c r="EI44" s="2" t="s">
        <v>3</v>
      </c>
      <c r="EJ44" s="2">
        <v>2</v>
      </c>
      <c r="EK44" s="2">
        <v>333</v>
      </c>
      <c r="EL44" s="2" t="s">
        <v>63</v>
      </c>
      <c r="EM44" s="2" t="s">
        <v>64</v>
      </c>
      <c r="EN44" s="2"/>
      <c r="EO44" s="2" t="s">
        <v>26</v>
      </c>
      <c r="EP44" s="2"/>
      <c r="EQ44" s="2">
        <v>0</v>
      </c>
      <c r="ER44" s="2">
        <v>99.53</v>
      </c>
      <c r="ES44" s="2">
        <v>9.17</v>
      </c>
      <c r="ET44" s="2">
        <v>63.58</v>
      </c>
      <c r="EU44" s="2">
        <v>9.9</v>
      </c>
      <c r="EV44" s="2">
        <v>26.78</v>
      </c>
      <c r="EW44" s="2">
        <v>2.06</v>
      </c>
      <c r="EX44" s="2">
        <v>0</v>
      </c>
      <c r="EY44" s="2">
        <v>0</v>
      </c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>
        <v>0</v>
      </c>
      <c r="FR44" s="2">
        <f t="shared" si="44"/>
        <v>0</v>
      </c>
      <c r="FS44" s="2">
        <v>0</v>
      </c>
      <c r="FT44" s="2"/>
      <c r="FU44" s="2"/>
      <c r="FV44" s="2"/>
      <c r="FW44" s="2"/>
      <c r="FX44" s="2">
        <v>114</v>
      </c>
      <c r="FY44" s="2">
        <v>67</v>
      </c>
      <c r="FZ44" s="2"/>
      <c r="GA44" s="2" t="s">
        <v>3</v>
      </c>
      <c r="GB44" s="2"/>
      <c r="GC44" s="2"/>
      <c r="GD44" s="2">
        <v>1</v>
      </c>
      <c r="GE44" s="2"/>
      <c r="GF44" s="2">
        <v>259156785</v>
      </c>
      <c r="GG44" s="2">
        <v>2</v>
      </c>
      <c r="GH44" s="2">
        <v>1</v>
      </c>
      <c r="GI44" s="2">
        <v>-2</v>
      </c>
      <c r="GJ44" s="2">
        <v>0</v>
      </c>
      <c r="GK44" s="2">
        <v>0</v>
      </c>
      <c r="GL44" s="2">
        <f t="shared" si="45"/>
        <v>0</v>
      </c>
      <c r="GM44" s="2">
        <f>ROUND(O44+X44+Y44,2)+GX44</f>
        <v>200.1</v>
      </c>
      <c r="GN44" s="2">
        <f>IF(OR(BI44=0,BI44=1),ROUND(O44+X44+Y44,2),0)</f>
        <v>0</v>
      </c>
      <c r="GO44" s="2">
        <f>IF(BI44=2,ROUND(O44+X44+Y44,2),0)</f>
        <v>200.1</v>
      </c>
      <c r="GP44" s="2">
        <f>IF(BI44=4,ROUND(O44+X44+Y44,2)+GX44,0)</f>
        <v>0</v>
      </c>
      <c r="GQ44" s="2"/>
      <c r="GR44" s="2">
        <v>0</v>
      </c>
      <c r="GS44" s="2">
        <v>3</v>
      </c>
      <c r="GT44" s="2">
        <v>0</v>
      </c>
      <c r="GU44" s="2" t="s">
        <v>3</v>
      </c>
      <c r="GV44" s="2">
        <f t="shared" si="46"/>
        <v>0</v>
      </c>
      <c r="GW44" s="2">
        <v>1</v>
      </c>
      <c r="GX44" s="2">
        <f t="shared" si="47"/>
        <v>0</v>
      </c>
      <c r="GY44" s="2"/>
      <c r="GZ44" s="2"/>
      <c r="HA44" s="2">
        <v>0</v>
      </c>
      <c r="HB44" s="2">
        <v>0</v>
      </c>
      <c r="HC44" s="2">
        <f t="shared" si="48"/>
        <v>0</v>
      </c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>
        <v>0</v>
      </c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 spans="1:255" x14ac:dyDescent="0.2">
      <c r="A45">
        <v>17</v>
      </c>
      <c r="B45">
        <v>1</v>
      </c>
      <c r="C45">
        <f>ROW(SmtRes!A20)</f>
        <v>20</v>
      </c>
      <c r="D45">
        <f>ROW(EtalonRes!A10)</f>
        <v>10</v>
      </c>
      <c r="E45" t="s">
        <v>59</v>
      </c>
      <c r="F45" t="s">
        <v>60</v>
      </c>
      <c r="G45" t="s">
        <v>61</v>
      </c>
      <c r="H45" t="s">
        <v>19</v>
      </c>
      <c r="I45">
        <v>1</v>
      </c>
      <c r="J45">
        <v>0</v>
      </c>
      <c r="O45">
        <f t="shared" si="21"/>
        <v>1531.59</v>
      </c>
      <c r="P45">
        <f t="shared" si="22"/>
        <v>49.61</v>
      </c>
      <c r="Q45">
        <f t="shared" si="23"/>
        <v>713.8</v>
      </c>
      <c r="R45">
        <f t="shared" si="24"/>
        <v>308.68</v>
      </c>
      <c r="S45">
        <f t="shared" si="25"/>
        <v>768.18</v>
      </c>
      <c r="T45">
        <f t="shared" si="26"/>
        <v>0</v>
      </c>
      <c r="U45">
        <f t="shared" si="27"/>
        <v>2.7243499999999994</v>
      </c>
      <c r="V45">
        <f t="shared" si="28"/>
        <v>0</v>
      </c>
      <c r="W45">
        <f t="shared" si="29"/>
        <v>0</v>
      </c>
      <c r="X45">
        <f t="shared" si="30"/>
        <v>591.5</v>
      </c>
      <c r="Y45">
        <f t="shared" si="31"/>
        <v>314.95</v>
      </c>
      <c r="AA45">
        <v>42119679</v>
      </c>
      <c r="AB45">
        <f t="shared" si="32"/>
        <v>135.9828</v>
      </c>
      <c r="AC45">
        <f t="shared" si="33"/>
        <v>9.17</v>
      </c>
      <c r="AD45">
        <f>ROUND((((((ET45*1.25)*1.15))-(((EU45*1.25)*1.15)))+AE45),6)</f>
        <v>91.396249999999995</v>
      </c>
      <c r="AE45">
        <f>ROUND((((EU45*1.25)*1.15)),6)</f>
        <v>14.231249999999999</v>
      </c>
      <c r="AF45">
        <f>ROUND((((EV45*1.15)*1.15)),6)</f>
        <v>35.416550000000001</v>
      </c>
      <c r="AG45">
        <f t="shared" si="34"/>
        <v>0</v>
      </c>
      <c r="AH45">
        <f>(((EW45*1.15)*1.15))</f>
        <v>2.7243499999999994</v>
      </c>
      <c r="AI45">
        <f>(((EX45*1.25)*1.15))</f>
        <v>0</v>
      </c>
      <c r="AJ45">
        <f t="shared" si="35"/>
        <v>0</v>
      </c>
      <c r="AK45">
        <v>99.53</v>
      </c>
      <c r="AL45">
        <v>9.17</v>
      </c>
      <c r="AM45">
        <v>63.58</v>
      </c>
      <c r="AN45">
        <v>9.9</v>
      </c>
      <c r="AO45">
        <v>26.78</v>
      </c>
      <c r="AP45">
        <v>0</v>
      </c>
      <c r="AQ45">
        <v>2.06</v>
      </c>
      <c r="AR45">
        <v>0</v>
      </c>
      <c r="AS45">
        <v>0</v>
      </c>
      <c r="AT45">
        <v>77</v>
      </c>
      <c r="AU45">
        <v>41</v>
      </c>
      <c r="AV45">
        <v>1</v>
      </c>
      <c r="AW45">
        <v>1</v>
      </c>
      <c r="AZ45">
        <v>1</v>
      </c>
      <c r="BA45">
        <v>21.69</v>
      </c>
      <c r="BB45">
        <v>7.81</v>
      </c>
      <c r="BC45">
        <v>5.41</v>
      </c>
      <c r="BD45" t="s">
        <v>3</v>
      </c>
      <c r="BE45" t="s">
        <v>3</v>
      </c>
      <c r="BF45" t="s">
        <v>3</v>
      </c>
      <c r="BG45" t="s">
        <v>3</v>
      </c>
      <c r="BH45">
        <v>0</v>
      </c>
      <c r="BI45">
        <v>2</v>
      </c>
      <c r="BJ45" t="s">
        <v>62</v>
      </c>
      <c r="BM45">
        <v>333</v>
      </c>
      <c r="BN45">
        <v>0</v>
      </c>
      <c r="BO45" t="s">
        <v>60</v>
      </c>
      <c r="BP45">
        <v>1</v>
      </c>
      <c r="BQ45">
        <v>40</v>
      </c>
      <c r="BR45">
        <v>0</v>
      </c>
      <c r="BS45">
        <v>21.69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3</v>
      </c>
      <c r="BZ45">
        <v>77</v>
      </c>
      <c r="CA45">
        <v>41</v>
      </c>
      <c r="CE45">
        <v>0</v>
      </c>
      <c r="CF45">
        <v>0</v>
      </c>
      <c r="CG45">
        <v>0</v>
      </c>
      <c r="CM45">
        <v>0</v>
      </c>
      <c r="CN45" t="s">
        <v>225</v>
      </c>
      <c r="CO45">
        <v>0</v>
      </c>
      <c r="CP45">
        <f t="shared" si="36"/>
        <v>1531.59</v>
      </c>
      <c r="CQ45">
        <f t="shared" si="37"/>
        <v>49.609700000000004</v>
      </c>
      <c r="CR45">
        <f>((((((ET45*1.25)*1.15))*BB45-(((EU45*1.25)*1.15))*BS45)+AE45*BS45)*AV45)</f>
        <v>713.80471249999982</v>
      </c>
      <c r="CS45">
        <f t="shared" si="38"/>
        <v>308.67581250000001</v>
      </c>
      <c r="CT45">
        <f t="shared" si="39"/>
        <v>768.18496950000008</v>
      </c>
      <c r="CU45">
        <f t="shared" si="40"/>
        <v>0</v>
      </c>
      <c r="CV45">
        <f t="shared" si="41"/>
        <v>2.7243499999999994</v>
      </c>
      <c r="CW45">
        <f t="shared" si="42"/>
        <v>0</v>
      </c>
      <c r="CX45">
        <f t="shared" si="43"/>
        <v>0</v>
      </c>
      <c r="CY45">
        <f>S45*(BZ45/100)</f>
        <v>591.49860000000001</v>
      </c>
      <c r="CZ45">
        <f>S45*(CA45/100)</f>
        <v>314.95379999999994</v>
      </c>
      <c r="DC45" t="s">
        <v>3</v>
      </c>
      <c r="DD45" t="s">
        <v>3</v>
      </c>
      <c r="DE45" t="s">
        <v>21</v>
      </c>
      <c r="DF45" t="s">
        <v>21</v>
      </c>
      <c r="DG45" t="s">
        <v>22</v>
      </c>
      <c r="DH45" t="s">
        <v>3</v>
      </c>
      <c r="DI45" t="s">
        <v>22</v>
      </c>
      <c r="DJ45" t="s">
        <v>21</v>
      </c>
      <c r="DK45" t="s">
        <v>3</v>
      </c>
      <c r="DL45" t="s">
        <v>3</v>
      </c>
      <c r="DM45" t="s">
        <v>3</v>
      </c>
      <c r="DN45">
        <v>114</v>
      </c>
      <c r="DO45">
        <v>67</v>
      </c>
      <c r="DP45">
        <v>1</v>
      </c>
      <c r="DQ45">
        <v>1</v>
      </c>
      <c r="DU45">
        <v>1013</v>
      </c>
      <c r="DV45" t="s">
        <v>19</v>
      </c>
      <c r="DW45" t="s">
        <v>19</v>
      </c>
      <c r="DX45">
        <v>1</v>
      </c>
      <c r="EE45">
        <v>41393062</v>
      </c>
      <c r="EF45">
        <v>40</v>
      </c>
      <c r="EG45" t="s">
        <v>23</v>
      </c>
      <c r="EH45">
        <v>0</v>
      </c>
      <c r="EI45" t="s">
        <v>3</v>
      </c>
      <c r="EJ45">
        <v>2</v>
      </c>
      <c r="EK45">
        <v>333</v>
      </c>
      <c r="EL45" t="s">
        <v>63</v>
      </c>
      <c r="EM45" t="s">
        <v>64</v>
      </c>
      <c r="EO45" t="s">
        <v>26</v>
      </c>
      <c r="EQ45">
        <v>0</v>
      </c>
      <c r="ER45">
        <v>99.53</v>
      </c>
      <c r="ES45">
        <v>9.17</v>
      </c>
      <c r="ET45">
        <v>63.58</v>
      </c>
      <c r="EU45">
        <v>9.9</v>
      </c>
      <c r="EV45">
        <v>26.78</v>
      </c>
      <c r="EW45">
        <v>2.06</v>
      </c>
      <c r="EX45">
        <v>0</v>
      </c>
      <c r="EY45">
        <v>0</v>
      </c>
      <c r="FQ45">
        <v>0</v>
      </c>
      <c r="FR45">
        <f t="shared" si="44"/>
        <v>0</v>
      </c>
      <c r="FS45">
        <v>0</v>
      </c>
      <c r="FX45">
        <v>114</v>
      </c>
      <c r="FY45">
        <v>67</v>
      </c>
      <c r="GA45" t="s">
        <v>3</v>
      </c>
      <c r="GD45">
        <v>0</v>
      </c>
      <c r="GF45">
        <v>259156785</v>
      </c>
      <c r="GG45">
        <v>2</v>
      </c>
      <c r="GH45">
        <v>1</v>
      </c>
      <c r="GI45">
        <v>2</v>
      </c>
      <c r="GJ45">
        <v>0</v>
      </c>
      <c r="GK45">
        <f>ROUND(R45*(S12)/100,2)</f>
        <v>484.63</v>
      </c>
      <c r="GL45">
        <f t="shared" si="45"/>
        <v>0</v>
      </c>
      <c r="GM45">
        <f>ROUND(O45+X45+Y45+GK45,2)+GX45</f>
        <v>2922.67</v>
      </c>
      <c r="GN45">
        <f>IF(OR(BI45=0,BI45=1),ROUND(O45+X45+Y45+GK45,2),0)</f>
        <v>0</v>
      </c>
      <c r="GO45">
        <f>IF(BI45=2,ROUND(O45+X45+Y45+GK45,2),0)</f>
        <v>2922.67</v>
      </c>
      <c r="GP45">
        <f>IF(BI45=4,ROUND(O45+X45+Y45+GK45,2)+GX45,0)</f>
        <v>0</v>
      </c>
      <c r="GR45">
        <v>0</v>
      </c>
      <c r="GS45">
        <v>3</v>
      </c>
      <c r="GT45">
        <v>0</v>
      </c>
      <c r="GU45" t="s">
        <v>3</v>
      </c>
      <c r="GV45">
        <f t="shared" si="46"/>
        <v>0</v>
      </c>
      <c r="GW45">
        <v>1</v>
      </c>
      <c r="GX45">
        <f t="shared" si="47"/>
        <v>0</v>
      </c>
      <c r="HA45">
        <v>0</v>
      </c>
      <c r="HB45">
        <v>0</v>
      </c>
      <c r="HC45">
        <f t="shared" si="48"/>
        <v>0</v>
      </c>
      <c r="IK45">
        <v>0</v>
      </c>
    </row>
    <row r="46" spans="1:255" x14ac:dyDescent="0.2">
      <c r="A46" s="2">
        <v>18</v>
      </c>
      <c r="B46" s="2">
        <v>1</v>
      </c>
      <c r="C46" s="2">
        <v>18</v>
      </c>
      <c r="D46" s="2"/>
      <c r="E46" s="2" t="s">
        <v>65</v>
      </c>
      <c r="F46" s="2" t="s">
        <v>28</v>
      </c>
      <c r="G46" s="2" t="s">
        <v>66</v>
      </c>
      <c r="H46" s="2" t="s">
        <v>30</v>
      </c>
      <c r="I46" s="2">
        <f>I44*J46</f>
        <v>1</v>
      </c>
      <c r="J46" s="2">
        <v>1</v>
      </c>
      <c r="K46" s="2"/>
      <c r="L46" s="2"/>
      <c r="M46" s="2"/>
      <c r="N46" s="2"/>
      <c r="O46" s="2">
        <f t="shared" si="21"/>
        <v>364.7</v>
      </c>
      <c r="P46" s="2">
        <f t="shared" si="22"/>
        <v>364.7</v>
      </c>
      <c r="Q46" s="2">
        <f t="shared" si="23"/>
        <v>0</v>
      </c>
      <c r="R46" s="2">
        <f t="shared" si="24"/>
        <v>0</v>
      </c>
      <c r="S46" s="2">
        <f t="shared" si="25"/>
        <v>0</v>
      </c>
      <c r="T46" s="2">
        <f t="shared" si="26"/>
        <v>0</v>
      </c>
      <c r="U46" s="2">
        <f t="shared" si="27"/>
        <v>0</v>
      </c>
      <c r="V46" s="2">
        <f t="shared" si="28"/>
        <v>0</v>
      </c>
      <c r="W46" s="2">
        <f t="shared" si="29"/>
        <v>0</v>
      </c>
      <c r="X46" s="2">
        <f t="shared" si="30"/>
        <v>0</v>
      </c>
      <c r="Y46" s="2">
        <f t="shared" si="31"/>
        <v>0</v>
      </c>
      <c r="Z46" s="2"/>
      <c r="AA46" s="2">
        <v>42119681</v>
      </c>
      <c r="AB46" s="2">
        <f t="shared" si="32"/>
        <v>364.7</v>
      </c>
      <c r="AC46" s="2">
        <f t="shared" si="33"/>
        <v>364.7</v>
      </c>
      <c r="AD46" s="2">
        <f>ROUND((((ET46)-(EU46))+AE46),6)</f>
        <v>0</v>
      </c>
      <c r="AE46" s="2">
        <f>ROUND((EU46),6)</f>
        <v>0</v>
      </c>
      <c r="AF46" s="2">
        <f>ROUND((EV46),6)</f>
        <v>0</v>
      </c>
      <c r="AG46" s="2">
        <f t="shared" si="34"/>
        <v>0</v>
      </c>
      <c r="AH46" s="2">
        <f>(EW46)</f>
        <v>0</v>
      </c>
      <c r="AI46" s="2">
        <f>(EX46)</f>
        <v>0</v>
      </c>
      <c r="AJ46" s="2">
        <f t="shared" si="35"/>
        <v>0</v>
      </c>
      <c r="AK46" s="2">
        <v>364.7</v>
      </c>
      <c r="AL46" s="2">
        <v>364.7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114</v>
      </c>
      <c r="AU46" s="2">
        <v>67</v>
      </c>
      <c r="AV46" s="2">
        <v>1</v>
      </c>
      <c r="AW46" s="2">
        <v>1</v>
      </c>
      <c r="AX46" s="2"/>
      <c r="AY46" s="2"/>
      <c r="AZ46" s="2">
        <v>1</v>
      </c>
      <c r="BA46" s="2">
        <v>1</v>
      </c>
      <c r="BB46" s="2">
        <v>1</v>
      </c>
      <c r="BC46" s="2">
        <v>1</v>
      </c>
      <c r="BD46" s="2" t="s">
        <v>3</v>
      </c>
      <c r="BE46" s="2" t="s">
        <v>3</v>
      </c>
      <c r="BF46" s="2" t="s">
        <v>3</v>
      </c>
      <c r="BG46" s="2" t="s">
        <v>3</v>
      </c>
      <c r="BH46" s="2">
        <v>3</v>
      </c>
      <c r="BI46" s="2">
        <v>2</v>
      </c>
      <c r="BJ46" s="2" t="s">
        <v>3</v>
      </c>
      <c r="BK46" s="2"/>
      <c r="BL46" s="2"/>
      <c r="BM46" s="2">
        <v>317</v>
      </c>
      <c r="BN46" s="2">
        <v>0</v>
      </c>
      <c r="BO46" s="2" t="s">
        <v>3</v>
      </c>
      <c r="BP46" s="2">
        <v>0</v>
      </c>
      <c r="BQ46" s="2">
        <v>40</v>
      </c>
      <c r="BR46" s="2">
        <v>0</v>
      </c>
      <c r="BS46" s="2">
        <v>1</v>
      </c>
      <c r="BT46" s="2">
        <v>1</v>
      </c>
      <c r="BU46" s="2">
        <v>1</v>
      </c>
      <c r="BV46" s="2">
        <v>1</v>
      </c>
      <c r="BW46" s="2">
        <v>1</v>
      </c>
      <c r="BX46" s="2">
        <v>1</v>
      </c>
      <c r="BY46" s="2" t="s">
        <v>3</v>
      </c>
      <c r="BZ46" s="2">
        <v>114</v>
      </c>
      <c r="CA46" s="2">
        <v>67</v>
      </c>
      <c r="CB46" s="2"/>
      <c r="CC46" s="2"/>
      <c r="CD46" s="2"/>
      <c r="CE46" s="2">
        <v>0</v>
      </c>
      <c r="CF46" s="2">
        <v>0</v>
      </c>
      <c r="CG46" s="2">
        <v>0</v>
      </c>
      <c r="CH46" s="2"/>
      <c r="CI46" s="2"/>
      <c r="CJ46" s="2"/>
      <c r="CK46" s="2"/>
      <c r="CL46" s="2"/>
      <c r="CM46" s="2">
        <v>0</v>
      </c>
      <c r="CN46" s="2" t="s">
        <v>3</v>
      </c>
      <c r="CO46" s="2">
        <v>0</v>
      </c>
      <c r="CP46" s="2">
        <f t="shared" si="36"/>
        <v>364.7</v>
      </c>
      <c r="CQ46" s="2">
        <f t="shared" si="37"/>
        <v>364.7</v>
      </c>
      <c r="CR46" s="2">
        <f>((((ET46)*BB46-(EU46)*BS46)+AE46*BS46)*AV46)</f>
        <v>0</v>
      </c>
      <c r="CS46" s="2">
        <f t="shared" si="38"/>
        <v>0</v>
      </c>
      <c r="CT46" s="2">
        <f t="shared" si="39"/>
        <v>0</v>
      </c>
      <c r="CU46" s="2">
        <f t="shared" si="40"/>
        <v>0</v>
      </c>
      <c r="CV46" s="2">
        <f t="shared" si="41"/>
        <v>0</v>
      </c>
      <c r="CW46" s="2">
        <f t="shared" si="42"/>
        <v>0</v>
      </c>
      <c r="CX46" s="2">
        <f t="shared" si="43"/>
        <v>0</v>
      </c>
      <c r="CY46" s="2">
        <f>((S46*BZ46)/100)</f>
        <v>0</v>
      </c>
      <c r="CZ46" s="2">
        <f>((S46*CA46)/100)</f>
        <v>0</v>
      </c>
      <c r="DA46" s="2"/>
      <c r="DB46" s="2"/>
      <c r="DC46" s="2" t="s">
        <v>3</v>
      </c>
      <c r="DD46" s="2" t="s">
        <v>3</v>
      </c>
      <c r="DE46" s="2" t="s">
        <v>3</v>
      </c>
      <c r="DF46" s="2" t="s">
        <v>3</v>
      </c>
      <c r="DG46" s="2" t="s">
        <v>3</v>
      </c>
      <c r="DH46" s="2" t="s">
        <v>3</v>
      </c>
      <c r="DI46" s="2" t="s">
        <v>3</v>
      </c>
      <c r="DJ46" s="2" t="s">
        <v>3</v>
      </c>
      <c r="DK46" s="2" t="s">
        <v>3</v>
      </c>
      <c r="DL46" s="2" t="s">
        <v>3</v>
      </c>
      <c r="DM46" s="2" t="s">
        <v>3</v>
      </c>
      <c r="DN46" s="2">
        <v>0</v>
      </c>
      <c r="DO46" s="2">
        <v>0</v>
      </c>
      <c r="DP46" s="2">
        <v>1</v>
      </c>
      <c r="DQ46" s="2">
        <v>1</v>
      </c>
      <c r="DR46" s="2"/>
      <c r="DS46" s="2"/>
      <c r="DT46" s="2"/>
      <c r="DU46" s="2">
        <v>1010</v>
      </c>
      <c r="DV46" s="2" t="s">
        <v>30</v>
      </c>
      <c r="DW46" s="2" t="s">
        <v>30</v>
      </c>
      <c r="DX46" s="2">
        <v>1</v>
      </c>
      <c r="DY46" s="2"/>
      <c r="DZ46" s="2"/>
      <c r="EA46" s="2"/>
      <c r="EB46" s="2"/>
      <c r="EC46" s="2"/>
      <c r="ED46" s="2"/>
      <c r="EE46" s="2">
        <v>41393046</v>
      </c>
      <c r="EF46" s="2">
        <v>40</v>
      </c>
      <c r="EG46" s="2" t="s">
        <v>23</v>
      </c>
      <c r="EH46" s="2">
        <v>0</v>
      </c>
      <c r="EI46" s="2" t="s">
        <v>3</v>
      </c>
      <c r="EJ46" s="2">
        <v>2</v>
      </c>
      <c r="EK46" s="2">
        <v>317</v>
      </c>
      <c r="EL46" s="2" t="s">
        <v>39</v>
      </c>
      <c r="EM46" s="2" t="s">
        <v>40</v>
      </c>
      <c r="EN46" s="2"/>
      <c r="EO46" s="2" t="s">
        <v>3</v>
      </c>
      <c r="EP46" s="2"/>
      <c r="EQ46" s="2">
        <v>0</v>
      </c>
      <c r="ER46" s="2">
        <v>364.7</v>
      </c>
      <c r="ES46" s="2">
        <v>364.7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>
        <v>0</v>
      </c>
      <c r="FR46" s="2">
        <f t="shared" si="44"/>
        <v>0</v>
      </c>
      <c r="FS46" s="2">
        <v>0</v>
      </c>
      <c r="FT46" s="2"/>
      <c r="FU46" s="2"/>
      <c r="FV46" s="2"/>
      <c r="FW46" s="2"/>
      <c r="FX46" s="2">
        <v>114</v>
      </c>
      <c r="FY46" s="2">
        <v>67</v>
      </c>
      <c r="FZ46" s="2"/>
      <c r="GA46" s="2" t="s">
        <v>3</v>
      </c>
      <c r="GB46" s="2"/>
      <c r="GC46" s="2"/>
      <c r="GD46" s="2">
        <v>1</v>
      </c>
      <c r="GE46" s="2"/>
      <c r="GF46" s="2">
        <v>-856326276</v>
      </c>
      <c r="GG46" s="2">
        <v>2</v>
      </c>
      <c r="GH46" s="2">
        <v>0</v>
      </c>
      <c r="GI46" s="2">
        <v>-2</v>
      </c>
      <c r="GJ46" s="2">
        <v>0</v>
      </c>
      <c r="GK46" s="2">
        <v>0</v>
      </c>
      <c r="GL46" s="2">
        <f t="shared" si="45"/>
        <v>0</v>
      </c>
      <c r="GM46" s="2">
        <f>ROUND(O46+X46+Y46,2)+GX46</f>
        <v>364.7</v>
      </c>
      <c r="GN46" s="2">
        <f>IF(OR(BI46=0,BI46=1),ROUND(O46+X46+Y46,2),0)</f>
        <v>0</v>
      </c>
      <c r="GO46" s="2">
        <f>IF(BI46=2,ROUND(O46+X46+Y46,2),0)</f>
        <v>364.7</v>
      </c>
      <c r="GP46" s="2">
        <f>IF(BI46=4,ROUND(O46+X46+Y46,2)+GX46,0)</f>
        <v>0</v>
      </c>
      <c r="GQ46" s="2"/>
      <c r="GR46" s="2">
        <v>0</v>
      </c>
      <c r="GS46" s="2">
        <v>0</v>
      </c>
      <c r="GT46" s="2">
        <v>0</v>
      </c>
      <c r="GU46" s="2" t="s">
        <v>3</v>
      </c>
      <c r="GV46" s="2">
        <f t="shared" si="46"/>
        <v>0</v>
      </c>
      <c r="GW46" s="2">
        <v>1</v>
      </c>
      <c r="GX46" s="2">
        <f t="shared" si="47"/>
        <v>0</v>
      </c>
      <c r="GY46" s="2"/>
      <c r="GZ46" s="2"/>
      <c r="HA46" s="2">
        <v>0</v>
      </c>
      <c r="HB46" s="2">
        <v>0</v>
      </c>
      <c r="HC46" s="2">
        <f t="shared" si="48"/>
        <v>0</v>
      </c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>
        <v>0</v>
      </c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 spans="1:255" x14ac:dyDescent="0.2">
      <c r="A47">
        <v>18</v>
      </c>
      <c r="B47">
        <v>1</v>
      </c>
      <c r="C47">
        <v>20</v>
      </c>
      <c r="E47" t="s">
        <v>65</v>
      </c>
      <c r="F47" t="s">
        <v>28</v>
      </c>
      <c r="G47" t="s">
        <v>66</v>
      </c>
      <c r="H47" t="s">
        <v>30</v>
      </c>
      <c r="I47">
        <f>I45*J47</f>
        <v>1</v>
      </c>
      <c r="J47">
        <v>1</v>
      </c>
      <c r="O47">
        <f t="shared" si="21"/>
        <v>73.540000000000006</v>
      </c>
      <c r="P47">
        <f t="shared" si="22"/>
        <v>73.540000000000006</v>
      </c>
      <c r="Q47">
        <f t="shared" si="23"/>
        <v>0</v>
      </c>
      <c r="R47">
        <f t="shared" si="24"/>
        <v>0</v>
      </c>
      <c r="S47">
        <f t="shared" si="25"/>
        <v>0</v>
      </c>
      <c r="T47">
        <f t="shared" si="26"/>
        <v>0</v>
      </c>
      <c r="U47">
        <f t="shared" si="27"/>
        <v>0</v>
      </c>
      <c r="V47">
        <f t="shared" si="28"/>
        <v>0</v>
      </c>
      <c r="W47">
        <f t="shared" si="29"/>
        <v>0</v>
      </c>
      <c r="X47">
        <f t="shared" si="30"/>
        <v>0</v>
      </c>
      <c r="Y47">
        <f t="shared" si="31"/>
        <v>0</v>
      </c>
      <c r="AA47">
        <v>42119679</v>
      </c>
      <c r="AB47">
        <f t="shared" si="32"/>
        <v>13.72</v>
      </c>
      <c r="AC47">
        <f t="shared" si="33"/>
        <v>13.72</v>
      </c>
      <c r="AD47">
        <f>ROUND((((ET47)-(EU47))+AE47),6)</f>
        <v>0</v>
      </c>
      <c r="AE47">
        <f>ROUND((EU47),6)</f>
        <v>0</v>
      </c>
      <c r="AF47">
        <f>ROUND((EV47),6)</f>
        <v>0</v>
      </c>
      <c r="AG47">
        <f t="shared" si="34"/>
        <v>0</v>
      </c>
      <c r="AH47">
        <f>(EW47)</f>
        <v>0</v>
      </c>
      <c r="AI47">
        <f>(EX47)</f>
        <v>0</v>
      </c>
      <c r="AJ47">
        <f t="shared" si="35"/>
        <v>0</v>
      </c>
      <c r="AK47">
        <v>13.719999999999999</v>
      </c>
      <c r="AL47">
        <v>13.719999999999999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1</v>
      </c>
      <c r="AW47">
        <v>1</v>
      </c>
      <c r="AZ47">
        <v>1</v>
      </c>
      <c r="BA47">
        <v>1</v>
      </c>
      <c r="BB47">
        <v>1</v>
      </c>
      <c r="BC47">
        <v>5.36</v>
      </c>
      <c r="BD47" t="s">
        <v>3</v>
      </c>
      <c r="BE47" t="s">
        <v>3</v>
      </c>
      <c r="BF47" t="s">
        <v>3</v>
      </c>
      <c r="BG47" t="s">
        <v>3</v>
      </c>
      <c r="BH47">
        <v>3</v>
      </c>
      <c r="BI47">
        <v>2</v>
      </c>
      <c r="BJ47" t="s">
        <v>3</v>
      </c>
      <c r="BM47">
        <v>317</v>
      </c>
      <c r="BN47">
        <v>0</v>
      </c>
      <c r="BO47" t="s">
        <v>3</v>
      </c>
      <c r="BP47">
        <v>0</v>
      </c>
      <c r="BQ47">
        <v>40</v>
      </c>
      <c r="BR47">
        <v>0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3</v>
      </c>
      <c r="BZ47">
        <v>0</v>
      </c>
      <c r="CA47">
        <v>0</v>
      </c>
      <c r="CE47">
        <v>0</v>
      </c>
      <c r="CF47">
        <v>0</v>
      </c>
      <c r="CG47">
        <v>0</v>
      </c>
      <c r="CM47">
        <v>0</v>
      </c>
      <c r="CN47" t="s">
        <v>3</v>
      </c>
      <c r="CO47">
        <v>0</v>
      </c>
      <c r="CP47">
        <f t="shared" si="36"/>
        <v>73.540000000000006</v>
      </c>
      <c r="CQ47">
        <f t="shared" si="37"/>
        <v>73.539200000000008</v>
      </c>
      <c r="CR47">
        <f>((((ET47)*BB47-(EU47)*BS47)+AE47*BS47)*AV47)</f>
        <v>0</v>
      </c>
      <c r="CS47">
        <f t="shared" si="38"/>
        <v>0</v>
      </c>
      <c r="CT47">
        <f t="shared" si="39"/>
        <v>0</v>
      </c>
      <c r="CU47">
        <f t="shared" si="40"/>
        <v>0</v>
      </c>
      <c r="CV47">
        <f t="shared" si="41"/>
        <v>0</v>
      </c>
      <c r="CW47">
        <f t="shared" si="42"/>
        <v>0</v>
      </c>
      <c r="CX47">
        <f t="shared" si="43"/>
        <v>0</v>
      </c>
      <c r="CY47">
        <f>S47*(BZ47/100)</f>
        <v>0</v>
      </c>
      <c r="CZ47">
        <f>S47*(CA47/100)</f>
        <v>0</v>
      </c>
      <c r="DC47" t="s">
        <v>3</v>
      </c>
      <c r="DD47" t="s">
        <v>3</v>
      </c>
      <c r="DE47" t="s">
        <v>3</v>
      </c>
      <c r="DF47" t="s">
        <v>3</v>
      </c>
      <c r="DG47" t="s">
        <v>3</v>
      </c>
      <c r="DH47" t="s">
        <v>3</v>
      </c>
      <c r="DI47" t="s">
        <v>3</v>
      </c>
      <c r="DJ47" t="s">
        <v>3</v>
      </c>
      <c r="DK47" t="s">
        <v>3</v>
      </c>
      <c r="DL47" t="s">
        <v>3</v>
      </c>
      <c r="DM47" t="s">
        <v>3</v>
      </c>
      <c r="DN47">
        <v>114</v>
      </c>
      <c r="DO47">
        <v>67</v>
      </c>
      <c r="DP47">
        <v>1</v>
      </c>
      <c r="DQ47">
        <v>1</v>
      </c>
      <c r="DU47">
        <v>1010</v>
      </c>
      <c r="DV47" t="s">
        <v>30</v>
      </c>
      <c r="DW47" t="s">
        <v>30</v>
      </c>
      <c r="DX47">
        <v>1</v>
      </c>
      <c r="EE47">
        <v>41393046</v>
      </c>
      <c r="EF47">
        <v>40</v>
      </c>
      <c r="EG47" t="s">
        <v>23</v>
      </c>
      <c r="EH47">
        <v>0</v>
      </c>
      <c r="EI47" t="s">
        <v>3</v>
      </c>
      <c r="EJ47">
        <v>2</v>
      </c>
      <c r="EK47">
        <v>317</v>
      </c>
      <c r="EL47" t="s">
        <v>39</v>
      </c>
      <c r="EM47" t="s">
        <v>40</v>
      </c>
      <c r="EO47" t="s">
        <v>3</v>
      </c>
      <c r="EQ47">
        <v>0</v>
      </c>
      <c r="ER47">
        <v>13.719999999999999</v>
      </c>
      <c r="ES47">
        <v>13.719999999999999</v>
      </c>
      <c r="ET47">
        <v>0</v>
      </c>
      <c r="EU47">
        <v>0</v>
      </c>
      <c r="EV47">
        <v>0</v>
      </c>
      <c r="EW47">
        <v>0</v>
      </c>
      <c r="EX47">
        <v>0</v>
      </c>
      <c r="EZ47">
        <v>5</v>
      </c>
      <c r="FC47">
        <v>1</v>
      </c>
      <c r="FD47">
        <v>18</v>
      </c>
      <c r="FF47">
        <v>86.51</v>
      </c>
      <c r="FQ47">
        <v>0</v>
      </c>
      <c r="FR47">
        <f t="shared" si="44"/>
        <v>0</v>
      </c>
      <c r="FS47">
        <v>0</v>
      </c>
      <c r="FX47">
        <v>114</v>
      </c>
      <c r="FY47">
        <v>67</v>
      </c>
      <c r="GA47" t="s">
        <v>67</v>
      </c>
      <c r="GD47">
        <v>0</v>
      </c>
      <c r="GF47">
        <v>-856326276</v>
      </c>
      <c r="GG47">
        <v>2</v>
      </c>
      <c r="GH47">
        <v>3</v>
      </c>
      <c r="GI47">
        <v>5</v>
      </c>
      <c r="GJ47">
        <v>0</v>
      </c>
      <c r="GK47">
        <f>ROUND(R47*(S12)/100,2)</f>
        <v>0</v>
      </c>
      <c r="GL47">
        <f t="shared" si="45"/>
        <v>0</v>
      </c>
      <c r="GM47">
        <f>ROUND(O47+X47+Y47+GK47,2)+GX47</f>
        <v>73.540000000000006</v>
      </c>
      <c r="GN47">
        <f>IF(OR(BI47=0,BI47=1),ROUND(O47+X47+Y47+GK47,2),0)</f>
        <v>0</v>
      </c>
      <c r="GO47">
        <f>IF(BI47=2,ROUND(O47+X47+Y47+GK47,2),0)</f>
        <v>73.540000000000006</v>
      </c>
      <c r="GP47">
        <f>IF(BI47=4,ROUND(O47+X47+Y47+GK47,2)+GX47,0)</f>
        <v>0</v>
      </c>
      <c r="GR47">
        <v>1</v>
      </c>
      <c r="GS47">
        <v>1</v>
      </c>
      <c r="GT47">
        <v>0</v>
      </c>
      <c r="GU47" t="s">
        <v>3</v>
      </c>
      <c r="GV47">
        <f t="shared" si="46"/>
        <v>0</v>
      </c>
      <c r="GW47">
        <v>1</v>
      </c>
      <c r="GX47">
        <f t="shared" si="47"/>
        <v>0</v>
      </c>
      <c r="HA47">
        <v>0</v>
      </c>
      <c r="HB47">
        <v>0</v>
      </c>
      <c r="HC47">
        <f t="shared" si="48"/>
        <v>0</v>
      </c>
      <c r="IK47">
        <v>0</v>
      </c>
    </row>
    <row r="48" spans="1:255" x14ac:dyDescent="0.2">
      <c r="A48" s="2">
        <v>17</v>
      </c>
      <c r="B48" s="2">
        <v>1</v>
      </c>
      <c r="C48" s="2">
        <f>ROW(SmtRes!A22)</f>
        <v>22</v>
      </c>
      <c r="D48" s="2">
        <f>ROW(EtalonRes!A11)</f>
        <v>11</v>
      </c>
      <c r="E48" s="2" t="s">
        <v>68</v>
      </c>
      <c r="F48" s="2" t="s">
        <v>69</v>
      </c>
      <c r="G48" s="2" t="s">
        <v>70</v>
      </c>
      <c r="H48" s="2" t="s">
        <v>19</v>
      </c>
      <c r="I48" s="2">
        <v>1</v>
      </c>
      <c r="J48" s="2">
        <v>0</v>
      </c>
      <c r="K48" s="2"/>
      <c r="L48" s="2"/>
      <c r="M48" s="2"/>
      <c r="N48" s="2"/>
      <c r="O48" s="2">
        <f t="shared" si="21"/>
        <v>44.7</v>
      </c>
      <c r="P48" s="2">
        <f t="shared" si="22"/>
        <v>15.47</v>
      </c>
      <c r="Q48" s="2">
        <f t="shared" si="23"/>
        <v>7.09</v>
      </c>
      <c r="R48" s="2">
        <f t="shared" si="24"/>
        <v>0.47</v>
      </c>
      <c r="S48" s="2">
        <f t="shared" si="25"/>
        <v>22.14</v>
      </c>
      <c r="T48" s="2">
        <f t="shared" si="26"/>
        <v>0</v>
      </c>
      <c r="U48" s="2">
        <f t="shared" si="27"/>
        <v>1.7721499999999997</v>
      </c>
      <c r="V48" s="2">
        <f t="shared" si="28"/>
        <v>0</v>
      </c>
      <c r="W48" s="2">
        <f t="shared" si="29"/>
        <v>0</v>
      </c>
      <c r="X48" s="2">
        <f t="shared" si="30"/>
        <v>25.24</v>
      </c>
      <c r="Y48" s="2">
        <f t="shared" si="31"/>
        <v>14.83</v>
      </c>
      <c r="Z48" s="2"/>
      <c r="AA48" s="2">
        <v>42119681</v>
      </c>
      <c r="AB48" s="2">
        <f t="shared" si="32"/>
        <v>44.695525000000004</v>
      </c>
      <c r="AC48" s="2">
        <f t="shared" si="33"/>
        <v>15.47</v>
      </c>
      <c r="AD48" s="2">
        <f>ROUND((((((ET48*1.25)*1.15))-(((EU48*1.25)*1.15)))+AE48),6)</f>
        <v>7.086875</v>
      </c>
      <c r="AE48" s="2">
        <f>ROUND((((EU48*1.25)*1.15)),6)</f>
        <v>0.47437499999999999</v>
      </c>
      <c r="AF48" s="2">
        <f>ROUND((((EV48*1.15)*1.15)),6)</f>
        <v>22.138649999999998</v>
      </c>
      <c r="AG48" s="2">
        <f t="shared" si="34"/>
        <v>0</v>
      </c>
      <c r="AH48" s="2">
        <f>(((EW48*1.15)*1.15))</f>
        <v>1.7721499999999997</v>
      </c>
      <c r="AI48" s="2">
        <f>(((EX48*1.25)*1.15))</f>
        <v>0</v>
      </c>
      <c r="AJ48" s="2">
        <f t="shared" si="35"/>
        <v>0</v>
      </c>
      <c r="AK48" s="2">
        <v>37.14</v>
      </c>
      <c r="AL48" s="2">
        <v>15.47</v>
      </c>
      <c r="AM48" s="2">
        <v>4.93</v>
      </c>
      <c r="AN48" s="2">
        <v>0.33</v>
      </c>
      <c r="AO48" s="2">
        <v>16.739999999999998</v>
      </c>
      <c r="AP48" s="2">
        <v>0</v>
      </c>
      <c r="AQ48" s="2">
        <v>1.34</v>
      </c>
      <c r="AR48" s="2">
        <v>0</v>
      </c>
      <c r="AS48" s="2">
        <v>0</v>
      </c>
      <c r="AT48" s="2">
        <v>114</v>
      </c>
      <c r="AU48" s="2">
        <v>67</v>
      </c>
      <c r="AV48" s="2">
        <v>1</v>
      </c>
      <c r="AW48" s="2">
        <v>1</v>
      </c>
      <c r="AX48" s="2"/>
      <c r="AY48" s="2"/>
      <c r="AZ48" s="2">
        <v>1</v>
      </c>
      <c r="BA48" s="2">
        <v>1</v>
      </c>
      <c r="BB48" s="2">
        <v>1</v>
      </c>
      <c r="BC48" s="2">
        <v>1</v>
      </c>
      <c r="BD48" s="2" t="s">
        <v>3</v>
      </c>
      <c r="BE48" s="2" t="s">
        <v>3</v>
      </c>
      <c r="BF48" s="2" t="s">
        <v>3</v>
      </c>
      <c r="BG48" s="2" t="s">
        <v>3</v>
      </c>
      <c r="BH48" s="2">
        <v>0</v>
      </c>
      <c r="BI48" s="2">
        <v>2</v>
      </c>
      <c r="BJ48" s="2" t="s">
        <v>71</v>
      </c>
      <c r="BK48" s="2"/>
      <c r="BL48" s="2"/>
      <c r="BM48" s="2">
        <v>333</v>
      </c>
      <c r="BN48" s="2">
        <v>0</v>
      </c>
      <c r="BO48" s="2" t="s">
        <v>3</v>
      </c>
      <c r="BP48" s="2">
        <v>0</v>
      </c>
      <c r="BQ48" s="2">
        <v>40</v>
      </c>
      <c r="BR48" s="2">
        <v>0</v>
      </c>
      <c r="BS48" s="2">
        <v>1</v>
      </c>
      <c r="BT48" s="2">
        <v>1</v>
      </c>
      <c r="BU48" s="2">
        <v>1</v>
      </c>
      <c r="BV48" s="2">
        <v>1</v>
      </c>
      <c r="BW48" s="2">
        <v>1</v>
      </c>
      <c r="BX48" s="2">
        <v>1</v>
      </c>
      <c r="BY48" s="2" t="s">
        <v>3</v>
      </c>
      <c r="BZ48" s="2">
        <v>114</v>
      </c>
      <c r="CA48" s="2">
        <v>67</v>
      </c>
      <c r="CB48" s="2"/>
      <c r="CC48" s="2"/>
      <c r="CD48" s="2"/>
      <c r="CE48" s="2">
        <v>0</v>
      </c>
      <c r="CF48" s="2">
        <v>0</v>
      </c>
      <c r="CG48" s="2">
        <v>0</v>
      </c>
      <c r="CH48" s="2"/>
      <c r="CI48" s="2"/>
      <c r="CJ48" s="2"/>
      <c r="CK48" s="2"/>
      <c r="CL48" s="2"/>
      <c r="CM48" s="2">
        <v>0</v>
      </c>
      <c r="CN48" s="2" t="s">
        <v>225</v>
      </c>
      <c r="CO48" s="2">
        <v>0</v>
      </c>
      <c r="CP48" s="2">
        <f t="shared" si="36"/>
        <v>44.7</v>
      </c>
      <c r="CQ48" s="2">
        <f t="shared" si="37"/>
        <v>15.47</v>
      </c>
      <c r="CR48" s="2">
        <f>((((((ET48*1.25)*1.15))*BB48-(((EU48*1.25)*1.15))*BS48)+AE48*BS48)*AV48)</f>
        <v>7.0868749999999991</v>
      </c>
      <c r="CS48" s="2">
        <f t="shared" si="38"/>
        <v>0.47437499999999999</v>
      </c>
      <c r="CT48" s="2">
        <f t="shared" si="39"/>
        <v>22.138649999999998</v>
      </c>
      <c r="CU48" s="2">
        <f t="shared" si="40"/>
        <v>0</v>
      </c>
      <c r="CV48" s="2">
        <f t="shared" si="41"/>
        <v>1.7721499999999997</v>
      </c>
      <c r="CW48" s="2">
        <f t="shared" si="42"/>
        <v>0</v>
      </c>
      <c r="CX48" s="2">
        <f t="shared" si="43"/>
        <v>0</v>
      </c>
      <c r="CY48" s="2">
        <f>((S48*BZ48)/100)</f>
        <v>25.239599999999999</v>
      </c>
      <c r="CZ48" s="2">
        <f>((S48*CA48)/100)</f>
        <v>14.833800000000002</v>
      </c>
      <c r="DA48" s="2"/>
      <c r="DB48" s="2"/>
      <c r="DC48" s="2" t="s">
        <v>3</v>
      </c>
      <c r="DD48" s="2" t="s">
        <v>3</v>
      </c>
      <c r="DE48" s="2" t="s">
        <v>21</v>
      </c>
      <c r="DF48" s="2" t="s">
        <v>21</v>
      </c>
      <c r="DG48" s="2" t="s">
        <v>22</v>
      </c>
      <c r="DH48" s="2" t="s">
        <v>3</v>
      </c>
      <c r="DI48" s="2" t="s">
        <v>22</v>
      </c>
      <c r="DJ48" s="2" t="s">
        <v>21</v>
      </c>
      <c r="DK48" s="2" t="s">
        <v>3</v>
      </c>
      <c r="DL48" s="2" t="s">
        <v>3</v>
      </c>
      <c r="DM48" s="2" t="s">
        <v>3</v>
      </c>
      <c r="DN48" s="2">
        <v>0</v>
      </c>
      <c r="DO48" s="2">
        <v>0</v>
      </c>
      <c r="DP48" s="2">
        <v>1</v>
      </c>
      <c r="DQ48" s="2">
        <v>1</v>
      </c>
      <c r="DR48" s="2"/>
      <c r="DS48" s="2"/>
      <c r="DT48" s="2"/>
      <c r="DU48" s="2">
        <v>1013</v>
      </c>
      <c r="DV48" s="2" t="s">
        <v>19</v>
      </c>
      <c r="DW48" s="2" t="s">
        <v>19</v>
      </c>
      <c r="DX48" s="2">
        <v>1</v>
      </c>
      <c r="DY48" s="2"/>
      <c r="DZ48" s="2"/>
      <c r="EA48" s="2"/>
      <c r="EB48" s="2"/>
      <c r="EC48" s="2"/>
      <c r="ED48" s="2"/>
      <c r="EE48" s="2">
        <v>41393062</v>
      </c>
      <c r="EF48" s="2">
        <v>40</v>
      </c>
      <c r="EG48" s="2" t="s">
        <v>23</v>
      </c>
      <c r="EH48" s="2">
        <v>0</v>
      </c>
      <c r="EI48" s="2" t="s">
        <v>3</v>
      </c>
      <c r="EJ48" s="2">
        <v>2</v>
      </c>
      <c r="EK48" s="2">
        <v>333</v>
      </c>
      <c r="EL48" s="2" t="s">
        <v>63</v>
      </c>
      <c r="EM48" s="2" t="s">
        <v>64</v>
      </c>
      <c r="EN48" s="2"/>
      <c r="EO48" s="2" t="s">
        <v>26</v>
      </c>
      <c r="EP48" s="2"/>
      <c r="EQ48" s="2">
        <v>0</v>
      </c>
      <c r="ER48" s="2">
        <v>37.14</v>
      </c>
      <c r="ES48" s="2">
        <v>15.47</v>
      </c>
      <c r="ET48" s="2">
        <v>4.93</v>
      </c>
      <c r="EU48" s="2">
        <v>0.33</v>
      </c>
      <c r="EV48" s="2">
        <v>16.739999999999998</v>
      </c>
      <c r="EW48" s="2">
        <v>1.34</v>
      </c>
      <c r="EX48" s="2">
        <v>0</v>
      </c>
      <c r="EY48" s="2">
        <v>0</v>
      </c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>
        <v>0</v>
      </c>
      <c r="FR48" s="2">
        <f t="shared" si="44"/>
        <v>0</v>
      </c>
      <c r="FS48" s="2">
        <v>0</v>
      </c>
      <c r="FT48" s="2"/>
      <c r="FU48" s="2"/>
      <c r="FV48" s="2"/>
      <c r="FW48" s="2"/>
      <c r="FX48" s="2">
        <v>114</v>
      </c>
      <c r="FY48" s="2">
        <v>67</v>
      </c>
      <c r="FZ48" s="2"/>
      <c r="GA48" s="2" t="s">
        <v>3</v>
      </c>
      <c r="GB48" s="2"/>
      <c r="GC48" s="2"/>
      <c r="GD48" s="2">
        <v>1</v>
      </c>
      <c r="GE48" s="2"/>
      <c r="GF48" s="2">
        <v>1296312545</v>
      </c>
      <c r="GG48" s="2">
        <v>2</v>
      </c>
      <c r="GH48" s="2">
        <v>1</v>
      </c>
      <c r="GI48" s="2">
        <v>-2</v>
      </c>
      <c r="GJ48" s="2">
        <v>0</v>
      </c>
      <c r="GK48" s="2">
        <v>0</v>
      </c>
      <c r="GL48" s="2">
        <f t="shared" si="45"/>
        <v>0</v>
      </c>
      <c r="GM48" s="2">
        <f>ROUND(O48+X48+Y48,2)+GX48</f>
        <v>84.77</v>
      </c>
      <c r="GN48" s="2">
        <f>IF(OR(BI48=0,BI48=1),ROUND(O48+X48+Y48,2),0)</f>
        <v>0</v>
      </c>
      <c r="GO48" s="2">
        <f>IF(BI48=2,ROUND(O48+X48+Y48,2),0)</f>
        <v>84.77</v>
      </c>
      <c r="GP48" s="2">
        <f>IF(BI48=4,ROUND(O48+X48+Y48,2)+GX48,0)</f>
        <v>0</v>
      </c>
      <c r="GQ48" s="2"/>
      <c r="GR48" s="2">
        <v>0</v>
      </c>
      <c r="GS48" s="2">
        <v>3</v>
      </c>
      <c r="GT48" s="2">
        <v>0</v>
      </c>
      <c r="GU48" s="2" t="s">
        <v>3</v>
      </c>
      <c r="GV48" s="2">
        <f t="shared" si="46"/>
        <v>0</v>
      </c>
      <c r="GW48" s="2">
        <v>1</v>
      </c>
      <c r="GX48" s="2">
        <f t="shared" si="47"/>
        <v>0</v>
      </c>
      <c r="GY48" s="2"/>
      <c r="GZ48" s="2"/>
      <c r="HA48" s="2">
        <v>0</v>
      </c>
      <c r="HB48" s="2">
        <v>0</v>
      </c>
      <c r="HC48" s="2">
        <f t="shared" si="48"/>
        <v>0</v>
      </c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>
        <v>0</v>
      </c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255" x14ac:dyDescent="0.2">
      <c r="A49">
        <v>17</v>
      </c>
      <c r="B49">
        <v>1</v>
      </c>
      <c r="C49">
        <f>ROW(SmtRes!A24)</f>
        <v>24</v>
      </c>
      <c r="D49">
        <f>ROW(EtalonRes!A12)</f>
        <v>12</v>
      </c>
      <c r="E49" t="s">
        <v>68</v>
      </c>
      <c r="F49" t="s">
        <v>69</v>
      </c>
      <c r="G49" t="s">
        <v>70</v>
      </c>
      <c r="H49" t="s">
        <v>19</v>
      </c>
      <c r="I49">
        <v>1</v>
      </c>
      <c r="J49">
        <v>0</v>
      </c>
      <c r="O49">
        <f t="shared" si="21"/>
        <v>608.88</v>
      </c>
      <c r="P49">
        <f t="shared" si="22"/>
        <v>83.69</v>
      </c>
      <c r="Q49">
        <f t="shared" si="23"/>
        <v>45</v>
      </c>
      <c r="R49">
        <f t="shared" si="24"/>
        <v>10.29</v>
      </c>
      <c r="S49">
        <f t="shared" si="25"/>
        <v>480.19</v>
      </c>
      <c r="T49">
        <f t="shared" si="26"/>
        <v>0</v>
      </c>
      <c r="U49">
        <f t="shared" si="27"/>
        <v>1.7721499999999997</v>
      </c>
      <c r="V49">
        <f t="shared" si="28"/>
        <v>0</v>
      </c>
      <c r="W49">
        <f t="shared" si="29"/>
        <v>0</v>
      </c>
      <c r="X49">
        <f t="shared" si="30"/>
        <v>369.75</v>
      </c>
      <c r="Y49">
        <f t="shared" si="31"/>
        <v>196.88</v>
      </c>
      <c r="AA49">
        <v>42119679</v>
      </c>
      <c r="AB49">
        <f t="shared" si="32"/>
        <v>44.695525000000004</v>
      </c>
      <c r="AC49">
        <f t="shared" si="33"/>
        <v>15.47</v>
      </c>
      <c r="AD49">
        <f>ROUND((((((ET49*1.25)*1.15))-(((EU49*1.25)*1.15)))+AE49),6)</f>
        <v>7.086875</v>
      </c>
      <c r="AE49">
        <f>ROUND((((EU49*1.25)*1.15)),6)</f>
        <v>0.47437499999999999</v>
      </c>
      <c r="AF49">
        <f>ROUND((((EV49*1.15)*1.15)),6)</f>
        <v>22.138649999999998</v>
      </c>
      <c r="AG49">
        <f t="shared" si="34"/>
        <v>0</v>
      </c>
      <c r="AH49">
        <f>(((EW49*1.15)*1.15))</f>
        <v>1.7721499999999997</v>
      </c>
      <c r="AI49">
        <f>(((EX49*1.25)*1.15))</f>
        <v>0</v>
      </c>
      <c r="AJ49">
        <f t="shared" si="35"/>
        <v>0</v>
      </c>
      <c r="AK49">
        <v>37.14</v>
      </c>
      <c r="AL49">
        <v>15.47</v>
      </c>
      <c r="AM49">
        <v>4.93</v>
      </c>
      <c r="AN49">
        <v>0.33</v>
      </c>
      <c r="AO49">
        <v>16.739999999999998</v>
      </c>
      <c r="AP49">
        <v>0</v>
      </c>
      <c r="AQ49">
        <v>1.34</v>
      </c>
      <c r="AR49">
        <v>0</v>
      </c>
      <c r="AS49">
        <v>0</v>
      </c>
      <c r="AT49">
        <v>77</v>
      </c>
      <c r="AU49">
        <v>41</v>
      </c>
      <c r="AV49">
        <v>1</v>
      </c>
      <c r="AW49">
        <v>1</v>
      </c>
      <c r="AZ49">
        <v>1</v>
      </c>
      <c r="BA49">
        <v>21.69</v>
      </c>
      <c r="BB49">
        <v>6.35</v>
      </c>
      <c r="BC49">
        <v>5.41</v>
      </c>
      <c r="BD49" t="s">
        <v>3</v>
      </c>
      <c r="BE49" t="s">
        <v>3</v>
      </c>
      <c r="BF49" t="s">
        <v>3</v>
      </c>
      <c r="BG49" t="s">
        <v>3</v>
      </c>
      <c r="BH49">
        <v>0</v>
      </c>
      <c r="BI49">
        <v>2</v>
      </c>
      <c r="BJ49" t="s">
        <v>71</v>
      </c>
      <c r="BM49">
        <v>333</v>
      </c>
      <c r="BN49">
        <v>0</v>
      </c>
      <c r="BO49" t="s">
        <v>69</v>
      </c>
      <c r="BP49">
        <v>1</v>
      </c>
      <c r="BQ49">
        <v>40</v>
      </c>
      <c r="BR49">
        <v>0</v>
      </c>
      <c r="BS49">
        <v>21.69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3</v>
      </c>
      <c r="BZ49">
        <v>77</v>
      </c>
      <c r="CA49">
        <v>41</v>
      </c>
      <c r="CE49">
        <v>0</v>
      </c>
      <c r="CF49">
        <v>0</v>
      </c>
      <c r="CG49">
        <v>0</v>
      </c>
      <c r="CM49">
        <v>0</v>
      </c>
      <c r="CN49" t="s">
        <v>225</v>
      </c>
      <c r="CO49">
        <v>0</v>
      </c>
      <c r="CP49">
        <f t="shared" si="36"/>
        <v>608.88</v>
      </c>
      <c r="CQ49">
        <f t="shared" si="37"/>
        <v>83.692700000000002</v>
      </c>
      <c r="CR49">
        <f>((((((ET49*1.25)*1.15))*BB49-(((EU49*1.25)*1.15))*BS49)+AE49*BS49)*AV49)</f>
        <v>45.001656249999989</v>
      </c>
      <c r="CS49">
        <f t="shared" si="38"/>
        <v>10.289193750000001</v>
      </c>
      <c r="CT49">
        <f t="shared" si="39"/>
        <v>480.1873185</v>
      </c>
      <c r="CU49">
        <f t="shared" si="40"/>
        <v>0</v>
      </c>
      <c r="CV49">
        <f t="shared" si="41"/>
        <v>1.7721499999999997</v>
      </c>
      <c r="CW49">
        <f t="shared" si="42"/>
        <v>0</v>
      </c>
      <c r="CX49">
        <f t="shared" si="43"/>
        <v>0</v>
      </c>
      <c r="CY49">
        <f>S49*(BZ49/100)</f>
        <v>369.74630000000002</v>
      </c>
      <c r="CZ49">
        <f>S49*(CA49/100)</f>
        <v>196.87789999999998</v>
      </c>
      <c r="DC49" t="s">
        <v>3</v>
      </c>
      <c r="DD49" t="s">
        <v>3</v>
      </c>
      <c r="DE49" t="s">
        <v>21</v>
      </c>
      <c r="DF49" t="s">
        <v>21</v>
      </c>
      <c r="DG49" t="s">
        <v>22</v>
      </c>
      <c r="DH49" t="s">
        <v>3</v>
      </c>
      <c r="DI49" t="s">
        <v>22</v>
      </c>
      <c r="DJ49" t="s">
        <v>21</v>
      </c>
      <c r="DK49" t="s">
        <v>3</v>
      </c>
      <c r="DL49" t="s">
        <v>3</v>
      </c>
      <c r="DM49" t="s">
        <v>3</v>
      </c>
      <c r="DN49">
        <v>114</v>
      </c>
      <c r="DO49">
        <v>67</v>
      </c>
      <c r="DP49">
        <v>1</v>
      </c>
      <c r="DQ49">
        <v>1</v>
      </c>
      <c r="DU49">
        <v>1013</v>
      </c>
      <c r="DV49" t="s">
        <v>19</v>
      </c>
      <c r="DW49" t="s">
        <v>19</v>
      </c>
      <c r="DX49">
        <v>1</v>
      </c>
      <c r="EE49">
        <v>41393062</v>
      </c>
      <c r="EF49">
        <v>40</v>
      </c>
      <c r="EG49" t="s">
        <v>23</v>
      </c>
      <c r="EH49">
        <v>0</v>
      </c>
      <c r="EI49" t="s">
        <v>3</v>
      </c>
      <c r="EJ49">
        <v>2</v>
      </c>
      <c r="EK49">
        <v>333</v>
      </c>
      <c r="EL49" t="s">
        <v>63</v>
      </c>
      <c r="EM49" t="s">
        <v>64</v>
      </c>
      <c r="EO49" t="s">
        <v>26</v>
      </c>
      <c r="EQ49">
        <v>0</v>
      </c>
      <c r="ER49">
        <v>37.14</v>
      </c>
      <c r="ES49">
        <v>15.47</v>
      </c>
      <c r="ET49">
        <v>4.93</v>
      </c>
      <c r="EU49">
        <v>0.33</v>
      </c>
      <c r="EV49">
        <v>16.739999999999998</v>
      </c>
      <c r="EW49">
        <v>1.34</v>
      </c>
      <c r="EX49">
        <v>0</v>
      </c>
      <c r="EY49">
        <v>0</v>
      </c>
      <c r="FQ49">
        <v>0</v>
      </c>
      <c r="FR49">
        <f t="shared" si="44"/>
        <v>0</v>
      </c>
      <c r="FS49">
        <v>0</v>
      </c>
      <c r="FX49">
        <v>114</v>
      </c>
      <c r="FY49">
        <v>67</v>
      </c>
      <c r="GA49" t="s">
        <v>3</v>
      </c>
      <c r="GD49">
        <v>0</v>
      </c>
      <c r="GF49">
        <v>1296312545</v>
      </c>
      <c r="GG49">
        <v>2</v>
      </c>
      <c r="GH49">
        <v>1</v>
      </c>
      <c r="GI49">
        <v>2</v>
      </c>
      <c r="GJ49">
        <v>0</v>
      </c>
      <c r="GK49">
        <f>ROUND(R49*(S12)/100,2)</f>
        <v>16.16</v>
      </c>
      <c r="GL49">
        <f t="shared" si="45"/>
        <v>0</v>
      </c>
      <c r="GM49">
        <f>ROUND(O49+X49+Y49+GK49,2)+GX49</f>
        <v>1191.67</v>
      </c>
      <c r="GN49">
        <f>IF(OR(BI49=0,BI49=1),ROUND(O49+X49+Y49+GK49,2),0)</f>
        <v>0</v>
      </c>
      <c r="GO49">
        <f>IF(BI49=2,ROUND(O49+X49+Y49+GK49,2),0)</f>
        <v>1191.67</v>
      </c>
      <c r="GP49">
        <f>IF(BI49=4,ROUND(O49+X49+Y49+GK49,2)+GX49,0)</f>
        <v>0</v>
      </c>
      <c r="GR49">
        <v>0</v>
      </c>
      <c r="GS49">
        <v>3</v>
      </c>
      <c r="GT49">
        <v>0</v>
      </c>
      <c r="GU49" t="s">
        <v>3</v>
      </c>
      <c r="GV49">
        <f t="shared" si="46"/>
        <v>0</v>
      </c>
      <c r="GW49">
        <v>1</v>
      </c>
      <c r="GX49">
        <f t="shared" si="47"/>
        <v>0</v>
      </c>
      <c r="HA49">
        <v>0</v>
      </c>
      <c r="HB49">
        <v>0</v>
      </c>
      <c r="HC49">
        <f t="shared" si="48"/>
        <v>0</v>
      </c>
      <c r="IK49">
        <v>0</v>
      </c>
    </row>
    <row r="50" spans="1:255" x14ac:dyDescent="0.2">
      <c r="A50" s="2">
        <v>18</v>
      </c>
      <c r="B50" s="2">
        <v>1</v>
      </c>
      <c r="C50" s="2">
        <v>22</v>
      </c>
      <c r="D50" s="2"/>
      <c r="E50" s="2" t="s">
        <v>72</v>
      </c>
      <c r="F50" s="2" t="s">
        <v>73</v>
      </c>
      <c r="G50" s="2" t="s">
        <v>74</v>
      </c>
      <c r="H50" s="2" t="s">
        <v>30</v>
      </c>
      <c r="I50" s="2">
        <f>I48*J50</f>
        <v>1</v>
      </c>
      <c r="J50" s="2">
        <v>1</v>
      </c>
      <c r="K50" s="2"/>
      <c r="L50" s="2"/>
      <c r="M50" s="2"/>
      <c r="N50" s="2"/>
      <c r="O50" s="2">
        <f t="shared" si="21"/>
        <v>36.020000000000003</v>
      </c>
      <c r="P50" s="2">
        <f t="shared" si="22"/>
        <v>36.020000000000003</v>
      </c>
      <c r="Q50" s="2">
        <f t="shared" si="23"/>
        <v>0</v>
      </c>
      <c r="R50" s="2">
        <f t="shared" si="24"/>
        <v>0</v>
      </c>
      <c r="S50" s="2">
        <f t="shared" si="25"/>
        <v>0</v>
      </c>
      <c r="T50" s="2">
        <f t="shared" si="26"/>
        <v>0</v>
      </c>
      <c r="U50" s="2">
        <f t="shared" si="27"/>
        <v>0</v>
      </c>
      <c r="V50" s="2">
        <f t="shared" si="28"/>
        <v>0</v>
      </c>
      <c r="W50" s="2">
        <f t="shared" si="29"/>
        <v>0</v>
      </c>
      <c r="X50" s="2">
        <f t="shared" si="30"/>
        <v>0</v>
      </c>
      <c r="Y50" s="2">
        <f t="shared" si="31"/>
        <v>0</v>
      </c>
      <c r="Z50" s="2"/>
      <c r="AA50" s="2">
        <v>42119681</v>
      </c>
      <c r="AB50" s="2">
        <f t="shared" si="32"/>
        <v>36.020000000000003</v>
      </c>
      <c r="AC50" s="2">
        <f t="shared" si="33"/>
        <v>36.020000000000003</v>
      </c>
      <c r="AD50" s="2">
        <f>ROUND((((ET50)-(EU50))+AE50),6)</f>
        <v>0</v>
      </c>
      <c r="AE50" s="2">
        <f>ROUND((EU50),6)</f>
        <v>0</v>
      </c>
      <c r="AF50" s="2">
        <f>ROUND((EV50),6)</f>
        <v>0</v>
      </c>
      <c r="AG50" s="2">
        <f t="shared" si="34"/>
        <v>0</v>
      </c>
      <c r="AH50" s="2">
        <f>(EW50)</f>
        <v>0</v>
      </c>
      <c r="AI50" s="2">
        <f>(EX50)</f>
        <v>0</v>
      </c>
      <c r="AJ50" s="2">
        <f t="shared" si="35"/>
        <v>0</v>
      </c>
      <c r="AK50" s="2">
        <v>36.020000000000003</v>
      </c>
      <c r="AL50" s="2">
        <v>36.020000000000003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114</v>
      </c>
      <c r="AU50" s="2">
        <v>67</v>
      </c>
      <c r="AV50" s="2">
        <v>1</v>
      </c>
      <c r="AW50" s="2">
        <v>1</v>
      </c>
      <c r="AX50" s="2"/>
      <c r="AY50" s="2"/>
      <c r="AZ50" s="2">
        <v>1</v>
      </c>
      <c r="BA50" s="2">
        <v>1</v>
      </c>
      <c r="BB50" s="2">
        <v>1</v>
      </c>
      <c r="BC50" s="2">
        <v>1</v>
      </c>
      <c r="BD50" s="2" t="s">
        <v>3</v>
      </c>
      <c r="BE50" s="2" t="s">
        <v>3</v>
      </c>
      <c r="BF50" s="2" t="s">
        <v>3</v>
      </c>
      <c r="BG50" s="2" t="s">
        <v>3</v>
      </c>
      <c r="BH50" s="2">
        <v>3</v>
      </c>
      <c r="BI50" s="2">
        <v>2</v>
      </c>
      <c r="BJ50" s="2" t="s">
        <v>3</v>
      </c>
      <c r="BK50" s="2"/>
      <c r="BL50" s="2"/>
      <c r="BM50" s="2">
        <v>336</v>
      </c>
      <c r="BN50" s="2">
        <v>0</v>
      </c>
      <c r="BO50" s="2" t="s">
        <v>3</v>
      </c>
      <c r="BP50" s="2">
        <v>0</v>
      </c>
      <c r="BQ50" s="2">
        <v>40</v>
      </c>
      <c r="BR50" s="2">
        <v>0</v>
      </c>
      <c r="BS50" s="2">
        <v>1</v>
      </c>
      <c r="BT50" s="2">
        <v>1</v>
      </c>
      <c r="BU50" s="2">
        <v>1</v>
      </c>
      <c r="BV50" s="2">
        <v>1</v>
      </c>
      <c r="BW50" s="2">
        <v>1</v>
      </c>
      <c r="BX50" s="2">
        <v>1</v>
      </c>
      <c r="BY50" s="2" t="s">
        <v>3</v>
      </c>
      <c r="BZ50" s="2">
        <v>114</v>
      </c>
      <c r="CA50" s="2">
        <v>67</v>
      </c>
      <c r="CB50" s="2"/>
      <c r="CC50" s="2"/>
      <c r="CD50" s="2"/>
      <c r="CE50" s="2">
        <v>0</v>
      </c>
      <c r="CF50" s="2">
        <v>0</v>
      </c>
      <c r="CG50" s="2">
        <v>0</v>
      </c>
      <c r="CH50" s="2"/>
      <c r="CI50" s="2"/>
      <c r="CJ50" s="2"/>
      <c r="CK50" s="2"/>
      <c r="CL50" s="2"/>
      <c r="CM50" s="2">
        <v>0</v>
      </c>
      <c r="CN50" s="2" t="s">
        <v>3</v>
      </c>
      <c r="CO50" s="2">
        <v>0</v>
      </c>
      <c r="CP50" s="2">
        <f t="shared" si="36"/>
        <v>36.020000000000003</v>
      </c>
      <c r="CQ50" s="2">
        <f t="shared" si="37"/>
        <v>36.020000000000003</v>
      </c>
      <c r="CR50" s="2">
        <f>((((ET50)*BB50-(EU50)*BS50)+AE50*BS50)*AV50)</f>
        <v>0</v>
      </c>
      <c r="CS50" s="2">
        <f t="shared" si="38"/>
        <v>0</v>
      </c>
      <c r="CT50" s="2">
        <f t="shared" si="39"/>
        <v>0</v>
      </c>
      <c r="CU50" s="2">
        <f t="shared" si="40"/>
        <v>0</v>
      </c>
      <c r="CV50" s="2">
        <f t="shared" si="41"/>
        <v>0</v>
      </c>
      <c r="CW50" s="2">
        <f t="shared" si="42"/>
        <v>0</v>
      </c>
      <c r="CX50" s="2">
        <f t="shared" si="43"/>
        <v>0</v>
      </c>
      <c r="CY50" s="2">
        <f>((S50*BZ50)/100)</f>
        <v>0</v>
      </c>
      <c r="CZ50" s="2">
        <f>((S50*CA50)/100)</f>
        <v>0</v>
      </c>
      <c r="DA50" s="2"/>
      <c r="DB50" s="2"/>
      <c r="DC50" s="2" t="s">
        <v>3</v>
      </c>
      <c r="DD50" s="2" t="s">
        <v>3</v>
      </c>
      <c r="DE50" s="2" t="s">
        <v>3</v>
      </c>
      <c r="DF50" s="2" t="s">
        <v>3</v>
      </c>
      <c r="DG50" s="2" t="s">
        <v>3</v>
      </c>
      <c r="DH50" s="2" t="s">
        <v>3</v>
      </c>
      <c r="DI50" s="2" t="s">
        <v>3</v>
      </c>
      <c r="DJ50" s="2" t="s">
        <v>3</v>
      </c>
      <c r="DK50" s="2" t="s">
        <v>3</v>
      </c>
      <c r="DL50" s="2" t="s">
        <v>3</v>
      </c>
      <c r="DM50" s="2" t="s">
        <v>3</v>
      </c>
      <c r="DN50" s="2">
        <v>0</v>
      </c>
      <c r="DO50" s="2">
        <v>0</v>
      </c>
      <c r="DP50" s="2">
        <v>1</v>
      </c>
      <c r="DQ50" s="2">
        <v>1</v>
      </c>
      <c r="DR50" s="2"/>
      <c r="DS50" s="2"/>
      <c r="DT50" s="2"/>
      <c r="DU50" s="2">
        <v>1010</v>
      </c>
      <c r="DV50" s="2" t="s">
        <v>30</v>
      </c>
      <c r="DW50" s="2" t="s">
        <v>30</v>
      </c>
      <c r="DX50" s="2">
        <v>1</v>
      </c>
      <c r="DY50" s="2"/>
      <c r="DZ50" s="2"/>
      <c r="EA50" s="2"/>
      <c r="EB50" s="2"/>
      <c r="EC50" s="2"/>
      <c r="ED50" s="2"/>
      <c r="EE50" s="2">
        <v>41393065</v>
      </c>
      <c r="EF50" s="2">
        <v>40</v>
      </c>
      <c r="EG50" s="2" t="s">
        <v>23</v>
      </c>
      <c r="EH50" s="2">
        <v>0</v>
      </c>
      <c r="EI50" s="2" t="s">
        <v>3</v>
      </c>
      <c r="EJ50" s="2">
        <v>2</v>
      </c>
      <c r="EK50" s="2">
        <v>336</v>
      </c>
      <c r="EL50" s="2" t="s">
        <v>24</v>
      </c>
      <c r="EM50" s="2" t="s">
        <v>25</v>
      </c>
      <c r="EN50" s="2"/>
      <c r="EO50" s="2" t="s">
        <v>3</v>
      </c>
      <c r="EP50" s="2"/>
      <c r="EQ50" s="2">
        <v>0</v>
      </c>
      <c r="ER50" s="2">
        <v>0</v>
      </c>
      <c r="ES50" s="2">
        <v>36.020000000000003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>
        <v>0</v>
      </c>
      <c r="FR50" s="2">
        <f t="shared" si="44"/>
        <v>0</v>
      </c>
      <c r="FS50" s="2">
        <v>0</v>
      </c>
      <c r="FT50" s="2"/>
      <c r="FU50" s="2"/>
      <c r="FV50" s="2"/>
      <c r="FW50" s="2"/>
      <c r="FX50" s="2">
        <v>114</v>
      </c>
      <c r="FY50" s="2">
        <v>67</v>
      </c>
      <c r="FZ50" s="2"/>
      <c r="GA50" s="2" t="s">
        <v>3</v>
      </c>
      <c r="GB50" s="2"/>
      <c r="GC50" s="2"/>
      <c r="GD50" s="2">
        <v>1</v>
      </c>
      <c r="GE50" s="2"/>
      <c r="GF50" s="2">
        <v>-79380759</v>
      </c>
      <c r="GG50" s="2">
        <v>2</v>
      </c>
      <c r="GH50" s="2">
        <v>4</v>
      </c>
      <c r="GI50" s="2">
        <v>-2</v>
      </c>
      <c r="GJ50" s="2">
        <v>0</v>
      </c>
      <c r="GK50" s="2">
        <v>0</v>
      </c>
      <c r="GL50" s="2">
        <f t="shared" si="45"/>
        <v>0</v>
      </c>
      <c r="GM50" s="2">
        <f>ROUND(O50+X50+Y50,2)+GX50</f>
        <v>36.020000000000003</v>
      </c>
      <c r="GN50" s="2">
        <f>IF(OR(BI50=0,BI50=1),ROUND(O50+X50+Y50,2),0)</f>
        <v>0</v>
      </c>
      <c r="GO50" s="2">
        <f>IF(BI50=2,ROUND(O50+X50+Y50,2),0)</f>
        <v>36.020000000000003</v>
      </c>
      <c r="GP50" s="2">
        <f>IF(BI50=4,ROUND(O50+X50+Y50,2)+GX50,0)</f>
        <v>0</v>
      </c>
      <c r="GQ50" s="2"/>
      <c r="GR50" s="2">
        <v>0</v>
      </c>
      <c r="GS50" s="2">
        <v>2</v>
      </c>
      <c r="GT50" s="2">
        <v>0</v>
      </c>
      <c r="GU50" s="2" t="s">
        <v>3</v>
      </c>
      <c r="GV50" s="2">
        <f t="shared" si="46"/>
        <v>0</v>
      </c>
      <c r="GW50" s="2">
        <v>1</v>
      </c>
      <c r="GX50" s="2">
        <f t="shared" si="47"/>
        <v>0</v>
      </c>
      <c r="GY50" s="2"/>
      <c r="GZ50" s="2"/>
      <c r="HA50" s="2">
        <v>0</v>
      </c>
      <c r="HB50" s="2">
        <v>0</v>
      </c>
      <c r="HC50" s="2">
        <f t="shared" si="48"/>
        <v>0</v>
      </c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>
        <v>0</v>
      </c>
      <c r="IL50" s="2"/>
      <c r="IM50" s="2"/>
      <c r="IN50" s="2"/>
      <c r="IO50" s="2"/>
      <c r="IP50" s="2"/>
      <c r="IQ50" s="2"/>
      <c r="IR50" s="2"/>
      <c r="IS50" s="2"/>
      <c r="IT50" s="2"/>
      <c r="IU50" s="2"/>
    </row>
    <row r="51" spans="1:255" x14ac:dyDescent="0.2">
      <c r="A51">
        <v>18</v>
      </c>
      <c r="B51">
        <v>1</v>
      </c>
      <c r="C51">
        <v>24</v>
      </c>
      <c r="E51" t="s">
        <v>72</v>
      </c>
      <c r="F51" t="s">
        <v>73</v>
      </c>
      <c r="G51" t="s">
        <v>74</v>
      </c>
      <c r="H51" t="s">
        <v>30</v>
      </c>
      <c r="I51">
        <f>I49*J51</f>
        <v>1</v>
      </c>
      <c r="J51">
        <v>1</v>
      </c>
      <c r="O51">
        <f t="shared" si="21"/>
        <v>382.53</v>
      </c>
      <c r="P51">
        <f t="shared" si="22"/>
        <v>382.53</v>
      </c>
      <c r="Q51">
        <f t="shared" si="23"/>
        <v>0</v>
      </c>
      <c r="R51">
        <f t="shared" si="24"/>
        <v>0</v>
      </c>
      <c r="S51">
        <f t="shared" si="25"/>
        <v>0</v>
      </c>
      <c r="T51">
        <f t="shared" si="26"/>
        <v>0</v>
      </c>
      <c r="U51">
        <f t="shared" si="27"/>
        <v>0</v>
      </c>
      <c r="V51">
        <f t="shared" si="28"/>
        <v>0</v>
      </c>
      <c r="W51">
        <f t="shared" si="29"/>
        <v>0</v>
      </c>
      <c r="X51">
        <f t="shared" si="30"/>
        <v>0</v>
      </c>
      <c r="Y51">
        <f t="shared" si="31"/>
        <v>0</v>
      </c>
      <c r="AA51">
        <v>42119679</v>
      </c>
      <c r="AB51">
        <f t="shared" si="32"/>
        <v>36.020000000000003</v>
      </c>
      <c r="AC51">
        <f t="shared" si="33"/>
        <v>36.020000000000003</v>
      </c>
      <c r="AD51">
        <f>ROUND((((ET51)-(EU51))+AE51),6)</f>
        <v>0</v>
      </c>
      <c r="AE51">
        <f>ROUND((EU51),6)</f>
        <v>0</v>
      </c>
      <c r="AF51">
        <f>ROUND((EV51),6)</f>
        <v>0</v>
      </c>
      <c r="AG51">
        <f t="shared" si="34"/>
        <v>0</v>
      </c>
      <c r="AH51">
        <f>(EW51)</f>
        <v>0</v>
      </c>
      <c r="AI51">
        <f>(EX51)</f>
        <v>0</v>
      </c>
      <c r="AJ51">
        <f t="shared" si="35"/>
        <v>0</v>
      </c>
      <c r="AK51">
        <v>36.020000000000003</v>
      </c>
      <c r="AL51">
        <v>36.020000000000003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1</v>
      </c>
      <c r="AW51">
        <v>1</v>
      </c>
      <c r="AZ51">
        <v>1</v>
      </c>
      <c r="BA51">
        <v>1</v>
      </c>
      <c r="BB51">
        <v>1</v>
      </c>
      <c r="BC51">
        <v>10.62</v>
      </c>
      <c r="BD51" t="s">
        <v>3</v>
      </c>
      <c r="BE51" t="s">
        <v>3</v>
      </c>
      <c r="BF51" t="s">
        <v>3</v>
      </c>
      <c r="BG51" t="s">
        <v>3</v>
      </c>
      <c r="BH51">
        <v>3</v>
      </c>
      <c r="BI51">
        <v>2</v>
      </c>
      <c r="BJ51" t="s">
        <v>3</v>
      </c>
      <c r="BM51">
        <v>336</v>
      </c>
      <c r="BN51">
        <v>0</v>
      </c>
      <c r="BO51" t="s">
        <v>3</v>
      </c>
      <c r="BP51">
        <v>0</v>
      </c>
      <c r="BQ51">
        <v>40</v>
      </c>
      <c r="BR51">
        <v>0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3</v>
      </c>
      <c r="BZ51">
        <v>0</v>
      </c>
      <c r="CA51">
        <v>0</v>
      </c>
      <c r="CE51">
        <v>0</v>
      </c>
      <c r="CF51">
        <v>0</v>
      </c>
      <c r="CG51">
        <v>0</v>
      </c>
      <c r="CM51">
        <v>0</v>
      </c>
      <c r="CN51" t="s">
        <v>3</v>
      </c>
      <c r="CO51">
        <v>0</v>
      </c>
      <c r="CP51">
        <f t="shared" si="36"/>
        <v>382.53</v>
      </c>
      <c r="CQ51">
        <f t="shared" si="37"/>
        <v>382.5324</v>
      </c>
      <c r="CR51">
        <f>((((ET51)*BB51-(EU51)*BS51)+AE51*BS51)*AV51)</f>
        <v>0</v>
      </c>
      <c r="CS51">
        <f t="shared" si="38"/>
        <v>0</v>
      </c>
      <c r="CT51">
        <f t="shared" si="39"/>
        <v>0</v>
      </c>
      <c r="CU51">
        <f t="shared" si="40"/>
        <v>0</v>
      </c>
      <c r="CV51">
        <f t="shared" si="41"/>
        <v>0</v>
      </c>
      <c r="CW51">
        <f t="shared" si="42"/>
        <v>0</v>
      </c>
      <c r="CX51">
        <f t="shared" si="43"/>
        <v>0</v>
      </c>
      <c r="CY51">
        <f>S51*(BZ51/100)</f>
        <v>0</v>
      </c>
      <c r="CZ51">
        <f>S51*(CA51/100)</f>
        <v>0</v>
      </c>
      <c r="DC51" t="s">
        <v>3</v>
      </c>
      <c r="DD51" t="s">
        <v>3</v>
      </c>
      <c r="DE51" t="s">
        <v>3</v>
      </c>
      <c r="DF51" t="s">
        <v>3</v>
      </c>
      <c r="DG51" t="s">
        <v>3</v>
      </c>
      <c r="DH51" t="s">
        <v>3</v>
      </c>
      <c r="DI51" t="s">
        <v>3</v>
      </c>
      <c r="DJ51" t="s">
        <v>3</v>
      </c>
      <c r="DK51" t="s">
        <v>3</v>
      </c>
      <c r="DL51" t="s">
        <v>3</v>
      </c>
      <c r="DM51" t="s">
        <v>3</v>
      </c>
      <c r="DN51">
        <v>114</v>
      </c>
      <c r="DO51">
        <v>67</v>
      </c>
      <c r="DP51">
        <v>1</v>
      </c>
      <c r="DQ51">
        <v>1</v>
      </c>
      <c r="DU51">
        <v>1010</v>
      </c>
      <c r="DV51" t="s">
        <v>30</v>
      </c>
      <c r="DW51" t="s">
        <v>30</v>
      </c>
      <c r="DX51">
        <v>1</v>
      </c>
      <c r="EE51">
        <v>41393065</v>
      </c>
      <c r="EF51">
        <v>40</v>
      </c>
      <c r="EG51" t="s">
        <v>23</v>
      </c>
      <c r="EH51">
        <v>0</v>
      </c>
      <c r="EI51" t="s">
        <v>3</v>
      </c>
      <c r="EJ51">
        <v>2</v>
      </c>
      <c r="EK51">
        <v>336</v>
      </c>
      <c r="EL51" t="s">
        <v>24</v>
      </c>
      <c r="EM51" t="s">
        <v>25</v>
      </c>
      <c r="EO51" t="s">
        <v>3</v>
      </c>
      <c r="EQ51">
        <v>0</v>
      </c>
      <c r="ER51">
        <v>36.020000000000003</v>
      </c>
      <c r="ES51">
        <v>36.020000000000003</v>
      </c>
      <c r="ET51">
        <v>0</v>
      </c>
      <c r="EU51">
        <v>0</v>
      </c>
      <c r="EV51">
        <v>0</v>
      </c>
      <c r="EW51">
        <v>0</v>
      </c>
      <c r="EX51">
        <v>0</v>
      </c>
      <c r="FQ51">
        <v>0</v>
      </c>
      <c r="FR51">
        <f t="shared" si="44"/>
        <v>0</v>
      </c>
      <c r="FS51">
        <v>0</v>
      </c>
      <c r="FX51">
        <v>114</v>
      </c>
      <c r="FY51">
        <v>67</v>
      </c>
      <c r="GA51" t="s">
        <v>44</v>
      </c>
      <c r="GD51">
        <v>0</v>
      </c>
      <c r="GF51">
        <v>-79380759</v>
      </c>
      <c r="GG51">
        <v>2</v>
      </c>
      <c r="GH51">
        <v>0</v>
      </c>
      <c r="GI51">
        <v>3</v>
      </c>
      <c r="GJ51">
        <v>0</v>
      </c>
      <c r="GK51">
        <f>ROUND(R51*(S12)/100,2)</f>
        <v>0</v>
      </c>
      <c r="GL51">
        <f t="shared" si="45"/>
        <v>0</v>
      </c>
      <c r="GM51">
        <f>ROUND(O51+X51+Y51+GK51,2)+GX51</f>
        <v>382.53</v>
      </c>
      <c r="GN51">
        <f>IF(OR(BI51=0,BI51=1),ROUND(O51+X51+Y51+GK51,2),0)</f>
        <v>0</v>
      </c>
      <c r="GO51">
        <f>IF(BI51=2,ROUND(O51+X51+Y51+GK51,2),0)</f>
        <v>382.53</v>
      </c>
      <c r="GP51">
        <f>IF(BI51=4,ROUND(O51+X51+Y51+GK51,2)+GX51,0)</f>
        <v>0</v>
      </c>
      <c r="GR51">
        <v>0</v>
      </c>
      <c r="GS51">
        <v>4</v>
      </c>
      <c r="GT51">
        <v>0</v>
      </c>
      <c r="GU51" t="s">
        <v>3</v>
      </c>
      <c r="GV51">
        <f t="shared" si="46"/>
        <v>0</v>
      </c>
      <c r="GW51">
        <v>1</v>
      </c>
      <c r="GX51">
        <f t="shared" si="47"/>
        <v>0</v>
      </c>
      <c r="HA51">
        <v>0</v>
      </c>
      <c r="HB51">
        <v>0</v>
      </c>
      <c r="HC51">
        <f t="shared" si="48"/>
        <v>0</v>
      </c>
      <c r="IK51">
        <v>0</v>
      </c>
    </row>
    <row r="52" spans="1:255" x14ac:dyDescent="0.2">
      <c r="A52" s="2">
        <v>19</v>
      </c>
      <c r="B52" s="2">
        <v>1</v>
      </c>
      <c r="C52" s="2"/>
      <c r="D52" s="2"/>
      <c r="E52" s="2"/>
      <c r="F52" s="2" t="s">
        <v>3</v>
      </c>
      <c r="G52" s="2" t="s">
        <v>75</v>
      </c>
      <c r="H52" s="2" t="s">
        <v>3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>
        <v>1</v>
      </c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>
        <v>0</v>
      </c>
      <c r="IL52" s="2"/>
      <c r="IM52" s="2"/>
      <c r="IN52" s="2"/>
      <c r="IO52" s="2"/>
      <c r="IP52" s="2"/>
      <c r="IQ52" s="2"/>
      <c r="IR52" s="2"/>
      <c r="IS52" s="2"/>
      <c r="IT52" s="2"/>
      <c r="IU52" s="2"/>
    </row>
    <row r="53" spans="1:255" x14ac:dyDescent="0.2">
      <c r="A53" s="2">
        <v>17</v>
      </c>
      <c r="B53" s="2">
        <v>1</v>
      </c>
      <c r="C53" s="2">
        <f>ROW(SmtRes!A29)</f>
        <v>29</v>
      </c>
      <c r="D53" s="2">
        <f>ROW(EtalonRes!A15)</f>
        <v>15</v>
      </c>
      <c r="E53" s="2" t="s">
        <v>76</v>
      </c>
      <c r="F53" s="2" t="s">
        <v>77</v>
      </c>
      <c r="G53" s="2" t="s">
        <v>78</v>
      </c>
      <c r="H53" s="2" t="s">
        <v>79</v>
      </c>
      <c r="I53" s="2">
        <f>ROUND(200/100,9)</f>
        <v>2</v>
      </c>
      <c r="J53" s="2">
        <v>0</v>
      </c>
      <c r="K53" s="2"/>
      <c r="L53" s="2"/>
      <c r="M53" s="2"/>
      <c r="N53" s="2"/>
      <c r="O53" s="2">
        <f t="shared" ref="O53:O74" si="49">ROUND(CP53,2)</f>
        <v>4255.03</v>
      </c>
      <c r="P53" s="2">
        <f t="shared" ref="P53:P74" si="50">ROUND(CQ53*I53,2)</f>
        <v>2779.06</v>
      </c>
      <c r="Q53" s="2">
        <f t="shared" ref="Q53:Q74" si="51">ROUND(CR53*I53,2)</f>
        <v>88.35</v>
      </c>
      <c r="R53" s="2">
        <f t="shared" ref="R53:R74" si="52">ROUND(CS53*I53,2)</f>
        <v>5</v>
      </c>
      <c r="S53" s="2">
        <f t="shared" ref="S53:S74" si="53">ROUND(CT53*I53,2)</f>
        <v>1387.62</v>
      </c>
      <c r="T53" s="2">
        <f t="shared" ref="T53:T74" si="54">ROUND(CU53*I53,2)</f>
        <v>0</v>
      </c>
      <c r="U53" s="2">
        <f t="shared" ref="U53:U74" si="55">CV53*I53</f>
        <v>102.25569999999998</v>
      </c>
      <c r="V53" s="2">
        <f t="shared" ref="V53:V74" si="56">CW53*I53</f>
        <v>0</v>
      </c>
      <c r="W53" s="2">
        <f t="shared" ref="W53:W74" si="57">ROUND(CX53*I53,2)</f>
        <v>0</v>
      </c>
      <c r="X53" s="2">
        <f t="shared" ref="X53:X74" si="58">ROUND(CY53,2)</f>
        <v>1581.89</v>
      </c>
      <c r="Y53" s="2">
        <f t="shared" ref="Y53:Y74" si="59">ROUND(CZ53,2)</f>
        <v>929.71</v>
      </c>
      <c r="Z53" s="2"/>
      <c r="AA53" s="2">
        <v>42119681</v>
      </c>
      <c r="AB53" s="2">
        <f t="shared" ref="AB53:AB74" si="60">ROUND((AC53+AD53+AF53),6)</f>
        <v>2127.5143250000001</v>
      </c>
      <c r="AC53" s="2">
        <f t="shared" ref="AC53:AC74" si="61">ROUND((ES53),6)</f>
        <v>1389.53</v>
      </c>
      <c r="AD53" s="2">
        <f>ROUND((((((ET53*1.25)*1.15))-(((EU53*1.25)*1.15)))+AE53),6)</f>
        <v>44.174374999999998</v>
      </c>
      <c r="AE53" s="2">
        <f>ROUND((((EU53*1.25)*1.15)),6)</f>
        <v>2.5012500000000002</v>
      </c>
      <c r="AF53" s="2">
        <f>ROUND((((EV53*1.15)*1.15)),6)</f>
        <v>693.80994999999996</v>
      </c>
      <c r="AG53" s="2">
        <f t="shared" ref="AG53:AG74" si="62">ROUND((AP53),6)</f>
        <v>0</v>
      </c>
      <c r="AH53" s="2">
        <f>(((EW53*1.15)*1.15))</f>
        <v>51.127849999999988</v>
      </c>
      <c r="AI53" s="2">
        <f>(((EX53*1.25)*1.15))</f>
        <v>0</v>
      </c>
      <c r="AJ53" s="2">
        <f t="shared" ref="AJ53:AJ74" si="63">(AS53)</f>
        <v>0</v>
      </c>
      <c r="AK53" s="2">
        <v>1944.88</v>
      </c>
      <c r="AL53" s="2">
        <v>1389.53</v>
      </c>
      <c r="AM53" s="2">
        <v>30.73</v>
      </c>
      <c r="AN53" s="2">
        <v>1.74</v>
      </c>
      <c r="AO53" s="2">
        <v>524.62</v>
      </c>
      <c r="AP53" s="2">
        <v>0</v>
      </c>
      <c r="AQ53" s="2">
        <v>38.659999999999997</v>
      </c>
      <c r="AR53" s="2">
        <v>0</v>
      </c>
      <c r="AS53" s="2">
        <v>0</v>
      </c>
      <c r="AT53" s="2">
        <v>114</v>
      </c>
      <c r="AU53" s="2">
        <v>67</v>
      </c>
      <c r="AV53" s="2">
        <v>1</v>
      </c>
      <c r="AW53" s="2">
        <v>1</v>
      </c>
      <c r="AX53" s="2"/>
      <c r="AY53" s="2"/>
      <c r="AZ53" s="2">
        <v>1</v>
      </c>
      <c r="BA53" s="2">
        <v>1</v>
      </c>
      <c r="BB53" s="2">
        <v>1</v>
      </c>
      <c r="BC53" s="2">
        <v>1</v>
      </c>
      <c r="BD53" s="2" t="s">
        <v>3</v>
      </c>
      <c r="BE53" s="2" t="s">
        <v>3</v>
      </c>
      <c r="BF53" s="2" t="s">
        <v>3</v>
      </c>
      <c r="BG53" s="2" t="s">
        <v>3</v>
      </c>
      <c r="BH53" s="2">
        <v>0</v>
      </c>
      <c r="BI53" s="2">
        <v>2</v>
      </c>
      <c r="BJ53" s="2" t="s">
        <v>80</v>
      </c>
      <c r="BK53" s="2"/>
      <c r="BL53" s="2"/>
      <c r="BM53" s="2">
        <v>335</v>
      </c>
      <c r="BN53" s="2">
        <v>0</v>
      </c>
      <c r="BO53" s="2" t="s">
        <v>3</v>
      </c>
      <c r="BP53" s="2">
        <v>0</v>
      </c>
      <c r="BQ53" s="2">
        <v>40</v>
      </c>
      <c r="BR53" s="2">
        <v>0</v>
      </c>
      <c r="BS53" s="2">
        <v>1</v>
      </c>
      <c r="BT53" s="2">
        <v>1</v>
      </c>
      <c r="BU53" s="2">
        <v>1</v>
      </c>
      <c r="BV53" s="2">
        <v>1</v>
      </c>
      <c r="BW53" s="2">
        <v>1</v>
      </c>
      <c r="BX53" s="2">
        <v>1</v>
      </c>
      <c r="BY53" s="2" t="s">
        <v>3</v>
      </c>
      <c r="BZ53" s="2">
        <v>114</v>
      </c>
      <c r="CA53" s="2">
        <v>67</v>
      </c>
      <c r="CB53" s="2"/>
      <c r="CC53" s="2"/>
      <c r="CD53" s="2"/>
      <c r="CE53" s="2">
        <v>0</v>
      </c>
      <c r="CF53" s="2">
        <v>0</v>
      </c>
      <c r="CG53" s="2">
        <v>0</v>
      </c>
      <c r="CH53" s="2"/>
      <c r="CI53" s="2"/>
      <c r="CJ53" s="2"/>
      <c r="CK53" s="2"/>
      <c r="CL53" s="2"/>
      <c r="CM53" s="2">
        <v>0</v>
      </c>
      <c r="CN53" s="2" t="s">
        <v>225</v>
      </c>
      <c r="CO53" s="2">
        <v>0</v>
      </c>
      <c r="CP53" s="2">
        <f t="shared" ref="CP53:CP74" si="64">(P53+Q53+S53)</f>
        <v>4255.03</v>
      </c>
      <c r="CQ53" s="2">
        <f t="shared" ref="CQ53:CQ74" si="65">(AC53*BC53*AW53)</f>
        <v>1389.53</v>
      </c>
      <c r="CR53" s="2">
        <f>((((((ET53*1.25)*1.15))*BB53-(((EU53*1.25)*1.15))*BS53)+AE53*BS53)*AV53)</f>
        <v>44.174374999999998</v>
      </c>
      <c r="CS53" s="2">
        <f t="shared" ref="CS53:CS74" si="66">(AE53*BS53*AV53)</f>
        <v>2.5012500000000002</v>
      </c>
      <c r="CT53" s="2">
        <f t="shared" ref="CT53:CT74" si="67">(AF53*BA53*AV53)</f>
        <v>693.80994999999996</v>
      </c>
      <c r="CU53" s="2">
        <f t="shared" ref="CU53:CU74" si="68">AG53</f>
        <v>0</v>
      </c>
      <c r="CV53" s="2">
        <f t="shared" ref="CV53:CV74" si="69">(AH53*AV53)</f>
        <v>51.127849999999988</v>
      </c>
      <c r="CW53" s="2">
        <f t="shared" ref="CW53:CW74" si="70">AI53</f>
        <v>0</v>
      </c>
      <c r="CX53" s="2">
        <f t="shared" ref="CX53:CX74" si="71">AJ53</f>
        <v>0</v>
      </c>
      <c r="CY53" s="2">
        <f>((S53*BZ53)/100)</f>
        <v>1581.8868</v>
      </c>
      <c r="CZ53" s="2">
        <f>((S53*CA53)/100)</f>
        <v>929.70539999999994</v>
      </c>
      <c r="DA53" s="2"/>
      <c r="DB53" s="2"/>
      <c r="DC53" s="2" t="s">
        <v>3</v>
      </c>
      <c r="DD53" s="2" t="s">
        <v>3</v>
      </c>
      <c r="DE53" s="2" t="s">
        <v>21</v>
      </c>
      <c r="DF53" s="2" t="s">
        <v>21</v>
      </c>
      <c r="DG53" s="2" t="s">
        <v>22</v>
      </c>
      <c r="DH53" s="2" t="s">
        <v>3</v>
      </c>
      <c r="DI53" s="2" t="s">
        <v>22</v>
      </c>
      <c r="DJ53" s="2" t="s">
        <v>21</v>
      </c>
      <c r="DK53" s="2" t="s">
        <v>3</v>
      </c>
      <c r="DL53" s="2" t="s">
        <v>3</v>
      </c>
      <c r="DM53" s="2" t="s">
        <v>3</v>
      </c>
      <c r="DN53" s="2">
        <v>0</v>
      </c>
      <c r="DO53" s="2">
        <v>0</v>
      </c>
      <c r="DP53" s="2">
        <v>1</v>
      </c>
      <c r="DQ53" s="2">
        <v>1</v>
      </c>
      <c r="DR53" s="2"/>
      <c r="DS53" s="2"/>
      <c r="DT53" s="2"/>
      <c r="DU53" s="2">
        <v>1003</v>
      </c>
      <c r="DV53" s="2" t="s">
        <v>79</v>
      </c>
      <c r="DW53" s="2" t="s">
        <v>79</v>
      </c>
      <c r="DX53" s="2">
        <v>100</v>
      </c>
      <c r="DY53" s="2"/>
      <c r="DZ53" s="2"/>
      <c r="EA53" s="2"/>
      <c r="EB53" s="2"/>
      <c r="EC53" s="2"/>
      <c r="ED53" s="2"/>
      <c r="EE53" s="2">
        <v>41393064</v>
      </c>
      <c r="EF53" s="2">
        <v>40</v>
      </c>
      <c r="EG53" s="2" t="s">
        <v>23</v>
      </c>
      <c r="EH53" s="2">
        <v>0</v>
      </c>
      <c r="EI53" s="2" t="s">
        <v>3</v>
      </c>
      <c r="EJ53" s="2">
        <v>2</v>
      </c>
      <c r="EK53" s="2">
        <v>335</v>
      </c>
      <c r="EL53" s="2" t="s">
        <v>81</v>
      </c>
      <c r="EM53" s="2" t="s">
        <v>82</v>
      </c>
      <c r="EN53" s="2"/>
      <c r="EO53" s="2" t="s">
        <v>26</v>
      </c>
      <c r="EP53" s="2"/>
      <c r="EQ53" s="2">
        <v>0</v>
      </c>
      <c r="ER53" s="2">
        <v>1944.88</v>
      </c>
      <c r="ES53" s="2">
        <v>1389.53</v>
      </c>
      <c r="ET53" s="2">
        <v>30.73</v>
      </c>
      <c r="EU53" s="2">
        <v>1.74</v>
      </c>
      <c r="EV53" s="2">
        <v>524.62</v>
      </c>
      <c r="EW53" s="2">
        <v>38.659999999999997</v>
      </c>
      <c r="EX53" s="2">
        <v>0</v>
      </c>
      <c r="EY53" s="2">
        <v>0</v>
      </c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>
        <v>0</v>
      </c>
      <c r="FR53" s="2">
        <f t="shared" ref="FR53:FR74" si="72">ROUND(IF(AND(BH53=3,BI53=3),P53,0),2)</f>
        <v>0</v>
      </c>
      <c r="FS53" s="2">
        <v>0</v>
      </c>
      <c r="FT53" s="2"/>
      <c r="FU53" s="2"/>
      <c r="FV53" s="2"/>
      <c r="FW53" s="2"/>
      <c r="FX53" s="2">
        <v>114</v>
      </c>
      <c r="FY53" s="2">
        <v>67</v>
      </c>
      <c r="FZ53" s="2"/>
      <c r="GA53" s="2" t="s">
        <v>3</v>
      </c>
      <c r="GB53" s="2"/>
      <c r="GC53" s="2"/>
      <c r="GD53" s="2">
        <v>1</v>
      </c>
      <c r="GE53" s="2"/>
      <c r="GF53" s="2">
        <v>874056821</v>
      </c>
      <c r="GG53" s="2">
        <v>2</v>
      </c>
      <c r="GH53" s="2">
        <v>1</v>
      </c>
      <c r="GI53" s="2">
        <v>-2</v>
      </c>
      <c r="GJ53" s="2">
        <v>0</v>
      </c>
      <c r="GK53" s="2">
        <v>0</v>
      </c>
      <c r="GL53" s="2">
        <f t="shared" ref="GL53:GL74" si="73">ROUND(IF(AND(BH53=3,BI53=3,FS53&lt;&gt;0),P53,0),2)</f>
        <v>0</v>
      </c>
      <c r="GM53" s="2">
        <f>ROUND(O53+X53+Y53,2)+GX53</f>
        <v>6766.63</v>
      </c>
      <c r="GN53" s="2">
        <f>IF(OR(BI53=0,BI53=1),ROUND(O53+X53+Y53,2),0)</f>
        <v>0</v>
      </c>
      <c r="GO53" s="2">
        <f>IF(BI53=2,ROUND(O53+X53+Y53,2),0)</f>
        <v>6766.63</v>
      </c>
      <c r="GP53" s="2">
        <f>IF(BI53=4,ROUND(O53+X53+Y53,2)+GX53,0)</f>
        <v>0</v>
      </c>
      <c r="GQ53" s="2"/>
      <c r="GR53" s="2">
        <v>0</v>
      </c>
      <c r="GS53" s="2">
        <v>3</v>
      </c>
      <c r="GT53" s="2">
        <v>0</v>
      </c>
      <c r="GU53" s="2" t="s">
        <v>3</v>
      </c>
      <c r="GV53" s="2">
        <f t="shared" ref="GV53:GV74" si="74">ROUND((GT53),6)</f>
        <v>0</v>
      </c>
      <c r="GW53" s="2">
        <v>1</v>
      </c>
      <c r="GX53" s="2">
        <f t="shared" ref="GX53:GX74" si="75">ROUND(HC53*I53,2)</f>
        <v>0</v>
      </c>
      <c r="GY53" s="2"/>
      <c r="GZ53" s="2"/>
      <c r="HA53" s="2">
        <v>0</v>
      </c>
      <c r="HB53" s="2">
        <v>0</v>
      </c>
      <c r="HC53" s="2">
        <f t="shared" ref="HC53:HC74" si="76">GV53*GW53</f>
        <v>0</v>
      </c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>
        <v>0</v>
      </c>
      <c r="IL53" s="2"/>
      <c r="IM53" s="2"/>
      <c r="IN53" s="2"/>
      <c r="IO53" s="2"/>
      <c r="IP53" s="2"/>
      <c r="IQ53" s="2"/>
      <c r="IR53" s="2"/>
      <c r="IS53" s="2"/>
      <c r="IT53" s="2"/>
      <c r="IU53" s="2"/>
    </row>
    <row r="54" spans="1:255" x14ac:dyDescent="0.2">
      <c r="A54">
        <v>17</v>
      </c>
      <c r="B54">
        <v>1</v>
      </c>
      <c r="C54">
        <f>ROW(SmtRes!A34)</f>
        <v>34</v>
      </c>
      <c r="D54">
        <f>ROW(EtalonRes!A18)</f>
        <v>18</v>
      </c>
      <c r="E54" t="s">
        <v>76</v>
      </c>
      <c r="F54" t="s">
        <v>77</v>
      </c>
      <c r="G54" t="s">
        <v>78</v>
      </c>
      <c r="H54" t="s">
        <v>79</v>
      </c>
      <c r="I54">
        <f>ROUND(200/100,9)</f>
        <v>2</v>
      </c>
      <c r="J54">
        <v>0</v>
      </c>
      <c r="O54">
        <f t="shared" si="49"/>
        <v>45678.19</v>
      </c>
      <c r="P54">
        <f t="shared" si="50"/>
        <v>15034.71</v>
      </c>
      <c r="Q54">
        <f t="shared" si="51"/>
        <v>546</v>
      </c>
      <c r="R54">
        <f t="shared" si="52"/>
        <v>108.5</v>
      </c>
      <c r="S54">
        <f t="shared" si="53"/>
        <v>30097.48</v>
      </c>
      <c r="T54">
        <f t="shared" si="54"/>
        <v>0</v>
      </c>
      <c r="U54">
        <f t="shared" si="55"/>
        <v>102.25569999999998</v>
      </c>
      <c r="V54">
        <f t="shared" si="56"/>
        <v>0</v>
      </c>
      <c r="W54">
        <f t="shared" si="57"/>
        <v>0</v>
      </c>
      <c r="X54">
        <f t="shared" si="58"/>
        <v>23175.06</v>
      </c>
      <c r="Y54">
        <f t="shared" si="59"/>
        <v>12339.97</v>
      </c>
      <c r="AA54">
        <v>42119679</v>
      </c>
      <c r="AB54">
        <f t="shared" si="60"/>
        <v>2127.5143250000001</v>
      </c>
      <c r="AC54">
        <f t="shared" si="61"/>
        <v>1389.53</v>
      </c>
      <c r="AD54">
        <f>ROUND((((((ET54*1.25)*1.15))-(((EU54*1.25)*1.15)))+AE54),6)</f>
        <v>44.174374999999998</v>
      </c>
      <c r="AE54">
        <f>ROUND((((EU54*1.25)*1.15)),6)</f>
        <v>2.5012500000000002</v>
      </c>
      <c r="AF54">
        <f>ROUND((((EV54*1.15)*1.15)),6)</f>
        <v>693.80994999999996</v>
      </c>
      <c r="AG54">
        <f t="shared" si="62"/>
        <v>0</v>
      </c>
      <c r="AH54">
        <f>(((EW54*1.15)*1.15))</f>
        <v>51.127849999999988</v>
      </c>
      <c r="AI54">
        <f>(((EX54*1.25)*1.15))</f>
        <v>0</v>
      </c>
      <c r="AJ54">
        <f t="shared" si="63"/>
        <v>0</v>
      </c>
      <c r="AK54">
        <v>1944.88</v>
      </c>
      <c r="AL54">
        <v>1389.53</v>
      </c>
      <c r="AM54">
        <v>30.73</v>
      </c>
      <c r="AN54">
        <v>1.74</v>
      </c>
      <c r="AO54">
        <v>524.62</v>
      </c>
      <c r="AP54">
        <v>0</v>
      </c>
      <c r="AQ54">
        <v>38.659999999999997</v>
      </c>
      <c r="AR54">
        <v>0</v>
      </c>
      <c r="AS54">
        <v>0</v>
      </c>
      <c r="AT54">
        <v>77</v>
      </c>
      <c r="AU54">
        <v>41</v>
      </c>
      <c r="AV54">
        <v>1</v>
      </c>
      <c r="AW54">
        <v>1</v>
      </c>
      <c r="AZ54">
        <v>1</v>
      </c>
      <c r="BA54">
        <v>21.69</v>
      </c>
      <c r="BB54">
        <v>6.18</v>
      </c>
      <c r="BC54">
        <v>5.41</v>
      </c>
      <c r="BD54" t="s">
        <v>3</v>
      </c>
      <c r="BE54" t="s">
        <v>3</v>
      </c>
      <c r="BF54" t="s">
        <v>3</v>
      </c>
      <c r="BG54" t="s">
        <v>3</v>
      </c>
      <c r="BH54">
        <v>0</v>
      </c>
      <c r="BI54">
        <v>2</v>
      </c>
      <c r="BJ54" t="s">
        <v>80</v>
      </c>
      <c r="BM54">
        <v>335</v>
      </c>
      <c r="BN54">
        <v>0</v>
      </c>
      <c r="BO54" t="s">
        <v>77</v>
      </c>
      <c r="BP54">
        <v>1</v>
      </c>
      <c r="BQ54">
        <v>40</v>
      </c>
      <c r="BR54">
        <v>0</v>
      </c>
      <c r="BS54">
        <v>21.69</v>
      </c>
      <c r="BT54">
        <v>1</v>
      </c>
      <c r="BU54">
        <v>1</v>
      </c>
      <c r="BV54">
        <v>1</v>
      </c>
      <c r="BW54">
        <v>1</v>
      </c>
      <c r="BX54">
        <v>1</v>
      </c>
      <c r="BY54" t="s">
        <v>3</v>
      </c>
      <c r="BZ54">
        <v>77</v>
      </c>
      <c r="CA54">
        <v>41</v>
      </c>
      <c r="CE54">
        <v>0</v>
      </c>
      <c r="CF54">
        <v>0</v>
      </c>
      <c r="CG54">
        <v>0</v>
      </c>
      <c r="CM54">
        <v>0</v>
      </c>
      <c r="CN54" t="s">
        <v>225</v>
      </c>
      <c r="CO54">
        <v>0</v>
      </c>
      <c r="CP54">
        <f t="shared" si="64"/>
        <v>45678.19</v>
      </c>
      <c r="CQ54">
        <f t="shared" si="65"/>
        <v>7517.3572999999997</v>
      </c>
      <c r="CR54">
        <f>((((((ET54*1.25)*1.15))*BB54-(((EU54*1.25)*1.15))*BS54)+AE54*BS54)*AV54)</f>
        <v>272.9976375</v>
      </c>
      <c r="CS54">
        <f t="shared" si="66"/>
        <v>54.25211250000001</v>
      </c>
      <c r="CT54">
        <f t="shared" si="67"/>
        <v>15048.737815500001</v>
      </c>
      <c r="CU54">
        <f t="shared" si="68"/>
        <v>0</v>
      </c>
      <c r="CV54">
        <f t="shared" si="69"/>
        <v>51.127849999999988</v>
      </c>
      <c r="CW54">
        <f t="shared" si="70"/>
        <v>0</v>
      </c>
      <c r="CX54">
        <f t="shared" si="71"/>
        <v>0</v>
      </c>
      <c r="CY54">
        <f>S54*(BZ54/100)</f>
        <v>23175.059600000001</v>
      </c>
      <c r="CZ54">
        <f>S54*(CA54/100)</f>
        <v>12339.966799999998</v>
      </c>
      <c r="DC54" t="s">
        <v>3</v>
      </c>
      <c r="DD54" t="s">
        <v>3</v>
      </c>
      <c r="DE54" t="s">
        <v>21</v>
      </c>
      <c r="DF54" t="s">
        <v>21</v>
      </c>
      <c r="DG54" t="s">
        <v>22</v>
      </c>
      <c r="DH54" t="s">
        <v>3</v>
      </c>
      <c r="DI54" t="s">
        <v>22</v>
      </c>
      <c r="DJ54" t="s">
        <v>21</v>
      </c>
      <c r="DK54" t="s">
        <v>3</v>
      </c>
      <c r="DL54" t="s">
        <v>3</v>
      </c>
      <c r="DM54" t="s">
        <v>3</v>
      </c>
      <c r="DN54">
        <v>114</v>
      </c>
      <c r="DO54">
        <v>67</v>
      </c>
      <c r="DP54">
        <v>1</v>
      </c>
      <c r="DQ54">
        <v>1</v>
      </c>
      <c r="DU54">
        <v>1003</v>
      </c>
      <c r="DV54" t="s">
        <v>79</v>
      </c>
      <c r="DW54" t="s">
        <v>79</v>
      </c>
      <c r="DX54">
        <v>100</v>
      </c>
      <c r="EE54">
        <v>41393064</v>
      </c>
      <c r="EF54">
        <v>40</v>
      </c>
      <c r="EG54" t="s">
        <v>23</v>
      </c>
      <c r="EH54">
        <v>0</v>
      </c>
      <c r="EI54" t="s">
        <v>3</v>
      </c>
      <c r="EJ54">
        <v>2</v>
      </c>
      <c r="EK54">
        <v>335</v>
      </c>
      <c r="EL54" t="s">
        <v>81</v>
      </c>
      <c r="EM54" t="s">
        <v>82</v>
      </c>
      <c r="EO54" t="s">
        <v>26</v>
      </c>
      <c r="EQ54">
        <v>0</v>
      </c>
      <c r="ER54">
        <v>1944.88</v>
      </c>
      <c r="ES54">
        <v>1389.53</v>
      </c>
      <c r="ET54">
        <v>30.73</v>
      </c>
      <c r="EU54">
        <v>1.74</v>
      </c>
      <c r="EV54">
        <v>524.62</v>
      </c>
      <c r="EW54">
        <v>38.659999999999997</v>
      </c>
      <c r="EX54">
        <v>0</v>
      </c>
      <c r="EY54">
        <v>0</v>
      </c>
      <c r="FQ54">
        <v>0</v>
      </c>
      <c r="FR54">
        <f t="shared" si="72"/>
        <v>0</v>
      </c>
      <c r="FS54">
        <v>0</v>
      </c>
      <c r="FX54">
        <v>114</v>
      </c>
      <c r="FY54">
        <v>67</v>
      </c>
      <c r="GA54" t="s">
        <v>3</v>
      </c>
      <c r="GD54">
        <v>0</v>
      </c>
      <c r="GF54">
        <v>874056821</v>
      </c>
      <c r="GG54">
        <v>2</v>
      </c>
      <c r="GH54">
        <v>1</v>
      </c>
      <c r="GI54">
        <v>2</v>
      </c>
      <c r="GJ54">
        <v>0</v>
      </c>
      <c r="GK54">
        <f>ROUND(R54*(S12)/100,2)</f>
        <v>170.35</v>
      </c>
      <c r="GL54">
        <f t="shared" si="73"/>
        <v>0</v>
      </c>
      <c r="GM54">
        <f>ROUND(O54+X54+Y54+GK54,2)+GX54</f>
        <v>81363.570000000007</v>
      </c>
      <c r="GN54">
        <f>IF(OR(BI54=0,BI54=1),ROUND(O54+X54+Y54+GK54,2),0)</f>
        <v>0</v>
      </c>
      <c r="GO54">
        <f>IF(BI54=2,ROUND(O54+X54+Y54+GK54,2),0)</f>
        <v>81363.570000000007</v>
      </c>
      <c r="GP54">
        <f>IF(BI54=4,ROUND(O54+X54+Y54+GK54,2)+GX54,0)</f>
        <v>0</v>
      </c>
      <c r="GR54">
        <v>0</v>
      </c>
      <c r="GS54">
        <v>3</v>
      </c>
      <c r="GT54">
        <v>0</v>
      </c>
      <c r="GU54" t="s">
        <v>3</v>
      </c>
      <c r="GV54">
        <f t="shared" si="74"/>
        <v>0</v>
      </c>
      <c r="GW54">
        <v>1</v>
      </c>
      <c r="GX54">
        <f t="shared" si="75"/>
        <v>0</v>
      </c>
      <c r="HA54">
        <v>0</v>
      </c>
      <c r="HB54">
        <v>0</v>
      </c>
      <c r="HC54">
        <f t="shared" si="76"/>
        <v>0</v>
      </c>
      <c r="IK54">
        <v>0</v>
      </c>
    </row>
    <row r="55" spans="1:255" x14ac:dyDescent="0.2">
      <c r="A55" s="2">
        <v>18</v>
      </c>
      <c r="B55" s="2">
        <v>1</v>
      </c>
      <c r="C55" s="2">
        <v>26</v>
      </c>
      <c r="D55" s="2"/>
      <c r="E55" s="2" t="s">
        <v>83</v>
      </c>
      <c r="F55" s="2" t="s">
        <v>84</v>
      </c>
      <c r="G55" s="2" t="s">
        <v>85</v>
      </c>
      <c r="H55" s="2" t="s">
        <v>86</v>
      </c>
      <c r="I55" s="2">
        <f>I53*J55</f>
        <v>204</v>
      </c>
      <c r="J55" s="2">
        <v>102</v>
      </c>
      <c r="K55" s="2"/>
      <c r="L55" s="2"/>
      <c r="M55" s="2"/>
      <c r="N55" s="2"/>
      <c r="O55" s="2">
        <f t="shared" si="49"/>
        <v>703.8</v>
      </c>
      <c r="P55" s="2">
        <f t="shared" si="50"/>
        <v>703.8</v>
      </c>
      <c r="Q55" s="2">
        <f t="shared" si="51"/>
        <v>0</v>
      </c>
      <c r="R55" s="2">
        <f t="shared" si="52"/>
        <v>0</v>
      </c>
      <c r="S55" s="2">
        <f t="shared" si="53"/>
        <v>0</v>
      </c>
      <c r="T55" s="2">
        <f t="shared" si="54"/>
        <v>0</v>
      </c>
      <c r="U55" s="2">
        <f t="shared" si="55"/>
        <v>0</v>
      </c>
      <c r="V55" s="2">
        <f t="shared" si="56"/>
        <v>0</v>
      </c>
      <c r="W55" s="2">
        <f t="shared" si="57"/>
        <v>0</v>
      </c>
      <c r="X55" s="2">
        <f t="shared" si="58"/>
        <v>0</v>
      </c>
      <c r="Y55" s="2">
        <f t="shared" si="59"/>
        <v>0</v>
      </c>
      <c r="Z55" s="2"/>
      <c r="AA55" s="2">
        <v>42119681</v>
      </c>
      <c r="AB55" s="2">
        <f t="shared" si="60"/>
        <v>3.45</v>
      </c>
      <c r="AC55" s="2">
        <f t="shared" si="61"/>
        <v>3.45</v>
      </c>
      <c r="AD55" s="2">
        <f t="shared" ref="AD55:AD62" si="77">ROUND((((ET55)-(EU55))+AE55),6)</f>
        <v>0</v>
      </c>
      <c r="AE55" s="2">
        <f t="shared" ref="AE55:AF62" si="78">ROUND((EU55),6)</f>
        <v>0</v>
      </c>
      <c r="AF55" s="2">
        <f t="shared" si="78"/>
        <v>0</v>
      </c>
      <c r="AG55" s="2">
        <f t="shared" si="62"/>
        <v>0</v>
      </c>
      <c r="AH55" s="2">
        <f t="shared" ref="AH55:AI62" si="79">(EW55)</f>
        <v>0</v>
      </c>
      <c r="AI55" s="2">
        <f t="shared" si="79"/>
        <v>0</v>
      </c>
      <c r="AJ55" s="2">
        <f t="shared" si="63"/>
        <v>0</v>
      </c>
      <c r="AK55" s="2">
        <v>3.45</v>
      </c>
      <c r="AL55" s="2">
        <v>3.45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114</v>
      </c>
      <c r="AU55" s="2">
        <v>67</v>
      </c>
      <c r="AV55" s="2">
        <v>1</v>
      </c>
      <c r="AW55" s="2">
        <v>1</v>
      </c>
      <c r="AX55" s="2"/>
      <c r="AY55" s="2"/>
      <c r="AZ55" s="2">
        <v>1</v>
      </c>
      <c r="BA55" s="2">
        <v>1</v>
      </c>
      <c r="BB55" s="2">
        <v>1</v>
      </c>
      <c r="BC55" s="2">
        <v>1</v>
      </c>
      <c r="BD55" s="2" t="s">
        <v>3</v>
      </c>
      <c r="BE55" s="2" t="s">
        <v>3</v>
      </c>
      <c r="BF55" s="2" t="s">
        <v>3</v>
      </c>
      <c r="BG55" s="2" t="s">
        <v>3</v>
      </c>
      <c r="BH55" s="2">
        <v>3</v>
      </c>
      <c r="BI55" s="2">
        <v>2</v>
      </c>
      <c r="BJ55" s="2" t="s">
        <v>87</v>
      </c>
      <c r="BK55" s="2"/>
      <c r="BL55" s="2"/>
      <c r="BM55" s="2">
        <v>335</v>
      </c>
      <c r="BN55" s="2">
        <v>0</v>
      </c>
      <c r="BO55" s="2" t="s">
        <v>3</v>
      </c>
      <c r="BP55" s="2">
        <v>0</v>
      </c>
      <c r="BQ55" s="2">
        <v>40</v>
      </c>
      <c r="BR55" s="2">
        <v>0</v>
      </c>
      <c r="BS55" s="2">
        <v>1</v>
      </c>
      <c r="BT55" s="2">
        <v>1</v>
      </c>
      <c r="BU55" s="2">
        <v>1</v>
      </c>
      <c r="BV55" s="2">
        <v>1</v>
      </c>
      <c r="BW55" s="2">
        <v>1</v>
      </c>
      <c r="BX55" s="2">
        <v>1</v>
      </c>
      <c r="BY55" s="2" t="s">
        <v>3</v>
      </c>
      <c r="BZ55" s="2">
        <v>114</v>
      </c>
      <c r="CA55" s="2">
        <v>67</v>
      </c>
      <c r="CB55" s="2"/>
      <c r="CC55" s="2"/>
      <c r="CD55" s="2"/>
      <c r="CE55" s="2">
        <v>0</v>
      </c>
      <c r="CF55" s="2">
        <v>0</v>
      </c>
      <c r="CG55" s="2">
        <v>0</v>
      </c>
      <c r="CH55" s="2"/>
      <c r="CI55" s="2"/>
      <c r="CJ55" s="2"/>
      <c r="CK55" s="2"/>
      <c r="CL55" s="2"/>
      <c r="CM55" s="2">
        <v>0</v>
      </c>
      <c r="CN55" s="2" t="s">
        <v>3</v>
      </c>
      <c r="CO55" s="2">
        <v>0</v>
      </c>
      <c r="CP55" s="2">
        <f t="shared" si="64"/>
        <v>703.8</v>
      </c>
      <c r="CQ55" s="2">
        <f t="shared" si="65"/>
        <v>3.45</v>
      </c>
      <c r="CR55" s="2">
        <f t="shared" ref="CR55:CR62" si="80">((((ET55)*BB55-(EU55)*BS55)+AE55*BS55)*AV55)</f>
        <v>0</v>
      </c>
      <c r="CS55" s="2">
        <f t="shared" si="66"/>
        <v>0</v>
      </c>
      <c r="CT55" s="2">
        <f t="shared" si="67"/>
        <v>0</v>
      </c>
      <c r="CU55" s="2">
        <f t="shared" si="68"/>
        <v>0</v>
      </c>
      <c r="CV55" s="2">
        <f t="shared" si="69"/>
        <v>0</v>
      </c>
      <c r="CW55" s="2">
        <f t="shared" si="70"/>
        <v>0</v>
      </c>
      <c r="CX55" s="2">
        <f t="shared" si="71"/>
        <v>0</v>
      </c>
      <c r="CY55" s="2">
        <f>((S55*BZ55)/100)</f>
        <v>0</v>
      </c>
      <c r="CZ55" s="2">
        <f>((S55*CA55)/100)</f>
        <v>0</v>
      </c>
      <c r="DA55" s="2"/>
      <c r="DB55" s="2"/>
      <c r="DC55" s="2" t="s">
        <v>3</v>
      </c>
      <c r="DD55" s="2" t="s">
        <v>3</v>
      </c>
      <c r="DE55" s="2" t="s">
        <v>3</v>
      </c>
      <c r="DF55" s="2" t="s">
        <v>3</v>
      </c>
      <c r="DG55" s="2" t="s">
        <v>3</v>
      </c>
      <c r="DH55" s="2" t="s">
        <v>3</v>
      </c>
      <c r="DI55" s="2" t="s">
        <v>3</v>
      </c>
      <c r="DJ55" s="2" t="s">
        <v>3</v>
      </c>
      <c r="DK55" s="2" t="s">
        <v>3</v>
      </c>
      <c r="DL55" s="2" t="s">
        <v>3</v>
      </c>
      <c r="DM55" s="2" t="s">
        <v>3</v>
      </c>
      <c r="DN55" s="2">
        <v>0</v>
      </c>
      <c r="DO55" s="2">
        <v>0</v>
      </c>
      <c r="DP55" s="2">
        <v>1</v>
      </c>
      <c r="DQ55" s="2">
        <v>1</v>
      </c>
      <c r="DR55" s="2"/>
      <c r="DS55" s="2"/>
      <c r="DT55" s="2"/>
      <c r="DU55" s="2">
        <v>1003</v>
      </c>
      <c r="DV55" s="2" t="s">
        <v>86</v>
      </c>
      <c r="DW55" s="2" t="s">
        <v>86</v>
      </c>
      <c r="DX55" s="2">
        <v>1</v>
      </c>
      <c r="DY55" s="2"/>
      <c r="DZ55" s="2"/>
      <c r="EA55" s="2"/>
      <c r="EB55" s="2"/>
      <c r="EC55" s="2"/>
      <c r="ED55" s="2"/>
      <c r="EE55" s="2">
        <v>41393064</v>
      </c>
      <c r="EF55" s="2">
        <v>40</v>
      </c>
      <c r="EG55" s="2" t="s">
        <v>23</v>
      </c>
      <c r="EH55" s="2">
        <v>0</v>
      </c>
      <c r="EI55" s="2" t="s">
        <v>3</v>
      </c>
      <c r="EJ55" s="2">
        <v>2</v>
      </c>
      <c r="EK55" s="2">
        <v>335</v>
      </c>
      <c r="EL55" s="2" t="s">
        <v>81</v>
      </c>
      <c r="EM55" s="2" t="s">
        <v>82</v>
      </c>
      <c r="EN55" s="2"/>
      <c r="EO55" s="2" t="s">
        <v>3</v>
      </c>
      <c r="EP55" s="2"/>
      <c r="EQ55" s="2">
        <v>0</v>
      </c>
      <c r="ER55" s="2">
        <v>3.45</v>
      </c>
      <c r="ES55" s="2">
        <v>3.45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>
        <v>0</v>
      </c>
      <c r="FR55" s="2">
        <f t="shared" si="72"/>
        <v>0</v>
      </c>
      <c r="FS55" s="2">
        <v>0</v>
      </c>
      <c r="FT55" s="2"/>
      <c r="FU55" s="2"/>
      <c r="FV55" s="2"/>
      <c r="FW55" s="2"/>
      <c r="FX55" s="2">
        <v>114</v>
      </c>
      <c r="FY55" s="2">
        <v>67</v>
      </c>
      <c r="FZ55" s="2"/>
      <c r="GA55" s="2" t="s">
        <v>3</v>
      </c>
      <c r="GB55" s="2"/>
      <c r="GC55" s="2"/>
      <c r="GD55" s="2">
        <v>1</v>
      </c>
      <c r="GE55" s="2"/>
      <c r="GF55" s="2">
        <v>-1319589642</v>
      </c>
      <c r="GG55" s="2">
        <v>2</v>
      </c>
      <c r="GH55" s="2">
        <v>1</v>
      </c>
      <c r="GI55" s="2">
        <v>-2</v>
      </c>
      <c r="GJ55" s="2">
        <v>0</v>
      </c>
      <c r="GK55" s="2">
        <v>0</v>
      </c>
      <c r="GL55" s="2">
        <f t="shared" si="73"/>
        <v>0</v>
      </c>
      <c r="GM55" s="2">
        <f>ROUND(O55+X55+Y55,2)+GX55</f>
        <v>703.8</v>
      </c>
      <c r="GN55" s="2">
        <f>IF(OR(BI55=0,BI55=1),ROUND(O55+X55+Y55,2),0)</f>
        <v>0</v>
      </c>
      <c r="GO55" s="2">
        <f>IF(BI55=2,ROUND(O55+X55+Y55,2),0)</f>
        <v>703.8</v>
      </c>
      <c r="GP55" s="2">
        <f>IF(BI55=4,ROUND(O55+X55+Y55,2)+GX55,0)</f>
        <v>0</v>
      </c>
      <c r="GQ55" s="2"/>
      <c r="GR55" s="2">
        <v>0</v>
      </c>
      <c r="GS55" s="2">
        <v>3</v>
      </c>
      <c r="GT55" s="2">
        <v>0</v>
      </c>
      <c r="GU55" s="2" t="s">
        <v>3</v>
      </c>
      <c r="GV55" s="2">
        <f t="shared" si="74"/>
        <v>0</v>
      </c>
      <c r="GW55" s="2">
        <v>1</v>
      </c>
      <c r="GX55" s="2">
        <f t="shared" si="75"/>
        <v>0</v>
      </c>
      <c r="GY55" s="2"/>
      <c r="GZ55" s="2"/>
      <c r="HA55" s="2">
        <v>0</v>
      </c>
      <c r="HB55" s="2">
        <v>0</v>
      </c>
      <c r="HC55" s="2">
        <f t="shared" si="76"/>
        <v>0</v>
      </c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>
        <v>0</v>
      </c>
      <c r="IL55" s="2"/>
      <c r="IM55" s="2"/>
      <c r="IN55" s="2"/>
      <c r="IO55" s="2"/>
      <c r="IP55" s="2"/>
      <c r="IQ55" s="2"/>
      <c r="IR55" s="2"/>
      <c r="IS55" s="2"/>
      <c r="IT55" s="2"/>
      <c r="IU55" s="2"/>
    </row>
    <row r="56" spans="1:255" x14ac:dyDescent="0.2">
      <c r="A56">
        <v>18</v>
      </c>
      <c r="B56">
        <v>1</v>
      </c>
      <c r="C56">
        <v>31</v>
      </c>
      <c r="E56" t="s">
        <v>83</v>
      </c>
      <c r="F56" t="s">
        <v>84</v>
      </c>
      <c r="G56" t="s">
        <v>85</v>
      </c>
      <c r="H56" t="s">
        <v>86</v>
      </c>
      <c r="I56">
        <f>I54*J56</f>
        <v>204</v>
      </c>
      <c r="J56">
        <v>102</v>
      </c>
      <c r="O56">
        <f t="shared" si="49"/>
        <v>4412.83</v>
      </c>
      <c r="P56">
        <f t="shared" si="50"/>
        <v>4412.83</v>
      </c>
      <c r="Q56">
        <f t="shared" si="51"/>
        <v>0</v>
      </c>
      <c r="R56">
        <f t="shared" si="52"/>
        <v>0</v>
      </c>
      <c r="S56">
        <f t="shared" si="53"/>
        <v>0</v>
      </c>
      <c r="T56">
        <f t="shared" si="54"/>
        <v>0</v>
      </c>
      <c r="U56">
        <f t="shared" si="55"/>
        <v>0</v>
      </c>
      <c r="V56">
        <f t="shared" si="56"/>
        <v>0</v>
      </c>
      <c r="W56">
        <f t="shared" si="57"/>
        <v>0</v>
      </c>
      <c r="X56">
        <f t="shared" si="58"/>
        <v>0</v>
      </c>
      <c r="Y56">
        <f t="shared" si="59"/>
        <v>0</v>
      </c>
      <c r="AA56">
        <v>42119679</v>
      </c>
      <c r="AB56">
        <f t="shared" si="60"/>
        <v>3.45</v>
      </c>
      <c r="AC56">
        <f t="shared" si="61"/>
        <v>3.45</v>
      </c>
      <c r="AD56">
        <f t="shared" si="77"/>
        <v>0</v>
      </c>
      <c r="AE56">
        <f t="shared" si="78"/>
        <v>0</v>
      </c>
      <c r="AF56">
        <f t="shared" si="78"/>
        <v>0</v>
      </c>
      <c r="AG56">
        <f t="shared" si="62"/>
        <v>0</v>
      </c>
      <c r="AH56">
        <f t="shared" si="79"/>
        <v>0</v>
      </c>
      <c r="AI56">
        <f t="shared" si="79"/>
        <v>0</v>
      </c>
      <c r="AJ56">
        <f t="shared" si="63"/>
        <v>0</v>
      </c>
      <c r="AK56">
        <v>3.45</v>
      </c>
      <c r="AL56">
        <v>3.45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1</v>
      </c>
      <c r="AW56">
        <v>1</v>
      </c>
      <c r="AZ56">
        <v>1</v>
      </c>
      <c r="BA56">
        <v>1</v>
      </c>
      <c r="BB56">
        <v>1</v>
      </c>
      <c r="BC56">
        <v>6.27</v>
      </c>
      <c r="BD56" t="s">
        <v>3</v>
      </c>
      <c r="BE56" t="s">
        <v>3</v>
      </c>
      <c r="BF56" t="s">
        <v>3</v>
      </c>
      <c r="BG56" t="s">
        <v>3</v>
      </c>
      <c r="BH56">
        <v>3</v>
      </c>
      <c r="BI56">
        <v>2</v>
      </c>
      <c r="BJ56" t="s">
        <v>87</v>
      </c>
      <c r="BM56">
        <v>335</v>
      </c>
      <c r="BN56">
        <v>0</v>
      </c>
      <c r="BO56" t="s">
        <v>84</v>
      </c>
      <c r="BP56">
        <v>1</v>
      </c>
      <c r="BQ56">
        <v>40</v>
      </c>
      <c r="BR56">
        <v>0</v>
      </c>
      <c r="BS56">
        <v>1</v>
      </c>
      <c r="BT56">
        <v>1</v>
      </c>
      <c r="BU56">
        <v>1</v>
      </c>
      <c r="BV56">
        <v>1</v>
      </c>
      <c r="BW56">
        <v>1</v>
      </c>
      <c r="BX56">
        <v>1</v>
      </c>
      <c r="BY56" t="s">
        <v>3</v>
      </c>
      <c r="BZ56">
        <v>0</v>
      </c>
      <c r="CA56">
        <v>0</v>
      </c>
      <c r="CE56">
        <v>0</v>
      </c>
      <c r="CF56">
        <v>0</v>
      </c>
      <c r="CG56">
        <v>0</v>
      </c>
      <c r="CM56">
        <v>0</v>
      </c>
      <c r="CN56" t="s">
        <v>3</v>
      </c>
      <c r="CO56">
        <v>0</v>
      </c>
      <c r="CP56">
        <f t="shared" si="64"/>
        <v>4412.83</v>
      </c>
      <c r="CQ56">
        <f t="shared" si="65"/>
        <v>21.631499999999999</v>
      </c>
      <c r="CR56">
        <f t="shared" si="80"/>
        <v>0</v>
      </c>
      <c r="CS56">
        <f t="shared" si="66"/>
        <v>0</v>
      </c>
      <c r="CT56">
        <f t="shared" si="67"/>
        <v>0</v>
      </c>
      <c r="CU56">
        <f t="shared" si="68"/>
        <v>0</v>
      </c>
      <c r="CV56">
        <f t="shared" si="69"/>
        <v>0</v>
      </c>
      <c r="CW56">
        <f t="shared" si="70"/>
        <v>0</v>
      </c>
      <c r="CX56">
        <f t="shared" si="71"/>
        <v>0</v>
      </c>
      <c r="CY56">
        <f>S56*(BZ56/100)</f>
        <v>0</v>
      </c>
      <c r="CZ56">
        <f>S56*(CA56/100)</f>
        <v>0</v>
      </c>
      <c r="DC56" t="s">
        <v>3</v>
      </c>
      <c r="DD56" t="s">
        <v>3</v>
      </c>
      <c r="DE56" t="s">
        <v>3</v>
      </c>
      <c r="DF56" t="s">
        <v>3</v>
      </c>
      <c r="DG56" t="s">
        <v>3</v>
      </c>
      <c r="DH56" t="s">
        <v>3</v>
      </c>
      <c r="DI56" t="s">
        <v>3</v>
      </c>
      <c r="DJ56" t="s">
        <v>3</v>
      </c>
      <c r="DK56" t="s">
        <v>3</v>
      </c>
      <c r="DL56" t="s">
        <v>3</v>
      </c>
      <c r="DM56" t="s">
        <v>3</v>
      </c>
      <c r="DN56">
        <v>114</v>
      </c>
      <c r="DO56">
        <v>67</v>
      </c>
      <c r="DP56">
        <v>1</v>
      </c>
      <c r="DQ56">
        <v>1</v>
      </c>
      <c r="DU56">
        <v>1003</v>
      </c>
      <c r="DV56" t="s">
        <v>86</v>
      </c>
      <c r="DW56" t="s">
        <v>86</v>
      </c>
      <c r="DX56">
        <v>1</v>
      </c>
      <c r="EE56">
        <v>41393064</v>
      </c>
      <c r="EF56">
        <v>40</v>
      </c>
      <c r="EG56" t="s">
        <v>23</v>
      </c>
      <c r="EH56">
        <v>0</v>
      </c>
      <c r="EI56" t="s">
        <v>3</v>
      </c>
      <c r="EJ56">
        <v>2</v>
      </c>
      <c r="EK56">
        <v>335</v>
      </c>
      <c r="EL56" t="s">
        <v>81</v>
      </c>
      <c r="EM56" t="s">
        <v>82</v>
      </c>
      <c r="EO56" t="s">
        <v>3</v>
      </c>
      <c r="EQ56">
        <v>0</v>
      </c>
      <c r="ER56">
        <v>3.45</v>
      </c>
      <c r="ES56">
        <v>3.45</v>
      </c>
      <c r="ET56">
        <v>0</v>
      </c>
      <c r="EU56">
        <v>0</v>
      </c>
      <c r="EV56">
        <v>0</v>
      </c>
      <c r="EW56">
        <v>0</v>
      </c>
      <c r="EX56">
        <v>0</v>
      </c>
      <c r="FQ56">
        <v>0</v>
      </c>
      <c r="FR56">
        <f t="shared" si="72"/>
        <v>0</v>
      </c>
      <c r="FS56">
        <v>0</v>
      </c>
      <c r="FX56">
        <v>114</v>
      </c>
      <c r="FY56">
        <v>67</v>
      </c>
      <c r="GA56" t="s">
        <v>3</v>
      </c>
      <c r="GD56">
        <v>0</v>
      </c>
      <c r="GF56">
        <v>-1319589642</v>
      </c>
      <c r="GG56">
        <v>2</v>
      </c>
      <c r="GH56">
        <v>1</v>
      </c>
      <c r="GI56">
        <v>2</v>
      </c>
      <c r="GJ56">
        <v>0</v>
      </c>
      <c r="GK56">
        <f>ROUND(R56*(S12)/100,2)</f>
        <v>0</v>
      </c>
      <c r="GL56">
        <f t="shared" si="73"/>
        <v>0</v>
      </c>
      <c r="GM56">
        <f>ROUND(O56+X56+Y56+GK56,2)+GX56</f>
        <v>4412.83</v>
      </c>
      <c r="GN56">
        <f>IF(OR(BI56=0,BI56=1),ROUND(O56+X56+Y56+GK56,2),0)</f>
        <v>0</v>
      </c>
      <c r="GO56">
        <f>IF(BI56=2,ROUND(O56+X56+Y56+GK56,2),0)</f>
        <v>4412.83</v>
      </c>
      <c r="GP56">
        <f>IF(BI56=4,ROUND(O56+X56+Y56+GK56,2)+GX56,0)</f>
        <v>0</v>
      </c>
      <c r="GR56">
        <v>0</v>
      </c>
      <c r="GS56">
        <v>3</v>
      </c>
      <c r="GT56">
        <v>0</v>
      </c>
      <c r="GU56" t="s">
        <v>3</v>
      </c>
      <c r="GV56">
        <f t="shared" si="74"/>
        <v>0</v>
      </c>
      <c r="GW56">
        <v>1</v>
      </c>
      <c r="GX56">
        <f t="shared" si="75"/>
        <v>0</v>
      </c>
      <c r="HA56">
        <v>0</v>
      </c>
      <c r="HB56">
        <v>0</v>
      </c>
      <c r="HC56">
        <f t="shared" si="76"/>
        <v>0</v>
      </c>
      <c r="IK56">
        <v>0</v>
      </c>
    </row>
    <row r="57" spans="1:255" x14ac:dyDescent="0.2">
      <c r="A57" s="2">
        <v>18</v>
      </c>
      <c r="B57" s="2">
        <v>1</v>
      </c>
      <c r="C57" s="2">
        <v>28</v>
      </c>
      <c r="D57" s="2"/>
      <c r="E57" s="2" t="s">
        <v>88</v>
      </c>
      <c r="F57" s="2" t="s">
        <v>89</v>
      </c>
      <c r="G57" s="2" t="s">
        <v>90</v>
      </c>
      <c r="H57" s="2" t="s">
        <v>30</v>
      </c>
      <c r="I57" s="2">
        <f>I53*J57</f>
        <v>1</v>
      </c>
      <c r="J57" s="2">
        <v>0.5</v>
      </c>
      <c r="K57" s="2"/>
      <c r="L57" s="2"/>
      <c r="M57" s="2"/>
      <c r="N57" s="2"/>
      <c r="O57" s="2">
        <f t="shared" si="49"/>
        <v>10.96</v>
      </c>
      <c r="P57" s="2">
        <f t="shared" si="50"/>
        <v>10.96</v>
      </c>
      <c r="Q57" s="2">
        <f t="shared" si="51"/>
        <v>0</v>
      </c>
      <c r="R57" s="2">
        <f t="shared" si="52"/>
        <v>0</v>
      </c>
      <c r="S57" s="2">
        <f t="shared" si="53"/>
        <v>0</v>
      </c>
      <c r="T57" s="2">
        <f t="shared" si="54"/>
        <v>0</v>
      </c>
      <c r="U57" s="2">
        <f t="shared" si="55"/>
        <v>0</v>
      </c>
      <c r="V57" s="2">
        <f t="shared" si="56"/>
        <v>0</v>
      </c>
      <c r="W57" s="2">
        <f t="shared" si="57"/>
        <v>0</v>
      </c>
      <c r="X57" s="2">
        <f t="shared" si="58"/>
        <v>0</v>
      </c>
      <c r="Y57" s="2">
        <f t="shared" si="59"/>
        <v>0</v>
      </c>
      <c r="Z57" s="2"/>
      <c r="AA57" s="2">
        <v>42119681</v>
      </c>
      <c r="AB57" s="2">
        <f t="shared" si="60"/>
        <v>10.96</v>
      </c>
      <c r="AC57" s="2">
        <f t="shared" si="61"/>
        <v>10.96</v>
      </c>
      <c r="AD57" s="2">
        <f t="shared" si="77"/>
        <v>0</v>
      </c>
      <c r="AE57" s="2">
        <f t="shared" si="78"/>
        <v>0</v>
      </c>
      <c r="AF57" s="2">
        <f t="shared" si="78"/>
        <v>0</v>
      </c>
      <c r="AG57" s="2">
        <f t="shared" si="62"/>
        <v>0</v>
      </c>
      <c r="AH57" s="2">
        <f t="shared" si="79"/>
        <v>0</v>
      </c>
      <c r="AI57" s="2">
        <f t="shared" si="79"/>
        <v>0</v>
      </c>
      <c r="AJ57" s="2">
        <f t="shared" si="63"/>
        <v>0</v>
      </c>
      <c r="AK57" s="2">
        <v>10.96</v>
      </c>
      <c r="AL57" s="2">
        <v>10.96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114</v>
      </c>
      <c r="AU57" s="2">
        <v>67</v>
      </c>
      <c r="AV57" s="2">
        <v>1</v>
      </c>
      <c r="AW57" s="2">
        <v>1</v>
      </c>
      <c r="AX57" s="2"/>
      <c r="AY57" s="2"/>
      <c r="AZ57" s="2">
        <v>1</v>
      </c>
      <c r="BA57" s="2">
        <v>1</v>
      </c>
      <c r="BB57" s="2">
        <v>1</v>
      </c>
      <c r="BC57" s="2">
        <v>1</v>
      </c>
      <c r="BD57" s="2" t="s">
        <v>3</v>
      </c>
      <c r="BE57" s="2" t="s">
        <v>3</v>
      </c>
      <c r="BF57" s="2" t="s">
        <v>3</v>
      </c>
      <c r="BG57" s="2" t="s">
        <v>3</v>
      </c>
      <c r="BH57" s="2">
        <v>3</v>
      </c>
      <c r="BI57" s="2">
        <v>2</v>
      </c>
      <c r="BJ57" s="2" t="s">
        <v>91</v>
      </c>
      <c r="BK57" s="2"/>
      <c r="BL57" s="2"/>
      <c r="BM57" s="2">
        <v>335</v>
      </c>
      <c r="BN57" s="2">
        <v>0</v>
      </c>
      <c r="BO57" s="2" t="s">
        <v>3</v>
      </c>
      <c r="BP57" s="2">
        <v>0</v>
      </c>
      <c r="BQ57" s="2">
        <v>40</v>
      </c>
      <c r="BR57" s="2">
        <v>0</v>
      </c>
      <c r="BS57" s="2">
        <v>1</v>
      </c>
      <c r="BT57" s="2">
        <v>1</v>
      </c>
      <c r="BU57" s="2">
        <v>1</v>
      </c>
      <c r="BV57" s="2">
        <v>1</v>
      </c>
      <c r="BW57" s="2">
        <v>1</v>
      </c>
      <c r="BX57" s="2">
        <v>1</v>
      </c>
      <c r="BY57" s="2" t="s">
        <v>3</v>
      </c>
      <c r="BZ57" s="2">
        <v>114</v>
      </c>
      <c r="CA57" s="2">
        <v>67</v>
      </c>
      <c r="CB57" s="2"/>
      <c r="CC57" s="2"/>
      <c r="CD57" s="2"/>
      <c r="CE57" s="2">
        <v>0</v>
      </c>
      <c r="CF57" s="2">
        <v>0</v>
      </c>
      <c r="CG57" s="2">
        <v>0</v>
      </c>
      <c r="CH57" s="2"/>
      <c r="CI57" s="2"/>
      <c r="CJ57" s="2"/>
      <c r="CK57" s="2"/>
      <c r="CL57" s="2"/>
      <c r="CM57" s="2">
        <v>0</v>
      </c>
      <c r="CN57" s="2" t="s">
        <v>3</v>
      </c>
      <c r="CO57" s="2">
        <v>0</v>
      </c>
      <c r="CP57" s="2">
        <f t="shared" si="64"/>
        <v>10.96</v>
      </c>
      <c r="CQ57" s="2">
        <f t="shared" si="65"/>
        <v>10.96</v>
      </c>
      <c r="CR57" s="2">
        <f t="shared" si="80"/>
        <v>0</v>
      </c>
      <c r="CS57" s="2">
        <f t="shared" si="66"/>
        <v>0</v>
      </c>
      <c r="CT57" s="2">
        <f t="shared" si="67"/>
        <v>0</v>
      </c>
      <c r="CU57" s="2">
        <f t="shared" si="68"/>
        <v>0</v>
      </c>
      <c r="CV57" s="2">
        <f t="shared" si="69"/>
        <v>0</v>
      </c>
      <c r="CW57" s="2">
        <f t="shared" si="70"/>
        <v>0</v>
      </c>
      <c r="CX57" s="2">
        <f t="shared" si="71"/>
        <v>0</v>
      </c>
      <c r="CY57" s="2">
        <f>((S57*BZ57)/100)</f>
        <v>0</v>
      </c>
      <c r="CZ57" s="2">
        <f>((S57*CA57)/100)</f>
        <v>0</v>
      </c>
      <c r="DA57" s="2"/>
      <c r="DB57" s="2"/>
      <c r="DC57" s="2" t="s">
        <v>3</v>
      </c>
      <c r="DD57" s="2" t="s">
        <v>3</v>
      </c>
      <c r="DE57" s="2" t="s">
        <v>3</v>
      </c>
      <c r="DF57" s="2" t="s">
        <v>3</v>
      </c>
      <c r="DG57" s="2" t="s">
        <v>3</v>
      </c>
      <c r="DH57" s="2" t="s">
        <v>3</v>
      </c>
      <c r="DI57" s="2" t="s">
        <v>3</v>
      </c>
      <c r="DJ57" s="2" t="s">
        <v>3</v>
      </c>
      <c r="DK57" s="2" t="s">
        <v>3</v>
      </c>
      <c r="DL57" s="2" t="s">
        <v>3</v>
      </c>
      <c r="DM57" s="2" t="s">
        <v>3</v>
      </c>
      <c r="DN57" s="2">
        <v>0</v>
      </c>
      <c r="DO57" s="2">
        <v>0</v>
      </c>
      <c r="DP57" s="2">
        <v>1</v>
      </c>
      <c r="DQ57" s="2">
        <v>1</v>
      </c>
      <c r="DR57" s="2"/>
      <c r="DS57" s="2"/>
      <c r="DT57" s="2"/>
      <c r="DU57" s="2">
        <v>1010</v>
      </c>
      <c r="DV57" s="2" t="s">
        <v>30</v>
      </c>
      <c r="DW57" s="2" t="s">
        <v>30</v>
      </c>
      <c r="DX57" s="2">
        <v>1</v>
      </c>
      <c r="DY57" s="2"/>
      <c r="DZ57" s="2"/>
      <c r="EA57" s="2"/>
      <c r="EB57" s="2"/>
      <c r="EC57" s="2"/>
      <c r="ED57" s="2"/>
      <c r="EE57" s="2">
        <v>41393064</v>
      </c>
      <c r="EF57" s="2">
        <v>40</v>
      </c>
      <c r="EG57" s="2" t="s">
        <v>23</v>
      </c>
      <c r="EH57" s="2">
        <v>0</v>
      </c>
      <c r="EI57" s="2" t="s">
        <v>3</v>
      </c>
      <c r="EJ57" s="2">
        <v>2</v>
      </c>
      <c r="EK57" s="2">
        <v>335</v>
      </c>
      <c r="EL57" s="2" t="s">
        <v>81</v>
      </c>
      <c r="EM57" s="2" t="s">
        <v>82</v>
      </c>
      <c r="EN57" s="2"/>
      <c r="EO57" s="2" t="s">
        <v>3</v>
      </c>
      <c r="EP57" s="2"/>
      <c r="EQ57" s="2">
        <v>0</v>
      </c>
      <c r="ER57" s="2">
        <v>10.96</v>
      </c>
      <c r="ES57" s="2">
        <v>10.96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>
        <v>0</v>
      </c>
      <c r="FR57" s="2">
        <f t="shared" si="72"/>
        <v>0</v>
      </c>
      <c r="FS57" s="2">
        <v>0</v>
      </c>
      <c r="FT57" s="2"/>
      <c r="FU57" s="2"/>
      <c r="FV57" s="2"/>
      <c r="FW57" s="2"/>
      <c r="FX57" s="2">
        <v>114</v>
      </c>
      <c r="FY57" s="2">
        <v>67</v>
      </c>
      <c r="FZ57" s="2"/>
      <c r="GA57" s="2" t="s">
        <v>3</v>
      </c>
      <c r="GB57" s="2"/>
      <c r="GC57" s="2"/>
      <c r="GD57" s="2">
        <v>1</v>
      </c>
      <c r="GE57" s="2"/>
      <c r="GF57" s="2">
        <v>6169889</v>
      </c>
      <c r="GG57" s="2">
        <v>2</v>
      </c>
      <c r="GH57" s="2">
        <v>1</v>
      </c>
      <c r="GI57" s="2">
        <v>-2</v>
      </c>
      <c r="GJ57" s="2">
        <v>0</v>
      </c>
      <c r="GK57" s="2">
        <v>0</v>
      </c>
      <c r="GL57" s="2">
        <f t="shared" si="73"/>
        <v>0</v>
      </c>
      <c r="GM57" s="2">
        <f>ROUND(O57+X57+Y57,2)+GX57</f>
        <v>10.96</v>
      </c>
      <c r="GN57" s="2">
        <f>IF(OR(BI57=0,BI57=1),ROUND(O57+X57+Y57,2),0)</f>
        <v>0</v>
      </c>
      <c r="GO57" s="2">
        <f>IF(BI57=2,ROUND(O57+X57+Y57,2),0)</f>
        <v>10.96</v>
      </c>
      <c r="GP57" s="2">
        <f>IF(BI57=4,ROUND(O57+X57+Y57,2)+GX57,0)</f>
        <v>0</v>
      </c>
      <c r="GQ57" s="2"/>
      <c r="GR57" s="2">
        <v>0</v>
      </c>
      <c r="GS57" s="2">
        <v>3</v>
      </c>
      <c r="GT57" s="2">
        <v>0</v>
      </c>
      <c r="GU57" s="2" t="s">
        <v>3</v>
      </c>
      <c r="GV57" s="2">
        <f t="shared" si="74"/>
        <v>0</v>
      </c>
      <c r="GW57" s="2">
        <v>1</v>
      </c>
      <c r="GX57" s="2">
        <f t="shared" si="75"/>
        <v>0</v>
      </c>
      <c r="GY57" s="2"/>
      <c r="GZ57" s="2"/>
      <c r="HA57" s="2">
        <v>0</v>
      </c>
      <c r="HB57" s="2">
        <v>0</v>
      </c>
      <c r="HC57" s="2">
        <f t="shared" si="76"/>
        <v>0</v>
      </c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>
        <v>0</v>
      </c>
      <c r="IL57" s="2"/>
      <c r="IM57" s="2"/>
      <c r="IN57" s="2"/>
      <c r="IO57" s="2"/>
      <c r="IP57" s="2"/>
      <c r="IQ57" s="2"/>
      <c r="IR57" s="2"/>
      <c r="IS57" s="2"/>
      <c r="IT57" s="2"/>
      <c r="IU57" s="2"/>
    </row>
    <row r="58" spans="1:255" x14ac:dyDescent="0.2">
      <c r="A58">
        <v>18</v>
      </c>
      <c r="B58">
        <v>1</v>
      </c>
      <c r="C58">
        <v>33</v>
      </c>
      <c r="E58" t="s">
        <v>88</v>
      </c>
      <c r="F58" t="s">
        <v>89</v>
      </c>
      <c r="G58" t="s">
        <v>90</v>
      </c>
      <c r="H58" t="s">
        <v>30</v>
      </c>
      <c r="I58">
        <f>I54*J58</f>
        <v>1</v>
      </c>
      <c r="J58">
        <v>0.5</v>
      </c>
      <c r="O58">
        <f t="shared" si="49"/>
        <v>22.25</v>
      </c>
      <c r="P58">
        <f t="shared" si="50"/>
        <v>22.25</v>
      </c>
      <c r="Q58">
        <f t="shared" si="51"/>
        <v>0</v>
      </c>
      <c r="R58">
        <f t="shared" si="52"/>
        <v>0</v>
      </c>
      <c r="S58">
        <f t="shared" si="53"/>
        <v>0</v>
      </c>
      <c r="T58">
        <f t="shared" si="54"/>
        <v>0</v>
      </c>
      <c r="U58">
        <f t="shared" si="55"/>
        <v>0</v>
      </c>
      <c r="V58">
        <f t="shared" si="56"/>
        <v>0</v>
      </c>
      <c r="W58">
        <f t="shared" si="57"/>
        <v>0</v>
      </c>
      <c r="X58">
        <f t="shared" si="58"/>
        <v>0</v>
      </c>
      <c r="Y58">
        <f t="shared" si="59"/>
        <v>0</v>
      </c>
      <c r="AA58">
        <v>42119679</v>
      </c>
      <c r="AB58">
        <f t="shared" si="60"/>
        <v>10.96</v>
      </c>
      <c r="AC58">
        <f t="shared" si="61"/>
        <v>10.96</v>
      </c>
      <c r="AD58">
        <f t="shared" si="77"/>
        <v>0</v>
      </c>
      <c r="AE58">
        <f t="shared" si="78"/>
        <v>0</v>
      </c>
      <c r="AF58">
        <f t="shared" si="78"/>
        <v>0</v>
      </c>
      <c r="AG58">
        <f t="shared" si="62"/>
        <v>0</v>
      </c>
      <c r="AH58">
        <f t="shared" si="79"/>
        <v>0</v>
      </c>
      <c r="AI58">
        <f t="shared" si="79"/>
        <v>0</v>
      </c>
      <c r="AJ58">
        <f t="shared" si="63"/>
        <v>0</v>
      </c>
      <c r="AK58">
        <v>10.96</v>
      </c>
      <c r="AL58">
        <v>10.96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1</v>
      </c>
      <c r="AW58">
        <v>1</v>
      </c>
      <c r="AZ58">
        <v>1</v>
      </c>
      <c r="BA58">
        <v>1</v>
      </c>
      <c r="BB58">
        <v>1</v>
      </c>
      <c r="BC58">
        <v>2.0299999999999998</v>
      </c>
      <c r="BD58" t="s">
        <v>3</v>
      </c>
      <c r="BE58" t="s">
        <v>3</v>
      </c>
      <c r="BF58" t="s">
        <v>3</v>
      </c>
      <c r="BG58" t="s">
        <v>3</v>
      </c>
      <c r="BH58">
        <v>3</v>
      </c>
      <c r="BI58">
        <v>2</v>
      </c>
      <c r="BJ58" t="s">
        <v>91</v>
      </c>
      <c r="BM58">
        <v>335</v>
      </c>
      <c r="BN58">
        <v>0</v>
      </c>
      <c r="BO58" t="s">
        <v>89</v>
      </c>
      <c r="BP58">
        <v>1</v>
      </c>
      <c r="BQ58">
        <v>40</v>
      </c>
      <c r="BR58">
        <v>0</v>
      </c>
      <c r="BS58">
        <v>1</v>
      </c>
      <c r="BT58">
        <v>1</v>
      </c>
      <c r="BU58">
        <v>1</v>
      </c>
      <c r="BV58">
        <v>1</v>
      </c>
      <c r="BW58">
        <v>1</v>
      </c>
      <c r="BX58">
        <v>1</v>
      </c>
      <c r="BY58" t="s">
        <v>3</v>
      </c>
      <c r="BZ58">
        <v>0</v>
      </c>
      <c r="CA58">
        <v>0</v>
      </c>
      <c r="CE58">
        <v>0</v>
      </c>
      <c r="CF58">
        <v>0</v>
      </c>
      <c r="CG58">
        <v>0</v>
      </c>
      <c r="CM58">
        <v>0</v>
      </c>
      <c r="CN58" t="s">
        <v>3</v>
      </c>
      <c r="CO58">
        <v>0</v>
      </c>
      <c r="CP58">
        <f t="shared" si="64"/>
        <v>22.25</v>
      </c>
      <c r="CQ58">
        <f t="shared" si="65"/>
        <v>22.248799999999999</v>
      </c>
      <c r="CR58">
        <f t="shared" si="80"/>
        <v>0</v>
      </c>
      <c r="CS58">
        <f t="shared" si="66"/>
        <v>0</v>
      </c>
      <c r="CT58">
        <f t="shared" si="67"/>
        <v>0</v>
      </c>
      <c r="CU58">
        <f t="shared" si="68"/>
        <v>0</v>
      </c>
      <c r="CV58">
        <f t="shared" si="69"/>
        <v>0</v>
      </c>
      <c r="CW58">
        <f t="shared" si="70"/>
        <v>0</v>
      </c>
      <c r="CX58">
        <f t="shared" si="71"/>
        <v>0</v>
      </c>
      <c r="CY58">
        <f>S58*(BZ58/100)</f>
        <v>0</v>
      </c>
      <c r="CZ58">
        <f>S58*(CA58/100)</f>
        <v>0</v>
      </c>
      <c r="DC58" t="s">
        <v>3</v>
      </c>
      <c r="DD58" t="s">
        <v>3</v>
      </c>
      <c r="DE58" t="s">
        <v>3</v>
      </c>
      <c r="DF58" t="s">
        <v>3</v>
      </c>
      <c r="DG58" t="s">
        <v>3</v>
      </c>
      <c r="DH58" t="s">
        <v>3</v>
      </c>
      <c r="DI58" t="s">
        <v>3</v>
      </c>
      <c r="DJ58" t="s">
        <v>3</v>
      </c>
      <c r="DK58" t="s">
        <v>3</v>
      </c>
      <c r="DL58" t="s">
        <v>3</v>
      </c>
      <c r="DM58" t="s">
        <v>3</v>
      </c>
      <c r="DN58">
        <v>114</v>
      </c>
      <c r="DO58">
        <v>67</v>
      </c>
      <c r="DP58">
        <v>1</v>
      </c>
      <c r="DQ58">
        <v>1</v>
      </c>
      <c r="DU58">
        <v>1010</v>
      </c>
      <c r="DV58" t="s">
        <v>30</v>
      </c>
      <c r="DW58" t="s">
        <v>30</v>
      </c>
      <c r="DX58">
        <v>1</v>
      </c>
      <c r="EE58">
        <v>41393064</v>
      </c>
      <c r="EF58">
        <v>40</v>
      </c>
      <c r="EG58" t="s">
        <v>23</v>
      </c>
      <c r="EH58">
        <v>0</v>
      </c>
      <c r="EI58" t="s">
        <v>3</v>
      </c>
      <c r="EJ58">
        <v>2</v>
      </c>
      <c r="EK58">
        <v>335</v>
      </c>
      <c r="EL58" t="s">
        <v>81</v>
      </c>
      <c r="EM58" t="s">
        <v>82</v>
      </c>
      <c r="EO58" t="s">
        <v>3</v>
      </c>
      <c r="EQ58">
        <v>0</v>
      </c>
      <c r="ER58">
        <v>10.96</v>
      </c>
      <c r="ES58">
        <v>10.96</v>
      </c>
      <c r="ET58">
        <v>0</v>
      </c>
      <c r="EU58">
        <v>0</v>
      </c>
      <c r="EV58">
        <v>0</v>
      </c>
      <c r="EW58">
        <v>0</v>
      </c>
      <c r="EX58">
        <v>0</v>
      </c>
      <c r="FQ58">
        <v>0</v>
      </c>
      <c r="FR58">
        <f t="shared" si="72"/>
        <v>0</v>
      </c>
      <c r="FS58">
        <v>0</v>
      </c>
      <c r="FX58">
        <v>114</v>
      </c>
      <c r="FY58">
        <v>67</v>
      </c>
      <c r="GA58" t="s">
        <v>3</v>
      </c>
      <c r="GD58">
        <v>0</v>
      </c>
      <c r="GF58">
        <v>6169889</v>
      </c>
      <c r="GG58">
        <v>2</v>
      </c>
      <c r="GH58">
        <v>1</v>
      </c>
      <c r="GI58">
        <v>2</v>
      </c>
      <c r="GJ58">
        <v>0</v>
      </c>
      <c r="GK58">
        <f>ROUND(R58*(S12)/100,2)</f>
        <v>0</v>
      </c>
      <c r="GL58">
        <f t="shared" si="73"/>
        <v>0</v>
      </c>
      <c r="GM58">
        <f>ROUND(O58+X58+Y58+GK58,2)+GX58</f>
        <v>22.25</v>
      </c>
      <c r="GN58">
        <f>IF(OR(BI58=0,BI58=1),ROUND(O58+X58+Y58+GK58,2),0)</f>
        <v>0</v>
      </c>
      <c r="GO58">
        <f>IF(BI58=2,ROUND(O58+X58+Y58+GK58,2),0)</f>
        <v>22.25</v>
      </c>
      <c r="GP58">
        <f>IF(BI58=4,ROUND(O58+X58+Y58+GK58,2)+GX58,0)</f>
        <v>0</v>
      </c>
      <c r="GR58">
        <v>0</v>
      </c>
      <c r="GS58">
        <v>3</v>
      </c>
      <c r="GT58">
        <v>0</v>
      </c>
      <c r="GU58" t="s">
        <v>3</v>
      </c>
      <c r="GV58">
        <f t="shared" si="74"/>
        <v>0</v>
      </c>
      <c r="GW58">
        <v>1</v>
      </c>
      <c r="GX58">
        <f t="shared" si="75"/>
        <v>0</v>
      </c>
      <c r="HA58">
        <v>0</v>
      </c>
      <c r="HB58">
        <v>0</v>
      </c>
      <c r="HC58">
        <f t="shared" si="76"/>
        <v>0</v>
      </c>
      <c r="IK58">
        <v>0</v>
      </c>
    </row>
    <row r="59" spans="1:255" x14ac:dyDescent="0.2">
      <c r="A59" s="2">
        <v>18</v>
      </c>
      <c r="B59" s="2">
        <v>1</v>
      </c>
      <c r="C59" s="2">
        <v>27</v>
      </c>
      <c r="D59" s="2"/>
      <c r="E59" s="2" t="s">
        <v>92</v>
      </c>
      <c r="F59" s="2" t="s">
        <v>93</v>
      </c>
      <c r="G59" s="2" t="s">
        <v>94</v>
      </c>
      <c r="H59" s="2" t="s">
        <v>30</v>
      </c>
      <c r="I59" s="2">
        <f>I53*J59</f>
        <v>12</v>
      </c>
      <c r="J59" s="2">
        <v>6</v>
      </c>
      <c r="K59" s="2"/>
      <c r="L59" s="2"/>
      <c r="M59" s="2"/>
      <c r="N59" s="2"/>
      <c r="O59" s="2">
        <f t="shared" si="49"/>
        <v>45.96</v>
      </c>
      <c r="P59" s="2">
        <f t="shared" si="50"/>
        <v>45.96</v>
      </c>
      <c r="Q59" s="2">
        <f t="shared" si="51"/>
        <v>0</v>
      </c>
      <c r="R59" s="2">
        <f t="shared" si="52"/>
        <v>0</v>
      </c>
      <c r="S59" s="2">
        <f t="shared" si="53"/>
        <v>0</v>
      </c>
      <c r="T59" s="2">
        <f t="shared" si="54"/>
        <v>0</v>
      </c>
      <c r="U59" s="2">
        <f t="shared" si="55"/>
        <v>0</v>
      </c>
      <c r="V59" s="2">
        <f t="shared" si="56"/>
        <v>0</v>
      </c>
      <c r="W59" s="2">
        <f t="shared" si="57"/>
        <v>0</v>
      </c>
      <c r="X59" s="2">
        <f t="shared" si="58"/>
        <v>0</v>
      </c>
      <c r="Y59" s="2">
        <f t="shared" si="59"/>
        <v>0</v>
      </c>
      <c r="Z59" s="2"/>
      <c r="AA59" s="2">
        <v>42119681</v>
      </c>
      <c r="AB59" s="2">
        <f t="shared" si="60"/>
        <v>3.83</v>
      </c>
      <c r="AC59" s="2">
        <f t="shared" si="61"/>
        <v>3.83</v>
      </c>
      <c r="AD59" s="2">
        <f t="shared" si="77"/>
        <v>0</v>
      </c>
      <c r="AE59" s="2">
        <f t="shared" si="78"/>
        <v>0</v>
      </c>
      <c r="AF59" s="2">
        <f t="shared" si="78"/>
        <v>0</v>
      </c>
      <c r="AG59" s="2">
        <f t="shared" si="62"/>
        <v>0</v>
      </c>
      <c r="AH59" s="2">
        <f t="shared" si="79"/>
        <v>0</v>
      </c>
      <c r="AI59" s="2">
        <f t="shared" si="79"/>
        <v>0</v>
      </c>
      <c r="AJ59" s="2">
        <f t="shared" si="63"/>
        <v>0</v>
      </c>
      <c r="AK59" s="2">
        <v>3.83</v>
      </c>
      <c r="AL59" s="2">
        <v>3.83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114</v>
      </c>
      <c r="AU59" s="2">
        <v>67</v>
      </c>
      <c r="AV59" s="2">
        <v>1</v>
      </c>
      <c r="AW59" s="2">
        <v>1</v>
      </c>
      <c r="AX59" s="2"/>
      <c r="AY59" s="2"/>
      <c r="AZ59" s="2">
        <v>1</v>
      </c>
      <c r="BA59" s="2">
        <v>1</v>
      </c>
      <c r="BB59" s="2">
        <v>1</v>
      </c>
      <c r="BC59" s="2">
        <v>1</v>
      </c>
      <c r="BD59" s="2" t="s">
        <v>3</v>
      </c>
      <c r="BE59" s="2" t="s">
        <v>3</v>
      </c>
      <c r="BF59" s="2" t="s">
        <v>3</v>
      </c>
      <c r="BG59" s="2" t="s">
        <v>3</v>
      </c>
      <c r="BH59" s="2">
        <v>3</v>
      </c>
      <c r="BI59" s="2">
        <v>2</v>
      </c>
      <c r="BJ59" s="2" t="s">
        <v>95</v>
      </c>
      <c r="BK59" s="2"/>
      <c r="BL59" s="2"/>
      <c r="BM59" s="2">
        <v>335</v>
      </c>
      <c r="BN59" s="2">
        <v>0</v>
      </c>
      <c r="BO59" s="2" t="s">
        <v>3</v>
      </c>
      <c r="BP59" s="2">
        <v>0</v>
      </c>
      <c r="BQ59" s="2">
        <v>40</v>
      </c>
      <c r="BR59" s="2">
        <v>0</v>
      </c>
      <c r="BS59" s="2">
        <v>1</v>
      </c>
      <c r="BT59" s="2">
        <v>1</v>
      </c>
      <c r="BU59" s="2">
        <v>1</v>
      </c>
      <c r="BV59" s="2">
        <v>1</v>
      </c>
      <c r="BW59" s="2">
        <v>1</v>
      </c>
      <c r="BX59" s="2">
        <v>1</v>
      </c>
      <c r="BY59" s="2" t="s">
        <v>3</v>
      </c>
      <c r="BZ59" s="2">
        <v>114</v>
      </c>
      <c r="CA59" s="2">
        <v>67</v>
      </c>
      <c r="CB59" s="2"/>
      <c r="CC59" s="2"/>
      <c r="CD59" s="2"/>
      <c r="CE59" s="2">
        <v>0</v>
      </c>
      <c r="CF59" s="2">
        <v>0</v>
      </c>
      <c r="CG59" s="2">
        <v>0</v>
      </c>
      <c r="CH59" s="2"/>
      <c r="CI59" s="2"/>
      <c r="CJ59" s="2"/>
      <c r="CK59" s="2"/>
      <c r="CL59" s="2"/>
      <c r="CM59" s="2">
        <v>0</v>
      </c>
      <c r="CN59" s="2" t="s">
        <v>3</v>
      </c>
      <c r="CO59" s="2">
        <v>0</v>
      </c>
      <c r="CP59" s="2">
        <f t="shared" si="64"/>
        <v>45.96</v>
      </c>
      <c r="CQ59" s="2">
        <f t="shared" si="65"/>
        <v>3.83</v>
      </c>
      <c r="CR59" s="2">
        <f t="shared" si="80"/>
        <v>0</v>
      </c>
      <c r="CS59" s="2">
        <f t="shared" si="66"/>
        <v>0</v>
      </c>
      <c r="CT59" s="2">
        <f t="shared" si="67"/>
        <v>0</v>
      </c>
      <c r="CU59" s="2">
        <f t="shared" si="68"/>
        <v>0</v>
      </c>
      <c r="CV59" s="2">
        <f t="shared" si="69"/>
        <v>0</v>
      </c>
      <c r="CW59" s="2">
        <f t="shared" si="70"/>
        <v>0</v>
      </c>
      <c r="CX59" s="2">
        <f t="shared" si="71"/>
        <v>0</v>
      </c>
      <c r="CY59" s="2">
        <f>((S59*BZ59)/100)</f>
        <v>0</v>
      </c>
      <c r="CZ59" s="2">
        <f>((S59*CA59)/100)</f>
        <v>0</v>
      </c>
      <c r="DA59" s="2"/>
      <c r="DB59" s="2"/>
      <c r="DC59" s="2" t="s">
        <v>3</v>
      </c>
      <c r="DD59" s="2" t="s">
        <v>3</v>
      </c>
      <c r="DE59" s="2" t="s">
        <v>3</v>
      </c>
      <c r="DF59" s="2" t="s">
        <v>3</v>
      </c>
      <c r="DG59" s="2" t="s">
        <v>3</v>
      </c>
      <c r="DH59" s="2" t="s">
        <v>3</v>
      </c>
      <c r="DI59" s="2" t="s">
        <v>3</v>
      </c>
      <c r="DJ59" s="2" t="s">
        <v>3</v>
      </c>
      <c r="DK59" s="2" t="s">
        <v>3</v>
      </c>
      <c r="DL59" s="2" t="s">
        <v>3</v>
      </c>
      <c r="DM59" s="2" t="s">
        <v>3</v>
      </c>
      <c r="DN59" s="2">
        <v>0</v>
      </c>
      <c r="DO59" s="2">
        <v>0</v>
      </c>
      <c r="DP59" s="2">
        <v>1</v>
      </c>
      <c r="DQ59" s="2">
        <v>1</v>
      </c>
      <c r="DR59" s="2"/>
      <c r="DS59" s="2"/>
      <c r="DT59" s="2"/>
      <c r="DU59" s="2">
        <v>1010</v>
      </c>
      <c r="DV59" s="2" t="s">
        <v>30</v>
      </c>
      <c r="DW59" s="2" t="s">
        <v>30</v>
      </c>
      <c r="DX59" s="2">
        <v>1</v>
      </c>
      <c r="DY59" s="2"/>
      <c r="DZ59" s="2"/>
      <c r="EA59" s="2"/>
      <c r="EB59" s="2"/>
      <c r="EC59" s="2"/>
      <c r="ED59" s="2"/>
      <c r="EE59" s="2">
        <v>41393064</v>
      </c>
      <c r="EF59" s="2">
        <v>40</v>
      </c>
      <c r="EG59" s="2" t="s">
        <v>23</v>
      </c>
      <c r="EH59" s="2">
        <v>0</v>
      </c>
      <c r="EI59" s="2" t="s">
        <v>3</v>
      </c>
      <c r="EJ59" s="2">
        <v>2</v>
      </c>
      <c r="EK59" s="2">
        <v>335</v>
      </c>
      <c r="EL59" s="2" t="s">
        <v>81</v>
      </c>
      <c r="EM59" s="2" t="s">
        <v>82</v>
      </c>
      <c r="EN59" s="2"/>
      <c r="EO59" s="2" t="s">
        <v>3</v>
      </c>
      <c r="EP59" s="2"/>
      <c r="EQ59" s="2">
        <v>0</v>
      </c>
      <c r="ER59" s="2">
        <v>3.83</v>
      </c>
      <c r="ES59" s="2">
        <v>3.83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>
        <v>0</v>
      </c>
      <c r="FR59" s="2">
        <f t="shared" si="72"/>
        <v>0</v>
      </c>
      <c r="FS59" s="2">
        <v>0</v>
      </c>
      <c r="FT59" s="2"/>
      <c r="FU59" s="2"/>
      <c r="FV59" s="2"/>
      <c r="FW59" s="2"/>
      <c r="FX59" s="2">
        <v>114</v>
      </c>
      <c r="FY59" s="2">
        <v>67</v>
      </c>
      <c r="FZ59" s="2"/>
      <c r="GA59" s="2" t="s">
        <v>3</v>
      </c>
      <c r="GB59" s="2"/>
      <c r="GC59" s="2"/>
      <c r="GD59" s="2">
        <v>1</v>
      </c>
      <c r="GE59" s="2"/>
      <c r="GF59" s="2">
        <v>-443561284</v>
      </c>
      <c r="GG59" s="2">
        <v>2</v>
      </c>
      <c r="GH59" s="2">
        <v>1</v>
      </c>
      <c r="GI59" s="2">
        <v>-2</v>
      </c>
      <c r="GJ59" s="2">
        <v>0</v>
      </c>
      <c r="GK59" s="2">
        <v>0</v>
      </c>
      <c r="GL59" s="2">
        <f t="shared" si="73"/>
        <v>0</v>
      </c>
      <c r="GM59" s="2">
        <f>ROUND(O59+X59+Y59,2)+GX59</f>
        <v>45.96</v>
      </c>
      <c r="GN59" s="2">
        <f>IF(OR(BI59=0,BI59=1),ROUND(O59+X59+Y59,2),0)</f>
        <v>0</v>
      </c>
      <c r="GO59" s="2">
        <f>IF(BI59=2,ROUND(O59+X59+Y59,2),0)</f>
        <v>45.96</v>
      </c>
      <c r="GP59" s="2">
        <f>IF(BI59=4,ROUND(O59+X59+Y59,2)+GX59,0)</f>
        <v>0</v>
      </c>
      <c r="GQ59" s="2"/>
      <c r="GR59" s="2">
        <v>0</v>
      </c>
      <c r="GS59" s="2">
        <v>3</v>
      </c>
      <c r="GT59" s="2">
        <v>0</v>
      </c>
      <c r="GU59" s="2" t="s">
        <v>3</v>
      </c>
      <c r="GV59" s="2">
        <f t="shared" si="74"/>
        <v>0</v>
      </c>
      <c r="GW59" s="2">
        <v>1</v>
      </c>
      <c r="GX59" s="2">
        <f t="shared" si="75"/>
        <v>0</v>
      </c>
      <c r="GY59" s="2"/>
      <c r="GZ59" s="2"/>
      <c r="HA59" s="2">
        <v>0</v>
      </c>
      <c r="HB59" s="2">
        <v>0</v>
      </c>
      <c r="HC59" s="2">
        <f t="shared" si="76"/>
        <v>0</v>
      </c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>
        <v>0</v>
      </c>
      <c r="IL59" s="2"/>
      <c r="IM59" s="2"/>
      <c r="IN59" s="2"/>
      <c r="IO59" s="2"/>
      <c r="IP59" s="2"/>
      <c r="IQ59" s="2"/>
      <c r="IR59" s="2"/>
      <c r="IS59" s="2"/>
      <c r="IT59" s="2"/>
      <c r="IU59" s="2"/>
    </row>
    <row r="60" spans="1:255" x14ac:dyDescent="0.2">
      <c r="A60">
        <v>18</v>
      </c>
      <c r="B60">
        <v>1</v>
      </c>
      <c r="C60">
        <v>32</v>
      </c>
      <c r="E60" t="s">
        <v>92</v>
      </c>
      <c r="F60" t="s">
        <v>93</v>
      </c>
      <c r="G60" t="s">
        <v>94</v>
      </c>
      <c r="H60" t="s">
        <v>30</v>
      </c>
      <c r="I60">
        <f>I54*J60</f>
        <v>12</v>
      </c>
      <c r="J60">
        <v>6</v>
      </c>
      <c r="O60">
        <f t="shared" si="49"/>
        <v>196.25</v>
      </c>
      <c r="P60">
        <f t="shared" si="50"/>
        <v>196.25</v>
      </c>
      <c r="Q60">
        <f t="shared" si="51"/>
        <v>0</v>
      </c>
      <c r="R60">
        <f t="shared" si="52"/>
        <v>0</v>
      </c>
      <c r="S60">
        <f t="shared" si="53"/>
        <v>0</v>
      </c>
      <c r="T60">
        <f t="shared" si="54"/>
        <v>0</v>
      </c>
      <c r="U60">
        <f t="shared" si="55"/>
        <v>0</v>
      </c>
      <c r="V60">
        <f t="shared" si="56"/>
        <v>0</v>
      </c>
      <c r="W60">
        <f t="shared" si="57"/>
        <v>0</v>
      </c>
      <c r="X60">
        <f t="shared" si="58"/>
        <v>0</v>
      </c>
      <c r="Y60">
        <f t="shared" si="59"/>
        <v>0</v>
      </c>
      <c r="AA60">
        <v>42119679</v>
      </c>
      <c r="AB60">
        <f t="shared" si="60"/>
        <v>3.83</v>
      </c>
      <c r="AC60">
        <f t="shared" si="61"/>
        <v>3.83</v>
      </c>
      <c r="AD60">
        <f t="shared" si="77"/>
        <v>0</v>
      </c>
      <c r="AE60">
        <f t="shared" si="78"/>
        <v>0</v>
      </c>
      <c r="AF60">
        <f t="shared" si="78"/>
        <v>0</v>
      </c>
      <c r="AG60">
        <f t="shared" si="62"/>
        <v>0</v>
      </c>
      <c r="AH60">
        <f t="shared" si="79"/>
        <v>0</v>
      </c>
      <c r="AI60">
        <f t="shared" si="79"/>
        <v>0</v>
      </c>
      <c r="AJ60">
        <f t="shared" si="63"/>
        <v>0</v>
      </c>
      <c r="AK60">
        <v>3.83</v>
      </c>
      <c r="AL60">
        <v>3.83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1</v>
      </c>
      <c r="AW60">
        <v>1</v>
      </c>
      <c r="AZ60">
        <v>1</v>
      </c>
      <c r="BA60">
        <v>1</v>
      </c>
      <c r="BB60">
        <v>1</v>
      </c>
      <c r="BC60">
        <v>4.2699999999999996</v>
      </c>
      <c r="BD60" t="s">
        <v>3</v>
      </c>
      <c r="BE60" t="s">
        <v>3</v>
      </c>
      <c r="BF60" t="s">
        <v>3</v>
      </c>
      <c r="BG60" t="s">
        <v>3</v>
      </c>
      <c r="BH60">
        <v>3</v>
      </c>
      <c r="BI60">
        <v>2</v>
      </c>
      <c r="BJ60" t="s">
        <v>95</v>
      </c>
      <c r="BM60">
        <v>335</v>
      </c>
      <c r="BN60">
        <v>0</v>
      </c>
      <c r="BO60" t="s">
        <v>93</v>
      </c>
      <c r="BP60">
        <v>1</v>
      </c>
      <c r="BQ60">
        <v>40</v>
      </c>
      <c r="BR60">
        <v>0</v>
      </c>
      <c r="BS60">
        <v>1</v>
      </c>
      <c r="BT60">
        <v>1</v>
      </c>
      <c r="BU60">
        <v>1</v>
      </c>
      <c r="BV60">
        <v>1</v>
      </c>
      <c r="BW60">
        <v>1</v>
      </c>
      <c r="BX60">
        <v>1</v>
      </c>
      <c r="BY60" t="s">
        <v>3</v>
      </c>
      <c r="BZ60">
        <v>0</v>
      </c>
      <c r="CA60">
        <v>0</v>
      </c>
      <c r="CE60">
        <v>0</v>
      </c>
      <c r="CF60">
        <v>0</v>
      </c>
      <c r="CG60">
        <v>0</v>
      </c>
      <c r="CM60">
        <v>0</v>
      </c>
      <c r="CN60" t="s">
        <v>3</v>
      </c>
      <c r="CO60">
        <v>0</v>
      </c>
      <c r="CP60">
        <f t="shared" si="64"/>
        <v>196.25</v>
      </c>
      <c r="CQ60">
        <f t="shared" si="65"/>
        <v>16.354099999999999</v>
      </c>
      <c r="CR60">
        <f t="shared" si="80"/>
        <v>0</v>
      </c>
      <c r="CS60">
        <f t="shared" si="66"/>
        <v>0</v>
      </c>
      <c r="CT60">
        <f t="shared" si="67"/>
        <v>0</v>
      </c>
      <c r="CU60">
        <f t="shared" si="68"/>
        <v>0</v>
      </c>
      <c r="CV60">
        <f t="shared" si="69"/>
        <v>0</v>
      </c>
      <c r="CW60">
        <f t="shared" si="70"/>
        <v>0</v>
      </c>
      <c r="CX60">
        <f t="shared" si="71"/>
        <v>0</v>
      </c>
      <c r="CY60">
        <f>S60*(BZ60/100)</f>
        <v>0</v>
      </c>
      <c r="CZ60">
        <f>S60*(CA60/100)</f>
        <v>0</v>
      </c>
      <c r="DC60" t="s">
        <v>3</v>
      </c>
      <c r="DD60" t="s">
        <v>3</v>
      </c>
      <c r="DE60" t="s">
        <v>3</v>
      </c>
      <c r="DF60" t="s">
        <v>3</v>
      </c>
      <c r="DG60" t="s">
        <v>3</v>
      </c>
      <c r="DH60" t="s">
        <v>3</v>
      </c>
      <c r="DI60" t="s">
        <v>3</v>
      </c>
      <c r="DJ60" t="s">
        <v>3</v>
      </c>
      <c r="DK60" t="s">
        <v>3</v>
      </c>
      <c r="DL60" t="s">
        <v>3</v>
      </c>
      <c r="DM60" t="s">
        <v>3</v>
      </c>
      <c r="DN60">
        <v>114</v>
      </c>
      <c r="DO60">
        <v>67</v>
      </c>
      <c r="DP60">
        <v>1</v>
      </c>
      <c r="DQ60">
        <v>1</v>
      </c>
      <c r="DU60">
        <v>1010</v>
      </c>
      <c r="DV60" t="s">
        <v>30</v>
      </c>
      <c r="DW60" t="s">
        <v>30</v>
      </c>
      <c r="DX60">
        <v>1</v>
      </c>
      <c r="EE60">
        <v>41393064</v>
      </c>
      <c r="EF60">
        <v>40</v>
      </c>
      <c r="EG60" t="s">
        <v>23</v>
      </c>
      <c r="EH60">
        <v>0</v>
      </c>
      <c r="EI60" t="s">
        <v>3</v>
      </c>
      <c r="EJ60">
        <v>2</v>
      </c>
      <c r="EK60">
        <v>335</v>
      </c>
      <c r="EL60" t="s">
        <v>81</v>
      </c>
      <c r="EM60" t="s">
        <v>82</v>
      </c>
      <c r="EO60" t="s">
        <v>3</v>
      </c>
      <c r="EQ60">
        <v>0</v>
      </c>
      <c r="ER60">
        <v>3.83</v>
      </c>
      <c r="ES60">
        <v>3.83</v>
      </c>
      <c r="ET60">
        <v>0</v>
      </c>
      <c r="EU60">
        <v>0</v>
      </c>
      <c r="EV60">
        <v>0</v>
      </c>
      <c r="EW60">
        <v>0</v>
      </c>
      <c r="EX60">
        <v>0</v>
      </c>
      <c r="FQ60">
        <v>0</v>
      </c>
      <c r="FR60">
        <f t="shared" si="72"/>
        <v>0</v>
      </c>
      <c r="FS60">
        <v>0</v>
      </c>
      <c r="FX60">
        <v>114</v>
      </c>
      <c r="FY60">
        <v>67</v>
      </c>
      <c r="GA60" t="s">
        <v>3</v>
      </c>
      <c r="GD60">
        <v>0</v>
      </c>
      <c r="GF60">
        <v>-443561284</v>
      </c>
      <c r="GG60">
        <v>2</v>
      </c>
      <c r="GH60">
        <v>1</v>
      </c>
      <c r="GI60">
        <v>2</v>
      </c>
      <c r="GJ60">
        <v>0</v>
      </c>
      <c r="GK60">
        <f>ROUND(R60*(S12)/100,2)</f>
        <v>0</v>
      </c>
      <c r="GL60">
        <f t="shared" si="73"/>
        <v>0</v>
      </c>
      <c r="GM60">
        <f>ROUND(O60+X60+Y60+GK60,2)+GX60</f>
        <v>196.25</v>
      </c>
      <c r="GN60">
        <f>IF(OR(BI60=0,BI60=1),ROUND(O60+X60+Y60+GK60,2),0)</f>
        <v>0</v>
      </c>
      <c r="GO60">
        <f>IF(BI60=2,ROUND(O60+X60+Y60+GK60,2),0)</f>
        <v>196.25</v>
      </c>
      <c r="GP60">
        <f>IF(BI60=4,ROUND(O60+X60+Y60+GK60,2)+GX60,0)</f>
        <v>0</v>
      </c>
      <c r="GR60">
        <v>0</v>
      </c>
      <c r="GS60">
        <v>3</v>
      </c>
      <c r="GT60">
        <v>0</v>
      </c>
      <c r="GU60" t="s">
        <v>3</v>
      </c>
      <c r="GV60">
        <f t="shared" si="74"/>
        <v>0</v>
      </c>
      <c r="GW60">
        <v>1</v>
      </c>
      <c r="GX60">
        <f t="shared" si="75"/>
        <v>0</v>
      </c>
      <c r="HA60">
        <v>0</v>
      </c>
      <c r="HB60">
        <v>0</v>
      </c>
      <c r="HC60">
        <f t="shared" si="76"/>
        <v>0</v>
      </c>
      <c r="IK60">
        <v>0</v>
      </c>
    </row>
    <row r="61" spans="1:255" x14ac:dyDescent="0.2">
      <c r="A61" s="2">
        <v>18</v>
      </c>
      <c r="B61" s="2">
        <v>1</v>
      </c>
      <c r="C61" s="2">
        <v>29</v>
      </c>
      <c r="D61" s="2"/>
      <c r="E61" s="2" t="s">
        <v>96</v>
      </c>
      <c r="F61" s="2" t="s">
        <v>97</v>
      </c>
      <c r="G61" s="2" t="s">
        <v>98</v>
      </c>
      <c r="H61" s="2" t="s">
        <v>99</v>
      </c>
      <c r="I61" s="2">
        <f>I53*J61</f>
        <v>2</v>
      </c>
      <c r="J61" s="2">
        <v>1</v>
      </c>
      <c r="K61" s="2"/>
      <c r="L61" s="2"/>
      <c r="M61" s="2"/>
      <c r="N61" s="2"/>
      <c r="O61" s="2">
        <f t="shared" si="49"/>
        <v>293.77999999999997</v>
      </c>
      <c r="P61" s="2">
        <f t="shared" si="50"/>
        <v>293.77999999999997</v>
      </c>
      <c r="Q61" s="2">
        <f t="shared" si="51"/>
        <v>0</v>
      </c>
      <c r="R61" s="2">
        <f t="shared" si="52"/>
        <v>0</v>
      </c>
      <c r="S61" s="2">
        <f t="shared" si="53"/>
        <v>0</v>
      </c>
      <c r="T61" s="2">
        <f t="shared" si="54"/>
        <v>0</v>
      </c>
      <c r="U61" s="2">
        <f t="shared" si="55"/>
        <v>0</v>
      </c>
      <c r="V61" s="2">
        <f t="shared" si="56"/>
        <v>0</v>
      </c>
      <c r="W61" s="2">
        <f t="shared" si="57"/>
        <v>0</v>
      </c>
      <c r="X61" s="2">
        <f t="shared" si="58"/>
        <v>0</v>
      </c>
      <c r="Y61" s="2">
        <f t="shared" si="59"/>
        <v>0</v>
      </c>
      <c r="Z61" s="2"/>
      <c r="AA61" s="2">
        <v>42119681</v>
      </c>
      <c r="AB61" s="2">
        <f t="shared" si="60"/>
        <v>146.88999999999999</v>
      </c>
      <c r="AC61" s="2">
        <f t="shared" si="61"/>
        <v>146.88999999999999</v>
      </c>
      <c r="AD61" s="2">
        <f t="shared" si="77"/>
        <v>0</v>
      </c>
      <c r="AE61" s="2">
        <f t="shared" si="78"/>
        <v>0</v>
      </c>
      <c r="AF61" s="2">
        <f t="shared" si="78"/>
        <v>0</v>
      </c>
      <c r="AG61" s="2">
        <f t="shared" si="62"/>
        <v>0</v>
      </c>
      <c r="AH61" s="2">
        <f t="shared" si="79"/>
        <v>0</v>
      </c>
      <c r="AI61" s="2">
        <f t="shared" si="79"/>
        <v>0</v>
      </c>
      <c r="AJ61" s="2">
        <f t="shared" si="63"/>
        <v>0</v>
      </c>
      <c r="AK61" s="2">
        <v>146.88999999999999</v>
      </c>
      <c r="AL61" s="2">
        <v>146.88999999999999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114</v>
      </c>
      <c r="AU61" s="2">
        <v>67</v>
      </c>
      <c r="AV61" s="2">
        <v>1</v>
      </c>
      <c r="AW61" s="2">
        <v>1</v>
      </c>
      <c r="AX61" s="2"/>
      <c r="AY61" s="2"/>
      <c r="AZ61" s="2">
        <v>1</v>
      </c>
      <c r="BA61" s="2">
        <v>1</v>
      </c>
      <c r="BB61" s="2">
        <v>1</v>
      </c>
      <c r="BC61" s="2">
        <v>1</v>
      </c>
      <c r="BD61" s="2" t="s">
        <v>3</v>
      </c>
      <c r="BE61" s="2" t="s">
        <v>3</v>
      </c>
      <c r="BF61" s="2" t="s">
        <v>3</v>
      </c>
      <c r="BG61" s="2" t="s">
        <v>3</v>
      </c>
      <c r="BH61" s="2">
        <v>3</v>
      </c>
      <c r="BI61" s="2">
        <v>2</v>
      </c>
      <c r="BJ61" s="2" t="s">
        <v>100</v>
      </c>
      <c r="BK61" s="2"/>
      <c r="BL61" s="2"/>
      <c r="BM61" s="2">
        <v>335</v>
      </c>
      <c r="BN61" s="2">
        <v>0</v>
      </c>
      <c r="BO61" s="2" t="s">
        <v>3</v>
      </c>
      <c r="BP61" s="2">
        <v>0</v>
      </c>
      <c r="BQ61" s="2">
        <v>40</v>
      </c>
      <c r="BR61" s="2">
        <v>0</v>
      </c>
      <c r="BS61" s="2">
        <v>1</v>
      </c>
      <c r="BT61" s="2">
        <v>1</v>
      </c>
      <c r="BU61" s="2">
        <v>1</v>
      </c>
      <c r="BV61" s="2">
        <v>1</v>
      </c>
      <c r="BW61" s="2">
        <v>1</v>
      </c>
      <c r="BX61" s="2">
        <v>1</v>
      </c>
      <c r="BY61" s="2" t="s">
        <v>3</v>
      </c>
      <c r="BZ61" s="2">
        <v>114</v>
      </c>
      <c r="CA61" s="2">
        <v>67</v>
      </c>
      <c r="CB61" s="2"/>
      <c r="CC61" s="2"/>
      <c r="CD61" s="2"/>
      <c r="CE61" s="2">
        <v>0</v>
      </c>
      <c r="CF61" s="2">
        <v>0</v>
      </c>
      <c r="CG61" s="2">
        <v>0</v>
      </c>
      <c r="CH61" s="2"/>
      <c r="CI61" s="2"/>
      <c r="CJ61" s="2"/>
      <c r="CK61" s="2"/>
      <c r="CL61" s="2"/>
      <c r="CM61" s="2">
        <v>0</v>
      </c>
      <c r="CN61" s="2" t="s">
        <v>3</v>
      </c>
      <c r="CO61" s="2">
        <v>0</v>
      </c>
      <c r="CP61" s="2">
        <f t="shared" si="64"/>
        <v>293.77999999999997</v>
      </c>
      <c r="CQ61" s="2">
        <f t="shared" si="65"/>
        <v>146.88999999999999</v>
      </c>
      <c r="CR61" s="2">
        <f t="shared" si="80"/>
        <v>0</v>
      </c>
      <c r="CS61" s="2">
        <f t="shared" si="66"/>
        <v>0</v>
      </c>
      <c r="CT61" s="2">
        <f t="shared" si="67"/>
        <v>0</v>
      </c>
      <c r="CU61" s="2">
        <f t="shared" si="68"/>
        <v>0</v>
      </c>
      <c r="CV61" s="2">
        <f t="shared" si="69"/>
        <v>0</v>
      </c>
      <c r="CW61" s="2">
        <f t="shared" si="70"/>
        <v>0</v>
      </c>
      <c r="CX61" s="2">
        <f t="shared" si="71"/>
        <v>0</v>
      </c>
      <c r="CY61" s="2">
        <f>((S61*BZ61)/100)</f>
        <v>0</v>
      </c>
      <c r="CZ61" s="2">
        <f>((S61*CA61)/100)</f>
        <v>0</v>
      </c>
      <c r="DA61" s="2"/>
      <c r="DB61" s="2"/>
      <c r="DC61" s="2" t="s">
        <v>3</v>
      </c>
      <c r="DD61" s="2" t="s">
        <v>3</v>
      </c>
      <c r="DE61" s="2" t="s">
        <v>3</v>
      </c>
      <c r="DF61" s="2" t="s">
        <v>3</v>
      </c>
      <c r="DG61" s="2" t="s">
        <v>3</v>
      </c>
      <c r="DH61" s="2" t="s">
        <v>3</v>
      </c>
      <c r="DI61" s="2" t="s">
        <v>3</v>
      </c>
      <c r="DJ61" s="2" t="s">
        <v>3</v>
      </c>
      <c r="DK61" s="2" t="s">
        <v>3</v>
      </c>
      <c r="DL61" s="2" t="s">
        <v>3</v>
      </c>
      <c r="DM61" s="2" t="s">
        <v>3</v>
      </c>
      <c r="DN61" s="2">
        <v>0</v>
      </c>
      <c r="DO61" s="2">
        <v>0</v>
      </c>
      <c r="DP61" s="2">
        <v>1</v>
      </c>
      <c r="DQ61" s="2">
        <v>1</v>
      </c>
      <c r="DR61" s="2"/>
      <c r="DS61" s="2"/>
      <c r="DT61" s="2"/>
      <c r="DU61" s="2">
        <v>1010</v>
      </c>
      <c r="DV61" s="2" t="s">
        <v>99</v>
      </c>
      <c r="DW61" s="2" t="s">
        <v>99</v>
      </c>
      <c r="DX61" s="2">
        <v>100</v>
      </c>
      <c r="DY61" s="2"/>
      <c r="DZ61" s="2"/>
      <c r="EA61" s="2"/>
      <c r="EB61" s="2"/>
      <c r="EC61" s="2"/>
      <c r="ED61" s="2"/>
      <c r="EE61" s="2">
        <v>41393064</v>
      </c>
      <c r="EF61" s="2">
        <v>40</v>
      </c>
      <c r="EG61" s="2" t="s">
        <v>23</v>
      </c>
      <c r="EH61" s="2">
        <v>0</v>
      </c>
      <c r="EI61" s="2" t="s">
        <v>3</v>
      </c>
      <c r="EJ61" s="2">
        <v>2</v>
      </c>
      <c r="EK61" s="2">
        <v>335</v>
      </c>
      <c r="EL61" s="2" t="s">
        <v>81</v>
      </c>
      <c r="EM61" s="2" t="s">
        <v>82</v>
      </c>
      <c r="EN61" s="2"/>
      <c r="EO61" s="2" t="s">
        <v>3</v>
      </c>
      <c r="EP61" s="2"/>
      <c r="EQ61" s="2">
        <v>0</v>
      </c>
      <c r="ER61" s="2">
        <v>146.88999999999999</v>
      </c>
      <c r="ES61" s="2">
        <v>146.88999999999999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>
        <v>0</v>
      </c>
      <c r="FR61" s="2">
        <f t="shared" si="72"/>
        <v>0</v>
      </c>
      <c r="FS61" s="2">
        <v>0</v>
      </c>
      <c r="FT61" s="2"/>
      <c r="FU61" s="2"/>
      <c r="FV61" s="2"/>
      <c r="FW61" s="2"/>
      <c r="FX61" s="2">
        <v>114</v>
      </c>
      <c r="FY61" s="2">
        <v>67</v>
      </c>
      <c r="FZ61" s="2"/>
      <c r="GA61" s="2" t="s">
        <v>3</v>
      </c>
      <c r="GB61" s="2"/>
      <c r="GC61" s="2"/>
      <c r="GD61" s="2">
        <v>1</v>
      </c>
      <c r="GE61" s="2"/>
      <c r="GF61" s="2">
        <v>128275168</v>
      </c>
      <c r="GG61" s="2">
        <v>2</v>
      </c>
      <c r="GH61" s="2">
        <v>1</v>
      </c>
      <c r="GI61" s="2">
        <v>-2</v>
      </c>
      <c r="GJ61" s="2">
        <v>0</v>
      </c>
      <c r="GK61" s="2">
        <v>0</v>
      </c>
      <c r="GL61" s="2">
        <f t="shared" si="73"/>
        <v>0</v>
      </c>
      <c r="GM61" s="2">
        <f>ROUND(O61+X61+Y61,2)+GX61</f>
        <v>293.77999999999997</v>
      </c>
      <c r="GN61" s="2">
        <f>IF(OR(BI61=0,BI61=1),ROUND(O61+X61+Y61,2),0)</f>
        <v>0</v>
      </c>
      <c r="GO61" s="2">
        <f>IF(BI61=2,ROUND(O61+X61+Y61,2),0)</f>
        <v>293.77999999999997</v>
      </c>
      <c r="GP61" s="2">
        <f>IF(BI61=4,ROUND(O61+X61+Y61,2)+GX61,0)</f>
        <v>0</v>
      </c>
      <c r="GQ61" s="2"/>
      <c r="GR61" s="2">
        <v>0</v>
      </c>
      <c r="GS61" s="2">
        <v>3</v>
      </c>
      <c r="GT61" s="2">
        <v>0</v>
      </c>
      <c r="GU61" s="2" t="s">
        <v>3</v>
      </c>
      <c r="GV61" s="2">
        <f t="shared" si="74"/>
        <v>0</v>
      </c>
      <c r="GW61" s="2">
        <v>1</v>
      </c>
      <c r="GX61" s="2">
        <f t="shared" si="75"/>
        <v>0</v>
      </c>
      <c r="GY61" s="2"/>
      <c r="GZ61" s="2"/>
      <c r="HA61" s="2">
        <v>0</v>
      </c>
      <c r="HB61" s="2">
        <v>0</v>
      </c>
      <c r="HC61" s="2">
        <f t="shared" si="76"/>
        <v>0</v>
      </c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>
        <v>0</v>
      </c>
      <c r="IL61" s="2"/>
      <c r="IM61" s="2"/>
      <c r="IN61" s="2"/>
      <c r="IO61" s="2"/>
      <c r="IP61" s="2"/>
      <c r="IQ61" s="2"/>
      <c r="IR61" s="2"/>
      <c r="IS61" s="2"/>
      <c r="IT61" s="2"/>
      <c r="IU61" s="2"/>
    </row>
    <row r="62" spans="1:255" x14ac:dyDescent="0.2">
      <c r="A62">
        <v>18</v>
      </c>
      <c r="B62">
        <v>1</v>
      </c>
      <c r="C62">
        <v>34</v>
      </c>
      <c r="E62" t="s">
        <v>96</v>
      </c>
      <c r="F62" t="s">
        <v>97</v>
      </c>
      <c r="G62" t="s">
        <v>98</v>
      </c>
      <c r="H62" t="s">
        <v>99</v>
      </c>
      <c r="I62">
        <f>I54*J62</f>
        <v>2</v>
      </c>
      <c r="J62">
        <v>1</v>
      </c>
      <c r="O62">
        <f t="shared" si="49"/>
        <v>349.6</v>
      </c>
      <c r="P62">
        <f t="shared" si="50"/>
        <v>349.6</v>
      </c>
      <c r="Q62">
        <f t="shared" si="51"/>
        <v>0</v>
      </c>
      <c r="R62">
        <f t="shared" si="52"/>
        <v>0</v>
      </c>
      <c r="S62">
        <f t="shared" si="53"/>
        <v>0</v>
      </c>
      <c r="T62">
        <f t="shared" si="54"/>
        <v>0</v>
      </c>
      <c r="U62">
        <f t="shared" si="55"/>
        <v>0</v>
      </c>
      <c r="V62">
        <f t="shared" si="56"/>
        <v>0</v>
      </c>
      <c r="W62">
        <f t="shared" si="57"/>
        <v>0</v>
      </c>
      <c r="X62">
        <f t="shared" si="58"/>
        <v>0</v>
      </c>
      <c r="Y62">
        <f t="shared" si="59"/>
        <v>0</v>
      </c>
      <c r="AA62">
        <v>42119679</v>
      </c>
      <c r="AB62">
        <f t="shared" si="60"/>
        <v>146.88999999999999</v>
      </c>
      <c r="AC62">
        <f t="shared" si="61"/>
        <v>146.88999999999999</v>
      </c>
      <c r="AD62">
        <f t="shared" si="77"/>
        <v>0</v>
      </c>
      <c r="AE62">
        <f t="shared" si="78"/>
        <v>0</v>
      </c>
      <c r="AF62">
        <f t="shared" si="78"/>
        <v>0</v>
      </c>
      <c r="AG62">
        <f t="shared" si="62"/>
        <v>0</v>
      </c>
      <c r="AH62">
        <f t="shared" si="79"/>
        <v>0</v>
      </c>
      <c r="AI62">
        <f t="shared" si="79"/>
        <v>0</v>
      </c>
      <c r="AJ62">
        <f t="shared" si="63"/>
        <v>0</v>
      </c>
      <c r="AK62">
        <v>146.88999999999999</v>
      </c>
      <c r="AL62">
        <v>146.88999999999999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1</v>
      </c>
      <c r="AW62">
        <v>1</v>
      </c>
      <c r="AZ62">
        <v>1</v>
      </c>
      <c r="BA62">
        <v>1</v>
      </c>
      <c r="BB62">
        <v>1</v>
      </c>
      <c r="BC62">
        <v>1.19</v>
      </c>
      <c r="BD62" t="s">
        <v>3</v>
      </c>
      <c r="BE62" t="s">
        <v>3</v>
      </c>
      <c r="BF62" t="s">
        <v>3</v>
      </c>
      <c r="BG62" t="s">
        <v>3</v>
      </c>
      <c r="BH62">
        <v>3</v>
      </c>
      <c r="BI62">
        <v>2</v>
      </c>
      <c r="BJ62" t="s">
        <v>100</v>
      </c>
      <c r="BM62">
        <v>335</v>
      </c>
      <c r="BN62">
        <v>0</v>
      </c>
      <c r="BO62" t="s">
        <v>97</v>
      </c>
      <c r="BP62">
        <v>1</v>
      </c>
      <c r="BQ62">
        <v>40</v>
      </c>
      <c r="BR62">
        <v>0</v>
      </c>
      <c r="BS62">
        <v>1</v>
      </c>
      <c r="BT62">
        <v>1</v>
      </c>
      <c r="BU62">
        <v>1</v>
      </c>
      <c r="BV62">
        <v>1</v>
      </c>
      <c r="BW62">
        <v>1</v>
      </c>
      <c r="BX62">
        <v>1</v>
      </c>
      <c r="BY62" t="s">
        <v>3</v>
      </c>
      <c r="BZ62">
        <v>0</v>
      </c>
      <c r="CA62">
        <v>0</v>
      </c>
      <c r="CE62">
        <v>0</v>
      </c>
      <c r="CF62">
        <v>0</v>
      </c>
      <c r="CG62">
        <v>0</v>
      </c>
      <c r="CM62">
        <v>0</v>
      </c>
      <c r="CN62" t="s">
        <v>3</v>
      </c>
      <c r="CO62">
        <v>0</v>
      </c>
      <c r="CP62">
        <f t="shared" si="64"/>
        <v>349.6</v>
      </c>
      <c r="CQ62">
        <f t="shared" si="65"/>
        <v>174.79909999999998</v>
      </c>
      <c r="CR62">
        <f t="shared" si="80"/>
        <v>0</v>
      </c>
      <c r="CS62">
        <f t="shared" si="66"/>
        <v>0</v>
      </c>
      <c r="CT62">
        <f t="shared" si="67"/>
        <v>0</v>
      </c>
      <c r="CU62">
        <f t="shared" si="68"/>
        <v>0</v>
      </c>
      <c r="CV62">
        <f t="shared" si="69"/>
        <v>0</v>
      </c>
      <c r="CW62">
        <f t="shared" si="70"/>
        <v>0</v>
      </c>
      <c r="CX62">
        <f t="shared" si="71"/>
        <v>0</v>
      </c>
      <c r="CY62">
        <f>S62*(BZ62/100)</f>
        <v>0</v>
      </c>
      <c r="CZ62">
        <f>S62*(CA62/100)</f>
        <v>0</v>
      </c>
      <c r="DC62" t="s">
        <v>3</v>
      </c>
      <c r="DD62" t="s">
        <v>3</v>
      </c>
      <c r="DE62" t="s">
        <v>3</v>
      </c>
      <c r="DF62" t="s">
        <v>3</v>
      </c>
      <c r="DG62" t="s">
        <v>3</v>
      </c>
      <c r="DH62" t="s">
        <v>3</v>
      </c>
      <c r="DI62" t="s">
        <v>3</v>
      </c>
      <c r="DJ62" t="s">
        <v>3</v>
      </c>
      <c r="DK62" t="s">
        <v>3</v>
      </c>
      <c r="DL62" t="s">
        <v>3</v>
      </c>
      <c r="DM62" t="s">
        <v>3</v>
      </c>
      <c r="DN62">
        <v>114</v>
      </c>
      <c r="DO62">
        <v>67</v>
      </c>
      <c r="DP62">
        <v>1</v>
      </c>
      <c r="DQ62">
        <v>1</v>
      </c>
      <c r="DU62">
        <v>1010</v>
      </c>
      <c r="DV62" t="s">
        <v>99</v>
      </c>
      <c r="DW62" t="s">
        <v>99</v>
      </c>
      <c r="DX62">
        <v>100</v>
      </c>
      <c r="EE62">
        <v>41393064</v>
      </c>
      <c r="EF62">
        <v>40</v>
      </c>
      <c r="EG62" t="s">
        <v>23</v>
      </c>
      <c r="EH62">
        <v>0</v>
      </c>
      <c r="EI62" t="s">
        <v>3</v>
      </c>
      <c r="EJ62">
        <v>2</v>
      </c>
      <c r="EK62">
        <v>335</v>
      </c>
      <c r="EL62" t="s">
        <v>81</v>
      </c>
      <c r="EM62" t="s">
        <v>82</v>
      </c>
      <c r="EO62" t="s">
        <v>3</v>
      </c>
      <c r="EQ62">
        <v>0</v>
      </c>
      <c r="ER62">
        <v>146.88999999999999</v>
      </c>
      <c r="ES62">
        <v>146.88999999999999</v>
      </c>
      <c r="ET62">
        <v>0</v>
      </c>
      <c r="EU62">
        <v>0</v>
      </c>
      <c r="EV62">
        <v>0</v>
      </c>
      <c r="EW62">
        <v>0</v>
      </c>
      <c r="EX62">
        <v>0</v>
      </c>
      <c r="FQ62">
        <v>0</v>
      </c>
      <c r="FR62">
        <f t="shared" si="72"/>
        <v>0</v>
      </c>
      <c r="FS62">
        <v>0</v>
      </c>
      <c r="FX62">
        <v>114</v>
      </c>
      <c r="FY62">
        <v>67</v>
      </c>
      <c r="GA62" t="s">
        <v>3</v>
      </c>
      <c r="GD62">
        <v>0</v>
      </c>
      <c r="GF62">
        <v>128275168</v>
      </c>
      <c r="GG62">
        <v>2</v>
      </c>
      <c r="GH62">
        <v>1</v>
      </c>
      <c r="GI62">
        <v>2</v>
      </c>
      <c r="GJ62">
        <v>0</v>
      </c>
      <c r="GK62">
        <f>ROUND(R62*(S12)/100,2)</f>
        <v>0</v>
      </c>
      <c r="GL62">
        <f t="shared" si="73"/>
        <v>0</v>
      </c>
      <c r="GM62">
        <f>ROUND(O62+X62+Y62+GK62,2)+GX62</f>
        <v>349.6</v>
      </c>
      <c r="GN62">
        <f>IF(OR(BI62=0,BI62=1),ROUND(O62+X62+Y62+GK62,2),0)</f>
        <v>0</v>
      </c>
      <c r="GO62">
        <f>IF(BI62=2,ROUND(O62+X62+Y62+GK62,2),0)</f>
        <v>349.6</v>
      </c>
      <c r="GP62">
        <f>IF(BI62=4,ROUND(O62+X62+Y62+GK62,2)+GX62,0)</f>
        <v>0</v>
      </c>
      <c r="GR62">
        <v>0</v>
      </c>
      <c r="GS62">
        <v>3</v>
      </c>
      <c r="GT62">
        <v>0</v>
      </c>
      <c r="GU62" t="s">
        <v>3</v>
      </c>
      <c r="GV62">
        <f t="shared" si="74"/>
        <v>0</v>
      </c>
      <c r="GW62">
        <v>1</v>
      </c>
      <c r="GX62">
        <f t="shared" si="75"/>
        <v>0</v>
      </c>
      <c r="HA62">
        <v>0</v>
      </c>
      <c r="HB62">
        <v>0</v>
      </c>
      <c r="HC62">
        <f t="shared" si="76"/>
        <v>0</v>
      </c>
      <c r="IK62">
        <v>0</v>
      </c>
    </row>
    <row r="63" spans="1:255" x14ac:dyDescent="0.2">
      <c r="A63" s="2">
        <v>17</v>
      </c>
      <c r="B63" s="2">
        <v>1</v>
      </c>
      <c r="C63" s="2">
        <f>ROW(SmtRes!A36)</f>
        <v>36</v>
      </c>
      <c r="D63" s="2">
        <f>ROW(EtalonRes!A19)</f>
        <v>19</v>
      </c>
      <c r="E63" s="2" t="s">
        <v>101</v>
      </c>
      <c r="F63" s="2" t="s">
        <v>102</v>
      </c>
      <c r="G63" s="2" t="s">
        <v>103</v>
      </c>
      <c r="H63" s="2" t="s">
        <v>79</v>
      </c>
      <c r="I63" s="2">
        <f>ROUND(200/100,9)</f>
        <v>2</v>
      </c>
      <c r="J63" s="2">
        <v>0</v>
      </c>
      <c r="K63" s="2"/>
      <c r="L63" s="2"/>
      <c r="M63" s="2"/>
      <c r="N63" s="2"/>
      <c r="O63" s="2">
        <f t="shared" si="49"/>
        <v>183.14</v>
      </c>
      <c r="P63" s="2">
        <f t="shared" si="50"/>
        <v>12.74</v>
      </c>
      <c r="Q63" s="2">
        <f t="shared" si="51"/>
        <v>2.44</v>
      </c>
      <c r="R63" s="2">
        <f t="shared" si="52"/>
        <v>0.57999999999999996</v>
      </c>
      <c r="S63" s="2">
        <f t="shared" si="53"/>
        <v>167.96</v>
      </c>
      <c r="T63" s="2">
        <f t="shared" si="54"/>
        <v>0</v>
      </c>
      <c r="U63" s="2">
        <f t="shared" si="55"/>
        <v>13.62175</v>
      </c>
      <c r="V63" s="2">
        <f t="shared" si="56"/>
        <v>0</v>
      </c>
      <c r="W63" s="2">
        <f t="shared" si="57"/>
        <v>0</v>
      </c>
      <c r="X63" s="2">
        <f t="shared" si="58"/>
        <v>191.47</v>
      </c>
      <c r="Y63" s="2">
        <f t="shared" si="59"/>
        <v>112.53</v>
      </c>
      <c r="Z63" s="2"/>
      <c r="AA63" s="2">
        <v>42119681</v>
      </c>
      <c r="AB63" s="2">
        <f t="shared" si="60"/>
        <v>91.570625000000007</v>
      </c>
      <c r="AC63" s="2">
        <f t="shared" si="61"/>
        <v>6.37</v>
      </c>
      <c r="AD63" s="2">
        <f>ROUND((((((ET63*1.25)*1.15))-(((EU63*1.25)*1.15)))+AE63),6)</f>
        <v>1.221875</v>
      </c>
      <c r="AE63" s="2">
        <f>ROUND((((EU63*1.25)*1.15)),6)</f>
        <v>0.28749999999999998</v>
      </c>
      <c r="AF63" s="2">
        <f>ROUND((((EV63*1.15)*1.15)),6)</f>
        <v>83.978750000000005</v>
      </c>
      <c r="AG63" s="2">
        <f t="shared" si="62"/>
        <v>0</v>
      </c>
      <c r="AH63" s="2">
        <f>(((EW63*1.15)*1.15))</f>
        <v>6.8108750000000002</v>
      </c>
      <c r="AI63" s="2">
        <f>(((EX63*1.25)*1.15))</f>
        <v>0</v>
      </c>
      <c r="AJ63" s="2">
        <f t="shared" si="63"/>
        <v>0</v>
      </c>
      <c r="AK63" s="2">
        <v>70.72</v>
      </c>
      <c r="AL63" s="2">
        <v>6.37</v>
      </c>
      <c r="AM63" s="2">
        <v>0.85</v>
      </c>
      <c r="AN63" s="2">
        <v>0.2</v>
      </c>
      <c r="AO63" s="2">
        <v>63.5</v>
      </c>
      <c r="AP63" s="2">
        <v>0</v>
      </c>
      <c r="AQ63" s="2">
        <v>5.15</v>
      </c>
      <c r="AR63" s="2">
        <v>0</v>
      </c>
      <c r="AS63" s="2">
        <v>0</v>
      </c>
      <c r="AT63" s="2">
        <v>114</v>
      </c>
      <c r="AU63" s="2">
        <v>67</v>
      </c>
      <c r="AV63" s="2">
        <v>1</v>
      </c>
      <c r="AW63" s="2">
        <v>1</v>
      </c>
      <c r="AX63" s="2"/>
      <c r="AY63" s="2"/>
      <c r="AZ63" s="2">
        <v>1</v>
      </c>
      <c r="BA63" s="2">
        <v>1</v>
      </c>
      <c r="BB63" s="2">
        <v>1</v>
      </c>
      <c r="BC63" s="2">
        <v>1</v>
      </c>
      <c r="BD63" s="2" t="s">
        <v>3</v>
      </c>
      <c r="BE63" s="2" t="s">
        <v>3</v>
      </c>
      <c r="BF63" s="2" t="s">
        <v>3</v>
      </c>
      <c r="BG63" s="2" t="s">
        <v>3</v>
      </c>
      <c r="BH63" s="2">
        <v>0</v>
      </c>
      <c r="BI63" s="2">
        <v>2</v>
      </c>
      <c r="BJ63" s="2" t="s">
        <v>104</v>
      </c>
      <c r="BK63" s="2"/>
      <c r="BL63" s="2"/>
      <c r="BM63" s="2">
        <v>331</v>
      </c>
      <c r="BN63" s="2">
        <v>0</v>
      </c>
      <c r="BO63" s="2" t="s">
        <v>3</v>
      </c>
      <c r="BP63" s="2">
        <v>0</v>
      </c>
      <c r="BQ63" s="2">
        <v>40</v>
      </c>
      <c r="BR63" s="2">
        <v>0</v>
      </c>
      <c r="BS63" s="2">
        <v>1</v>
      </c>
      <c r="BT63" s="2">
        <v>1</v>
      </c>
      <c r="BU63" s="2">
        <v>1</v>
      </c>
      <c r="BV63" s="2">
        <v>1</v>
      </c>
      <c r="BW63" s="2">
        <v>1</v>
      </c>
      <c r="BX63" s="2">
        <v>1</v>
      </c>
      <c r="BY63" s="2" t="s">
        <v>3</v>
      </c>
      <c r="BZ63" s="2">
        <v>114</v>
      </c>
      <c r="CA63" s="2">
        <v>67</v>
      </c>
      <c r="CB63" s="2"/>
      <c r="CC63" s="2"/>
      <c r="CD63" s="2"/>
      <c r="CE63" s="2">
        <v>0</v>
      </c>
      <c r="CF63" s="2">
        <v>0</v>
      </c>
      <c r="CG63" s="2">
        <v>0</v>
      </c>
      <c r="CH63" s="2"/>
      <c r="CI63" s="2"/>
      <c r="CJ63" s="2"/>
      <c r="CK63" s="2"/>
      <c r="CL63" s="2"/>
      <c r="CM63" s="2">
        <v>0</v>
      </c>
      <c r="CN63" s="2" t="s">
        <v>225</v>
      </c>
      <c r="CO63" s="2">
        <v>0</v>
      </c>
      <c r="CP63" s="2">
        <f t="shared" si="64"/>
        <v>183.14000000000001</v>
      </c>
      <c r="CQ63" s="2">
        <f t="shared" si="65"/>
        <v>6.37</v>
      </c>
      <c r="CR63" s="2">
        <f>((((((ET63*1.25)*1.15))*BB63-(((EU63*1.25)*1.15))*BS63)+AE63*BS63)*AV63)</f>
        <v>1.2218749999999998</v>
      </c>
      <c r="CS63" s="2">
        <f t="shared" si="66"/>
        <v>0.28749999999999998</v>
      </c>
      <c r="CT63" s="2">
        <f t="shared" si="67"/>
        <v>83.978750000000005</v>
      </c>
      <c r="CU63" s="2">
        <f t="shared" si="68"/>
        <v>0</v>
      </c>
      <c r="CV63" s="2">
        <f t="shared" si="69"/>
        <v>6.8108750000000002</v>
      </c>
      <c r="CW63" s="2">
        <f t="shared" si="70"/>
        <v>0</v>
      </c>
      <c r="CX63" s="2">
        <f t="shared" si="71"/>
        <v>0</v>
      </c>
      <c r="CY63" s="2">
        <f>((S63*BZ63)/100)</f>
        <v>191.47440000000003</v>
      </c>
      <c r="CZ63" s="2">
        <f>((S63*CA63)/100)</f>
        <v>112.53319999999999</v>
      </c>
      <c r="DA63" s="2"/>
      <c r="DB63" s="2"/>
      <c r="DC63" s="2" t="s">
        <v>3</v>
      </c>
      <c r="DD63" s="2" t="s">
        <v>3</v>
      </c>
      <c r="DE63" s="2" t="s">
        <v>21</v>
      </c>
      <c r="DF63" s="2" t="s">
        <v>21</v>
      </c>
      <c r="DG63" s="2" t="s">
        <v>22</v>
      </c>
      <c r="DH63" s="2" t="s">
        <v>3</v>
      </c>
      <c r="DI63" s="2" t="s">
        <v>22</v>
      </c>
      <c r="DJ63" s="2" t="s">
        <v>21</v>
      </c>
      <c r="DK63" s="2" t="s">
        <v>3</v>
      </c>
      <c r="DL63" s="2" t="s">
        <v>3</v>
      </c>
      <c r="DM63" s="2" t="s">
        <v>3</v>
      </c>
      <c r="DN63" s="2">
        <v>0</v>
      </c>
      <c r="DO63" s="2">
        <v>0</v>
      </c>
      <c r="DP63" s="2">
        <v>1</v>
      </c>
      <c r="DQ63" s="2">
        <v>1</v>
      </c>
      <c r="DR63" s="2"/>
      <c r="DS63" s="2"/>
      <c r="DT63" s="2"/>
      <c r="DU63" s="2">
        <v>1003</v>
      </c>
      <c r="DV63" s="2" t="s">
        <v>79</v>
      </c>
      <c r="DW63" s="2" t="s">
        <v>79</v>
      </c>
      <c r="DX63" s="2">
        <v>100</v>
      </c>
      <c r="DY63" s="2"/>
      <c r="DZ63" s="2"/>
      <c r="EA63" s="2"/>
      <c r="EB63" s="2"/>
      <c r="EC63" s="2"/>
      <c r="ED63" s="2"/>
      <c r="EE63" s="2">
        <v>41393060</v>
      </c>
      <c r="EF63" s="2">
        <v>40</v>
      </c>
      <c r="EG63" s="2" t="s">
        <v>23</v>
      </c>
      <c r="EH63" s="2">
        <v>0</v>
      </c>
      <c r="EI63" s="2" t="s">
        <v>3</v>
      </c>
      <c r="EJ63" s="2">
        <v>2</v>
      </c>
      <c r="EK63" s="2">
        <v>331</v>
      </c>
      <c r="EL63" s="2" t="s">
        <v>105</v>
      </c>
      <c r="EM63" s="2" t="s">
        <v>106</v>
      </c>
      <c r="EN63" s="2"/>
      <c r="EO63" s="2" t="s">
        <v>26</v>
      </c>
      <c r="EP63" s="2"/>
      <c r="EQ63" s="2">
        <v>0</v>
      </c>
      <c r="ER63" s="2">
        <v>70.72</v>
      </c>
      <c r="ES63" s="2">
        <v>6.37</v>
      </c>
      <c r="ET63" s="2">
        <v>0.85</v>
      </c>
      <c r="EU63" s="2">
        <v>0.2</v>
      </c>
      <c r="EV63" s="2">
        <v>63.5</v>
      </c>
      <c r="EW63" s="2">
        <v>5.15</v>
      </c>
      <c r="EX63" s="2">
        <v>0</v>
      </c>
      <c r="EY63" s="2">
        <v>0</v>
      </c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>
        <v>0</v>
      </c>
      <c r="FR63" s="2">
        <f t="shared" si="72"/>
        <v>0</v>
      </c>
      <c r="FS63" s="2">
        <v>0</v>
      </c>
      <c r="FT63" s="2"/>
      <c r="FU63" s="2"/>
      <c r="FV63" s="2"/>
      <c r="FW63" s="2"/>
      <c r="FX63" s="2">
        <v>114</v>
      </c>
      <c r="FY63" s="2">
        <v>67</v>
      </c>
      <c r="FZ63" s="2"/>
      <c r="GA63" s="2" t="s">
        <v>3</v>
      </c>
      <c r="GB63" s="2"/>
      <c r="GC63" s="2"/>
      <c r="GD63" s="2">
        <v>1</v>
      </c>
      <c r="GE63" s="2"/>
      <c r="GF63" s="2">
        <v>2086493071</v>
      </c>
      <c r="GG63" s="2">
        <v>2</v>
      </c>
      <c r="GH63" s="2">
        <v>1</v>
      </c>
      <c r="GI63" s="2">
        <v>-2</v>
      </c>
      <c r="GJ63" s="2">
        <v>0</v>
      </c>
      <c r="GK63" s="2">
        <v>0</v>
      </c>
      <c r="GL63" s="2">
        <f t="shared" si="73"/>
        <v>0</v>
      </c>
      <c r="GM63" s="2">
        <f>ROUND(O63+X63+Y63,2)+GX63</f>
        <v>487.14</v>
      </c>
      <c r="GN63" s="2">
        <f>IF(OR(BI63=0,BI63=1),ROUND(O63+X63+Y63,2),0)</f>
        <v>0</v>
      </c>
      <c r="GO63" s="2">
        <f>IF(BI63=2,ROUND(O63+X63+Y63,2),0)</f>
        <v>487.14</v>
      </c>
      <c r="GP63" s="2">
        <f>IF(BI63=4,ROUND(O63+X63+Y63,2)+GX63,0)</f>
        <v>0</v>
      </c>
      <c r="GQ63" s="2"/>
      <c r="GR63" s="2">
        <v>0</v>
      </c>
      <c r="GS63" s="2">
        <v>3</v>
      </c>
      <c r="GT63" s="2">
        <v>0</v>
      </c>
      <c r="GU63" s="2" t="s">
        <v>3</v>
      </c>
      <c r="GV63" s="2">
        <f t="shared" si="74"/>
        <v>0</v>
      </c>
      <c r="GW63" s="2">
        <v>1</v>
      </c>
      <c r="GX63" s="2">
        <f t="shared" si="75"/>
        <v>0</v>
      </c>
      <c r="GY63" s="2"/>
      <c r="GZ63" s="2"/>
      <c r="HA63" s="2">
        <v>0</v>
      </c>
      <c r="HB63" s="2">
        <v>0</v>
      </c>
      <c r="HC63" s="2">
        <f t="shared" si="76"/>
        <v>0</v>
      </c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>
        <v>0</v>
      </c>
      <c r="IL63" s="2"/>
      <c r="IM63" s="2"/>
      <c r="IN63" s="2"/>
      <c r="IO63" s="2"/>
      <c r="IP63" s="2"/>
      <c r="IQ63" s="2"/>
      <c r="IR63" s="2"/>
      <c r="IS63" s="2"/>
      <c r="IT63" s="2"/>
      <c r="IU63" s="2"/>
    </row>
    <row r="64" spans="1:255" x14ac:dyDescent="0.2">
      <c r="A64">
        <v>17</v>
      </c>
      <c r="B64">
        <v>1</v>
      </c>
      <c r="C64">
        <f>ROW(SmtRes!A38)</f>
        <v>38</v>
      </c>
      <c r="D64">
        <f>ROW(EtalonRes!A20)</f>
        <v>20</v>
      </c>
      <c r="E64" t="s">
        <v>101</v>
      </c>
      <c r="F64" t="s">
        <v>102</v>
      </c>
      <c r="G64" t="s">
        <v>103</v>
      </c>
      <c r="H64" t="s">
        <v>79</v>
      </c>
      <c r="I64">
        <f>ROUND(200/100,9)</f>
        <v>2</v>
      </c>
      <c r="J64">
        <v>0</v>
      </c>
      <c r="O64">
        <f t="shared" si="49"/>
        <v>3734.21</v>
      </c>
      <c r="P64">
        <f t="shared" si="50"/>
        <v>68.92</v>
      </c>
      <c r="Q64">
        <f t="shared" si="51"/>
        <v>22.29</v>
      </c>
      <c r="R64">
        <f t="shared" si="52"/>
        <v>12.47</v>
      </c>
      <c r="S64">
        <f t="shared" si="53"/>
        <v>3643</v>
      </c>
      <c r="T64">
        <f t="shared" si="54"/>
        <v>0</v>
      </c>
      <c r="U64">
        <f t="shared" si="55"/>
        <v>13.62175</v>
      </c>
      <c r="V64">
        <f t="shared" si="56"/>
        <v>0</v>
      </c>
      <c r="W64">
        <f t="shared" si="57"/>
        <v>0</v>
      </c>
      <c r="X64">
        <f t="shared" si="58"/>
        <v>2805.11</v>
      </c>
      <c r="Y64">
        <f t="shared" si="59"/>
        <v>1493.63</v>
      </c>
      <c r="AA64">
        <v>42119679</v>
      </c>
      <c r="AB64">
        <f t="shared" si="60"/>
        <v>91.570625000000007</v>
      </c>
      <c r="AC64">
        <f t="shared" si="61"/>
        <v>6.37</v>
      </c>
      <c r="AD64">
        <f>ROUND((((((ET64*1.25)*1.15))-(((EU64*1.25)*1.15)))+AE64),6)</f>
        <v>1.221875</v>
      </c>
      <c r="AE64">
        <f>ROUND((((EU64*1.25)*1.15)),6)</f>
        <v>0.28749999999999998</v>
      </c>
      <c r="AF64">
        <f>ROUND((((EV64*1.15)*1.15)),6)</f>
        <v>83.978750000000005</v>
      </c>
      <c r="AG64">
        <f t="shared" si="62"/>
        <v>0</v>
      </c>
      <c r="AH64">
        <f>(((EW64*1.15)*1.15))</f>
        <v>6.8108750000000002</v>
      </c>
      <c r="AI64">
        <f>(((EX64*1.25)*1.15))</f>
        <v>0</v>
      </c>
      <c r="AJ64">
        <f t="shared" si="63"/>
        <v>0</v>
      </c>
      <c r="AK64">
        <v>70.72</v>
      </c>
      <c r="AL64">
        <v>6.37</v>
      </c>
      <c r="AM64">
        <v>0.85</v>
      </c>
      <c r="AN64">
        <v>0.2</v>
      </c>
      <c r="AO64">
        <v>63.5</v>
      </c>
      <c r="AP64">
        <v>0</v>
      </c>
      <c r="AQ64">
        <v>5.15</v>
      </c>
      <c r="AR64">
        <v>0</v>
      </c>
      <c r="AS64">
        <v>0</v>
      </c>
      <c r="AT64">
        <v>77</v>
      </c>
      <c r="AU64">
        <v>41</v>
      </c>
      <c r="AV64">
        <v>1</v>
      </c>
      <c r="AW64">
        <v>1</v>
      </c>
      <c r="AZ64">
        <v>1</v>
      </c>
      <c r="BA64">
        <v>21.69</v>
      </c>
      <c r="BB64">
        <v>9.1199999999999992</v>
      </c>
      <c r="BC64">
        <v>5.41</v>
      </c>
      <c r="BD64" t="s">
        <v>3</v>
      </c>
      <c r="BE64" t="s">
        <v>3</v>
      </c>
      <c r="BF64" t="s">
        <v>3</v>
      </c>
      <c r="BG64" t="s">
        <v>3</v>
      </c>
      <c r="BH64">
        <v>0</v>
      </c>
      <c r="BI64">
        <v>2</v>
      </c>
      <c r="BJ64" t="s">
        <v>104</v>
      </c>
      <c r="BM64">
        <v>331</v>
      </c>
      <c r="BN64">
        <v>0</v>
      </c>
      <c r="BO64" t="s">
        <v>102</v>
      </c>
      <c r="BP64">
        <v>1</v>
      </c>
      <c r="BQ64">
        <v>40</v>
      </c>
      <c r="BR64">
        <v>0</v>
      </c>
      <c r="BS64">
        <v>21.69</v>
      </c>
      <c r="BT64">
        <v>1</v>
      </c>
      <c r="BU64">
        <v>1</v>
      </c>
      <c r="BV64">
        <v>1</v>
      </c>
      <c r="BW64">
        <v>1</v>
      </c>
      <c r="BX64">
        <v>1</v>
      </c>
      <c r="BY64" t="s">
        <v>3</v>
      </c>
      <c r="BZ64">
        <v>77</v>
      </c>
      <c r="CA64">
        <v>41</v>
      </c>
      <c r="CE64">
        <v>0</v>
      </c>
      <c r="CF64">
        <v>0</v>
      </c>
      <c r="CG64">
        <v>0</v>
      </c>
      <c r="CM64">
        <v>0</v>
      </c>
      <c r="CN64" t="s">
        <v>225</v>
      </c>
      <c r="CO64">
        <v>0</v>
      </c>
      <c r="CP64">
        <f t="shared" si="64"/>
        <v>3734.21</v>
      </c>
      <c r="CQ64">
        <f t="shared" si="65"/>
        <v>34.4617</v>
      </c>
      <c r="CR64">
        <f>((((((ET64*1.25)*1.15))*BB64-(((EU64*1.25)*1.15))*BS64)+AE64*BS64)*AV64)</f>
        <v>11.143499999999998</v>
      </c>
      <c r="CS64">
        <f t="shared" si="66"/>
        <v>6.2358750000000001</v>
      </c>
      <c r="CT64">
        <f t="shared" si="67"/>
        <v>1821.4990875000003</v>
      </c>
      <c r="CU64">
        <f t="shared" si="68"/>
        <v>0</v>
      </c>
      <c r="CV64">
        <f t="shared" si="69"/>
        <v>6.8108750000000002</v>
      </c>
      <c r="CW64">
        <f t="shared" si="70"/>
        <v>0</v>
      </c>
      <c r="CX64">
        <f t="shared" si="71"/>
        <v>0</v>
      </c>
      <c r="CY64">
        <f>S64*(BZ64/100)</f>
        <v>2805.11</v>
      </c>
      <c r="CZ64">
        <f>S64*(CA64/100)</f>
        <v>1493.6299999999999</v>
      </c>
      <c r="DC64" t="s">
        <v>3</v>
      </c>
      <c r="DD64" t="s">
        <v>3</v>
      </c>
      <c r="DE64" t="s">
        <v>21</v>
      </c>
      <c r="DF64" t="s">
        <v>21</v>
      </c>
      <c r="DG64" t="s">
        <v>22</v>
      </c>
      <c r="DH64" t="s">
        <v>3</v>
      </c>
      <c r="DI64" t="s">
        <v>22</v>
      </c>
      <c r="DJ64" t="s">
        <v>21</v>
      </c>
      <c r="DK64" t="s">
        <v>3</v>
      </c>
      <c r="DL64" t="s">
        <v>3</v>
      </c>
      <c r="DM64" t="s">
        <v>3</v>
      </c>
      <c r="DN64">
        <v>114</v>
      </c>
      <c r="DO64">
        <v>67</v>
      </c>
      <c r="DP64">
        <v>1</v>
      </c>
      <c r="DQ64">
        <v>1</v>
      </c>
      <c r="DU64">
        <v>1003</v>
      </c>
      <c r="DV64" t="s">
        <v>79</v>
      </c>
      <c r="DW64" t="s">
        <v>79</v>
      </c>
      <c r="DX64">
        <v>100</v>
      </c>
      <c r="EE64">
        <v>41393060</v>
      </c>
      <c r="EF64">
        <v>40</v>
      </c>
      <c r="EG64" t="s">
        <v>23</v>
      </c>
      <c r="EH64">
        <v>0</v>
      </c>
      <c r="EI64" t="s">
        <v>3</v>
      </c>
      <c r="EJ64">
        <v>2</v>
      </c>
      <c r="EK64">
        <v>331</v>
      </c>
      <c r="EL64" t="s">
        <v>105</v>
      </c>
      <c r="EM64" t="s">
        <v>106</v>
      </c>
      <c r="EO64" t="s">
        <v>26</v>
      </c>
      <c r="EQ64">
        <v>0</v>
      </c>
      <c r="ER64">
        <v>70.72</v>
      </c>
      <c r="ES64">
        <v>6.37</v>
      </c>
      <c r="ET64">
        <v>0.85</v>
      </c>
      <c r="EU64">
        <v>0.2</v>
      </c>
      <c r="EV64">
        <v>63.5</v>
      </c>
      <c r="EW64">
        <v>5.15</v>
      </c>
      <c r="EX64">
        <v>0</v>
      </c>
      <c r="EY64">
        <v>0</v>
      </c>
      <c r="FQ64">
        <v>0</v>
      </c>
      <c r="FR64">
        <f t="shared" si="72"/>
        <v>0</v>
      </c>
      <c r="FS64">
        <v>0</v>
      </c>
      <c r="FX64">
        <v>114</v>
      </c>
      <c r="FY64">
        <v>67</v>
      </c>
      <c r="GA64" t="s">
        <v>3</v>
      </c>
      <c r="GD64">
        <v>0</v>
      </c>
      <c r="GF64">
        <v>2086493071</v>
      </c>
      <c r="GG64">
        <v>2</v>
      </c>
      <c r="GH64">
        <v>1</v>
      </c>
      <c r="GI64">
        <v>2</v>
      </c>
      <c r="GJ64">
        <v>0</v>
      </c>
      <c r="GK64">
        <f>ROUND(R64*(S12)/100,2)</f>
        <v>19.579999999999998</v>
      </c>
      <c r="GL64">
        <f t="shared" si="73"/>
        <v>0</v>
      </c>
      <c r="GM64">
        <f>ROUND(O64+X64+Y64+GK64,2)+GX64</f>
        <v>8052.53</v>
      </c>
      <c r="GN64">
        <f>IF(OR(BI64=0,BI64=1),ROUND(O64+X64+Y64+GK64,2),0)</f>
        <v>0</v>
      </c>
      <c r="GO64">
        <f>IF(BI64=2,ROUND(O64+X64+Y64+GK64,2),0)</f>
        <v>8052.53</v>
      </c>
      <c r="GP64">
        <f>IF(BI64=4,ROUND(O64+X64+Y64+GK64,2)+GX64,0)</f>
        <v>0</v>
      </c>
      <c r="GR64">
        <v>0</v>
      </c>
      <c r="GS64">
        <v>3</v>
      </c>
      <c r="GT64">
        <v>0</v>
      </c>
      <c r="GU64" t="s">
        <v>3</v>
      </c>
      <c r="GV64">
        <f t="shared" si="74"/>
        <v>0</v>
      </c>
      <c r="GW64">
        <v>1</v>
      </c>
      <c r="GX64">
        <f t="shared" si="75"/>
        <v>0</v>
      </c>
      <c r="HA64">
        <v>0</v>
      </c>
      <c r="HB64">
        <v>0</v>
      </c>
      <c r="HC64">
        <f t="shared" si="76"/>
        <v>0</v>
      </c>
      <c r="IK64">
        <v>0</v>
      </c>
    </row>
    <row r="65" spans="1:255" x14ac:dyDescent="0.2">
      <c r="A65" s="2">
        <v>18</v>
      </c>
      <c r="B65" s="2">
        <v>1</v>
      </c>
      <c r="C65" s="2">
        <v>36</v>
      </c>
      <c r="D65" s="2"/>
      <c r="E65" s="2" t="s">
        <v>107</v>
      </c>
      <c r="F65" s="2" t="s">
        <v>28</v>
      </c>
      <c r="G65" s="2" t="s">
        <v>108</v>
      </c>
      <c r="H65" s="2" t="s">
        <v>86</v>
      </c>
      <c r="I65" s="2">
        <f>I63*J65</f>
        <v>204</v>
      </c>
      <c r="J65" s="2">
        <v>102</v>
      </c>
      <c r="K65" s="2"/>
      <c r="L65" s="2"/>
      <c r="M65" s="2"/>
      <c r="N65" s="2"/>
      <c r="O65" s="2">
        <f t="shared" si="49"/>
        <v>74398.8</v>
      </c>
      <c r="P65" s="2">
        <f t="shared" si="50"/>
        <v>74398.8</v>
      </c>
      <c r="Q65" s="2">
        <f t="shared" si="51"/>
        <v>0</v>
      </c>
      <c r="R65" s="2">
        <f t="shared" si="52"/>
        <v>0</v>
      </c>
      <c r="S65" s="2">
        <f t="shared" si="53"/>
        <v>0</v>
      </c>
      <c r="T65" s="2">
        <f t="shared" si="54"/>
        <v>0</v>
      </c>
      <c r="U65" s="2">
        <f t="shared" si="55"/>
        <v>0</v>
      </c>
      <c r="V65" s="2">
        <f t="shared" si="56"/>
        <v>0</v>
      </c>
      <c r="W65" s="2">
        <f t="shared" si="57"/>
        <v>0</v>
      </c>
      <c r="X65" s="2">
        <f t="shared" si="58"/>
        <v>0</v>
      </c>
      <c r="Y65" s="2">
        <f t="shared" si="59"/>
        <v>0</v>
      </c>
      <c r="Z65" s="2"/>
      <c r="AA65" s="2">
        <v>42119681</v>
      </c>
      <c r="AB65" s="2">
        <f t="shared" si="60"/>
        <v>364.7</v>
      </c>
      <c r="AC65" s="2">
        <f t="shared" si="61"/>
        <v>364.7</v>
      </c>
      <c r="AD65" s="2">
        <f>ROUND((((ET65)-(EU65))+AE65),6)</f>
        <v>0</v>
      </c>
      <c r="AE65" s="2">
        <f>ROUND((EU65),6)</f>
        <v>0</v>
      </c>
      <c r="AF65" s="2">
        <f>ROUND((EV65),6)</f>
        <v>0</v>
      </c>
      <c r="AG65" s="2">
        <f t="shared" si="62"/>
        <v>0</v>
      </c>
      <c r="AH65" s="2">
        <f>(EW65)</f>
        <v>0</v>
      </c>
      <c r="AI65" s="2">
        <f>(EX65)</f>
        <v>0</v>
      </c>
      <c r="AJ65" s="2">
        <f t="shared" si="63"/>
        <v>0</v>
      </c>
      <c r="AK65" s="2">
        <v>364.7</v>
      </c>
      <c r="AL65" s="2">
        <v>364.7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114</v>
      </c>
      <c r="AU65" s="2">
        <v>67</v>
      </c>
      <c r="AV65" s="2">
        <v>1</v>
      </c>
      <c r="AW65" s="2">
        <v>1</v>
      </c>
      <c r="AX65" s="2"/>
      <c r="AY65" s="2"/>
      <c r="AZ65" s="2">
        <v>1</v>
      </c>
      <c r="BA65" s="2">
        <v>1</v>
      </c>
      <c r="BB65" s="2">
        <v>1</v>
      </c>
      <c r="BC65" s="2">
        <v>1</v>
      </c>
      <c r="BD65" s="2" t="s">
        <v>3</v>
      </c>
      <c r="BE65" s="2" t="s">
        <v>3</v>
      </c>
      <c r="BF65" s="2" t="s">
        <v>3</v>
      </c>
      <c r="BG65" s="2" t="s">
        <v>3</v>
      </c>
      <c r="BH65" s="2">
        <v>3</v>
      </c>
      <c r="BI65" s="2">
        <v>2</v>
      </c>
      <c r="BJ65" s="2" t="s">
        <v>3</v>
      </c>
      <c r="BK65" s="2"/>
      <c r="BL65" s="2"/>
      <c r="BM65" s="2">
        <v>317</v>
      </c>
      <c r="BN65" s="2">
        <v>0</v>
      </c>
      <c r="BO65" s="2" t="s">
        <v>3</v>
      </c>
      <c r="BP65" s="2">
        <v>0</v>
      </c>
      <c r="BQ65" s="2">
        <v>40</v>
      </c>
      <c r="BR65" s="2">
        <v>0</v>
      </c>
      <c r="BS65" s="2">
        <v>1</v>
      </c>
      <c r="BT65" s="2">
        <v>1</v>
      </c>
      <c r="BU65" s="2">
        <v>1</v>
      </c>
      <c r="BV65" s="2">
        <v>1</v>
      </c>
      <c r="BW65" s="2">
        <v>1</v>
      </c>
      <c r="BX65" s="2">
        <v>1</v>
      </c>
      <c r="BY65" s="2" t="s">
        <v>3</v>
      </c>
      <c r="BZ65" s="2">
        <v>114</v>
      </c>
      <c r="CA65" s="2">
        <v>67</v>
      </c>
      <c r="CB65" s="2"/>
      <c r="CC65" s="2"/>
      <c r="CD65" s="2"/>
      <c r="CE65" s="2">
        <v>0</v>
      </c>
      <c r="CF65" s="2">
        <v>0</v>
      </c>
      <c r="CG65" s="2">
        <v>0</v>
      </c>
      <c r="CH65" s="2"/>
      <c r="CI65" s="2"/>
      <c r="CJ65" s="2"/>
      <c r="CK65" s="2"/>
      <c r="CL65" s="2"/>
      <c r="CM65" s="2">
        <v>0</v>
      </c>
      <c r="CN65" s="2" t="s">
        <v>3</v>
      </c>
      <c r="CO65" s="2">
        <v>0</v>
      </c>
      <c r="CP65" s="2">
        <f t="shared" si="64"/>
        <v>74398.8</v>
      </c>
      <c r="CQ65" s="2">
        <f t="shared" si="65"/>
        <v>364.7</v>
      </c>
      <c r="CR65" s="2">
        <f>((((ET65)*BB65-(EU65)*BS65)+AE65*BS65)*AV65)</f>
        <v>0</v>
      </c>
      <c r="CS65" s="2">
        <f t="shared" si="66"/>
        <v>0</v>
      </c>
      <c r="CT65" s="2">
        <f t="shared" si="67"/>
        <v>0</v>
      </c>
      <c r="CU65" s="2">
        <f t="shared" si="68"/>
        <v>0</v>
      </c>
      <c r="CV65" s="2">
        <f t="shared" si="69"/>
        <v>0</v>
      </c>
      <c r="CW65" s="2">
        <f t="shared" si="70"/>
        <v>0</v>
      </c>
      <c r="CX65" s="2">
        <f t="shared" si="71"/>
        <v>0</v>
      </c>
      <c r="CY65" s="2">
        <f>((S65*BZ65)/100)</f>
        <v>0</v>
      </c>
      <c r="CZ65" s="2">
        <f>((S65*CA65)/100)</f>
        <v>0</v>
      </c>
      <c r="DA65" s="2"/>
      <c r="DB65" s="2"/>
      <c r="DC65" s="2" t="s">
        <v>3</v>
      </c>
      <c r="DD65" s="2" t="s">
        <v>3</v>
      </c>
      <c r="DE65" s="2" t="s">
        <v>3</v>
      </c>
      <c r="DF65" s="2" t="s">
        <v>3</v>
      </c>
      <c r="DG65" s="2" t="s">
        <v>3</v>
      </c>
      <c r="DH65" s="2" t="s">
        <v>3</v>
      </c>
      <c r="DI65" s="2" t="s">
        <v>3</v>
      </c>
      <c r="DJ65" s="2" t="s">
        <v>3</v>
      </c>
      <c r="DK65" s="2" t="s">
        <v>3</v>
      </c>
      <c r="DL65" s="2" t="s">
        <v>3</v>
      </c>
      <c r="DM65" s="2" t="s">
        <v>3</v>
      </c>
      <c r="DN65" s="2">
        <v>0</v>
      </c>
      <c r="DO65" s="2">
        <v>0</v>
      </c>
      <c r="DP65" s="2">
        <v>1</v>
      </c>
      <c r="DQ65" s="2">
        <v>1</v>
      </c>
      <c r="DR65" s="2"/>
      <c r="DS65" s="2"/>
      <c r="DT65" s="2"/>
      <c r="DU65" s="2">
        <v>1003</v>
      </c>
      <c r="DV65" s="2" t="s">
        <v>86</v>
      </c>
      <c r="DW65" s="2" t="s">
        <v>86</v>
      </c>
      <c r="DX65" s="2">
        <v>1</v>
      </c>
      <c r="DY65" s="2"/>
      <c r="DZ65" s="2"/>
      <c r="EA65" s="2"/>
      <c r="EB65" s="2"/>
      <c r="EC65" s="2"/>
      <c r="ED65" s="2"/>
      <c r="EE65" s="2">
        <v>41393046</v>
      </c>
      <c r="EF65" s="2">
        <v>40</v>
      </c>
      <c r="EG65" s="2" t="s">
        <v>23</v>
      </c>
      <c r="EH65" s="2">
        <v>0</v>
      </c>
      <c r="EI65" s="2" t="s">
        <v>3</v>
      </c>
      <c r="EJ65" s="2">
        <v>2</v>
      </c>
      <c r="EK65" s="2">
        <v>317</v>
      </c>
      <c r="EL65" s="2" t="s">
        <v>39</v>
      </c>
      <c r="EM65" s="2" t="s">
        <v>40</v>
      </c>
      <c r="EN65" s="2"/>
      <c r="EO65" s="2" t="s">
        <v>3</v>
      </c>
      <c r="EP65" s="2"/>
      <c r="EQ65" s="2">
        <v>0</v>
      </c>
      <c r="ER65" s="2">
        <v>364.7</v>
      </c>
      <c r="ES65" s="2">
        <v>364.7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>
        <v>0</v>
      </c>
      <c r="FR65" s="2">
        <f t="shared" si="72"/>
        <v>0</v>
      </c>
      <c r="FS65" s="2">
        <v>0</v>
      </c>
      <c r="FT65" s="2"/>
      <c r="FU65" s="2"/>
      <c r="FV65" s="2"/>
      <c r="FW65" s="2"/>
      <c r="FX65" s="2">
        <v>114</v>
      </c>
      <c r="FY65" s="2">
        <v>67</v>
      </c>
      <c r="FZ65" s="2"/>
      <c r="GA65" s="2" t="s">
        <v>3</v>
      </c>
      <c r="GB65" s="2"/>
      <c r="GC65" s="2"/>
      <c r="GD65" s="2">
        <v>1</v>
      </c>
      <c r="GE65" s="2"/>
      <c r="GF65" s="2">
        <v>-1867889573</v>
      </c>
      <c r="GG65" s="2">
        <v>2</v>
      </c>
      <c r="GH65" s="2">
        <v>0</v>
      </c>
      <c r="GI65" s="2">
        <v>-2</v>
      </c>
      <c r="GJ65" s="2">
        <v>0</v>
      </c>
      <c r="GK65" s="2">
        <v>0</v>
      </c>
      <c r="GL65" s="2">
        <f t="shared" si="73"/>
        <v>0</v>
      </c>
      <c r="GM65" s="2">
        <f>ROUND(O65+X65+Y65,2)+GX65</f>
        <v>74398.8</v>
      </c>
      <c r="GN65" s="2">
        <f>IF(OR(BI65=0,BI65=1),ROUND(O65+X65+Y65,2),0)</f>
        <v>0</v>
      </c>
      <c r="GO65" s="2">
        <f>IF(BI65=2,ROUND(O65+X65+Y65,2),0)</f>
        <v>74398.8</v>
      </c>
      <c r="GP65" s="2">
        <f>IF(BI65=4,ROUND(O65+X65+Y65,2)+GX65,0)</f>
        <v>0</v>
      </c>
      <c r="GQ65" s="2"/>
      <c r="GR65" s="2">
        <v>0</v>
      </c>
      <c r="GS65" s="2">
        <v>0</v>
      </c>
      <c r="GT65" s="2">
        <v>0</v>
      </c>
      <c r="GU65" s="2" t="s">
        <v>3</v>
      </c>
      <c r="GV65" s="2">
        <f t="shared" si="74"/>
        <v>0</v>
      </c>
      <c r="GW65" s="2">
        <v>1</v>
      </c>
      <c r="GX65" s="2">
        <f t="shared" si="75"/>
        <v>0</v>
      </c>
      <c r="GY65" s="2"/>
      <c r="GZ65" s="2"/>
      <c r="HA65" s="2">
        <v>0</v>
      </c>
      <c r="HB65" s="2">
        <v>0</v>
      </c>
      <c r="HC65" s="2">
        <f t="shared" si="76"/>
        <v>0</v>
      </c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>
        <v>0</v>
      </c>
      <c r="IL65" s="2"/>
      <c r="IM65" s="2"/>
      <c r="IN65" s="2"/>
      <c r="IO65" s="2"/>
      <c r="IP65" s="2"/>
      <c r="IQ65" s="2"/>
      <c r="IR65" s="2"/>
      <c r="IS65" s="2"/>
      <c r="IT65" s="2"/>
      <c r="IU65" s="2"/>
    </row>
    <row r="66" spans="1:255" x14ac:dyDescent="0.2">
      <c r="A66">
        <v>18</v>
      </c>
      <c r="B66">
        <v>1</v>
      </c>
      <c r="C66">
        <v>38</v>
      </c>
      <c r="E66" t="s">
        <v>107</v>
      </c>
      <c r="F66" t="s">
        <v>28</v>
      </c>
      <c r="G66" t="s">
        <v>108</v>
      </c>
      <c r="H66" t="s">
        <v>86</v>
      </c>
      <c r="I66">
        <f>I64*J66</f>
        <v>204</v>
      </c>
      <c r="J66">
        <v>102</v>
      </c>
      <c r="O66">
        <f t="shared" si="49"/>
        <v>13361.84</v>
      </c>
      <c r="P66">
        <f t="shared" si="50"/>
        <v>13361.84</v>
      </c>
      <c r="Q66">
        <f t="shared" si="51"/>
        <v>0</v>
      </c>
      <c r="R66">
        <f t="shared" si="52"/>
        <v>0</v>
      </c>
      <c r="S66">
        <f t="shared" si="53"/>
        <v>0</v>
      </c>
      <c r="T66">
        <f t="shared" si="54"/>
        <v>0</v>
      </c>
      <c r="U66">
        <f t="shared" si="55"/>
        <v>0</v>
      </c>
      <c r="V66">
        <f t="shared" si="56"/>
        <v>0</v>
      </c>
      <c r="W66">
        <f t="shared" si="57"/>
        <v>0</v>
      </c>
      <c r="X66">
        <f t="shared" si="58"/>
        <v>0</v>
      </c>
      <c r="Y66">
        <f t="shared" si="59"/>
        <v>0</v>
      </c>
      <c r="AA66">
        <v>42119679</v>
      </c>
      <c r="AB66">
        <f t="shared" si="60"/>
        <v>12.22</v>
      </c>
      <c r="AC66">
        <f t="shared" si="61"/>
        <v>12.22</v>
      </c>
      <c r="AD66">
        <f>ROUND((((ET66)-(EU66))+AE66),6)</f>
        <v>0</v>
      </c>
      <c r="AE66">
        <f>ROUND((EU66),6)</f>
        <v>0</v>
      </c>
      <c r="AF66">
        <f>ROUND((EV66),6)</f>
        <v>0</v>
      </c>
      <c r="AG66">
        <f t="shared" si="62"/>
        <v>0</v>
      </c>
      <c r="AH66">
        <f>(EW66)</f>
        <v>0</v>
      </c>
      <c r="AI66">
        <f>(EX66)</f>
        <v>0</v>
      </c>
      <c r="AJ66">
        <f t="shared" si="63"/>
        <v>0</v>
      </c>
      <c r="AK66">
        <v>12.22</v>
      </c>
      <c r="AL66">
        <v>12.22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1</v>
      </c>
      <c r="AW66">
        <v>1</v>
      </c>
      <c r="AZ66">
        <v>1</v>
      </c>
      <c r="BA66">
        <v>1</v>
      </c>
      <c r="BB66">
        <v>1</v>
      </c>
      <c r="BC66">
        <v>5.36</v>
      </c>
      <c r="BD66" t="s">
        <v>3</v>
      </c>
      <c r="BE66" t="s">
        <v>3</v>
      </c>
      <c r="BF66" t="s">
        <v>3</v>
      </c>
      <c r="BG66" t="s">
        <v>3</v>
      </c>
      <c r="BH66">
        <v>3</v>
      </c>
      <c r="BI66">
        <v>2</v>
      </c>
      <c r="BJ66" t="s">
        <v>3</v>
      </c>
      <c r="BM66">
        <v>317</v>
      </c>
      <c r="BN66">
        <v>0</v>
      </c>
      <c r="BO66" t="s">
        <v>3</v>
      </c>
      <c r="BP66">
        <v>0</v>
      </c>
      <c r="BQ66">
        <v>40</v>
      </c>
      <c r="BR66">
        <v>0</v>
      </c>
      <c r="BS66">
        <v>1</v>
      </c>
      <c r="BT66">
        <v>1</v>
      </c>
      <c r="BU66">
        <v>1</v>
      </c>
      <c r="BV66">
        <v>1</v>
      </c>
      <c r="BW66">
        <v>1</v>
      </c>
      <c r="BX66">
        <v>1</v>
      </c>
      <c r="BY66" t="s">
        <v>3</v>
      </c>
      <c r="BZ66">
        <v>0</v>
      </c>
      <c r="CA66">
        <v>0</v>
      </c>
      <c r="CE66">
        <v>0</v>
      </c>
      <c r="CF66">
        <v>0</v>
      </c>
      <c r="CG66">
        <v>0</v>
      </c>
      <c r="CM66">
        <v>0</v>
      </c>
      <c r="CN66" t="s">
        <v>3</v>
      </c>
      <c r="CO66">
        <v>0</v>
      </c>
      <c r="CP66">
        <f t="shared" si="64"/>
        <v>13361.84</v>
      </c>
      <c r="CQ66">
        <f t="shared" si="65"/>
        <v>65.499200000000002</v>
      </c>
      <c r="CR66">
        <f>((((ET66)*BB66-(EU66)*BS66)+AE66*BS66)*AV66)</f>
        <v>0</v>
      </c>
      <c r="CS66">
        <f t="shared" si="66"/>
        <v>0</v>
      </c>
      <c r="CT66">
        <f t="shared" si="67"/>
        <v>0</v>
      </c>
      <c r="CU66">
        <f t="shared" si="68"/>
        <v>0</v>
      </c>
      <c r="CV66">
        <f t="shared" si="69"/>
        <v>0</v>
      </c>
      <c r="CW66">
        <f t="shared" si="70"/>
        <v>0</v>
      </c>
      <c r="CX66">
        <f t="shared" si="71"/>
        <v>0</v>
      </c>
      <c r="CY66">
        <f>S66*(BZ66/100)</f>
        <v>0</v>
      </c>
      <c r="CZ66">
        <f>S66*(CA66/100)</f>
        <v>0</v>
      </c>
      <c r="DC66" t="s">
        <v>3</v>
      </c>
      <c r="DD66" t="s">
        <v>3</v>
      </c>
      <c r="DE66" t="s">
        <v>3</v>
      </c>
      <c r="DF66" t="s">
        <v>3</v>
      </c>
      <c r="DG66" t="s">
        <v>3</v>
      </c>
      <c r="DH66" t="s">
        <v>3</v>
      </c>
      <c r="DI66" t="s">
        <v>3</v>
      </c>
      <c r="DJ66" t="s">
        <v>3</v>
      </c>
      <c r="DK66" t="s">
        <v>3</v>
      </c>
      <c r="DL66" t="s">
        <v>3</v>
      </c>
      <c r="DM66" t="s">
        <v>3</v>
      </c>
      <c r="DN66">
        <v>114</v>
      </c>
      <c r="DO66">
        <v>67</v>
      </c>
      <c r="DP66">
        <v>1</v>
      </c>
      <c r="DQ66">
        <v>1</v>
      </c>
      <c r="DU66">
        <v>1003</v>
      </c>
      <c r="DV66" t="s">
        <v>86</v>
      </c>
      <c r="DW66" t="s">
        <v>86</v>
      </c>
      <c r="DX66">
        <v>1</v>
      </c>
      <c r="EE66">
        <v>41393046</v>
      </c>
      <c r="EF66">
        <v>40</v>
      </c>
      <c r="EG66" t="s">
        <v>23</v>
      </c>
      <c r="EH66">
        <v>0</v>
      </c>
      <c r="EI66" t="s">
        <v>3</v>
      </c>
      <c r="EJ66">
        <v>2</v>
      </c>
      <c r="EK66">
        <v>317</v>
      </c>
      <c r="EL66" t="s">
        <v>39</v>
      </c>
      <c r="EM66" t="s">
        <v>40</v>
      </c>
      <c r="EO66" t="s">
        <v>3</v>
      </c>
      <c r="EQ66">
        <v>0</v>
      </c>
      <c r="ER66">
        <v>12.22</v>
      </c>
      <c r="ES66">
        <v>12.22</v>
      </c>
      <c r="ET66">
        <v>0</v>
      </c>
      <c r="EU66">
        <v>0</v>
      </c>
      <c r="EV66">
        <v>0</v>
      </c>
      <c r="EW66">
        <v>0</v>
      </c>
      <c r="EX66">
        <v>0</v>
      </c>
      <c r="EZ66">
        <v>5</v>
      </c>
      <c r="FC66">
        <v>1</v>
      </c>
      <c r="FD66">
        <v>18</v>
      </c>
      <c r="FF66">
        <v>77.06</v>
      </c>
      <c r="FQ66">
        <v>0</v>
      </c>
      <c r="FR66">
        <f t="shared" si="72"/>
        <v>0</v>
      </c>
      <c r="FS66">
        <v>0</v>
      </c>
      <c r="FX66">
        <v>114</v>
      </c>
      <c r="FY66">
        <v>67</v>
      </c>
      <c r="GA66" t="s">
        <v>109</v>
      </c>
      <c r="GD66">
        <v>0</v>
      </c>
      <c r="GF66">
        <v>-1867889573</v>
      </c>
      <c r="GG66">
        <v>2</v>
      </c>
      <c r="GH66">
        <v>3</v>
      </c>
      <c r="GI66">
        <v>5</v>
      </c>
      <c r="GJ66">
        <v>0</v>
      </c>
      <c r="GK66">
        <f>ROUND(R66*(S12)/100,2)</f>
        <v>0</v>
      </c>
      <c r="GL66">
        <f t="shared" si="73"/>
        <v>0</v>
      </c>
      <c r="GM66">
        <f>ROUND(O66+X66+Y66+GK66,2)+GX66</f>
        <v>13361.84</v>
      </c>
      <c r="GN66">
        <f>IF(OR(BI66=0,BI66=1),ROUND(O66+X66+Y66+GK66,2),0)</f>
        <v>0</v>
      </c>
      <c r="GO66">
        <f>IF(BI66=2,ROUND(O66+X66+Y66+GK66,2),0)</f>
        <v>13361.84</v>
      </c>
      <c r="GP66">
        <f>IF(BI66=4,ROUND(O66+X66+Y66+GK66,2)+GX66,0)</f>
        <v>0</v>
      </c>
      <c r="GR66">
        <v>1</v>
      </c>
      <c r="GS66">
        <v>1</v>
      </c>
      <c r="GT66">
        <v>0</v>
      </c>
      <c r="GU66" t="s">
        <v>3</v>
      </c>
      <c r="GV66">
        <f t="shared" si="74"/>
        <v>0</v>
      </c>
      <c r="GW66">
        <v>1</v>
      </c>
      <c r="GX66">
        <f t="shared" si="75"/>
        <v>0</v>
      </c>
      <c r="HA66">
        <v>0</v>
      </c>
      <c r="HB66">
        <v>0</v>
      </c>
      <c r="HC66">
        <f t="shared" si="76"/>
        <v>0</v>
      </c>
      <c r="IK66">
        <v>0</v>
      </c>
    </row>
    <row r="67" spans="1:255" x14ac:dyDescent="0.2">
      <c r="A67" s="2">
        <v>17</v>
      </c>
      <c r="B67" s="2">
        <v>1</v>
      </c>
      <c r="C67" s="2">
        <f>ROW(SmtRes!A40)</f>
        <v>40</v>
      </c>
      <c r="D67" s="2">
        <f>ROW(EtalonRes!A28)</f>
        <v>28</v>
      </c>
      <c r="E67" s="2" t="s">
        <v>110</v>
      </c>
      <c r="F67" s="2" t="s">
        <v>111</v>
      </c>
      <c r="G67" s="2" t="s">
        <v>112</v>
      </c>
      <c r="H67" s="2" t="s">
        <v>79</v>
      </c>
      <c r="I67" s="2">
        <f>ROUND(10/100,9)</f>
        <v>0.1</v>
      </c>
      <c r="J67" s="2">
        <v>0</v>
      </c>
      <c r="K67" s="2"/>
      <c r="L67" s="2"/>
      <c r="M67" s="2"/>
      <c r="N67" s="2"/>
      <c r="O67" s="2">
        <f t="shared" si="49"/>
        <v>253.68</v>
      </c>
      <c r="P67" s="2">
        <f t="shared" si="50"/>
        <v>184.46</v>
      </c>
      <c r="Q67" s="2">
        <f t="shared" si="51"/>
        <v>4.24</v>
      </c>
      <c r="R67" s="2">
        <f t="shared" si="52"/>
        <v>0.56999999999999995</v>
      </c>
      <c r="S67" s="2">
        <f t="shared" si="53"/>
        <v>64.98</v>
      </c>
      <c r="T67" s="2">
        <f t="shared" si="54"/>
        <v>0</v>
      </c>
      <c r="U67" s="2">
        <f t="shared" si="55"/>
        <v>5.3786075000000002</v>
      </c>
      <c r="V67" s="2">
        <f t="shared" si="56"/>
        <v>0</v>
      </c>
      <c r="W67" s="2">
        <f t="shared" si="57"/>
        <v>0</v>
      </c>
      <c r="X67" s="2">
        <f t="shared" si="58"/>
        <v>74.08</v>
      </c>
      <c r="Y67" s="2">
        <f t="shared" si="59"/>
        <v>43.54</v>
      </c>
      <c r="Z67" s="2"/>
      <c r="AA67" s="2">
        <v>42119681</v>
      </c>
      <c r="AB67" s="2">
        <f t="shared" si="60"/>
        <v>2536.7635</v>
      </c>
      <c r="AC67" s="2">
        <f t="shared" si="61"/>
        <v>1844.59</v>
      </c>
      <c r="AD67" s="2">
        <f>ROUND((((((ET67*1.25)*1.15))-(((EU67*1.25)*1.15)))+AE67),6)</f>
        <v>42.363124999999997</v>
      </c>
      <c r="AE67" s="2">
        <f>ROUND((((EU67*1.25)*1.15)),6)</f>
        <v>5.6637500000000003</v>
      </c>
      <c r="AF67" s="2">
        <f>ROUND((((EV67*1.15)*1.15)),6)</f>
        <v>649.81037500000002</v>
      </c>
      <c r="AG67" s="2">
        <f t="shared" si="62"/>
        <v>0</v>
      </c>
      <c r="AH67" s="2">
        <f>(((EW67*1.15)*1.15))</f>
        <v>53.786074999999997</v>
      </c>
      <c r="AI67" s="2">
        <f>(((EX67*1.25)*1.15))</f>
        <v>0</v>
      </c>
      <c r="AJ67" s="2">
        <f t="shared" si="63"/>
        <v>0</v>
      </c>
      <c r="AK67" s="2">
        <v>2365.41</v>
      </c>
      <c r="AL67" s="2">
        <v>1844.59</v>
      </c>
      <c r="AM67" s="2">
        <v>29.47</v>
      </c>
      <c r="AN67" s="2">
        <v>3.94</v>
      </c>
      <c r="AO67" s="2">
        <v>491.35</v>
      </c>
      <c r="AP67" s="2">
        <v>0</v>
      </c>
      <c r="AQ67" s="2">
        <v>40.67</v>
      </c>
      <c r="AR67" s="2">
        <v>0</v>
      </c>
      <c r="AS67" s="2">
        <v>0</v>
      </c>
      <c r="AT67" s="2">
        <v>114</v>
      </c>
      <c r="AU67" s="2">
        <v>67</v>
      </c>
      <c r="AV67" s="2">
        <v>1</v>
      </c>
      <c r="AW67" s="2">
        <v>1</v>
      </c>
      <c r="AX67" s="2"/>
      <c r="AY67" s="2"/>
      <c r="AZ67" s="2">
        <v>1</v>
      </c>
      <c r="BA67" s="2">
        <v>1</v>
      </c>
      <c r="BB67" s="2">
        <v>1</v>
      </c>
      <c r="BC67" s="2">
        <v>1</v>
      </c>
      <c r="BD67" s="2" t="s">
        <v>3</v>
      </c>
      <c r="BE67" s="2" t="s">
        <v>3</v>
      </c>
      <c r="BF67" s="2" t="s">
        <v>3</v>
      </c>
      <c r="BG67" s="2" t="s">
        <v>3</v>
      </c>
      <c r="BH67" s="2">
        <v>0</v>
      </c>
      <c r="BI67" s="2">
        <v>2</v>
      </c>
      <c r="BJ67" s="2" t="s">
        <v>113</v>
      </c>
      <c r="BK67" s="2"/>
      <c r="BL67" s="2"/>
      <c r="BM67" s="2">
        <v>335</v>
      </c>
      <c r="BN67" s="2">
        <v>0</v>
      </c>
      <c r="BO67" s="2" t="s">
        <v>3</v>
      </c>
      <c r="BP67" s="2">
        <v>0</v>
      </c>
      <c r="BQ67" s="2">
        <v>40</v>
      </c>
      <c r="BR67" s="2">
        <v>0</v>
      </c>
      <c r="BS67" s="2">
        <v>1</v>
      </c>
      <c r="BT67" s="2">
        <v>1</v>
      </c>
      <c r="BU67" s="2">
        <v>1</v>
      </c>
      <c r="BV67" s="2">
        <v>1</v>
      </c>
      <c r="BW67" s="2">
        <v>1</v>
      </c>
      <c r="BX67" s="2">
        <v>1</v>
      </c>
      <c r="BY67" s="2" t="s">
        <v>3</v>
      </c>
      <c r="BZ67" s="2">
        <v>114</v>
      </c>
      <c r="CA67" s="2">
        <v>67</v>
      </c>
      <c r="CB67" s="2"/>
      <c r="CC67" s="2"/>
      <c r="CD67" s="2"/>
      <c r="CE67" s="2">
        <v>0</v>
      </c>
      <c r="CF67" s="2">
        <v>0</v>
      </c>
      <c r="CG67" s="2">
        <v>0</v>
      </c>
      <c r="CH67" s="2"/>
      <c r="CI67" s="2"/>
      <c r="CJ67" s="2"/>
      <c r="CK67" s="2"/>
      <c r="CL67" s="2"/>
      <c r="CM67" s="2">
        <v>0</v>
      </c>
      <c r="CN67" s="2" t="s">
        <v>225</v>
      </c>
      <c r="CO67" s="2">
        <v>0</v>
      </c>
      <c r="CP67" s="2">
        <f t="shared" si="64"/>
        <v>253.68</v>
      </c>
      <c r="CQ67" s="2">
        <f t="shared" si="65"/>
        <v>1844.59</v>
      </c>
      <c r="CR67" s="2">
        <f>((((((ET67*1.25)*1.15))*BB67-(((EU67*1.25)*1.15))*BS67)+AE67*BS67)*AV67)</f>
        <v>42.363124999999997</v>
      </c>
      <c r="CS67" s="2">
        <f t="shared" si="66"/>
        <v>5.6637500000000003</v>
      </c>
      <c r="CT67" s="2">
        <f t="shared" si="67"/>
        <v>649.81037500000002</v>
      </c>
      <c r="CU67" s="2">
        <f t="shared" si="68"/>
        <v>0</v>
      </c>
      <c r="CV67" s="2">
        <f t="shared" si="69"/>
        <v>53.786074999999997</v>
      </c>
      <c r="CW67" s="2">
        <f t="shared" si="70"/>
        <v>0</v>
      </c>
      <c r="CX67" s="2">
        <f t="shared" si="71"/>
        <v>0</v>
      </c>
      <c r="CY67" s="2">
        <f>((S67*BZ67)/100)</f>
        <v>74.077200000000005</v>
      </c>
      <c r="CZ67" s="2">
        <f>((S67*CA67)/100)</f>
        <v>43.5366</v>
      </c>
      <c r="DA67" s="2"/>
      <c r="DB67" s="2"/>
      <c r="DC67" s="2" t="s">
        <v>3</v>
      </c>
      <c r="DD67" s="2" t="s">
        <v>3</v>
      </c>
      <c r="DE67" s="2" t="s">
        <v>21</v>
      </c>
      <c r="DF67" s="2" t="s">
        <v>21</v>
      </c>
      <c r="DG67" s="2" t="s">
        <v>22</v>
      </c>
      <c r="DH67" s="2" t="s">
        <v>3</v>
      </c>
      <c r="DI67" s="2" t="s">
        <v>22</v>
      </c>
      <c r="DJ67" s="2" t="s">
        <v>21</v>
      </c>
      <c r="DK67" s="2" t="s">
        <v>3</v>
      </c>
      <c r="DL67" s="2" t="s">
        <v>3</v>
      </c>
      <c r="DM67" s="2" t="s">
        <v>3</v>
      </c>
      <c r="DN67" s="2">
        <v>0</v>
      </c>
      <c r="DO67" s="2">
        <v>0</v>
      </c>
      <c r="DP67" s="2">
        <v>1</v>
      </c>
      <c r="DQ67" s="2">
        <v>1</v>
      </c>
      <c r="DR67" s="2"/>
      <c r="DS67" s="2"/>
      <c r="DT67" s="2"/>
      <c r="DU67" s="2">
        <v>1003</v>
      </c>
      <c r="DV67" s="2" t="s">
        <v>79</v>
      </c>
      <c r="DW67" s="2" t="s">
        <v>79</v>
      </c>
      <c r="DX67" s="2">
        <v>100</v>
      </c>
      <c r="DY67" s="2"/>
      <c r="DZ67" s="2"/>
      <c r="EA67" s="2"/>
      <c r="EB67" s="2"/>
      <c r="EC67" s="2"/>
      <c r="ED67" s="2"/>
      <c r="EE67" s="2">
        <v>41393064</v>
      </c>
      <c r="EF67" s="2">
        <v>40</v>
      </c>
      <c r="EG67" s="2" t="s">
        <v>23</v>
      </c>
      <c r="EH67" s="2">
        <v>0</v>
      </c>
      <c r="EI67" s="2" t="s">
        <v>3</v>
      </c>
      <c r="EJ67" s="2">
        <v>2</v>
      </c>
      <c r="EK67" s="2">
        <v>335</v>
      </c>
      <c r="EL67" s="2" t="s">
        <v>81</v>
      </c>
      <c r="EM67" s="2" t="s">
        <v>82</v>
      </c>
      <c r="EN67" s="2"/>
      <c r="EO67" s="2" t="s">
        <v>26</v>
      </c>
      <c r="EP67" s="2"/>
      <c r="EQ67" s="2">
        <v>0</v>
      </c>
      <c r="ER67" s="2">
        <v>2365.41</v>
      </c>
      <c r="ES67" s="2">
        <v>1844.59</v>
      </c>
      <c r="ET67" s="2">
        <v>29.47</v>
      </c>
      <c r="EU67" s="2">
        <v>3.94</v>
      </c>
      <c r="EV67" s="2">
        <v>491.35</v>
      </c>
      <c r="EW67" s="2">
        <v>40.67</v>
      </c>
      <c r="EX67" s="2">
        <v>0</v>
      </c>
      <c r="EY67" s="2">
        <v>0</v>
      </c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>
        <v>0</v>
      </c>
      <c r="FR67" s="2">
        <f t="shared" si="72"/>
        <v>0</v>
      </c>
      <c r="FS67" s="2">
        <v>0</v>
      </c>
      <c r="FT67" s="2"/>
      <c r="FU67" s="2"/>
      <c r="FV67" s="2"/>
      <c r="FW67" s="2"/>
      <c r="FX67" s="2">
        <v>114</v>
      </c>
      <c r="FY67" s="2">
        <v>67</v>
      </c>
      <c r="FZ67" s="2"/>
      <c r="GA67" s="2" t="s">
        <v>3</v>
      </c>
      <c r="GB67" s="2"/>
      <c r="GC67" s="2"/>
      <c r="GD67" s="2">
        <v>1</v>
      </c>
      <c r="GE67" s="2"/>
      <c r="GF67" s="2">
        <v>634789835</v>
      </c>
      <c r="GG67" s="2">
        <v>2</v>
      </c>
      <c r="GH67" s="2">
        <v>1</v>
      </c>
      <c r="GI67" s="2">
        <v>-2</v>
      </c>
      <c r="GJ67" s="2">
        <v>0</v>
      </c>
      <c r="GK67" s="2">
        <v>0</v>
      </c>
      <c r="GL67" s="2">
        <f t="shared" si="73"/>
        <v>0</v>
      </c>
      <c r="GM67" s="2">
        <f>ROUND(O67+X67+Y67,2)+GX67</f>
        <v>371.3</v>
      </c>
      <c r="GN67" s="2">
        <f>IF(OR(BI67=0,BI67=1),ROUND(O67+X67+Y67,2),0)</f>
        <v>0</v>
      </c>
      <c r="GO67" s="2">
        <f>IF(BI67=2,ROUND(O67+X67+Y67,2),0)</f>
        <v>371.3</v>
      </c>
      <c r="GP67" s="2">
        <f>IF(BI67=4,ROUND(O67+X67+Y67,2)+GX67,0)</f>
        <v>0</v>
      </c>
      <c r="GQ67" s="2"/>
      <c r="GR67" s="2">
        <v>0</v>
      </c>
      <c r="GS67" s="2">
        <v>0</v>
      </c>
      <c r="GT67" s="2">
        <v>0</v>
      </c>
      <c r="GU67" s="2" t="s">
        <v>3</v>
      </c>
      <c r="GV67" s="2">
        <f t="shared" si="74"/>
        <v>0</v>
      </c>
      <c r="GW67" s="2">
        <v>1</v>
      </c>
      <c r="GX67" s="2">
        <f t="shared" si="75"/>
        <v>0</v>
      </c>
      <c r="GY67" s="2"/>
      <c r="GZ67" s="2"/>
      <c r="HA67" s="2">
        <v>0</v>
      </c>
      <c r="HB67" s="2">
        <v>0</v>
      </c>
      <c r="HC67" s="2">
        <f t="shared" si="76"/>
        <v>0</v>
      </c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>
        <v>0</v>
      </c>
      <c r="IL67" s="2"/>
      <c r="IM67" s="2"/>
      <c r="IN67" s="2"/>
      <c r="IO67" s="2"/>
      <c r="IP67" s="2"/>
      <c r="IQ67" s="2"/>
      <c r="IR67" s="2"/>
      <c r="IS67" s="2"/>
      <c r="IT67" s="2"/>
      <c r="IU67" s="2"/>
    </row>
    <row r="68" spans="1:255" x14ac:dyDescent="0.2">
      <c r="A68">
        <v>17</v>
      </c>
      <c r="B68">
        <v>1</v>
      </c>
      <c r="C68">
        <f>ROW(SmtRes!A42)</f>
        <v>42</v>
      </c>
      <c r="D68">
        <f>ROW(EtalonRes!A36)</f>
        <v>36</v>
      </c>
      <c r="E68" t="s">
        <v>110</v>
      </c>
      <c r="F68" t="s">
        <v>111</v>
      </c>
      <c r="G68" t="s">
        <v>112</v>
      </c>
      <c r="H68" t="s">
        <v>79</v>
      </c>
      <c r="I68">
        <f>ROUND(10/100,9)</f>
        <v>0.1</v>
      </c>
      <c r="J68">
        <v>0</v>
      </c>
      <c r="O68">
        <f t="shared" si="49"/>
        <v>2438.92</v>
      </c>
      <c r="P68">
        <f t="shared" si="50"/>
        <v>997.92</v>
      </c>
      <c r="Q68">
        <f t="shared" si="51"/>
        <v>31.56</v>
      </c>
      <c r="R68">
        <f t="shared" si="52"/>
        <v>12.28</v>
      </c>
      <c r="S68">
        <f t="shared" si="53"/>
        <v>1409.44</v>
      </c>
      <c r="T68">
        <f t="shared" si="54"/>
        <v>0</v>
      </c>
      <c r="U68">
        <f t="shared" si="55"/>
        <v>5.3786075000000002</v>
      </c>
      <c r="V68">
        <f t="shared" si="56"/>
        <v>0</v>
      </c>
      <c r="W68">
        <f t="shared" si="57"/>
        <v>0</v>
      </c>
      <c r="X68">
        <f t="shared" si="58"/>
        <v>1085.27</v>
      </c>
      <c r="Y68">
        <f t="shared" si="59"/>
        <v>577.87</v>
      </c>
      <c r="AA68">
        <v>42119679</v>
      </c>
      <c r="AB68">
        <f t="shared" si="60"/>
        <v>2536.7635</v>
      </c>
      <c r="AC68">
        <f t="shared" si="61"/>
        <v>1844.59</v>
      </c>
      <c r="AD68">
        <f>ROUND((((((ET68*1.25)*1.15))-(((EU68*1.25)*1.15)))+AE68),6)</f>
        <v>42.363124999999997</v>
      </c>
      <c r="AE68">
        <f>ROUND((((EU68*1.25)*1.15)),6)</f>
        <v>5.6637500000000003</v>
      </c>
      <c r="AF68">
        <f>ROUND((((EV68*1.15)*1.15)),6)</f>
        <v>649.81037500000002</v>
      </c>
      <c r="AG68">
        <f t="shared" si="62"/>
        <v>0</v>
      </c>
      <c r="AH68">
        <f>(((EW68*1.15)*1.15))</f>
        <v>53.786074999999997</v>
      </c>
      <c r="AI68">
        <f>(((EX68*1.25)*1.15))</f>
        <v>0</v>
      </c>
      <c r="AJ68">
        <f t="shared" si="63"/>
        <v>0</v>
      </c>
      <c r="AK68">
        <v>2365.41</v>
      </c>
      <c r="AL68">
        <v>1844.59</v>
      </c>
      <c r="AM68">
        <v>29.47</v>
      </c>
      <c r="AN68">
        <v>3.94</v>
      </c>
      <c r="AO68">
        <v>491.35</v>
      </c>
      <c r="AP68">
        <v>0</v>
      </c>
      <c r="AQ68">
        <v>40.67</v>
      </c>
      <c r="AR68">
        <v>0</v>
      </c>
      <c r="AS68">
        <v>0</v>
      </c>
      <c r="AT68">
        <v>77</v>
      </c>
      <c r="AU68">
        <v>41</v>
      </c>
      <c r="AV68">
        <v>1</v>
      </c>
      <c r="AW68">
        <v>1</v>
      </c>
      <c r="AZ68">
        <v>1</v>
      </c>
      <c r="BA68">
        <v>21.69</v>
      </c>
      <c r="BB68">
        <v>7.45</v>
      </c>
      <c r="BC68">
        <v>5.41</v>
      </c>
      <c r="BD68" t="s">
        <v>3</v>
      </c>
      <c r="BE68" t="s">
        <v>3</v>
      </c>
      <c r="BF68" t="s">
        <v>3</v>
      </c>
      <c r="BG68" t="s">
        <v>3</v>
      </c>
      <c r="BH68">
        <v>0</v>
      </c>
      <c r="BI68">
        <v>2</v>
      </c>
      <c r="BJ68" t="s">
        <v>113</v>
      </c>
      <c r="BM68">
        <v>335</v>
      </c>
      <c r="BN68">
        <v>0</v>
      </c>
      <c r="BO68" t="s">
        <v>111</v>
      </c>
      <c r="BP68">
        <v>1</v>
      </c>
      <c r="BQ68">
        <v>40</v>
      </c>
      <c r="BR68">
        <v>0</v>
      </c>
      <c r="BS68">
        <v>21.69</v>
      </c>
      <c r="BT68">
        <v>1</v>
      </c>
      <c r="BU68">
        <v>1</v>
      </c>
      <c r="BV68">
        <v>1</v>
      </c>
      <c r="BW68">
        <v>1</v>
      </c>
      <c r="BX68">
        <v>1</v>
      </c>
      <c r="BY68" t="s">
        <v>3</v>
      </c>
      <c r="BZ68">
        <v>77</v>
      </c>
      <c r="CA68">
        <v>41</v>
      </c>
      <c r="CE68">
        <v>0</v>
      </c>
      <c r="CF68">
        <v>0</v>
      </c>
      <c r="CG68">
        <v>0</v>
      </c>
      <c r="CM68">
        <v>0</v>
      </c>
      <c r="CN68" t="s">
        <v>225</v>
      </c>
      <c r="CO68">
        <v>0</v>
      </c>
      <c r="CP68">
        <f t="shared" si="64"/>
        <v>2438.92</v>
      </c>
      <c r="CQ68">
        <f t="shared" si="65"/>
        <v>9979.2319000000007</v>
      </c>
      <c r="CR68">
        <f>((((((ET68*1.25)*1.15))*BB68-(((EU68*1.25)*1.15))*BS68)+AE68*BS68)*AV68)</f>
        <v>315.60528124999996</v>
      </c>
      <c r="CS68">
        <f t="shared" si="66"/>
        <v>122.84673750000002</v>
      </c>
      <c r="CT68">
        <f t="shared" si="67"/>
        <v>14094.387033750001</v>
      </c>
      <c r="CU68">
        <f t="shared" si="68"/>
        <v>0</v>
      </c>
      <c r="CV68">
        <f t="shared" si="69"/>
        <v>53.786074999999997</v>
      </c>
      <c r="CW68">
        <f t="shared" si="70"/>
        <v>0</v>
      </c>
      <c r="CX68">
        <f t="shared" si="71"/>
        <v>0</v>
      </c>
      <c r="CY68">
        <f>S68*(BZ68/100)</f>
        <v>1085.2688000000001</v>
      </c>
      <c r="CZ68">
        <f>S68*(CA68/100)</f>
        <v>577.87040000000002</v>
      </c>
      <c r="DC68" t="s">
        <v>3</v>
      </c>
      <c r="DD68" t="s">
        <v>3</v>
      </c>
      <c r="DE68" t="s">
        <v>21</v>
      </c>
      <c r="DF68" t="s">
        <v>21</v>
      </c>
      <c r="DG68" t="s">
        <v>22</v>
      </c>
      <c r="DH68" t="s">
        <v>3</v>
      </c>
      <c r="DI68" t="s">
        <v>22</v>
      </c>
      <c r="DJ68" t="s">
        <v>21</v>
      </c>
      <c r="DK68" t="s">
        <v>3</v>
      </c>
      <c r="DL68" t="s">
        <v>3</v>
      </c>
      <c r="DM68" t="s">
        <v>3</v>
      </c>
      <c r="DN68">
        <v>114</v>
      </c>
      <c r="DO68">
        <v>67</v>
      </c>
      <c r="DP68">
        <v>1</v>
      </c>
      <c r="DQ68">
        <v>1</v>
      </c>
      <c r="DU68">
        <v>1003</v>
      </c>
      <c r="DV68" t="s">
        <v>79</v>
      </c>
      <c r="DW68" t="s">
        <v>79</v>
      </c>
      <c r="DX68">
        <v>100</v>
      </c>
      <c r="EE68">
        <v>41393064</v>
      </c>
      <c r="EF68">
        <v>40</v>
      </c>
      <c r="EG68" t="s">
        <v>23</v>
      </c>
      <c r="EH68">
        <v>0</v>
      </c>
      <c r="EI68" t="s">
        <v>3</v>
      </c>
      <c r="EJ68">
        <v>2</v>
      </c>
      <c r="EK68">
        <v>335</v>
      </c>
      <c r="EL68" t="s">
        <v>81</v>
      </c>
      <c r="EM68" t="s">
        <v>82</v>
      </c>
      <c r="EO68" t="s">
        <v>26</v>
      </c>
      <c r="EQ68">
        <v>0</v>
      </c>
      <c r="ER68">
        <v>2365.41</v>
      </c>
      <c r="ES68">
        <v>1844.59</v>
      </c>
      <c r="ET68">
        <v>29.47</v>
      </c>
      <c r="EU68">
        <v>3.94</v>
      </c>
      <c r="EV68">
        <v>491.35</v>
      </c>
      <c r="EW68">
        <v>40.67</v>
      </c>
      <c r="EX68">
        <v>0</v>
      </c>
      <c r="EY68">
        <v>0</v>
      </c>
      <c r="FQ68">
        <v>0</v>
      </c>
      <c r="FR68">
        <f t="shared" si="72"/>
        <v>0</v>
      </c>
      <c r="FS68">
        <v>0</v>
      </c>
      <c r="FX68">
        <v>114</v>
      </c>
      <c r="FY68">
        <v>67</v>
      </c>
      <c r="GA68" t="s">
        <v>3</v>
      </c>
      <c r="GD68">
        <v>0</v>
      </c>
      <c r="GF68">
        <v>634789835</v>
      </c>
      <c r="GG68">
        <v>2</v>
      </c>
      <c r="GH68">
        <v>1</v>
      </c>
      <c r="GI68">
        <v>2</v>
      </c>
      <c r="GJ68">
        <v>0</v>
      </c>
      <c r="GK68">
        <f>ROUND(R68*(S12)/100,2)</f>
        <v>19.28</v>
      </c>
      <c r="GL68">
        <f t="shared" si="73"/>
        <v>0</v>
      </c>
      <c r="GM68">
        <f>ROUND(O68+X68+Y68+GK68,2)+GX68</f>
        <v>4121.34</v>
      </c>
      <c r="GN68">
        <f>IF(OR(BI68=0,BI68=1),ROUND(O68+X68+Y68+GK68,2),0)</f>
        <v>0</v>
      </c>
      <c r="GO68">
        <f>IF(BI68=2,ROUND(O68+X68+Y68+GK68,2),0)</f>
        <v>4121.34</v>
      </c>
      <c r="GP68">
        <f>IF(BI68=4,ROUND(O68+X68+Y68+GK68,2)+GX68,0)</f>
        <v>0</v>
      </c>
      <c r="GR68">
        <v>0</v>
      </c>
      <c r="GS68">
        <v>3</v>
      </c>
      <c r="GT68">
        <v>0</v>
      </c>
      <c r="GU68" t="s">
        <v>3</v>
      </c>
      <c r="GV68">
        <f t="shared" si="74"/>
        <v>0</v>
      </c>
      <c r="GW68">
        <v>1</v>
      </c>
      <c r="GX68">
        <f t="shared" si="75"/>
        <v>0</v>
      </c>
      <c r="HA68">
        <v>0</v>
      </c>
      <c r="HB68">
        <v>0</v>
      </c>
      <c r="HC68">
        <f t="shared" si="76"/>
        <v>0</v>
      </c>
      <c r="IK68">
        <v>0</v>
      </c>
    </row>
    <row r="69" spans="1:255" x14ac:dyDescent="0.2">
      <c r="A69" s="2">
        <v>18</v>
      </c>
      <c r="B69" s="2">
        <v>1</v>
      </c>
      <c r="C69" s="2">
        <v>40</v>
      </c>
      <c r="D69" s="2"/>
      <c r="E69" s="2" t="s">
        <v>114</v>
      </c>
      <c r="F69" s="2" t="s">
        <v>115</v>
      </c>
      <c r="G69" s="2" t="s">
        <v>116</v>
      </c>
      <c r="H69" s="2" t="s">
        <v>86</v>
      </c>
      <c r="I69" s="2">
        <f>I67*J69</f>
        <v>10.199999999999999</v>
      </c>
      <c r="J69" s="2">
        <v>101.99999999999999</v>
      </c>
      <c r="K69" s="2"/>
      <c r="L69" s="2"/>
      <c r="M69" s="2"/>
      <c r="N69" s="2"/>
      <c r="O69" s="2">
        <f t="shared" si="49"/>
        <v>38.76</v>
      </c>
      <c r="P69" s="2">
        <f t="shared" si="50"/>
        <v>38.76</v>
      </c>
      <c r="Q69" s="2">
        <f t="shared" si="51"/>
        <v>0</v>
      </c>
      <c r="R69" s="2">
        <f t="shared" si="52"/>
        <v>0</v>
      </c>
      <c r="S69" s="2">
        <f t="shared" si="53"/>
        <v>0</v>
      </c>
      <c r="T69" s="2">
        <f t="shared" si="54"/>
        <v>0</v>
      </c>
      <c r="U69" s="2">
        <f t="shared" si="55"/>
        <v>0</v>
      </c>
      <c r="V69" s="2">
        <f t="shared" si="56"/>
        <v>0</v>
      </c>
      <c r="W69" s="2">
        <f t="shared" si="57"/>
        <v>0</v>
      </c>
      <c r="X69" s="2">
        <f t="shared" si="58"/>
        <v>0</v>
      </c>
      <c r="Y69" s="2">
        <f t="shared" si="59"/>
        <v>0</v>
      </c>
      <c r="Z69" s="2"/>
      <c r="AA69" s="2">
        <v>42119681</v>
      </c>
      <c r="AB69" s="2">
        <f t="shared" si="60"/>
        <v>3.8</v>
      </c>
      <c r="AC69" s="2">
        <f t="shared" si="61"/>
        <v>3.8</v>
      </c>
      <c r="AD69" s="2">
        <f>ROUND((((ET69)-(EU69))+AE69),6)</f>
        <v>0</v>
      </c>
      <c r="AE69" s="2">
        <f>ROUND((EU69),6)</f>
        <v>0</v>
      </c>
      <c r="AF69" s="2">
        <f>ROUND((EV69),6)</f>
        <v>0</v>
      </c>
      <c r="AG69" s="2">
        <f t="shared" si="62"/>
        <v>0</v>
      </c>
      <c r="AH69" s="2">
        <f>(EW69)</f>
        <v>0</v>
      </c>
      <c r="AI69" s="2">
        <f>(EX69)</f>
        <v>0</v>
      </c>
      <c r="AJ69" s="2">
        <f t="shared" si="63"/>
        <v>0</v>
      </c>
      <c r="AK69" s="2">
        <v>3.8</v>
      </c>
      <c r="AL69" s="2">
        <v>3.8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114</v>
      </c>
      <c r="AU69" s="2">
        <v>67</v>
      </c>
      <c r="AV69" s="2">
        <v>1</v>
      </c>
      <c r="AW69" s="2">
        <v>1</v>
      </c>
      <c r="AX69" s="2"/>
      <c r="AY69" s="2"/>
      <c r="AZ69" s="2">
        <v>1</v>
      </c>
      <c r="BA69" s="2">
        <v>1</v>
      </c>
      <c r="BB69" s="2">
        <v>1</v>
      </c>
      <c r="BC69" s="2">
        <v>1</v>
      </c>
      <c r="BD69" s="2" t="s">
        <v>3</v>
      </c>
      <c r="BE69" s="2" t="s">
        <v>3</v>
      </c>
      <c r="BF69" s="2" t="s">
        <v>3</v>
      </c>
      <c r="BG69" s="2" t="s">
        <v>3</v>
      </c>
      <c r="BH69" s="2">
        <v>3</v>
      </c>
      <c r="BI69" s="2">
        <v>2</v>
      </c>
      <c r="BJ69" s="2" t="s">
        <v>117</v>
      </c>
      <c r="BK69" s="2"/>
      <c r="BL69" s="2"/>
      <c r="BM69" s="2">
        <v>335</v>
      </c>
      <c r="BN69" s="2">
        <v>0</v>
      </c>
      <c r="BO69" s="2" t="s">
        <v>3</v>
      </c>
      <c r="BP69" s="2">
        <v>0</v>
      </c>
      <c r="BQ69" s="2">
        <v>40</v>
      </c>
      <c r="BR69" s="2">
        <v>0</v>
      </c>
      <c r="BS69" s="2">
        <v>1</v>
      </c>
      <c r="BT69" s="2">
        <v>1</v>
      </c>
      <c r="BU69" s="2">
        <v>1</v>
      </c>
      <c r="BV69" s="2">
        <v>1</v>
      </c>
      <c r="BW69" s="2">
        <v>1</v>
      </c>
      <c r="BX69" s="2">
        <v>1</v>
      </c>
      <c r="BY69" s="2" t="s">
        <v>3</v>
      </c>
      <c r="BZ69" s="2">
        <v>114</v>
      </c>
      <c r="CA69" s="2">
        <v>67</v>
      </c>
      <c r="CB69" s="2"/>
      <c r="CC69" s="2"/>
      <c r="CD69" s="2"/>
      <c r="CE69" s="2">
        <v>0</v>
      </c>
      <c r="CF69" s="2">
        <v>0</v>
      </c>
      <c r="CG69" s="2">
        <v>0</v>
      </c>
      <c r="CH69" s="2"/>
      <c r="CI69" s="2"/>
      <c r="CJ69" s="2"/>
      <c r="CK69" s="2"/>
      <c r="CL69" s="2"/>
      <c r="CM69" s="2">
        <v>0</v>
      </c>
      <c r="CN69" s="2" t="s">
        <v>3</v>
      </c>
      <c r="CO69" s="2">
        <v>0</v>
      </c>
      <c r="CP69" s="2">
        <f t="shared" si="64"/>
        <v>38.76</v>
      </c>
      <c r="CQ69" s="2">
        <f t="shared" si="65"/>
        <v>3.8</v>
      </c>
      <c r="CR69" s="2">
        <f>((((ET69)*BB69-(EU69)*BS69)+AE69*BS69)*AV69)</f>
        <v>0</v>
      </c>
      <c r="CS69" s="2">
        <f t="shared" si="66"/>
        <v>0</v>
      </c>
      <c r="CT69" s="2">
        <f t="shared" si="67"/>
        <v>0</v>
      </c>
      <c r="CU69" s="2">
        <f t="shared" si="68"/>
        <v>0</v>
      </c>
      <c r="CV69" s="2">
        <f t="shared" si="69"/>
        <v>0</v>
      </c>
      <c r="CW69" s="2">
        <f t="shared" si="70"/>
        <v>0</v>
      </c>
      <c r="CX69" s="2">
        <f t="shared" si="71"/>
        <v>0</v>
      </c>
      <c r="CY69" s="2">
        <f>((S69*BZ69)/100)</f>
        <v>0</v>
      </c>
      <c r="CZ69" s="2">
        <f>((S69*CA69)/100)</f>
        <v>0</v>
      </c>
      <c r="DA69" s="2"/>
      <c r="DB69" s="2"/>
      <c r="DC69" s="2" t="s">
        <v>3</v>
      </c>
      <c r="DD69" s="2" t="s">
        <v>3</v>
      </c>
      <c r="DE69" s="2" t="s">
        <v>3</v>
      </c>
      <c r="DF69" s="2" t="s">
        <v>3</v>
      </c>
      <c r="DG69" s="2" t="s">
        <v>3</v>
      </c>
      <c r="DH69" s="2" t="s">
        <v>3</v>
      </c>
      <c r="DI69" s="2" t="s">
        <v>3</v>
      </c>
      <c r="DJ69" s="2" t="s">
        <v>3</v>
      </c>
      <c r="DK69" s="2" t="s">
        <v>3</v>
      </c>
      <c r="DL69" s="2" t="s">
        <v>3</v>
      </c>
      <c r="DM69" s="2" t="s">
        <v>3</v>
      </c>
      <c r="DN69" s="2">
        <v>0</v>
      </c>
      <c r="DO69" s="2">
        <v>0</v>
      </c>
      <c r="DP69" s="2">
        <v>1</v>
      </c>
      <c r="DQ69" s="2">
        <v>1</v>
      </c>
      <c r="DR69" s="2"/>
      <c r="DS69" s="2"/>
      <c r="DT69" s="2"/>
      <c r="DU69" s="2">
        <v>1003</v>
      </c>
      <c r="DV69" s="2" t="s">
        <v>86</v>
      </c>
      <c r="DW69" s="2" t="s">
        <v>86</v>
      </c>
      <c r="DX69" s="2">
        <v>1</v>
      </c>
      <c r="DY69" s="2"/>
      <c r="DZ69" s="2"/>
      <c r="EA69" s="2"/>
      <c r="EB69" s="2"/>
      <c r="EC69" s="2"/>
      <c r="ED69" s="2"/>
      <c r="EE69" s="2">
        <v>41393064</v>
      </c>
      <c r="EF69" s="2">
        <v>40</v>
      </c>
      <c r="EG69" s="2" t="s">
        <v>23</v>
      </c>
      <c r="EH69" s="2">
        <v>0</v>
      </c>
      <c r="EI69" s="2" t="s">
        <v>3</v>
      </c>
      <c r="EJ69" s="2">
        <v>2</v>
      </c>
      <c r="EK69" s="2">
        <v>335</v>
      </c>
      <c r="EL69" s="2" t="s">
        <v>81</v>
      </c>
      <c r="EM69" s="2" t="s">
        <v>82</v>
      </c>
      <c r="EN69" s="2"/>
      <c r="EO69" s="2" t="s">
        <v>3</v>
      </c>
      <c r="EP69" s="2"/>
      <c r="EQ69" s="2">
        <v>0</v>
      </c>
      <c r="ER69" s="2">
        <v>3.8</v>
      </c>
      <c r="ES69" s="2">
        <v>3.8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>
        <v>0</v>
      </c>
      <c r="FR69" s="2">
        <f t="shared" si="72"/>
        <v>0</v>
      </c>
      <c r="FS69" s="2">
        <v>0</v>
      </c>
      <c r="FT69" s="2"/>
      <c r="FU69" s="2"/>
      <c r="FV69" s="2"/>
      <c r="FW69" s="2"/>
      <c r="FX69" s="2">
        <v>114</v>
      </c>
      <c r="FY69" s="2">
        <v>67</v>
      </c>
      <c r="FZ69" s="2"/>
      <c r="GA69" s="2" t="s">
        <v>3</v>
      </c>
      <c r="GB69" s="2"/>
      <c r="GC69" s="2"/>
      <c r="GD69" s="2">
        <v>1</v>
      </c>
      <c r="GE69" s="2"/>
      <c r="GF69" s="2">
        <v>-54299764</v>
      </c>
      <c r="GG69" s="2">
        <v>2</v>
      </c>
      <c r="GH69" s="2">
        <v>1</v>
      </c>
      <c r="GI69" s="2">
        <v>-2</v>
      </c>
      <c r="GJ69" s="2">
        <v>0</v>
      </c>
      <c r="GK69" s="2">
        <v>0</v>
      </c>
      <c r="GL69" s="2">
        <f t="shared" si="73"/>
        <v>0</v>
      </c>
      <c r="GM69" s="2">
        <f>ROUND(O69+X69+Y69,2)+GX69</f>
        <v>38.76</v>
      </c>
      <c r="GN69" s="2">
        <f>IF(OR(BI69=0,BI69=1),ROUND(O69+X69+Y69,2),0)</f>
        <v>0</v>
      </c>
      <c r="GO69" s="2">
        <f>IF(BI69=2,ROUND(O69+X69+Y69,2),0)</f>
        <v>38.76</v>
      </c>
      <c r="GP69" s="2">
        <f>IF(BI69=4,ROUND(O69+X69+Y69,2)+GX69,0)</f>
        <v>0</v>
      </c>
      <c r="GQ69" s="2"/>
      <c r="GR69" s="2">
        <v>0</v>
      </c>
      <c r="GS69" s="2">
        <v>3</v>
      </c>
      <c r="GT69" s="2">
        <v>0</v>
      </c>
      <c r="GU69" s="2" t="s">
        <v>3</v>
      </c>
      <c r="GV69" s="2">
        <f t="shared" si="74"/>
        <v>0</v>
      </c>
      <c r="GW69" s="2">
        <v>1</v>
      </c>
      <c r="GX69" s="2">
        <f t="shared" si="75"/>
        <v>0</v>
      </c>
      <c r="GY69" s="2"/>
      <c r="GZ69" s="2"/>
      <c r="HA69" s="2">
        <v>0</v>
      </c>
      <c r="HB69" s="2">
        <v>0</v>
      </c>
      <c r="HC69" s="2">
        <f t="shared" si="76"/>
        <v>0</v>
      </c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>
        <v>0</v>
      </c>
      <c r="IL69" s="2"/>
      <c r="IM69" s="2"/>
      <c r="IN69" s="2"/>
      <c r="IO69" s="2"/>
      <c r="IP69" s="2"/>
      <c r="IQ69" s="2"/>
      <c r="IR69" s="2"/>
      <c r="IS69" s="2"/>
      <c r="IT69" s="2"/>
      <c r="IU69" s="2"/>
    </row>
    <row r="70" spans="1:255" x14ac:dyDescent="0.2">
      <c r="A70">
        <v>18</v>
      </c>
      <c r="B70">
        <v>1</v>
      </c>
      <c r="C70">
        <v>42</v>
      </c>
      <c r="E70" t="s">
        <v>114</v>
      </c>
      <c r="F70" t="s">
        <v>115</v>
      </c>
      <c r="G70" t="s">
        <v>116</v>
      </c>
      <c r="H70" t="s">
        <v>86</v>
      </c>
      <c r="I70">
        <f>I68*J70</f>
        <v>10.199999999999999</v>
      </c>
      <c r="J70">
        <v>101.99999999999999</v>
      </c>
      <c r="O70">
        <f t="shared" si="49"/>
        <v>109.69</v>
      </c>
      <c r="P70">
        <f t="shared" si="50"/>
        <v>109.69</v>
      </c>
      <c r="Q70">
        <f t="shared" si="51"/>
        <v>0</v>
      </c>
      <c r="R70">
        <f t="shared" si="52"/>
        <v>0</v>
      </c>
      <c r="S70">
        <f t="shared" si="53"/>
        <v>0</v>
      </c>
      <c r="T70">
        <f t="shared" si="54"/>
        <v>0</v>
      </c>
      <c r="U70">
        <f t="shared" si="55"/>
        <v>0</v>
      </c>
      <c r="V70">
        <f t="shared" si="56"/>
        <v>0</v>
      </c>
      <c r="W70">
        <f t="shared" si="57"/>
        <v>0</v>
      </c>
      <c r="X70">
        <f t="shared" si="58"/>
        <v>0</v>
      </c>
      <c r="Y70">
        <f t="shared" si="59"/>
        <v>0</v>
      </c>
      <c r="AA70">
        <v>42119679</v>
      </c>
      <c r="AB70">
        <f t="shared" si="60"/>
        <v>3.8</v>
      </c>
      <c r="AC70">
        <f t="shared" si="61"/>
        <v>3.8</v>
      </c>
      <c r="AD70">
        <f>ROUND((((ET70)-(EU70))+AE70),6)</f>
        <v>0</v>
      </c>
      <c r="AE70">
        <f>ROUND((EU70),6)</f>
        <v>0</v>
      </c>
      <c r="AF70">
        <f>ROUND((EV70),6)</f>
        <v>0</v>
      </c>
      <c r="AG70">
        <f t="shared" si="62"/>
        <v>0</v>
      </c>
      <c r="AH70">
        <f>(EW70)</f>
        <v>0</v>
      </c>
      <c r="AI70">
        <f>(EX70)</f>
        <v>0</v>
      </c>
      <c r="AJ70">
        <f t="shared" si="63"/>
        <v>0</v>
      </c>
      <c r="AK70">
        <v>3.8</v>
      </c>
      <c r="AL70">
        <v>3.8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1</v>
      </c>
      <c r="AW70">
        <v>1</v>
      </c>
      <c r="AZ70">
        <v>1</v>
      </c>
      <c r="BA70">
        <v>1</v>
      </c>
      <c r="BB70">
        <v>1</v>
      </c>
      <c r="BC70">
        <v>2.83</v>
      </c>
      <c r="BD70" t="s">
        <v>3</v>
      </c>
      <c r="BE70" t="s">
        <v>3</v>
      </c>
      <c r="BF70" t="s">
        <v>3</v>
      </c>
      <c r="BG70" t="s">
        <v>3</v>
      </c>
      <c r="BH70">
        <v>3</v>
      </c>
      <c r="BI70">
        <v>2</v>
      </c>
      <c r="BJ70" t="s">
        <v>117</v>
      </c>
      <c r="BM70">
        <v>335</v>
      </c>
      <c r="BN70">
        <v>0</v>
      </c>
      <c r="BO70" t="s">
        <v>115</v>
      </c>
      <c r="BP70">
        <v>1</v>
      </c>
      <c r="BQ70">
        <v>40</v>
      </c>
      <c r="BR70">
        <v>0</v>
      </c>
      <c r="BS70">
        <v>1</v>
      </c>
      <c r="BT70">
        <v>1</v>
      </c>
      <c r="BU70">
        <v>1</v>
      </c>
      <c r="BV70">
        <v>1</v>
      </c>
      <c r="BW70">
        <v>1</v>
      </c>
      <c r="BX70">
        <v>1</v>
      </c>
      <c r="BY70" t="s">
        <v>3</v>
      </c>
      <c r="BZ70">
        <v>0</v>
      </c>
      <c r="CA70">
        <v>0</v>
      </c>
      <c r="CE70">
        <v>0</v>
      </c>
      <c r="CF70">
        <v>0</v>
      </c>
      <c r="CG70">
        <v>0</v>
      </c>
      <c r="CM70">
        <v>0</v>
      </c>
      <c r="CN70" t="s">
        <v>3</v>
      </c>
      <c r="CO70">
        <v>0</v>
      </c>
      <c r="CP70">
        <f t="shared" si="64"/>
        <v>109.69</v>
      </c>
      <c r="CQ70">
        <f t="shared" si="65"/>
        <v>10.754</v>
      </c>
      <c r="CR70">
        <f>((((ET70)*BB70-(EU70)*BS70)+AE70*BS70)*AV70)</f>
        <v>0</v>
      </c>
      <c r="CS70">
        <f t="shared" si="66"/>
        <v>0</v>
      </c>
      <c r="CT70">
        <f t="shared" si="67"/>
        <v>0</v>
      </c>
      <c r="CU70">
        <f t="shared" si="68"/>
        <v>0</v>
      </c>
      <c r="CV70">
        <f t="shared" si="69"/>
        <v>0</v>
      </c>
      <c r="CW70">
        <f t="shared" si="70"/>
        <v>0</v>
      </c>
      <c r="CX70">
        <f t="shared" si="71"/>
        <v>0</v>
      </c>
      <c r="CY70">
        <f>S70*(BZ70/100)</f>
        <v>0</v>
      </c>
      <c r="CZ70">
        <f>S70*(CA70/100)</f>
        <v>0</v>
      </c>
      <c r="DC70" t="s">
        <v>3</v>
      </c>
      <c r="DD70" t="s">
        <v>3</v>
      </c>
      <c r="DE70" t="s">
        <v>3</v>
      </c>
      <c r="DF70" t="s">
        <v>3</v>
      </c>
      <c r="DG70" t="s">
        <v>3</v>
      </c>
      <c r="DH70" t="s">
        <v>3</v>
      </c>
      <c r="DI70" t="s">
        <v>3</v>
      </c>
      <c r="DJ70" t="s">
        <v>3</v>
      </c>
      <c r="DK70" t="s">
        <v>3</v>
      </c>
      <c r="DL70" t="s">
        <v>3</v>
      </c>
      <c r="DM70" t="s">
        <v>3</v>
      </c>
      <c r="DN70">
        <v>114</v>
      </c>
      <c r="DO70">
        <v>67</v>
      </c>
      <c r="DP70">
        <v>1</v>
      </c>
      <c r="DQ70">
        <v>1</v>
      </c>
      <c r="DU70">
        <v>1003</v>
      </c>
      <c r="DV70" t="s">
        <v>86</v>
      </c>
      <c r="DW70" t="s">
        <v>86</v>
      </c>
      <c r="DX70">
        <v>1</v>
      </c>
      <c r="EE70">
        <v>41393064</v>
      </c>
      <c r="EF70">
        <v>40</v>
      </c>
      <c r="EG70" t="s">
        <v>23</v>
      </c>
      <c r="EH70">
        <v>0</v>
      </c>
      <c r="EI70" t="s">
        <v>3</v>
      </c>
      <c r="EJ70">
        <v>2</v>
      </c>
      <c r="EK70">
        <v>335</v>
      </c>
      <c r="EL70" t="s">
        <v>81</v>
      </c>
      <c r="EM70" t="s">
        <v>82</v>
      </c>
      <c r="EO70" t="s">
        <v>3</v>
      </c>
      <c r="EQ70">
        <v>0</v>
      </c>
      <c r="ER70">
        <v>3.8</v>
      </c>
      <c r="ES70">
        <v>3.8</v>
      </c>
      <c r="ET70">
        <v>0</v>
      </c>
      <c r="EU70">
        <v>0</v>
      </c>
      <c r="EV70">
        <v>0</v>
      </c>
      <c r="EW70">
        <v>0</v>
      </c>
      <c r="EX70">
        <v>0</v>
      </c>
      <c r="FQ70">
        <v>0</v>
      </c>
      <c r="FR70">
        <f t="shared" si="72"/>
        <v>0</v>
      </c>
      <c r="FS70">
        <v>0</v>
      </c>
      <c r="FX70">
        <v>114</v>
      </c>
      <c r="FY70">
        <v>67</v>
      </c>
      <c r="GA70" t="s">
        <v>3</v>
      </c>
      <c r="GD70">
        <v>0</v>
      </c>
      <c r="GF70">
        <v>-54299764</v>
      </c>
      <c r="GG70">
        <v>2</v>
      </c>
      <c r="GH70">
        <v>1</v>
      </c>
      <c r="GI70">
        <v>2</v>
      </c>
      <c r="GJ70">
        <v>0</v>
      </c>
      <c r="GK70">
        <f>ROUND(R70*(S12)/100,2)</f>
        <v>0</v>
      </c>
      <c r="GL70">
        <f t="shared" si="73"/>
        <v>0</v>
      </c>
      <c r="GM70">
        <f>ROUND(O70+X70+Y70+GK70,2)+GX70</f>
        <v>109.69</v>
      </c>
      <c r="GN70">
        <f>IF(OR(BI70=0,BI70=1),ROUND(O70+X70+Y70+GK70,2),0)</f>
        <v>0</v>
      </c>
      <c r="GO70">
        <f>IF(BI70=2,ROUND(O70+X70+Y70+GK70,2),0)</f>
        <v>109.69</v>
      </c>
      <c r="GP70">
        <f>IF(BI70=4,ROUND(O70+X70+Y70+GK70,2)+GX70,0)</f>
        <v>0</v>
      </c>
      <c r="GR70">
        <v>0</v>
      </c>
      <c r="GS70">
        <v>3</v>
      </c>
      <c r="GT70">
        <v>0</v>
      </c>
      <c r="GU70" t="s">
        <v>3</v>
      </c>
      <c r="GV70">
        <f t="shared" si="74"/>
        <v>0</v>
      </c>
      <c r="GW70">
        <v>1</v>
      </c>
      <c r="GX70">
        <f t="shared" si="75"/>
        <v>0</v>
      </c>
      <c r="HA70">
        <v>0</v>
      </c>
      <c r="HB70">
        <v>0</v>
      </c>
      <c r="HC70">
        <f t="shared" si="76"/>
        <v>0</v>
      </c>
      <c r="IK70">
        <v>0</v>
      </c>
    </row>
    <row r="71" spans="1:255" x14ac:dyDescent="0.2">
      <c r="A71" s="2">
        <v>17</v>
      </c>
      <c r="B71" s="2">
        <v>1</v>
      </c>
      <c r="C71" s="2">
        <f>ROW(SmtRes!A44)</f>
        <v>44</v>
      </c>
      <c r="D71" s="2">
        <f>ROW(EtalonRes!A37)</f>
        <v>37</v>
      </c>
      <c r="E71" s="2" t="s">
        <v>118</v>
      </c>
      <c r="F71" s="2" t="s">
        <v>119</v>
      </c>
      <c r="G71" s="2" t="s">
        <v>120</v>
      </c>
      <c r="H71" s="2" t="s">
        <v>79</v>
      </c>
      <c r="I71" s="2">
        <f>ROUND(20/100,9)</f>
        <v>0.2</v>
      </c>
      <c r="J71" s="2">
        <v>0</v>
      </c>
      <c r="K71" s="2"/>
      <c r="L71" s="2"/>
      <c r="M71" s="2"/>
      <c r="N71" s="2"/>
      <c r="O71" s="2">
        <f t="shared" si="49"/>
        <v>11.06</v>
      </c>
      <c r="P71" s="2">
        <f t="shared" si="50"/>
        <v>0.74</v>
      </c>
      <c r="Q71" s="2">
        <f t="shared" si="51"/>
        <v>0.24</v>
      </c>
      <c r="R71" s="2">
        <f t="shared" si="52"/>
        <v>0.06</v>
      </c>
      <c r="S71" s="2">
        <f t="shared" si="53"/>
        <v>10.08</v>
      </c>
      <c r="T71" s="2">
        <f t="shared" si="54"/>
        <v>0</v>
      </c>
      <c r="U71" s="2">
        <f t="shared" si="55"/>
        <v>0.81730499999999984</v>
      </c>
      <c r="V71" s="2">
        <f t="shared" si="56"/>
        <v>0</v>
      </c>
      <c r="W71" s="2">
        <f t="shared" si="57"/>
        <v>0</v>
      </c>
      <c r="X71" s="2">
        <f t="shared" si="58"/>
        <v>11.49</v>
      </c>
      <c r="Y71" s="2">
        <f t="shared" si="59"/>
        <v>6.75</v>
      </c>
      <c r="Z71" s="2"/>
      <c r="AA71" s="2">
        <v>42119681</v>
      </c>
      <c r="AB71" s="2">
        <f t="shared" si="60"/>
        <v>55.319125</v>
      </c>
      <c r="AC71" s="2">
        <f t="shared" si="61"/>
        <v>3.71</v>
      </c>
      <c r="AD71" s="2">
        <f>ROUND((((((ET71*1.25)*1.15))-(((EU71*1.25)*1.15)))+AE71),6)</f>
        <v>1.221875</v>
      </c>
      <c r="AE71" s="2">
        <f>ROUND((((EU71*1.25)*1.15)),6)</f>
        <v>0.28749999999999998</v>
      </c>
      <c r="AF71" s="2">
        <f>ROUND((((EV71*1.15)*1.15)),6)</f>
        <v>50.387250000000002</v>
      </c>
      <c r="AG71" s="2">
        <f t="shared" si="62"/>
        <v>0</v>
      </c>
      <c r="AH71" s="2">
        <f>(((EW71*1.15)*1.15))</f>
        <v>4.0865249999999991</v>
      </c>
      <c r="AI71" s="2">
        <f>(((EX71*1.25)*1.15))</f>
        <v>0</v>
      </c>
      <c r="AJ71" s="2">
        <f t="shared" si="63"/>
        <v>0</v>
      </c>
      <c r="AK71" s="2">
        <v>42.66</v>
      </c>
      <c r="AL71" s="2">
        <v>3.71</v>
      </c>
      <c r="AM71" s="2">
        <v>0.85</v>
      </c>
      <c r="AN71" s="2">
        <v>0.2</v>
      </c>
      <c r="AO71" s="2">
        <v>38.1</v>
      </c>
      <c r="AP71" s="2">
        <v>0</v>
      </c>
      <c r="AQ71" s="2">
        <v>3.09</v>
      </c>
      <c r="AR71" s="2">
        <v>0</v>
      </c>
      <c r="AS71" s="2">
        <v>0</v>
      </c>
      <c r="AT71" s="2">
        <v>114</v>
      </c>
      <c r="AU71" s="2">
        <v>67</v>
      </c>
      <c r="AV71" s="2">
        <v>1</v>
      </c>
      <c r="AW71" s="2">
        <v>1</v>
      </c>
      <c r="AX71" s="2"/>
      <c r="AY71" s="2"/>
      <c r="AZ71" s="2">
        <v>1</v>
      </c>
      <c r="BA71" s="2">
        <v>1</v>
      </c>
      <c r="BB71" s="2">
        <v>1</v>
      </c>
      <c r="BC71" s="2">
        <v>1</v>
      </c>
      <c r="BD71" s="2" t="s">
        <v>3</v>
      </c>
      <c r="BE71" s="2" t="s">
        <v>3</v>
      </c>
      <c r="BF71" s="2" t="s">
        <v>3</v>
      </c>
      <c r="BG71" s="2" t="s">
        <v>3</v>
      </c>
      <c r="BH71" s="2">
        <v>0</v>
      </c>
      <c r="BI71" s="2">
        <v>2</v>
      </c>
      <c r="BJ71" s="2" t="s">
        <v>121</v>
      </c>
      <c r="BK71" s="2"/>
      <c r="BL71" s="2"/>
      <c r="BM71" s="2">
        <v>331</v>
      </c>
      <c r="BN71" s="2">
        <v>0</v>
      </c>
      <c r="BO71" s="2" t="s">
        <v>3</v>
      </c>
      <c r="BP71" s="2">
        <v>0</v>
      </c>
      <c r="BQ71" s="2">
        <v>40</v>
      </c>
      <c r="BR71" s="2">
        <v>0</v>
      </c>
      <c r="BS71" s="2">
        <v>1</v>
      </c>
      <c r="BT71" s="2">
        <v>1</v>
      </c>
      <c r="BU71" s="2">
        <v>1</v>
      </c>
      <c r="BV71" s="2">
        <v>1</v>
      </c>
      <c r="BW71" s="2">
        <v>1</v>
      </c>
      <c r="BX71" s="2">
        <v>1</v>
      </c>
      <c r="BY71" s="2" t="s">
        <v>3</v>
      </c>
      <c r="BZ71" s="2">
        <v>114</v>
      </c>
      <c r="CA71" s="2">
        <v>67</v>
      </c>
      <c r="CB71" s="2"/>
      <c r="CC71" s="2"/>
      <c r="CD71" s="2"/>
      <c r="CE71" s="2">
        <v>0</v>
      </c>
      <c r="CF71" s="2">
        <v>0</v>
      </c>
      <c r="CG71" s="2">
        <v>0</v>
      </c>
      <c r="CH71" s="2"/>
      <c r="CI71" s="2"/>
      <c r="CJ71" s="2"/>
      <c r="CK71" s="2"/>
      <c r="CL71" s="2"/>
      <c r="CM71" s="2">
        <v>0</v>
      </c>
      <c r="CN71" s="2" t="s">
        <v>225</v>
      </c>
      <c r="CO71" s="2">
        <v>0</v>
      </c>
      <c r="CP71" s="2">
        <f t="shared" si="64"/>
        <v>11.06</v>
      </c>
      <c r="CQ71" s="2">
        <f t="shared" si="65"/>
        <v>3.71</v>
      </c>
      <c r="CR71" s="2">
        <f>((((((ET71*1.25)*1.15))*BB71-(((EU71*1.25)*1.15))*BS71)+AE71*BS71)*AV71)</f>
        <v>1.2218749999999998</v>
      </c>
      <c r="CS71" s="2">
        <f t="shared" si="66"/>
        <v>0.28749999999999998</v>
      </c>
      <c r="CT71" s="2">
        <f t="shared" si="67"/>
        <v>50.387250000000002</v>
      </c>
      <c r="CU71" s="2">
        <f t="shared" si="68"/>
        <v>0</v>
      </c>
      <c r="CV71" s="2">
        <f t="shared" si="69"/>
        <v>4.0865249999999991</v>
      </c>
      <c r="CW71" s="2">
        <f t="shared" si="70"/>
        <v>0</v>
      </c>
      <c r="CX71" s="2">
        <f t="shared" si="71"/>
        <v>0</v>
      </c>
      <c r="CY71" s="2">
        <f>((S71*BZ71)/100)</f>
        <v>11.491200000000001</v>
      </c>
      <c r="CZ71" s="2">
        <f>((S71*CA71)/100)</f>
        <v>6.7536000000000005</v>
      </c>
      <c r="DA71" s="2"/>
      <c r="DB71" s="2"/>
      <c r="DC71" s="2" t="s">
        <v>3</v>
      </c>
      <c r="DD71" s="2" t="s">
        <v>3</v>
      </c>
      <c r="DE71" s="2" t="s">
        <v>21</v>
      </c>
      <c r="DF71" s="2" t="s">
        <v>21</v>
      </c>
      <c r="DG71" s="2" t="s">
        <v>22</v>
      </c>
      <c r="DH71" s="2" t="s">
        <v>3</v>
      </c>
      <c r="DI71" s="2" t="s">
        <v>22</v>
      </c>
      <c r="DJ71" s="2" t="s">
        <v>21</v>
      </c>
      <c r="DK71" s="2" t="s">
        <v>3</v>
      </c>
      <c r="DL71" s="2" t="s">
        <v>3</v>
      </c>
      <c r="DM71" s="2" t="s">
        <v>3</v>
      </c>
      <c r="DN71" s="2">
        <v>0</v>
      </c>
      <c r="DO71" s="2">
        <v>0</v>
      </c>
      <c r="DP71" s="2">
        <v>1</v>
      </c>
      <c r="DQ71" s="2">
        <v>1</v>
      </c>
      <c r="DR71" s="2"/>
      <c r="DS71" s="2"/>
      <c r="DT71" s="2"/>
      <c r="DU71" s="2">
        <v>1003</v>
      </c>
      <c r="DV71" s="2" t="s">
        <v>79</v>
      </c>
      <c r="DW71" s="2" t="s">
        <v>79</v>
      </c>
      <c r="DX71" s="2">
        <v>100</v>
      </c>
      <c r="DY71" s="2"/>
      <c r="DZ71" s="2"/>
      <c r="EA71" s="2"/>
      <c r="EB71" s="2"/>
      <c r="EC71" s="2"/>
      <c r="ED71" s="2"/>
      <c r="EE71" s="2">
        <v>41393060</v>
      </c>
      <c r="EF71" s="2">
        <v>40</v>
      </c>
      <c r="EG71" s="2" t="s">
        <v>23</v>
      </c>
      <c r="EH71" s="2">
        <v>0</v>
      </c>
      <c r="EI71" s="2" t="s">
        <v>3</v>
      </c>
      <c r="EJ71" s="2">
        <v>2</v>
      </c>
      <c r="EK71" s="2">
        <v>331</v>
      </c>
      <c r="EL71" s="2" t="s">
        <v>105</v>
      </c>
      <c r="EM71" s="2" t="s">
        <v>106</v>
      </c>
      <c r="EN71" s="2"/>
      <c r="EO71" s="2" t="s">
        <v>26</v>
      </c>
      <c r="EP71" s="2"/>
      <c r="EQ71" s="2">
        <v>0</v>
      </c>
      <c r="ER71" s="2">
        <v>42.66</v>
      </c>
      <c r="ES71" s="2">
        <v>3.71</v>
      </c>
      <c r="ET71" s="2">
        <v>0.85</v>
      </c>
      <c r="EU71" s="2">
        <v>0.2</v>
      </c>
      <c r="EV71" s="2">
        <v>38.1</v>
      </c>
      <c r="EW71" s="2">
        <v>3.09</v>
      </c>
      <c r="EX71" s="2">
        <v>0</v>
      </c>
      <c r="EY71" s="2">
        <v>0</v>
      </c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>
        <v>0</v>
      </c>
      <c r="FR71" s="2">
        <f t="shared" si="72"/>
        <v>0</v>
      </c>
      <c r="FS71" s="2">
        <v>0</v>
      </c>
      <c r="FT71" s="2"/>
      <c r="FU71" s="2"/>
      <c r="FV71" s="2"/>
      <c r="FW71" s="2"/>
      <c r="FX71" s="2">
        <v>114</v>
      </c>
      <c r="FY71" s="2">
        <v>67</v>
      </c>
      <c r="FZ71" s="2"/>
      <c r="GA71" s="2" t="s">
        <v>3</v>
      </c>
      <c r="GB71" s="2"/>
      <c r="GC71" s="2"/>
      <c r="GD71" s="2">
        <v>1</v>
      </c>
      <c r="GE71" s="2"/>
      <c r="GF71" s="2">
        <v>-103104656</v>
      </c>
      <c r="GG71" s="2">
        <v>2</v>
      </c>
      <c r="GH71" s="2">
        <v>1</v>
      </c>
      <c r="GI71" s="2">
        <v>-2</v>
      </c>
      <c r="GJ71" s="2">
        <v>0</v>
      </c>
      <c r="GK71" s="2">
        <v>0</v>
      </c>
      <c r="GL71" s="2">
        <f t="shared" si="73"/>
        <v>0</v>
      </c>
      <c r="GM71" s="2">
        <f>ROUND(O71+X71+Y71,2)+GX71</f>
        <v>29.3</v>
      </c>
      <c r="GN71" s="2">
        <f>IF(OR(BI71=0,BI71=1),ROUND(O71+X71+Y71,2),0)</f>
        <v>0</v>
      </c>
      <c r="GO71" s="2">
        <f>IF(BI71=2,ROUND(O71+X71+Y71,2),0)</f>
        <v>29.3</v>
      </c>
      <c r="GP71" s="2">
        <f>IF(BI71=4,ROUND(O71+X71+Y71,2)+GX71,0)</f>
        <v>0</v>
      </c>
      <c r="GQ71" s="2"/>
      <c r="GR71" s="2">
        <v>0</v>
      </c>
      <c r="GS71" s="2">
        <v>3</v>
      </c>
      <c r="GT71" s="2">
        <v>0</v>
      </c>
      <c r="GU71" s="2" t="s">
        <v>3</v>
      </c>
      <c r="GV71" s="2">
        <f t="shared" si="74"/>
        <v>0</v>
      </c>
      <c r="GW71" s="2">
        <v>1</v>
      </c>
      <c r="GX71" s="2">
        <f t="shared" si="75"/>
        <v>0</v>
      </c>
      <c r="GY71" s="2"/>
      <c r="GZ71" s="2"/>
      <c r="HA71" s="2">
        <v>0</v>
      </c>
      <c r="HB71" s="2">
        <v>0</v>
      </c>
      <c r="HC71" s="2">
        <f t="shared" si="76"/>
        <v>0</v>
      </c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>
        <v>0</v>
      </c>
      <c r="IL71" s="2"/>
      <c r="IM71" s="2"/>
      <c r="IN71" s="2"/>
      <c r="IO71" s="2"/>
      <c r="IP71" s="2"/>
      <c r="IQ71" s="2"/>
      <c r="IR71" s="2"/>
      <c r="IS71" s="2"/>
      <c r="IT71" s="2"/>
      <c r="IU71" s="2"/>
    </row>
    <row r="72" spans="1:255" x14ac:dyDescent="0.2">
      <c r="A72">
        <v>17</v>
      </c>
      <c r="B72">
        <v>1</v>
      </c>
      <c r="C72">
        <f>ROW(SmtRes!A46)</f>
        <v>46</v>
      </c>
      <c r="D72">
        <f>ROW(EtalonRes!A38)</f>
        <v>38</v>
      </c>
      <c r="E72" t="s">
        <v>118</v>
      </c>
      <c r="F72" t="s">
        <v>119</v>
      </c>
      <c r="G72" t="s">
        <v>120</v>
      </c>
      <c r="H72" t="s">
        <v>79</v>
      </c>
      <c r="I72">
        <f>ROUND(20/100,9)</f>
        <v>0.2</v>
      </c>
      <c r="J72">
        <v>0</v>
      </c>
      <c r="O72">
        <f t="shared" si="49"/>
        <v>224.82</v>
      </c>
      <c r="P72">
        <f t="shared" si="50"/>
        <v>4.01</v>
      </c>
      <c r="Q72">
        <f t="shared" si="51"/>
        <v>2.23</v>
      </c>
      <c r="R72">
        <f t="shared" si="52"/>
        <v>1.25</v>
      </c>
      <c r="S72">
        <f t="shared" si="53"/>
        <v>218.58</v>
      </c>
      <c r="T72">
        <f t="shared" si="54"/>
        <v>0</v>
      </c>
      <c r="U72">
        <f t="shared" si="55"/>
        <v>0.81730499999999984</v>
      </c>
      <c r="V72">
        <f t="shared" si="56"/>
        <v>0</v>
      </c>
      <c r="W72">
        <f t="shared" si="57"/>
        <v>0</v>
      </c>
      <c r="X72">
        <f t="shared" si="58"/>
        <v>168.31</v>
      </c>
      <c r="Y72">
        <f t="shared" si="59"/>
        <v>89.62</v>
      </c>
      <c r="AA72">
        <v>42119679</v>
      </c>
      <c r="AB72">
        <f t="shared" si="60"/>
        <v>55.319125</v>
      </c>
      <c r="AC72">
        <f t="shared" si="61"/>
        <v>3.71</v>
      </c>
      <c r="AD72">
        <f>ROUND((((((ET72*1.25)*1.15))-(((EU72*1.25)*1.15)))+AE72),6)</f>
        <v>1.221875</v>
      </c>
      <c r="AE72">
        <f>ROUND((((EU72*1.25)*1.15)),6)</f>
        <v>0.28749999999999998</v>
      </c>
      <c r="AF72">
        <f>ROUND((((EV72*1.15)*1.15)),6)</f>
        <v>50.387250000000002</v>
      </c>
      <c r="AG72">
        <f t="shared" si="62"/>
        <v>0</v>
      </c>
      <c r="AH72">
        <f>(((EW72*1.15)*1.15))</f>
        <v>4.0865249999999991</v>
      </c>
      <c r="AI72">
        <f>(((EX72*1.25)*1.15))</f>
        <v>0</v>
      </c>
      <c r="AJ72">
        <f t="shared" si="63"/>
        <v>0</v>
      </c>
      <c r="AK72">
        <v>42.66</v>
      </c>
      <c r="AL72">
        <v>3.71</v>
      </c>
      <c r="AM72">
        <v>0.85</v>
      </c>
      <c r="AN72">
        <v>0.2</v>
      </c>
      <c r="AO72">
        <v>38.1</v>
      </c>
      <c r="AP72">
        <v>0</v>
      </c>
      <c r="AQ72">
        <v>3.09</v>
      </c>
      <c r="AR72">
        <v>0</v>
      </c>
      <c r="AS72">
        <v>0</v>
      </c>
      <c r="AT72">
        <v>77</v>
      </c>
      <c r="AU72">
        <v>41</v>
      </c>
      <c r="AV72">
        <v>1</v>
      </c>
      <c r="AW72">
        <v>1</v>
      </c>
      <c r="AZ72">
        <v>1</v>
      </c>
      <c r="BA72">
        <v>21.69</v>
      </c>
      <c r="BB72">
        <v>9.1199999999999992</v>
      </c>
      <c r="BC72">
        <v>5.41</v>
      </c>
      <c r="BD72" t="s">
        <v>3</v>
      </c>
      <c r="BE72" t="s">
        <v>3</v>
      </c>
      <c r="BF72" t="s">
        <v>3</v>
      </c>
      <c r="BG72" t="s">
        <v>3</v>
      </c>
      <c r="BH72">
        <v>0</v>
      </c>
      <c r="BI72">
        <v>2</v>
      </c>
      <c r="BJ72" t="s">
        <v>121</v>
      </c>
      <c r="BM72">
        <v>331</v>
      </c>
      <c r="BN72">
        <v>0</v>
      </c>
      <c r="BO72" t="s">
        <v>119</v>
      </c>
      <c r="BP72">
        <v>1</v>
      </c>
      <c r="BQ72">
        <v>40</v>
      </c>
      <c r="BR72">
        <v>0</v>
      </c>
      <c r="BS72">
        <v>21.69</v>
      </c>
      <c r="BT72">
        <v>1</v>
      </c>
      <c r="BU72">
        <v>1</v>
      </c>
      <c r="BV72">
        <v>1</v>
      </c>
      <c r="BW72">
        <v>1</v>
      </c>
      <c r="BX72">
        <v>1</v>
      </c>
      <c r="BY72" t="s">
        <v>3</v>
      </c>
      <c r="BZ72">
        <v>77</v>
      </c>
      <c r="CA72">
        <v>41</v>
      </c>
      <c r="CE72">
        <v>0</v>
      </c>
      <c r="CF72">
        <v>0</v>
      </c>
      <c r="CG72">
        <v>0</v>
      </c>
      <c r="CM72">
        <v>0</v>
      </c>
      <c r="CN72" t="s">
        <v>225</v>
      </c>
      <c r="CO72">
        <v>0</v>
      </c>
      <c r="CP72">
        <f t="shared" si="64"/>
        <v>224.82000000000002</v>
      </c>
      <c r="CQ72">
        <f t="shared" si="65"/>
        <v>20.071100000000001</v>
      </c>
      <c r="CR72">
        <f>((((((ET72*1.25)*1.15))*BB72-(((EU72*1.25)*1.15))*BS72)+AE72*BS72)*AV72)</f>
        <v>11.143499999999998</v>
      </c>
      <c r="CS72">
        <f t="shared" si="66"/>
        <v>6.2358750000000001</v>
      </c>
      <c r="CT72">
        <f t="shared" si="67"/>
        <v>1092.8994525000001</v>
      </c>
      <c r="CU72">
        <f t="shared" si="68"/>
        <v>0</v>
      </c>
      <c r="CV72">
        <f t="shared" si="69"/>
        <v>4.0865249999999991</v>
      </c>
      <c r="CW72">
        <f t="shared" si="70"/>
        <v>0</v>
      </c>
      <c r="CX72">
        <f t="shared" si="71"/>
        <v>0</v>
      </c>
      <c r="CY72">
        <f>S72*(BZ72/100)</f>
        <v>168.3066</v>
      </c>
      <c r="CZ72">
        <f>S72*(CA72/100)</f>
        <v>89.617800000000003</v>
      </c>
      <c r="DC72" t="s">
        <v>3</v>
      </c>
      <c r="DD72" t="s">
        <v>3</v>
      </c>
      <c r="DE72" t="s">
        <v>21</v>
      </c>
      <c r="DF72" t="s">
        <v>21</v>
      </c>
      <c r="DG72" t="s">
        <v>22</v>
      </c>
      <c r="DH72" t="s">
        <v>3</v>
      </c>
      <c r="DI72" t="s">
        <v>22</v>
      </c>
      <c r="DJ72" t="s">
        <v>21</v>
      </c>
      <c r="DK72" t="s">
        <v>3</v>
      </c>
      <c r="DL72" t="s">
        <v>3</v>
      </c>
      <c r="DM72" t="s">
        <v>3</v>
      </c>
      <c r="DN72">
        <v>114</v>
      </c>
      <c r="DO72">
        <v>67</v>
      </c>
      <c r="DP72">
        <v>1</v>
      </c>
      <c r="DQ72">
        <v>1</v>
      </c>
      <c r="DU72">
        <v>1003</v>
      </c>
      <c r="DV72" t="s">
        <v>79</v>
      </c>
      <c r="DW72" t="s">
        <v>79</v>
      </c>
      <c r="DX72">
        <v>100</v>
      </c>
      <c r="EE72">
        <v>41393060</v>
      </c>
      <c r="EF72">
        <v>40</v>
      </c>
      <c r="EG72" t="s">
        <v>23</v>
      </c>
      <c r="EH72">
        <v>0</v>
      </c>
      <c r="EI72" t="s">
        <v>3</v>
      </c>
      <c r="EJ72">
        <v>2</v>
      </c>
      <c r="EK72">
        <v>331</v>
      </c>
      <c r="EL72" t="s">
        <v>105</v>
      </c>
      <c r="EM72" t="s">
        <v>106</v>
      </c>
      <c r="EO72" t="s">
        <v>26</v>
      </c>
      <c r="EQ72">
        <v>0</v>
      </c>
      <c r="ER72">
        <v>42.66</v>
      </c>
      <c r="ES72">
        <v>3.71</v>
      </c>
      <c r="ET72">
        <v>0.85</v>
      </c>
      <c r="EU72">
        <v>0.2</v>
      </c>
      <c r="EV72">
        <v>38.1</v>
      </c>
      <c r="EW72">
        <v>3.09</v>
      </c>
      <c r="EX72">
        <v>0</v>
      </c>
      <c r="EY72">
        <v>0</v>
      </c>
      <c r="FQ72">
        <v>0</v>
      </c>
      <c r="FR72">
        <f t="shared" si="72"/>
        <v>0</v>
      </c>
      <c r="FS72">
        <v>0</v>
      </c>
      <c r="FX72">
        <v>114</v>
      </c>
      <c r="FY72">
        <v>67</v>
      </c>
      <c r="GA72" t="s">
        <v>3</v>
      </c>
      <c r="GD72">
        <v>0</v>
      </c>
      <c r="GF72">
        <v>-103104656</v>
      </c>
      <c r="GG72">
        <v>2</v>
      </c>
      <c r="GH72">
        <v>1</v>
      </c>
      <c r="GI72">
        <v>2</v>
      </c>
      <c r="GJ72">
        <v>0</v>
      </c>
      <c r="GK72">
        <f>ROUND(R72*(S12)/100,2)</f>
        <v>1.96</v>
      </c>
      <c r="GL72">
        <f t="shared" si="73"/>
        <v>0</v>
      </c>
      <c r="GM72">
        <f>ROUND(O72+X72+Y72+GK72,2)+GX72</f>
        <v>484.71</v>
      </c>
      <c r="GN72">
        <f>IF(OR(BI72=0,BI72=1),ROUND(O72+X72+Y72+GK72,2),0)</f>
        <v>0</v>
      </c>
      <c r="GO72">
        <f>IF(BI72=2,ROUND(O72+X72+Y72+GK72,2),0)</f>
        <v>484.71</v>
      </c>
      <c r="GP72">
        <f>IF(BI72=4,ROUND(O72+X72+Y72+GK72,2)+GX72,0)</f>
        <v>0</v>
      </c>
      <c r="GR72">
        <v>0</v>
      </c>
      <c r="GS72">
        <v>3</v>
      </c>
      <c r="GT72">
        <v>0</v>
      </c>
      <c r="GU72" t="s">
        <v>3</v>
      </c>
      <c r="GV72">
        <f t="shared" si="74"/>
        <v>0</v>
      </c>
      <c r="GW72">
        <v>1</v>
      </c>
      <c r="GX72">
        <f t="shared" si="75"/>
        <v>0</v>
      </c>
      <c r="HA72">
        <v>0</v>
      </c>
      <c r="HB72">
        <v>0</v>
      </c>
      <c r="HC72">
        <f t="shared" si="76"/>
        <v>0</v>
      </c>
      <c r="IK72">
        <v>0</v>
      </c>
    </row>
    <row r="73" spans="1:255" x14ac:dyDescent="0.2">
      <c r="A73" s="2">
        <v>18</v>
      </c>
      <c r="B73" s="2">
        <v>1</v>
      </c>
      <c r="C73" s="2">
        <v>44</v>
      </c>
      <c r="D73" s="2"/>
      <c r="E73" s="2" t="s">
        <v>122</v>
      </c>
      <c r="F73" s="2" t="s">
        <v>123</v>
      </c>
      <c r="G73" s="2" t="s">
        <v>124</v>
      </c>
      <c r="H73" s="2" t="s">
        <v>125</v>
      </c>
      <c r="I73" s="2">
        <f>I71*J73</f>
        <v>2.0400000000000001E-2</v>
      </c>
      <c r="J73" s="2">
        <v>0.10200000000000001</v>
      </c>
      <c r="K73" s="2"/>
      <c r="L73" s="2"/>
      <c r="M73" s="2"/>
      <c r="N73" s="2"/>
      <c r="O73" s="2">
        <f t="shared" si="49"/>
        <v>335.52</v>
      </c>
      <c r="P73" s="2">
        <f t="shared" si="50"/>
        <v>335.52</v>
      </c>
      <c r="Q73" s="2">
        <f t="shared" si="51"/>
        <v>0</v>
      </c>
      <c r="R73" s="2">
        <f t="shared" si="52"/>
        <v>0</v>
      </c>
      <c r="S73" s="2">
        <f t="shared" si="53"/>
        <v>0</v>
      </c>
      <c r="T73" s="2">
        <f t="shared" si="54"/>
        <v>0</v>
      </c>
      <c r="U73" s="2">
        <f t="shared" si="55"/>
        <v>0</v>
      </c>
      <c r="V73" s="2">
        <f t="shared" si="56"/>
        <v>0</v>
      </c>
      <c r="W73" s="2">
        <f t="shared" si="57"/>
        <v>0</v>
      </c>
      <c r="X73" s="2">
        <f t="shared" si="58"/>
        <v>0</v>
      </c>
      <c r="Y73" s="2">
        <f t="shared" si="59"/>
        <v>0</v>
      </c>
      <c r="Z73" s="2"/>
      <c r="AA73" s="2">
        <v>42119681</v>
      </c>
      <c r="AB73" s="2">
        <f t="shared" si="60"/>
        <v>16446.900000000001</v>
      </c>
      <c r="AC73" s="2">
        <f t="shared" si="61"/>
        <v>16446.900000000001</v>
      </c>
      <c r="AD73" s="2">
        <f>ROUND((((ET73)-(EU73))+AE73),6)</f>
        <v>0</v>
      </c>
      <c r="AE73" s="2">
        <f>ROUND((EU73),6)</f>
        <v>0</v>
      </c>
      <c r="AF73" s="2">
        <f>ROUND((EV73),6)</f>
        <v>0</v>
      </c>
      <c r="AG73" s="2">
        <f t="shared" si="62"/>
        <v>0</v>
      </c>
      <c r="AH73" s="2">
        <f>(EW73)</f>
        <v>0</v>
      </c>
      <c r="AI73" s="2">
        <f>(EX73)</f>
        <v>0</v>
      </c>
      <c r="AJ73" s="2">
        <f t="shared" si="63"/>
        <v>0</v>
      </c>
      <c r="AK73" s="2">
        <v>16446.900000000001</v>
      </c>
      <c r="AL73" s="2">
        <v>16446.900000000001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114</v>
      </c>
      <c r="AU73" s="2">
        <v>67</v>
      </c>
      <c r="AV73" s="2">
        <v>1</v>
      </c>
      <c r="AW73" s="2">
        <v>1</v>
      </c>
      <c r="AX73" s="2"/>
      <c r="AY73" s="2"/>
      <c r="AZ73" s="2">
        <v>1</v>
      </c>
      <c r="BA73" s="2">
        <v>1</v>
      </c>
      <c r="BB73" s="2">
        <v>1</v>
      </c>
      <c r="BC73" s="2">
        <v>1</v>
      </c>
      <c r="BD73" s="2" t="s">
        <v>3</v>
      </c>
      <c r="BE73" s="2" t="s">
        <v>3</v>
      </c>
      <c r="BF73" s="2" t="s">
        <v>3</v>
      </c>
      <c r="BG73" s="2" t="s">
        <v>3</v>
      </c>
      <c r="BH73" s="2">
        <v>3</v>
      </c>
      <c r="BI73" s="2">
        <v>2</v>
      </c>
      <c r="BJ73" s="2" t="s">
        <v>126</v>
      </c>
      <c r="BK73" s="2"/>
      <c r="BL73" s="2"/>
      <c r="BM73" s="2">
        <v>331</v>
      </c>
      <c r="BN73" s="2">
        <v>0</v>
      </c>
      <c r="BO73" s="2" t="s">
        <v>3</v>
      </c>
      <c r="BP73" s="2">
        <v>0</v>
      </c>
      <c r="BQ73" s="2">
        <v>40</v>
      </c>
      <c r="BR73" s="2">
        <v>0</v>
      </c>
      <c r="BS73" s="2">
        <v>1</v>
      </c>
      <c r="BT73" s="2">
        <v>1</v>
      </c>
      <c r="BU73" s="2">
        <v>1</v>
      </c>
      <c r="BV73" s="2">
        <v>1</v>
      </c>
      <c r="BW73" s="2">
        <v>1</v>
      </c>
      <c r="BX73" s="2">
        <v>1</v>
      </c>
      <c r="BY73" s="2" t="s">
        <v>3</v>
      </c>
      <c r="BZ73" s="2">
        <v>114</v>
      </c>
      <c r="CA73" s="2">
        <v>67</v>
      </c>
      <c r="CB73" s="2"/>
      <c r="CC73" s="2"/>
      <c r="CD73" s="2"/>
      <c r="CE73" s="2">
        <v>0</v>
      </c>
      <c r="CF73" s="2">
        <v>0</v>
      </c>
      <c r="CG73" s="2">
        <v>0</v>
      </c>
      <c r="CH73" s="2"/>
      <c r="CI73" s="2"/>
      <c r="CJ73" s="2"/>
      <c r="CK73" s="2"/>
      <c r="CL73" s="2"/>
      <c r="CM73" s="2">
        <v>0</v>
      </c>
      <c r="CN73" s="2" t="s">
        <v>3</v>
      </c>
      <c r="CO73" s="2">
        <v>0</v>
      </c>
      <c r="CP73" s="2">
        <f t="shared" si="64"/>
        <v>335.52</v>
      </c>
      <c r="CQ73" s="2">
        <f t="shared" si="65"/>
        <v>16446.900000000001</v>
      </c>
      <c r="CR73" s="2">
        <f>((((ET73)*BB73-(EU73)*BS73)+AE73*BS73)*AV73)</f>
        <v>0</v>
      </c>
      <c r="CS73" s="2">
        <f t="shared" si="66"/>
        <v>0</v>
      </c>
      <c r="CT73" s="2">
        <f t="shared" si="67"/>
        <v>0</v>
      </c>
      <c r="CU73" s="2">
        <f t="shared" si="68"/>
        <v>0</v>
      </c>
      <c r="CV73" s="2">
        <f t="shared" si="69"/>
        <v>0</v>
      </c>
      <c r="CW73" s="2">
        <f t="shared" si="70"/>
        <v>0</v>
      </c>
      <c r="CX73" s="2">
        <f t="shared" si="71"/>
        <v>0</v>
      </c>
      <c r="CY73" s="2">
        <f>((S73*BZ73)/100)</f>
        <v>0</v>
      </c>
      <c r="CZ73" s="2">
        <f>((S73*CA73)/100)</f>
        <v>0</v>
      </c>
      <c r="DA73" s="2"/>
      <c r="DB73" s="2"/>
      <c r="DC73" s="2" t="s">
        <v>3</v>
      </c>
      <c r="DD73" s="2" t="s">
        <v>3</v>
      </c>
      <c r="DE73" s="2" t="s">
        <v>3</v>
      </c>
      <c r="DF73" s="2" t="s">
        <v>3</v>
      </c>
      <c r="DG73" s="2" t="s">
        <v>3</v>
      </c>
      <c r="DH73" s="2" t="s">
        <v>3</v>
      </c>
      <c r="DI73" s="2" t="s">
        <v>3</v>
      </c>
      <c r="DJ73" s="2" t="s">
        <v>3</v>
      </c>
      <c r="DK73" s="2" t="s">
        <v>3</v>
      </c>
      <c r="DL73" s="2" t="s">
        <v>3</v>
      </c>
      <c r="DM73" s="2" t="s">
        <v>3</v>
      </c>
      <c r="DN73" s="2">
        <v>0</v>
      </c>
      <c r="DO73" s="2">
        <v>0</v>
      </c>
      <c r="DP73" s="2">
        <v>1</v>
      </c>
      <c r="DQ73" s="2">
        <v>1</v>
      </c>
      <c r="DR73" s="2"/>
      <c r="DS73" s="2"/>
      <c r="DT73" s="2"/>
      <c r="DU73" s="2">
        <v>1003</v>
      </c>
      <c r="DV73" s="2" t="s">
        <v>125</v>
      </c>
      <c r="DW73" s="2" t="s">
        <v>125</v>
      </c>
      <c r="DX73" s="2">
        <v>1000</v>
      </c>
      <c r="DY73" s="2"/>
      <c r="DZ73" s="2"/>
      <c r="EA73" s="2"/>
      <c r="EB73" s="2"/>
      <c r="EC73" s="2"/>
      <c r="ED73" s="2"/>
      <c r="EE73" s="2">
        <v>41393060</v>
      </c>
      <c r="EF73" s="2">
        <v>40</v>
      </c>
      <c r="EG73" s="2" t="s">
        <v>23</v>
      </c>
      <c r="EH73" s="2">
        <v>0</v>
      </c>
      <c r="EI73" s="2" t="s">
        <v>3</v>
      </c>
      <c r="EJ73" s="2">
        <v>2</v>
      </c>
      <c r="EK73" s="2">
        <v>331</v>
      </c>
      <c r="EL73" s="2" t="s">
        <v>105</v>
      </c>
      <c r="EM73" s="2" t="s">
        <v>106</v>
      </c>
      <c r="EN73" s="2"/>
      <c r="EO73" s="2" t="s">
        <v>3</v>
      </c>
      <c r="EP73" s="2"/>
      <c r="EQ73" s="2">
        <v>0</v>
      </c>
      <c r="ER73" s="2">
        <v>16446.900000000001</v>
      </c>
      <c r="ES73" s="2">
        <v>16446.900000000001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>
        <v>0</v>
      </c>
      <c r="FR73" s="2">
        <f t="shared" si="72"/>
        <v>0</v>
      </c>
      <c r="FS73" s="2">
        <v>0</v>
      </c>
      <c r="FT73" s="2"/>
      <c r="FU73" s="2"/>
      <c r="FV73" s="2"/>
      <c r="FW73" s="2"/>
      <c r="FX73" s="2">
        <v>114</v>
      </c>
      <c r="FY73" s="2">
        <v>67</v>
      </c>
      <c r="FZ73" s="2"/>
      <c r="GA73" s="2" t="s">
        <v>3</v>
      </c>
      <c r="GB73" s="2"/>
      <c r="GC73" s="2"/>
      <c r="GD73" s="2">
        <v>1</v>
      </c>
      <c r="GE73" s="2"/>
      <c r="GF73" s="2">
        <v>-1401279109</v>
      </c>
      <c r="GG73" s="2">
        <v>2</v>
      </c>
      <c r="GH73" s="2">
        <v>1</v>
      </c>
      <c r="GI73" s="2">
        <v>-2</v>
      </c>
      <c r="GJ73" s="2">
        <v>0</v>
      </c>
      <c r="GK73" s="2">
        <v>0</v>
      </c>
      <c r="GL73" s="2">
        <f t="shared" si="73"/>
        <v>0</v>
      </c>
      <c r="GM73" s="2">
        <f>ROUND(O73+X73+Y73,2)+GX73</f>
        <v>335.52</v>
      </c>
      <c r="GN73" s="2">
        <f>IF(OR(BI73=0,BI73=1),ROUND(O73+X73+Y73,2),0)</f>
        <v>0</v>
      </c>
      <c r="GO73" s="2">
        <f>IF(BI73=2,ROUND(O73+X73+Y73,2),0)</f>
        <v>335.52</v>
      </c>
      <c r="GP73" s="2">
        <f>IF(BI73=4,ROUND(O73+X73+Y73,2)+GX73,0)</f>
        <v>0</v>
      </c>
      <c r="GQ73" s="2"/>
      <c r="GR73" s="2">
        <v>0</v>
      </c>
      <c r="GS73" s="2">
        <v>3</v>
      </c>
      <c r="GT73" s="2">
        <v>0</v>
      </c>
      <c r="GU73" s="2" t="s">
        <v>3</v>
      </c>
      <c r="GV73" s="2">
        <f t="shared" si="74"/>
        <v>0</v>
      </c>
      <c r="GW73" s="2">
        <v>1</v>
      </c>
      <c r="GX73" s="2">
        <f t="shared" si="75"/>
        <v>0</v>
      </c>
      <c r="GY73" s="2"/>
      <c r="GZ73" s="2"/>
      <c r="HA73" s="2">
        <v>0</v>
      </c>
      <c r="HB73" s="2">
        <v>0</v>
      </c>
      <c r="HC73" s="2">
        <f t="shared" si="76"/>
        <v>0</v>
      </c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>
        <v>0</v>
      </c>
      <c r="IL73" s="2"/>
      <c r="IM73" s="2"/>
      <c r="IN73" s="2"/>
      <c r="IO73" s="2"/>
      <c r="IP73" s="2"/>
      <c r="IQ73" s="2"/>
      <c r="IR73" s="2"/>
      <c r="IS73" s="2"/>
      <c r="IT73" s="2"/>
      <c r="IU73" s="2"/>
    </row>
    <row r="74" spans="1:255" x14ac:dyDescent="0.2">
      <c r="A74">
        <v>18</v>
      </c>
      <c r="B74">
        <v>1</v>
      </c>
      <c r="C74">
        <v>46</v>
      </c>
      <c r="E74" t="s">
        <v>122</v>
      </c>
      <c r="F74" t="s">
        <v>123</v>
      </c>
      <c r="G74" t="s">
        <v>124</v>
      </c>
      <c r="H74" t="s">
        <v>125</v>
      </c>
      <c r="I74">
        <f>I72*J74</f>
        <v>2.0400000000000001E-2</v>
      </c>
      <c r="J74">
        <v>0.10200000000000001</v>
      </c>
      <c r="O74">
        <f t="shared" si="49"/>
        <v>801.89</v>
      </c>
      <c r="P74">
        <f t="shared" si="50"/>
        <v>801.89</v>
      </c>
      <c r="Q74">
        <f t="shared" si="51"/>
        <v>0</v>
      </c>
      <c r="R74">
        <f t="shared" si="52"/>
        <v>0</v>
      </c>
      <c r="S74">
        <f t="shared" si="53"/>
        <v>0</v>
      </c>
      <c r="T74">
        <f t="shared" si="54"/>
        <v>0</v>
      </c>
      <c r="U74">
        <f t="shared" si="55"/>
        <v>0</v>
      </c>
      <c r="V74">
        <f t="shared" si="56"/>
        <v>0</v>
      </c>
      <c r="W74">
        <f t="shared" si="57"/>
        <v>0</v>
      </c>
      <c r="X74">
        <f t="shared" si="58"/>
        <v>0</v>
      </c>
      <c r="Y74">
        <f t="shared" si="59"/>
        <v>0</v>
      </c>
      <c r="AA74">
        <v>42119679</v>
      </c>
      <c r="AB74">
        <f t="shared" si="60"/>
        <v>16446.900000000001</v>
      </c>
      <c r="AC74">
        <f t="shared" si="61"/>
        <v>16446.900000000001</v>
      </c>
      <c r="AD74">
        <f>ROUND((((ET74)-(EU74))+AE74),6)</f>
        <v>0</v>
      </c>
      <c r="AE74">
        <f>ROUND((EU74),6)</f>
        <v>0</v>
      </c>
      <c r="AF74">
        <f>ROUND((EV74),6)</f>
        <v>0</v>
      </c>
      <c r="AG74">
        <f t="shared" si="62"/>
        <v>0</v>
      </c>
      <c r="AH74">
        <f>(EW74)</f>
        <v>0</v>
      </c>
      <c r="AI74">
        <f>(EX74)</f>
        <v>0</v>
      </c>
      <c r="AJ74">
        <f t="shared" si="63"/>
        <v>0</v>
      </c>
      <c r="AK74">
        <v>16446.900000000001</v>
      </c>
      <c r="AL74">
        <v>16446.900000000001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1</v>
      </c>
      <c r="AW74">
        <v>1</v>
      </c>
      <c r="AZ74">
        <v>1</v>
      </c>
      <c r="BA74">
        <v>1</v>
      </c>
      <c r="BB74">
        <v>1</v>
      </c>
      <c r="BC74">
        <v>2.39</v>
      </c>
      <c r="BD74" t="s">
        <v>3</v>
      </c>
      <c r="BE74" t="s">
        <v>3</v>
      </c>
      <c r="BF74" t="s">
        <v>3</v>
      </c>
      <c r="BG74" t="s">
        <v>3</v>
      </c>
      <c r="BH74">
        <v>3</v>
      </c>
      <c r="BI74">
        <v>2</v>
      </c>
      <c r="BJ74" t="s">
        <v>126</v>
      </c>
      <c r="BM74">
        <v>331</v>
      </c>
      <c r="BN74">
        <v>0</v>
      </c>
      <c r="BO74" t="s">
        <v>123</v>
      </c>
      <c r="BP74">
        <v>1</v>
      </c>
      <c r="BQ74">
        <v>40</v>
      </c>
      <c r="BR74">
        <v>0</v>
      </c>
      <c r="BS74">
        <v>1</v>
      </c>
      <c r="BT74">
        <v>1</v>
      </c>
      <c r="BU74">
        <v>1</v>
      </c>
      <c r="BV74">
        <v>1</v>
      </c>
      <c r="BW74">
        <v>1</v>
      </c>
      <c r="BX74">
        <v>1</v>
      </c>
      <c r="BY74" t="s">
        <v>3</v>
      </c>
      <c r="BZ74">
        <v>0</v>
      </c>
      <c r="CA74">
        <v>0</v>
      </c>
      <c r="CE74">
        <v>0</v>
      </c>
      <c r="CF74">
        <v>0</v>
      </c>
      <c r="CG74">
        <v>0</v>
      </c>
      <c r="CM74">
        <v>0</v>
      </c>
      <c r="CN74" t="s">
        <v>3</v>
      </c>
      <c r="CO74">
        <v>0</v>
      </c>
      <c r="CP74">
        <f t="shared" si="64"/>
        <v>801.89</v>
      </c>
      <c r="CQ74">
        <f t="shared" si="65"/>
        <v>39308.091000000008</v>
      </c>
      <c r="CR74">
        <f>((((ET74)*BB74-(EU74)*BS74)+AE74*BS74)*AV74)</f>
        <v>0</v>
      </c>
      <c r="CS74">
        <f t="shared" si="66"/>
        <v>0</v>
      </c>
      <c r="CT74">
        <f t="shared" si="67"/>
        <v>0</v>
      </c>
      <c r="CU74">
        <f t="shared" si="68"/>
        <v>0</v>
      </c>
      <c r="CV74">
        <f t="shared" si="69"/>
        <v>0</v>
      </c>
      <c r="CW74">
        <f t="shared" si="70"/>
        <v>0</v>
      </c>
      <c r="CX74">
        <f t="shared" si="71"/>
        <v>0</v>
      </c>
      <c r="CY74">
        <f>S74*(BZ74/100)</f>
        <v>0</v>
      </c>
      <c r="CZ74">
        <f>S74*(CA74/100)</f>
        <v>0</v>
      </c>
      <c r="DC74" t="s">
        <v>3</v>
      </c>
      <c r="DD74" t="s">
        <v>3</v>
      </c>
      <c r="DE74" t="s">
        <v>3</v>
      </c>
      <c r="DF74" t="s">
        <v>3</v>
      </c>
      <c r="DG74" t="s">
        <v>3</v>
      </c>
      <c r="DH74" t="s">
        <v>3</v>
      </c>
      <c r="DI74" t="s">
        <v>3</v>
      </c>
      <c r="DJ74" t="s">
        <v>3</v>
      </c>
      <c r="DK74" t="s">
        <v>3</v>
      </c>
      <c r="DL74" t="s">
        <v>3</v>
      </c>
      <c r="DM74" t="s">
        <v>3</v>
      </c>
      <c r="DN74">
        <v>114</v>
      </c>
      <c r="DO74">
        <v>67</v>
      </c>
      <c r="DP74">
        <v>1</v>
      </c>
      <c r="DQ74">
        <v>1</v>
      </c>
      <c r="DU74">
        <v>1003</v>
      </c>
      <c r="DV74" t="s">
        <v>125</v>
      </c>
      <c r="DW74" t="s">
        <v>125</v>
      </c>
      <c r="DX74">
        <v>1000</v>
      </c>
      <c r="EE74">
        <v>41393060</v>
      </c>
      <c r="EF74">
        <v>40</v>
      </c>
      <c r="EG74" t="s">
        <v>23</v>
      </c>
      <c r="EH74">
        <v>0</v>
      </c>
      <c r="EI74" t="s">
        <v>3</v>
      </c>
      <c r="EJ74">
        <v>2</v>
      </c>
      <c r="EK74">
        <v>331</v>
      </c>
      <c r="EL74" t="s">
        <v>105</v>
      </c>
      <c r="EM74" t="s">
        <v>106</v>
      </c>
      <c r="EO74" t="s">
        <v>3</v>
      </c>
      <c r="EQ74">
        <v>0</v>
      </c>
      <c r="ER74">
        <v>16446.900000000001</v>
      </c>
      <c r="ES74">
        <v>16446.900000000001</v>
      </c>
      <c r="ET74">
        <v>0</v>
      </c>
      <c r="EU74">
        <v>0</v>
      </c>
      <c r="EV74">
        <v>0</v>
      </c>
      <c r="EW74">
        <v>0</v>
      </c>
      <c r="EX74">
        <v>0</v>
      </c>
      <c r="FQ74">
        <v>0</v>
      </c>
      <c r="FR74">
        <f t="shared" si="72"/>
        <v>0</v>
      </c>
      <c r="FS74">
        <v>0</v>
      </c>
      <c r="FX74">
        <v>114</v>
      </c>
      <c r="FY74">
        <v>67</v>
      </c>
      <c r="GA74" t="s">
        <v>3</v>
      </c>
      <c r="GD74">
        <v>0</v>
      </c>
      <c r="GF74">
        <v>-1401279109</v>
      </c>
      <c r="GG74">
        <v>2</v>
      </c>
      <c r="GH74">
        <v>1</v>
      </c>
      <c r="GI74">
        <v>2</v>
      </c>
      <c r="GJ74">
        <v>0</v>
      </c>
      <c r="GK74">
        <f>ROUND(R74*(S12)/100,2)</f>
        <v>0</v>
      </c>
      <c r="GL74">
        <f t="shared" si="73"/>
        <v>0</v>
      </c>
      <c r="GM74">
        <f>ROUND(O74+X74+Y74+GK74,2)+GX74</f>
        <v>801.89</v>
      </c>
      <c r="GN74">
        <f>IF(OR(BI74=0,BI74=1),ROUND(O74+X74+Y74+GK74,2),0)</f>
        <v>0</v>
      </c>
      <c r="GO74">
        <f>IF(BI74=2,ROUND(O74+X74+Y74+GK74,2),0)</f>
        <v>801.89</v>
      </c>
      <c r="GP74">
        <f>IF(BI74=4,ROUND(O74+X74+Y74+GK74,2)+GX74,0)</f>
        <v>0</v>
      </c>
      <c r="GR74">
        <v>0</v>
      </c>
      <c r="GS74">
        <v>3</v>
      </c>
      <c r="GT74">
        <v>0</v>
      </c>
      <c r="GU74" t="s">
        <v>3</v>
      </c>
      <c r="GV74">
        <f t="shared" si="74"/>
        <v>0</v>
      </c>
      <c r="GW74">
        <v>1</v>
      </c>
      <c r="GX74">
        <f t="shared" si="75"/>
        <v>0</v>
      </c>
      <c r="HA74">
        <v>0</v>
      </c>
      <c r="HB74">
        <v>0</v>
      </c>
      <c r="HC74">
        <f t="shared" si="76"/>
        <v>0</v>
      </c>
      <c r="IK74">
        <v>0</v>
      </c>
    </row>
    <row r="76" spans="1:255" x14ac:dyDescent="0.2">
      <c r="A76" s="3">
        <v>51</v>
      </c>
      <c r="B76" s="3">
        <f>B24</f>
        <v>1</v>
      </c>
      <c r="C76" s="3">
        <f>A24</f>
        <v>4</v>
      </c>
      <c r="D76" s="3">
        <f>ROW(A24)</f>
        <v>24</v>
      </c>
      <c r="E76" s="3"/>
      <c r="F76" s="3" t="str">
        <f>IF(F24&lt;&gt;"",F24,"")</f>
        <v>Новый раздел</v>
      </c>
      <c r="G76" s="3" t="str">
        <f>IF(G24&lt;&gt;"",G24,"")</f>
        <v>Монтажные работы</v>
      </c>
      <c r="H76" s="3">
        <v>0</v>
      </c>
      <c r="I76" s="3"/>
      <c r="J76" s="3"/>
      <c r="K76" s="3"/>
      <c r="L76" s="3"/>
      <c r="M76" s="3"/>
      <c r="N76" s="3"/>
      <c r="O76" s="3">
        <f t="shared" ref="O76:T76" si="81">ROUND(AB76,2)</f>
        <v>97087.76</v>
      </c>
      <c r="P76" s="3">
        <f t="shared" si="81"/>
        <v>94321.17</v>
      </c>
      <c r="Q76" s="3">
        <f t="shared" si="81"/>
        <v>193.83</v>
      </c>
      <c r="R76" s="3">
        <f t="shared" si="81"/>
        <v>20.92</v>
      </c>
      <c r="S76" s="3">
        <f t="shared" si="81"/>
        <v>2572.7600000000002</v>
      </c>
      <c r="T76" s="3">
        <f t="shared" si="81"/>
        <v>0</v>
      </c>
      <c r="U76" s="3">
        <f>AH76</f>
        <v>197.90551249999993</v>
      </c>
      <c r="V76" s="3">
        <f>AI76</f>
        <v>0</v>
      </c>
      <c r="W76" s="3">
        <f>ROUND(AJ76,2)</f>
        <v>0</v>
      </c>
      <c r="X76" s="3">
        <f>ROUND(AK76,2)</f>
        <v>2932.95</v>
      </c>
      <c r="Y76" s="3">
        <f>ROUND(AL76,2)</f>
        <v>1723.75</v>
      </c>
      <c r="Z76" s="3"/>
      <c r="AA76" s="3"/>
      <c r="AB76" s="3">
        <f>ROUND(SUMIF(AA28:AA74,"=42119681",O28:O74),2)</f>
        <v>97087.76</v>
      </c>
      <c r="AC76" s="3">
        <f>ROUND(SUMIF(AA28:AA74,"=42119681",P28:P74),2)</f>
        <v>94321.17</v>
      </c>
      <c r="AD76" s="3">
        <f>ROUND(SUMIF(AA28:AA74,"=42119681",Q28:Q74),2)</f>
        <v>193.83</v>
      </c>
      <c r="AE76" s="3">
        <f>ROUND(SUMIF(AA28:AA74,"=42119681",R28:R74),2)</f>
        <v>20.92</v>
      </c>
      <c r="AF76" s="3">
        <f>ROUND(SUMIF(AA28:AA74,"=42119681",S28:S74),2)</f>
        <v>2572.7600000000002</v>
      </c>
      <c r="AG76" s="3">
        <f>ROUND(SUMIF(AA28:AA74,"=42119681",T28:T74),2)</f>
        <v>0</v>
      </c>
      <c r="AH76" s="3">
        <f>SUMIF(AA28:AA74,"=42119681",U28:U74)</f>
        <v>197.90551249999993</v>
      </c>
      <c r="AI76" s="3">
        <f>SUMIF(AA28:AA74,"=42119681",V28:V74)</f>
        <v>0</v>
      </c>
      <c r="AJ76" s="3">
        <f>ROUND(SUMIF(AA28:AA74,"=42119681",W28:W74),2)</f>
        <v>0</v>
      </c>
      <c r="AK76" s="3">
        <f>ROUND(SUMIF(AA28:AA74,"=42119681",X28:X74),2)</f>
        <v>2932.95</v>
      </c>
      <c r="AL76" s="3">
        <f>ROUND(SUMIF(AA28:AA74,"=42119681",Y28:Y74),2)</f>
        <v>1723.75</v>
      </c>
      <c r="AM76" s="3"/>
      <c r="AN76" s="3"/>
      <c r="AO76" s="3">
        <f t="shared" ref="AO76:BC76" si="82">ROUND(BX76,2)</f>
        <v>0</v>
      </c>
      <c r="AP76" s="3">
        <f t="shared" si="82"/>
        <v>8757</v>
      </c>
      <c r="AQ76" s="3">
        <f t="shared" si="82"/>
        <v>0</v>
      </c>
      <c r="AR76" s="3">
        <f t="shared" si="82"/>
        <v>101744.46</v>
      </c>
      <c r="AS76" s="3">
        <f t="shared" si="82"/>
        <v>0</v>
      </c>
      <c r="AT76" s="3">
        <f t="shared" si="82"/>
        <v>92987.46</v>
      </c>
      <c r="AU76" s="3">
        <f t="shared" si="82"/>
        <v>0</v>
      </c>
      <c r="AV76" s="3">
        <f t="shared" si="82"/>
        <v>94321.17</v>
      </c>
      <c r="AW76" s="3">
        <f t="shared" si="82"/>
        <v>85564.17</v>
      </c>
      <c r="AX76" s="3">
        <f t="shared" si="82"/>
        <v>0</v>
      </c>
      <c r="AY76" s="3">
        <f t="shared" si="82"/>
        <v>85564.17</v>
      </c>
      <c r="AZ76" s="3">
        <f t="shared" si="82"/>
        <v>8757</v>
      </c>
      <c r="BA76" s="3">
        <f t="shared" si="82"/>
        <v>0</v>
      </c>
      <c r="BB76" s="3">
        <f t="shared" si="82"/>
        <v>0</v>
      </c>
      <c r="BC76" s="3">
        <f t="shared" si="82"/>
        <v>0</v>
      </c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>
        <f>ROUND(SUMIF(AA28:AA74,"=42119681",FQ28:FQ74),2)</f>
        <v>0</v>
      </c>
      <c r="BY76" s="3">
        <f>ROUND(SUMIF(AA28:AA74,"=42119681",FR28:FR74),2)</f>
        <v>8757</v>
      </c>
      <c r="BZ76" s="3">
        <f>ROUND(SUMIF(AA28:AA74,"=42119681",GL28:GL74),2)</f>
        <v>0</v>
      </c>
      <c r="CA76" s="3">
        <f>ROUND(SUMIF(AA28:AA74,"=42119681",GM28:GM74),2)</f>
        <v>101744.46</v>
      </c>
      <c r="CB76" s="3">
        <f>ROUND(SUMIF(AA28:AA74,"=42119681",GN28:GN74),2)</f>
        <v>0</v>
      </c>
      <c r="CC76" s="3">
        <f>ROUND(SUMIF(AA28:AA74,"=42119681",GO28:GO74),2)</f>
        <v>92987.46</v>
      </c>
      <c r="CD76" s="3">
        <f>ROUND(SUMIF(AA28:AA74,"=42119681",GP28:GP74),2)</f>
        <v>0</v>
      </c>
      <c r="CE76" s="3">
        <f>AC76-BX76</f>
        <v>94321.17</v>
      </c>
      <c r="CF76" s="3">
        <f>AC76-BY76</f>
        <v>85564.17</v>
      </c>
      <c r="CG76" s="3">
        <f>BX76-BZ76</f>
        <v>0</v>
      </c>
      <c r="CH76" s="3">
        <f>AC76-BX76-BY76+BZ76</f>
        <v>85564.17</v>
      </c>
      <c r="CI76" s="3">
        <f>BY76-BZ76</f>
        <v>8757</v>
      </c>
      <c r="CJ76" s="3">
        <f>ROUND(SUMIF(AA28:AA74,"=42119681",GX28:GX74),2)</f>
        <v>0</v>
      </c>
      <c r="CK76" s="3">
        <f>ROUND(SUMIF(AA28:AA74,"=42119681",GY28:GY74),2)</f>
        <v>0</v>
      </c>
      <c r="CL76" s="3">
        <f>ROUND(SUMIF(AA28:AA74,"=42119681",GZ28:GZ74),2)</f>
        <v>0</v>
      </c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4">
        <f t="shared" ref="DG76:DL76" si="83">ROUND(DT76,2)</f>
        <v>127706.42</v>
      </c>
      <c r="DH76" s="4">
        <f t="shared" si="83"/>
        <v>70542.070000000007</v>
      </c>
      <c r="DI76" s="4">
        <f t="shared" si="83"/>
        <v>1361.5</v>
      </c>
      <c r="DJ76" s="4">
        <f t="shared" si="83"/>
        <v>453.78</v>
      </c>
      <c r="DK76" s="4">
        <f t="shared" si="83"/>
        <v>55802.85</v>
      </c>
      <c r="DL76" s="4">
        <f t="shared" si="83"/>
        <v>0</v>
      </c>
      <c r="DM76" s="4">
        <f>DZ76</f>
        <v>197.90551249999993</v>
      </c>
      <c r="DN76" s="4">
        <f>EA76</f>
        <v>0</v>
      </c>
      <c r="DO76" s="4">
        <f>ROUND(EB76,2)</f>
        <v>0</v>
      </c>
      <c r="DP76" s="4">
        <f>ROUND(EC76,2)</f>
        <v>42968.21</v>
      </c>
      <c r="DQ76" s="4">
        <f>ROUND(ED76,2)</f>
        <v>22879.16</v>
      </c>
      <c r="DR76" s="4"/>
      <c r="DS76" s="4"/>
      <c r="DT76" s="4">
        <f>ROUND(SUMIF(AA28:AA74,"=42119679",O28:O74),2)</f>
        <v>127706.42</v>
      </c>
      <c r="DU76" s="4">
        <f>ROUND(SUMIF(AA28:AA74,"=42119679",P28:P74),2)</f>
        <v>70542.070000000007</v>
      </c>
      <c r="DV76" s="4">
        <f>ROUND(SUMIF(AA28:AA74,"=42119679",Q28:Q74),2)</f>
        <v>1361.5</v>
      </c>
      <c r="DW76" s="4">
        <f>ROUND(SUMIF(AA28:AA74,"=42119679",R28:R74),2)</f>
        <v>453.78</v>
      </c>
      <c r="DX76" s="4">
        <f>ROUND(SUMIF(AA28:AA74,"=42119679",S28:S74),2)</f>
        <v>55802.85</v>
      </c>
      <c r="DY76" s="4">
        <f>ROUND(SUMIF(AA28:AA74,"=42119679",T28:T74),2)</f>
        <v>0</v>
      </c>
      <c r="DZ76" s="4">
        <f>SUMIF(AA28:AA74,"=42119679",U28:U74)</f>
        <v>197.90551249999993</v>
      </c>
      <c r="EA76" s="4">
        <f>SUMIF(AA28:AA74,"=42119679",V28:V74)</f>
        <v>0</v>
      </c>
      <c r="EB76" s="4">
        <f>ROUND(SUMIF(AA28:AA74,"=42119679",W28:W74),2)</f>
        <v>0</v>
      </c>
      <c r="EC76" s="4">
        <f>ROUND(SUMIF(AA28:AA74,"=42119679",X28:X74),2)</f>
        <v>42968.21</v>
      </c>
      <c r="ED76" s="4">
        <f>ROUND(SUMIF(AA28:AA74,"=42119679",Y28:Y74),2)</f>
        <v>22879.16</v>
      </c>
      <c r="EE76" s="4"/>
      <c r="EF76" s="4"/>
      <c r="EG76" s="4">
        <f t="shared" ref="EG76:EU76" si="84">ROUND(FP76,2)</f>
        <v>0</v>
      </c>
      <c r="EH76" s="4">
        <f t="shared" si="84"/>
        <v>29887.78</v>
      </c>
      <c r="EI76" s="4">
        <f t="shared" si="84"/>
        <v>0</v>
      </c>
      <c r="EJ76" s="4">
        <f t="shared" si="84"/>
        <v>194266.23999999999</v>
      </c>
      <c r="EK76" s="4">
        <f t="shared" si="84"/>
        <v>0</v>
      </c>
      <c r="EL76" s="4">
        <f t="shared" si="84"/>
        <v>164378.46</v>
      </c>
      <c r="EM76" s="4">
        <f t="shared" si="84"/>
        <v>0</v>
      </c>
      <c r="EN76" s="4">
        <f t="shared" si="84"/>
        <v>70542.070000000007</v>
      </c>
      <c r="EO76" s="4">
        <f t="shared" si="84"/>
        <v>40654.29</v>
      </c>
      <c r="EP76" s="4">
        <f t="shared" si="84"/>
        <v>0</v>
      </c>
      <c r="EQ76" s="4">
        <f t="shared" si="84"/>
        <v>40654.29</v>
      </c>
      <c r="ER76" s="4">
        <f t="shared" si="84"/>
        <v>29887.78</v>
      </c>
      <c r="ES76" s="4">
        <f t="shared" si="84"/>
        <v>0</v>
      </c>
      <c r="ET76" s="4">
        <f t="shared" si="84"/>
        <v>0</v>
      </c>
      <c r="EU76" s="4">
        <f t="shared" si="84"/>
        <v>0</v>
      </c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>
        <f>ROUND(SUMIF(AA28:AA74,"=42119679",FQ28:FQ74),2)</f>
        <v>0</v>
      </c>
      <c r="FQ76" s="4">
        <f>ROUND(SUMIF(AA28:AA74,"=42119679",FR28:FR74),2)</f>
        <v>29887.78</v>
      </c>
      <c r="FR76" s="4">
        <f>ROUND(SUMIF(AA28:AA74,"=42119679",GL28:GL74),2)</f>
        <v>0</v>
      </c>
      <c r="FS76" s="4">
        <f>ROUND(SUMIF(AA28:AA74,"=42119679",GM28:GM74),2)</f>
        <v>194266.23999999999</v>
      </c>
      <c r="FT76" s="4">
        <f>ROUND(SUMIF(AA28:AA74,"=42119679",GN28:GN74),2)</f>
        <v>0</v>
      </c>
      <c r="FU76" s="4">
        <f>ROUND(SUMIF(AA28:AA74,"=42119679",GO28:GO74),2)</f>
        <v>164378.46</v>
      </c>
      <c r="FV76" s="4">
        <f>ROUND(SUMIF(AA28:AA74,"=42119679",GP28:GP74),2)</f>
        <v>0</v>
      </c>
      <c r="FW76" s="4">
        <f>DU76-FP76</f>
        <v>70542.070000000007</v>
      </c>
      <c r="FX76" s="4">
        <f>DU76-FQ76</f>
        <v>40654.290000000008</v>
      </c>
      <c r="FY76" s="4">
        <f>FP76-FR76</f>
        <v>0</v>
      </c>
      <c r="FZ76" s="4">
        <f>DU76-FP76-FQ76+FR76</f>
        <v>40654.290000000008</v>
      </c>
      <c r="GA76" s="4">
        <f>FQ76-FR76</f>
        <v>29887.78</v>
      </c>
      <c r="GB76" s="4">
        <f>ROUND(SUMIF(AA28:AA74,"=42119679",GX28:GX74),2)</f>
        <v>0</v>
      </c>
      <c r="GC76" s="4">
        <f>ROUND(SUMIF(AA28:AA74,"=42119679",GY28:GY74),2)</f>
        <v>0</v>
      </c>
      <c r="GD76" s="4">
        <f>ROUND(SUMIF(AA28:AA74,"=42119679",GZ28:GZ74),2)</f>
        <v>0</v>
      </c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>
        <v>0</v>
      </c>
    </row>
    <row r="78" spans="1:255" x14ac:dyDescent="0.2">
      <c r="A78" s="5">
        <v>50</v>
      </c>
      <c r="B78" s="5">
        <v>0</v>
      </c>
      <c r="C78" s="5">
        <v>0</v>
      </c>
      <c r="D78" s="5">
        <v>1</v>
      </c>
      <c r="E78" s="5">
        <v>201</v>
      </c>
      <c r="F78" s="5">
        <f>ROUND(Source!O76,O78)</f>
        <v>97087.76</v>
      </c>
      <c r="G78" s="5" t="s">
        <v>127</v>
      </c>
      <c r="H78" s="5" t="s">
        <v>128</v>
      </c>
      <c r="I78" s="5"/>
      <c r="J78" s="5"/>
      <c r="K78" s="5">
        <v>201</v>
      </c>
      <c r="L78" s="5">
        <v>1</v>
      </c>
      <c r="M78" s="5">
        <v>3</v>
      </c>
      <c r="N78" s="5" t="s">
        <v>3</v>
      </c>
      <c r="O78" s="5">
        <v>2</v>
      </c>
      <c r="P78" s="5">
        <f>ROUND(Source!DG76,O78)</f>
        <v>127706.42</v>
      </c>
      <c r="Q78" s="5"/>
      <c r="R78" s="5"/>
      <c r="S78" s="5"/>
      <c r="T78" s="5"/>
      <c r="U78" s="5"/>
      <c r="V78" s="5"/>
      <c r="W78" s="5"/>
    </row>
    <row r="79" spans="1:255" x14ac:dyDescent="0.2">
      <c r="A79" s="5">
        <v>50</v>
      </c>
      <c r="B79" s="5">
        <v>0</v>
      </c>
      <c r="C79" s="5">
        <v>0</v>
      </c>
      <c r="D79" s="5">
        <v>1</v>
      </c>
      <c r="E79" s="5">
        <v>202</v>
      </c>
      <c r="F79" s="5">
        <f>ROUND(Source!P76,O79)</f>
        <v>94321.17</v>
      </c>
      <c r="G79" s="5" t="s">
        <v>129</v>
      </c>
      <c r="H79" s="5" t="s">
        <v>130</v>
      </c>
      <c r="I79" s="5"/>
      <c r="J79" s="5"/>
      <c r="K79" s="5">
        <v>202</v>
      </c>
      <c r="L79" s="5">
        <v>2</v>
      </c>
      <c r="M79" s="5">
        <v>3</v>
      </c>
      <c r="N79" s="5" t="s">
        <v>3</v>
      </c>
      <c r="O79" s="5">
        <v>2</v>
      </c>
      <c r="P79" s="5">
        <f>ROUND(Source!DH76,O79)</f>
        <v>70542.070000000007</v>
      </c>
      <c r="Q79" s="5"/>
      <c r="R79" s="5"/>
      <c r="S79" s="5"/>
      <c r="T79" s="5"/>
      <c r="U79" s="5"/>
      <c r="V79" s="5"/>
      <c r="W79" s="5"/>
    </row>
    <row r="80" spans="1:255" x14ac:dyDescent="0.2">
      <c r="A80" s="5">
        <v>50</v>
      </c>
      <c r="B80" s="5">
        <v>0</v>
      </c>
      <c r="C80" s="5">
        <v>0</v>
      </c>
      <c r="D80" s="5">
        <v>1</v>
      </c>
      <c r="E80" s="5">
        <v>222</v>
      </c>
      <c r="F80" s="5">
        <f>ROUND(Source!AO76,O80)</f>
        <v>0</v>
      </c>
      <c r="G80" s="5" t="s">
        <v>131</v>
      </c>
      <c r="H80" s="5" t="s">
        <v>132</v>
      </c>
      <c r="I80" s="5"/>
      <c r="J80" s="5"/>
      <c r="K80" s="5">
        <v>222</v>
      </c>
      <c r="L80" s="5">
        <v>3</v>
      </c>
      <c r="M80" s="5">
        <v>3</v>
      </c>
      <c r="N80" s="5" t="s">
        <v>3</v>
      </c>
      <c r="O80" s="5">
        <v>2</v>
      </c>
      <c r="P80" s="5">
        <f>ROUND(Source!EG76,O80)</f>
        <v>0</v>
      </c>
      <c r="Q80" s="5"/>
      <c r="R80" s="5"/>
      <c r="S80" s="5"/>
      <c r="T80" s="5"/>
      <c r="U80" s="5"/>
      <c r="V80" s="5"/>
      <c r="W80" s="5"/>
    </row>
    <row r="81" spans="1:23" x14ac:dyDescent="0.2">
      <c r="A81" s="5">
        <v>50</v>
      </c>
      <c r="B81" s="5">
        <v>0</v>
      </c>
      <c r="C81" s="5">
        <v>0</v>
      </c>
      <c r="D81" s="5">
        <v>1</v>
      </c>
      <c r="E81" s="5">
        <v>225</v>
      </c>
      <c r="F81" s="5">
        <f>ROUND(Source!AV76,O81)</f>
        <v>94321.17</v>
      </c>
      <c r="G81" s="5" t="s">
        <v>133</v>
      </c>
      <c r="H81" s="5" t="s">
        <v>134</v>
      </c>
      <c r="I81" s="5"/>
      <c r="J81" s="5"/>
      <c r="K81" s="5">
        <v>225</v>
      </c>
      <c r="L81" s="5">
        <v>4</v>
      </c>
      <c r="M81" s="5">
        <v>3</v>
      </c>
      <c r="N81" s="5" t="s">
        <v>3</v>
      </c>
      <c r="O81" s="5">
        <v>2</v>
      </c>
      <c r="P81" s="5">
        <f>ROUND(Source!EN76,O81)</f>
        <v>70542.070000000007</v>
      </c>
      <c r="Q81" s="5"/>
      <c r="R81" s="5"/>
      <c r="S81" s="5"/>
      <c r="T81" s="5"/>
      <c r="U81" s="5"/>
      <c r="V81" s="5"/>
      <c r="W81" s="5"/>
    </row>
    <row r="82" spans="1:23" x14ac:dyDescent="0.2">
      <c r="A82" s="5">
        <v>50</v>
      </c>
      <c r="B82" s="5">
        <v>0</v>
      </c>
      <c r="C82" s="5">
        <v>0</v>
      </c>
      <c r="D82" s="5">
        <v>1</v>
      </c>
      <c r="E82" s="5">
        <v>226</v>
      </c>
      <c r="F82" s="5">
        <f>ROUND(Source!AW76,O82)</f>
        <v>85564.17</v>
      </c>
      <c r="G82" s="5" t="s">
        <v>135</v>
      </c>
      <c r="H82" s="5" t="s">
        <v>136</v>
      </c>
      <c r="I82" s="5"/>
      <c r="J82" s="5"/>
      <c r="K82" s="5">
        <v>226</v>
      </c>
      <c r="L82" s="5">
        <v>5</v>
      </c>
      <c r="M82" s="5">
        <v>3</v>
      </c>
      <c r="N82" s="5" t="s">
        <v>3</v>
      </c>
      <c r="O82" s="5">
        <v>2</v>
      </c>
      <c r="P82" s="5">
        <f>ROUND(Source!EO76,O82)</f>
        <v>40654.29</v>
      </c>
      <c r="Q82" s="5"/>
      <c r="R82" s="5"/>
      <c r="S82" s="5"/>
      <c r="T82" s="5"/>
      <c r="U82" s="5"/>
      <c r="V82" s="5"/>
      <c r="W82" s="5"/>
    </row>
    <row r="83" spans="1:23" x14ac:dyDescent="0.2">
      <c r="A83" s="5">
        <v>50</v>
      </c>
      <c r="B83" s="5">
        <v>0</v>
      </c>
      <c r="C83" s="5">
        <v>0</v>
      </c>
      <c r="D83" s="5">
        <v>1</v>
      </c>
      <c r="E83" s="5">
        <v>227</v>
      </c>
      <c r="F83" s="5">
        <f>ROUND(Source!AX76,O83)</f>
        <v>0</v>
      </c>
      <c r="G83" s="5" t="s">
        <v>137</v>
      </c>
      <c r="H83" s="5" t="s">
        <v>138</v>
      </c>
      <c r="I83" s="5"/>
      <c r="J83" s="5"/>
      <c r="K83" s="5">
        <v>227</v>
      </c>
      <c r="L83" s="5">
        <v>6</v>
      </c>
      <c r="M83" s="5">
        <v>3</v>
      </c>
      <c r="N83" s="5" t="s">
        <v>3</v>
      </c>
      <c r="O83" s="5">
        <v>2</v>
      </c>
      <c r="P83" s="5">
        <f>ROUND(Source!EP76,O83)</f>
        <v>0</v>
      </c>
      <c r="Q83" s="5"/>
      <c r="R83" s="5"/>
      <c r="S83" s="5"/>
      <c r="T83" s="5"/>
      <c r="U83" s="5"/>
      <c r="V83" s="5"/>
      <c r="W83" s="5"/>
    </row>
    <row r="84" spans="1:23" x14ac:dyDescent="0.2">
      <c r="A84" s="5">
        <v>50</v>
      </c>
      <c r="B84" s="5">
        <v>0</v>
      </c>
      <c r="C84" s="5">
        <v>0</v>
      </c>
      <c r="D84" s="5">
        <v>1</v>
      </c>
      <c r="E84" s="5">
        <v>228</v>
      </c>
      <c r="F84" s="5">
        <f>ROUND(Source!AY76,O84)</f>
        <v>85564.17</v>
      </c>
      <c r="G84" s="5" t="s">
        <v>139</v>
      </c>
      <c r="H84" s="5" t="s">
        <v>140</v>
      </c>
      <c r="I84" s="5"/>
      <c r="J84" s="5"/>
      <c r="K84" s="5">
        <v>228</v>
      </c>
      <c r="L84" s="5">
        <v>7</v>
      </c>
      <c r="M84" s="5">
        <v>3</v>
      </c>
      <c r="N84" s="5" t="s">
        <v>3</v>
      </c>
      <c r="O84" s="5">
        <v>2</v>
      </c>
      <c r="P84" s="5">
        <f>ROUND(Source!EQ76,O84)</f>
        <v>40654.29</v>
      </c>
      <c r="Q84" s="5"/>
      <c r="R84" s="5"/>
      <c r="S84" s="5"/>
      <c r="T84" s="5"/>
      <c r="U84" s="5"/>
      <c r="V84" s="5"/>
      <c r="W84" s="5"/>
    </row>
    <row r="85" spans="1:23" x14ac:dyDescent="0.2">
      <c r="A85" s="5">
        <v>50</v>
      </c>
      <c r="B85" s="5">
        <v>0</v>
      </c>
      <c r="C85" s="5">
        <v>0</v>
      </c>
      <c r="D85" s="5">
        <v>1</v>
      </c>
      <c r="E85" s="5">
        <v>216</v>
      </c>
      <c r="F85" s="5">
        <f>ROUND(Source!AP76,O85)</f>
        <v>8757</v>
      </c>
      <c r="G85" s="5" t="s">
        <v>141</v>
      </c>
      <c r="H85" s="5" t="s">
        <v>142</v>
      </c>
      <c r="I85" s="5"/>
      <c r="J85" s="5"/>
      <c r="K85" s="5">
        <v>216</v>
      </c>
      <c r="L85" s="5">
        <v>8</v>
      </c>
      <c r="M85" s="5">
        <v>3</v>
      </c>
      <c r="N85" s="5" t="s">
        <v>3</v>
      </c>
      <c r="O85" s="5">
        <v>2</v>
      </c>
      <c r="P85" s="5">
        <f>ROUND(Source!EH76,O85)</f>
        <v>29887.78</v>
      </c>
      <c r="Q85" s="5"/>
      <c r="R85" s="5"/>
      <c r="S85" s="5"/>
      <c r="T85" s="5"/>
      <c r="U85" s="5"/>
      <c r="V85" s="5"/>
      <c r="W85" s="5"/>
    </row>
    <row r="86" spans="1:23" x14ac:dyDescent="0.2">
      <c r="A86" s="5">
        <v>50</v>
      </c>
      <c r="B86" s="5">
        <v>0</v>
      </c>
      <c r="C86" s="5">
        <v>0</v>
      </c>
      <c r="D86" s="5">
        <v>1</v>
      </c>
      <c r="E86" s="5">
        <v>223</v>
      </c>
      <c r="F86" s="5">
        <f>ROUND(Source!AQ76,O86)</f>
        <v>0</v>
      </c>
      <c r="G86" s="5" t="s">
        <v>143</v>
      </c>
      <c r="H86" s="5" t="s">
        <v>144</v>
      </c>
      <c r="I86" s="5"/>
      <c r="J86" s="5"/>
      <c r="K86" s="5">
        <v>223</v>
      </c>
      <c r="L86" s="5">
        <v>9</v>
      </c>
      <c r="M86" s="5">
        <v>3</v>
      </c>
      <c r="N86" s="5" t="s">
        <v>3</v>
      </c>
      <c r="O86" s="5">
        <v>2</v>
      </c>
      <c r="P86" s="5">
        <f>ROUND(Source!EI76,O86)</f>
        <v>0</v>
      </c>
      <c r="Q86" s="5"/>
      <c r="R86" s="5"/>
      <c r="S86" s="5"/>
      <c r="T86" s="5"/>
      <c r="U86" s="5"/>
      <c r="V86" s="5"/>
      <c r="W86" s="5"/>
    </row>
    <row r="87" spans="1:23" x14ac:dyDescent="0.2">
      <c r="A87" s="5">
        <v>50</v>
      </c>
      <c r="B87" s="5">
        <v>0</v>
      </c>
      <c r="C87" s="5">
        <v>0</v>
      </c>
      <c r="D87" s="5">
        <v>1</v>
      </c>
      <c r="E87" s="5">
        <v>229</v>
      </c>
      <c r="F87" s="5">
        <f>ROUND(Source!AZ76,O87)</f>
        <v>8757</v>
      </c>
      <c r="G87" s="5" t="s">
        <v>145</v>
      </c>
      <c r="H87" s="5" t="s">
        <v>146</v>
      </c>
      <c r="I87" s="5"/>
      <c r="J87" s="5"/>
      <c r="K87" s="5">
        <v>229</v>
      </c>
      <c r="L87" s="5">
        <v>10</v>
      </c>
      <c r="M87" s="5">
        <v>3</v>
      </c>
      <c r="N87" s="5" t="s">
        <v>3</v>
      </c>
      <c r="O87" s="5">
        <v>2</v>
      </c>
      <c r="P87" s="5">
        <f>ROUND(Source!ER76,O87)</f>
        <v>29887.78</v>
      </c>
      <c r="Q87" s="5"/>
      <c r="R87" s="5"/>
      <c r="S87" s="5"/>
      <c r="T87" s="5"/>
      <c r="U87" s="5"/>
      <c r="V87" s="5"/>
      <c r="W87" s="5"/>
    </row>
    <row r="88" spans="1:23" x14ac:dyDescent="0.2">
      <c r="A88" s="5">
        <v>50</v>
      </c>
      <c r="B88" s="5">
        <v>0</v>
      </c>
      <c r="C88" s="5">
        <v>0</v>
      </c>
      <c r="D88" s="5">
        <v>1</v>
      </c>
      <c r="E88" s="5">
        <v>203</v>
      </c>
      <c r="F88" s="5">
        <f>ROUND(Source!Q76,O88)</f>
        <v>193.83</v>
      </c>
      <c r="G88" s="5" t="s">
        <v>147</v>
      </c>
      <c r="H88" s="5" t="s">
        <v>148</v>
      </c>
      <c r="I88" s="5"/>
      <c r="J88" s="5"/>
      <c r="K88" s="5">
        <v>203</v>
      </c>
      <c r="L88" s="5">
        <v>11</v>
      </c>
      <c r="M88" s="5">
        <v>3</v>
      </c>
      <c r="N88" s="5" t="s">
        <v>3</v>
      </c>
      <c r="O88" s="5">
        <v>2</v>
      </c>
      <c r="P88" s="5">
        <f>ROUND(Source!DI76,O88)</f>
        <v>1361.5</v>
      </c>
      <c r="Q88" s="5"/>
      <c r="R88" s="5"/>
      <c r="S88" s="5"/>
      <c r="T88" s="5"/>
      <c r="U88" s="5"/>
      <c r="V88" s="5"/>
      <c r="W88" s="5"/>
    </row>
    <row r="89" spans="1:23" x14ac:dyDescent="0.2">
      <c r="A89" s="5">
        <v>50</v>
      </c>
      <c r="B89" s="5">
        <v>0</v>
      </c>
      <c r="C89" s="5">
        <v>0</v>
      </c>
      <c r="D89" s="5">
        <v>1</v>
      </c>
      <c r="E89" s="5">
        <v>231</v>
      </c>
      <c r="F89" s="5">
        <f>ROUND(Source!BB76,O89)</f>
        <v>0</v>
      </c>
      <c r="G89" s="5" t="s">
        <v>149</v>
      </c>
      <c r="H89" s="5" t="s">
        <v>150</v>
      </c>
      <c r="I89" s="5"/>
      <c r="J89" s="5"/>
      <c r="K89" s="5">
        <v>231</v>
      </c>
      <c r="L89" s="5">
        <v>12</v>
      </c>
      <c r="M89" s="5">
        <v>3</v>
      </c>
      <c r="N89" s="5" t="s">
        <v>3</v>
      </c>
      <c r="O89" s="5">
        <v>2</v>
      </c>
      <c r="P89" s="5">
        <f>ROUND(Source!ET76,O89)</f>
        <v>0</v>
      </c>
      <c r="Q89" s="5"/>
      <c r="R89" s="5"/>
      <c r="S89" s="5"/>
      <c r="T89" s="5"/>
      <c r="U89" s="5"/>
      <c r="V89" s="5"/>
      <c r="W89" s="5"/>
    </row>
    <row r="90" spans="1:23" x14ac:dyDescent="0.2">
      <c r="A90" s="5">
        <v>50</v>
      </c>
      <c r="B90" s="5">
        <v>0</v>
      </c>
      <c r="C90" s="5">
        <v>0</v>
      </c>
      <c r="D90" s="5">
        <v>1</v>
      </c>
      <c r="E90" s="5">
        <v>204</v>
      </c>
      <c r="F90" s="5">
        <f>ROUND(Source!R76,O90)</f>
        <v>20.92</v>
      </c>
      <c r="G90" s="5" t="s">
        <v>151</v>
      </c>
      <c r="H90" s="5" t="s">
        <v>152</v>
      </c>
      <c r="I90" s="5"/>
      <c r="J90" s="5"/>
      <c r="K90" s="5">
        <v>204</v>
      </c>
      <c r="L90" s="5">
        <v>13</v>
      </c>
      <c r="M90" s="5">
        <v>3</v>
      </c>
      <c r="N90" s="5" t="s">
        <v>3</v>
      </c>
      <c r="O90" s="5">
        <v>2</v>
      </c>
      <c r="P90" s="5">
        <f>ROUND(Source!DJ76,O90)</f>
        <v>453.78</v>
      </c>
      <c r="Q90" s="5"/>
      <c r="R90" s="5"/>
      <c r="S90" s="5"/>
      <c r="T90" s="5"/>
      <c r="U90" s="5"/>
      <c r="V90" s="5"/>
      <c r="W90" s="5"/>
    </row>
    <row r="91" spans="1:23" x14ac:dyDescent="0.2">
      <c r="A91" s="5">
        <v>50</v>
      </c>
      <c r="B91" s="5">
        <v>0</v>
      </c>
      <c r="C91" s="5">
        <v>0</v>
      </c>
      <c r="D91" s="5">
        <v>1</v>
      </c>
      <c r="E91" s="5">
        <v>205</v>
      </c>
      <c r="F91" s="5">
        <f>ROUND(Source!S76,O91)</f>
        <v>2572.7600000000002</v>
      </c>
      <c r="G91" s="5" t="s">
        <v>153</v>
      </c>
      <c r="H91" s="5" t="s">
        <v>154</v>
      </c>
      <c r="I91" s="5"/>
      <c r="J91" s="5"/>
      <c r="K91" s="5">
        <v>205</v>
      </c>
      <c r="L91" s="5">
        <v>14</v>
      </c>
      <c r="M91" s="5">
        <v>3</v>
      </c>
      <c r="N91" s="5" t="s">
        <v>3</v>
      </c>
      <c r="O91" s="5">
        <v>2</v>
      </c>
      <c r="P91" s="5">
        <f>ROUND(Source!DK76,O91)</f>
        <v>55802.85</v>
      </c>
      <c r="Q91" s="5"/>
      <c r="R91" s="5"/>
      <c r="S91" s="5"/>
      <c r="T91" s="5"/>
      <c r="U91" s="5"/>
      <c r="V91" s="5"/>
      <c r="W91" s="5"/>
    </row>
    <row r="92" spans="1:23" x14ac:dyDescent="0.2">
      <c r="A92" s="5">
        <v>50</v>
      </c>
      <c r="B92" s="5">
        <v>0</v>
      </c>
      <c r="C92" s="5">
        <v>0</v>
      </c>
      <c r="D92" s="5">
        <v>1</v>
      </c>
      <c r="E92" s="5">
        <v>232</v>
      </c>
      <c r="F92" s="5">
        <f>ROUND(Source!BC76,O92)</f>
        <v>0</v>
      </c>
      <c r="G92" s="5" t="s">
        <v>155</v>
      </c>
      <c r="H92" s="5" t="s">
        <v>156</v>
      </c>
      <c r="I92" s="5"/>
      <c r="J92" s="5"/>
      <c r="K92" s="5">
        <v>232</v>
      </c>
      <c r="L92" s="5">
        <v>15</v>
      </c>
      <c r="M92" s="5">
        <v>3</v>
      </c>
      <c r="N92" s="5" t="s">
        <v>3</v>
      </c>
      <c r="O92" s="5">
        <v>2</v>
      </c>
      <c r="P92" s="5">
        <f>ROUND(Source!EU76,O92)</f>
        <v>0</v>
      </c>
      <c r="Q92" s="5"/>
      <c r="R92" s="5"/>
      <c r="S92" s="5"/>
      <c r="T92" s="5"/>
      <c r="U92" s="5"/>
      <c r="V92" s="5"/>
      <c r="W92" s="5"/>
    </row>
    <row r="93" spans="1:23" x14ac:dyDescent="0.2">
      <c r="A93" s="5">
        <v>50</v>
      </c>
      <c r="B93" s="5">
        <v>0</v>
      </c>
      <c r="C93" s="5">
        <v>0</v>
      </c>
      <c r="D93" s="5">
        <v>1</v>
      </c>
      <c r="E93" s="5">
        <v>214</v>
      </c>
      <c r="F93" s="5">
        <f>ROUND(Source!AS76,O93)</f>
        <v>0</v>
      </c>
      <c r="G93" s="5" t="s">
        <v>157</v>
      </c>
      <c r="H93" s="5" t="s">
        <v>158</v>
      </c>
      <c r="I93" s="5"/>
      <c r="J93" s="5"/>
      <c r="K93" s="5">
        <v>214</v>
      </c>
      <c r="L93" s="5">
        <v>16</v>
      </c>
      <c r="M93" s="5">
        <v>3</v>
      </c>
      <c r="N93" s="5" t="s">
        <v>3</v>
      </c>
      <c r="O93" s="5">
        <v>2</v>
      </c>
      <c r="P93" s="5">
        <f>ROUND(Source!EK76,O93)</f>
        <v>0</v>
      </c>
      <c r="Q93" s="5"/>
      <c r="R93" s="5"/>
      <c r="S93" s="5"/>
      <c r="T93" s="5"/>
      <c r="U93" s="5"/>
      <c r="V93" s="5"/>
      <c r="W93" s="5"/>
    </row>
    <row r="94" spans="1:23" x14ac:dyDescent="0.2">
      <c r="A94" s="5">
        <v>50</v>
      </c>
      <c r="B94" s="5">
        <v>0</v>
      </c>
      <c r="C94" s="5">
        <v>0</v>
      </c>
      <c r="D94" s="5">
        <v>1</v>
      </c>
      <c r="E94" s="5">
        <v>215</v>
      </c>
      <c r="F94" s="5">
        <f>ROUND(Source!AT76,O94)</f>
        <v>92987.46</v>
      </c>
      <c r="G94" s="5" t="s">
        <v>159</v>
      </c>
      <c r="H94" s="5" t="s">
        <v>160</v>
      </c>
      <c r="I94" s="5"/>
      <c r="J94" s="5"/>
      <c r="K94" s="5">
        <v>215</v>
      </c>
      <c r="L94" s="5">
        <v>17</v>
      </c>
      <c r="M94" s="5">
        <v>3</v>
      </c>
      <c r="N94" s="5" t="s">
        <v>3</v>
      </c>
      <c r="O94" s="5">
        <v>2</v>
      </c>
      <c r="P94" s="5">
        <f>ROUND(Source!EL76,O94)</f>
        <v>164378.46</v>
      </c>
      <c r="Q94" s="5"/>
      <c r="R94" s="5"/>
      <c r="S94" s="5"/>
      <c r="T94" s="5"/>
      <c r="U94" s="5"/>
      <c r="V94" s="5"/>
      <c r="W94" s="5"/>
    </row>
    <row r="95" spans="1:23" x14ac:dyDescent="0.2">
      <c r="A95" s="5">
        <v>50</v>
      </c>
      <c r="B95" s="5">
        <v>0</v>
      </c>
      <c r="C95" s="5">
        <v>0</v>
      </c>
      <c r="D95" s="5">
        <v>1</v>
      </c>
      <c r="E95" s="5">
        <v>217</v>
      </c>
      <c r="F95" s="5">
        <f>ROUND(Source!AU76,O95)</f>
        <v>0</v>
      </c>
      <c r="G95" s="5" t="s">
        <v>161</v>
      </c>
      <c r="H95" s="5" t="s">
        <v>162</v>
      </c>
      <c r="I95" s="5"/>
      <c r="J95" s="5"/>
      <c r="K95" s="5">
        <v>217</v>
      </c>
      <c r="L95" s="5">
        <v>18</v>
      </c>
      <c r="M95" s="5">
        <v>3</v>
      </c>
      <c r="N95" s="5" t="s">
        <v>3</v>
      </c>
      <c r="O95" s="5">
        <v>2</v>
      </c>
      <c r="P95" s="5">
        <f>ROUND(Source!EM76,O95)</f>
        <v>0</v>
      </c>
      <c r="Q95" s="5"/>
      <c r="R95" s="5"/>
      <c r="S95" s="5"/>
      <c r="T95" s="5"/>
      <c r="U95" s="5"/>
      <c r="V95" s="5"/>
      <c r="W95" s="5"/>
    </row>
    <row r="96" spans="1:23" x14ac:dyDescent="0.2">
      <c r="A96" s="5">
        <v>50</v>
      </c>
      <c r="B96" s="5">
        <v>0</v>
      </c>
      <c r="C96" s="5">
        <v>0</v>
      </c>
      <c r="D96" s="5">
        <v>1</v>
      </c>
      <c r="E96" s="5">
        <v>230</v>
      </c>
      <c r="F96" s="5">
        <f>ROUND(Source!BA76,O96)</f>
        <v>0</v>
      </c>
      <c r="G96" s="5" t="s">
        <v>163</v>
      </c>
      <c r="H96" s="5" t="s">
        <v>164</v>
      </c>
      <c r="I96" s="5"/>
      <c r="J96" s="5"/>
      <c r="K96" s="5">
        <v>230</v>
      </c>
      <c r="L96" s="5">
        <v>19</v>
      </c>
      <c r="M96" s="5">
        <v>3</v>
      </c>
      <c r="N96" s="5" t="s">
        <v>3</v>
      </c>
      <c r="O96" s="5">
        <v>2</v>
      </c>
      <c r="P96" s="5">
        <f>ROUND(Source!ES76,O96)</f>
        <v>0</v>
      </c>
      <c r="Q96" s="5"/>
      <c r="R96" s="5"/>
      <c r="S96" s="5"/>
      <c r="T96" s="5"/>
      <c r="U96" s="5"/>
      <c r="V96" s="5"/>
      <c r="W96" s="5"/>
    </row>
    <row r="97" spans="1:255" x14ac:dyDescent="0.2">
      <c r="A97" s="5">
        <v>50</v>
      </c>
      <c r="B97" s="5">
        <v>0</v>
      </c>
      <c r="C97" s="5">
        <v>0</v>
      </c>
      <c r="D97" s="5">
        <v>1</v>
      </c>
      <c r="E97" s="5">
        <v>206</v>
      </c>
      <c r="F97" s="5">
        <f>ROUND(Source!T76,O97)</f>
        <v>0</v>
      </c>
      <c r="G97" s="5" t="s">
        <v>165</v>
      </c>
      <c r="H97" s="5" t="s">
        <v>166</v>
      </c>
      <c r="I97" s="5"/>
      <c r="J97" s="5"/>
      <c r="K97" s="5">
        <v>206</v>
      </c>
      <c r="L97" s="5">
        <v>20</v>
      </c>
      <c r="M97" s="5">
        <v>3</v>
      </c>
      <c r="N97" s="5" t="s">
        <v>3</v>
      </c>
      <c r="O97" s="5">
        <v>2</v>
      </c>
      <c r="P97" s="5">
        <f>ROUND(Source!DL76,O97)</f>
        <v>0</v>
      </c>
      <c r="Q97" s="5"/>
      <c r="R97" s="5"/>
      <c r="S97" s="5"/>
      <c r="T97" s="5"/>
      <c r="U97" s="5"/>
      <c r="V97" s="5"/>
      <c r="W97" s="5"/>
    </row>
    <row r="98" spans="1:255" x14ac:dyDescent="0.2">
      <c r="A98" s="5">
        <v>50</v>
      </c>
      <c r="B98" s="5">
        <v>0</v>
      </c>
      <c r="C98" s="5">
        <v>0</v>
      </c>
      <c r="D98" s="5">
        <v>1</v>
      </c>
      <c r="E98" s="5">
        <v>207</v>
      </c>
      <c r="F98" s="5">
        <f>Source!U76</f>
        <v>197.90551249999993</v>
      </c>
      <c r="G98" s="5" t="s">
        <v>167</v>
      </c>
      <c r="H98" s="5" t="s">
        <v>168</v>
      </c>
      <c r="I98" s="5"/>
      <c r="J98" s="5"/>
      <c r="K98" s="5">
        <v>207</v>
      </c>
      <c r="L98" s="5">
        <v>21</v>
      </c>
      <c r="M98" s="5">
        <v>3</v>
      </c>
      <c r="N98" s="5" t="s">
        <v>3</v>
      </c>
      <c r="O98" s="5">
        <v>-1</v>
      </c>
      <c r="P98" s="5">
        <f>Source!DM76</f>
        <v>197.90551249999993</v>
      </c>
      <c r="Q98" s="5"/>
      <c r="R98" s="5"/>
      <c r="S98" s="5"/>
      <c r="T98" s="5"/>
      <c r="U98" s="5"/>
      <c r="V98" s="5"/>
      <c r="W98" s="5"/>
    </row>
    <row r="99" spans="1:255" x14ac:dyDescent="0.2">
      <c r="A99" s="5">
        <v>50</v>
      </c>
      <c r="B99" s="5">
        <v>0</v>
      </c>
      <c r="C99" s="5">
        <v>0</v>
      </c>
      <c r="D99" s="5">
        <v>1</v>
      </c>
      <c r="E99" s="5">
        <v>208</v>
      </c>
      <c r="F99" s="5">
        <f>Source!V76</f>
        <v>0</v>
      </c>
      <c r="G99" s="5" t="s">
        <v>169</v>
      </c>
      <c r="H99" s="5" t="s">
        <v>170</v>
      </c>
      <c r="I99" s="5"/>
      <c r="J99" s="5"/>
      <c r="K99" s="5">
        <v>208</v>
      </c>
      <c r="L99" s="5">
        <v>22</v>
      </c>
      <c r="M99" s="5">
        <v>3</v>
      </c>
      <c r="N99" s="5" t="s">
        <v>3</v>
      </c>
      <c r="O99" s="5">
        <v>-1</v>
      </c>
      <c r="P99" s="5">
        <f>Source!DN76</f>
        <v>0</v>
      </c>
      <c r="Q99" s="5"/>
      <c r="R99" s="5"/>
      <c r="S99" s="5"/>
      <c r="T99" s="5"/>
      <c r="U99" s="5"/>
      <c r="V99" s="5"/>
      <c r="W99" s="5"/>
    </row>
    <row r="100" spans="1:255" x14ac:dyDescent="0.2">
      <c r="A100" s="5">
        <v>50</v>
      </c>
      <c r="B100" s="5">
        <v>0</v>
      </c>
      <c r="C100" s="5">
        <v>0</v>
      </c>
      <c r="D100" s="5">
        <v>1</v>
      </c>
      <c r="E100" s="5">
        <v>209</v>
      </c>
      <c r="F100" s="5">
        <f>ROUND(Source!W76,O100)</f>
        <v>0</v>
      </c>
      <c r="G100" s="5" t="s">
        <v>171</v>
      </c>
      <c r="H100" s="5" t="s">
        <v>172</v>
      </c>
      <c r="I100" s="5"/>
      <c r="J100" s="5"/>
      <c r="K100" s="5">
        <v>209</v>
      </c>
      <c r="L100" s="5">
        <v>23</v>
      </c>
      <c r="M100" s="5">
        <v>3</v>
      </c>
      <c r="N100" s="5" t="s">
        <v>3</v>
      </c>
      <c r="O100" s="5">
        <v>2</v>
      </c>
      <c r="P100" s="5">
        <f>ROUND(Source!DO76,O100)</f>
        <v>0</v>
      </c>
      <c r="Q100" s="5"/>
      <c r="R100" s="5"/>
      <c r="S100" s="5"/>
      <c r="T100" s="5"/>
      <c r="U100" s="5"/>
      <c r="V100" s="5"/>
      <c r="W100" s="5"/>
    </row>
    <row r="101" spans="1:255" x14ac:dyDescent="0.2">
      <c r="A101" s="5">
        <v>50</v>
      </c>
      <c r="B101" s="5">
        <v>0</v>
      </c>
      <c r="C101" s="5">
        <v>0</v>
      </c>
      <c r="D101" s="5">
        <v>1</v>
      </c>
      <c r="E101" s="5">
        <v>210</v>
      </c>
      <c r="F101" s="5">
        <f>ROUND(Source!X76,O101)</f>
        <v>2932.95</v>
      </c>
      <c r="G101" s="5" t="s">
        <v>173</v>
      </c>
      <c r="H101" s="5" t="s">
        <v>174</v>
      </c>
      <c r="I101" s="5"/>
      <c r="J101" s="5"/>
      <c r="K101" s="5">
        <v>210</v>
      </c>
      <c r="L101" s="5">
        <v>24</v>
      </c>
      <c r="M101" s="5">
        <v>3</v>
      </c>
      <c r="N101" s="5" t="s">
        <v>3</v>
      </c>
      <c r="O101" s="5">
        <v>2</v>
      </c>
      <c r="P101" s="5">
        <f>ROUND(Source!DP76,O101)</f>
        <v>42968.21</v>
      </c>
      <c r="Q101" s="5"/>
      <c r="R101" s="5"/>
      <c r="S101" s="5"/>
      <c r="T101" s="5"/>
      <c r="U101" s="5"/>
      <c r="V101" s="5"/>
      <c r="W101" s="5"/>
    </row>
    <row r="102" spans="1:255" x14ac:dyDescent="0.2">
      <c r="A102" s="5">
        <v>50</v>
      </c>
      <c r="B102" s="5">
        <v>0</v>
      </c>
      <c r="C102" s="5">
        <v>0</v>
      </c>
      <c r="D102" s="5">
        <v>1</v>
      </c>
      <c r="E102" s="5">
        <v>211</v>
      </c>
      <c r="F102" s="5">
        <f>ROUND(Source!Y76,O102)</f>
        <v>1723.75</v>
      </c>
      <c r="G102" s="5" t="s">
        <v>175</v>
      </c>
      <c r="H102" s="5" t="s">
        <v>176</v>
      </c>
      <c r="I102" s="5"/>
      <c r="J102" s="5"/>
      <c r="K102" s="5">
        <v>211</v>
      </c>
      <c r="L102" s="5">
        <v>25</v>
      </c>
      <c r="M102" s="5">
        <v>3</v>
      </c>
      <c r="N102" s="5" t="s">
        <v>3</v>
      </c>
      <c r="O102" s="5">
        <v>2</v>
      </c>
      <c r="P102" s="5">
        <f>ROUND(Source!DQ76,O102)</f>
        <v>22879.16</v>
      </c>
      <c r="Q102" s="5"/>
      <c r="R102" s="5"/>
      <c r="S102" s="5"/>
      <c r="T102" s="5"/>
      <c r="U102" s="5"/>
      <c r="V102" s="5"/>
      <c r="W102" s="5"/>
    </row>
    <row r="103" spans="1:255" x14ac:dyDescent="0.2">
      <c r="A103" s="5">
        <v>50</v>
      </c>
      <c r="B103" s="5">
        <v>0</v>
      </c>
      <c r="C103" s="5">
        <v>0</v>
      </c>
      <c r="D103" s="5">
        <v>1</v>
      </c>
      <c r="E103" s="5">
        <v>224</v>
      </c>
      <c r="F103" s="5">
        <f>ROUND(Source!AR76,O103)</f>
        <v>101744.46</v>
      </c>
      <c r="G103" s="5" t="s">
        <v>177</v>
      </c>
      <c r="H103" s="5" t="s">
        <v>178</v>
      </c>
      <c r="I103" s="5"/>
      <c r="J103" s="5"/>
      <c r="K103" s="5">
        <v>224</v>
      </c>
      <c r="L103" s="5">
        <v>26</v>
      </c>
      <c r="M103" s="5">
        <v>3</v>
      </c>
      <c r="N103" s="5" t="s">
        <v>3</v>
      </c>
      <c r="O103" s="5">
        <v>2</v>
      </c>
      <c r="P103" s="5">
        <f>ROUND(Source!EJ76,O103)</f>
        <v>194266.23999999999</v>
      </c>
      <c r="Q103" s="5"/>
      <c r="R103" s="5"/>
      <c r="S103" s="5"/>
      <c r="T103" s="5"/>
      <c r="U103" s="5"/>
      <c r="V103" s="5"/>
      <c r="W103" s="5"/>
    </row>
    <row r="105" spans="1:255" x14ac:dyDescent="0.2">
      <c r="A105" s="1">
        <v>4</v>
      </c>
      <c r="B105" s="1">
        <v>1</v>
      </c>
      <c r="C105" s="1"/>
      <c r="D105" s="1">
        <f>ROW(A112)</f>
        <v>112</v>
      </c>
      <c r="E105" s="1"/>
      <c r="F105" s="1" t="s">
        <v>14</v>
      </c>
      <c r="G105" s="1" t="s">
        <v>179</v>
      </c>
      <c r="H105" s="1" t="s">
        <v>3</v>
      </c>
      <c r="I105" s="1">
        <v>0</v>
      </c>
      <c r="J105" s="1"/>
      <c r="K105" s="1">
        <v>0</v>
      </c>
      <c r="L105" s="1"/>
      <c r="M105" s="1"/>
      <c r="N105" s="1"/>
      <c r="O105" s="1"/>
      <c r="P105" s="1"/>
      <c r="Q105" s="1"/>
      <c r="R105" s="1"/>
      <c r="S105" s="1"/>
      <c r="T105" s="1"/>
      <c r="U105" s="1" t="s">
        <v>3</v>
      </c>
      <c r="V105" s="1">
        <v>0</v>
      </c>
      <c r="W105" s="1"/>
      <c r="X105" s="1"/>
      <c r="Y105" s="1"/>
      <c r="Z105" s="1"/>
      <c r="AA105" s="1"/>
      <c r="AB105" s="1" t="s">
        <v>3</v>
      </c>
      <c r="AC105" s="1" t="s">
        <v>3</v>
      </c>
      <c r="AD105" s="1" t="s">
        <v>3</v>
      </c>
      <c r="AE105" s="1" t="s">
        <v>3</v>
      </c>
      <c r="AF105" s="1" t="s">
        <v>3</v>
      </c>
      <c r="AG105" s="1" t="s">
        <v>3</v>
      </c>
      <c r="AH105" s="1"/>
      <c r="AI105" s="1"/>
      <c r="AJ105" s="1"/>
      <c r="AK105" s="1"/>
      <c r="AL105" s="1"/>
      <c r="AM105" s="1"/>
      <c r="AN105" s="1"/>
      <c r="AO105" s="1"/>
      <c r="AP105" s="1" t="s">
        <v>3</v>
      </c>
      <c r="AQ105" s="1" t="s">
        <v>3</v>
      </c>
      <c r="AR105" s="1" t="s">
        <v>3</v>
      </c>
      <c r="AS105" s="1"/>
      <c r="AT105" s="1"/>
      <c r="AU105" s="1"/>
      <c r="AV105" s="1"/>
      <c r="AW105" s="1"/>
      <c r="AX105" s="1"/>
      <c r="AY105" s="1"/>
      <c r="AZ105" s="1" t="s">
        <v>3</v>
      </c>
      <c r="BA105" s="1"/>
      <c r="BB105" s="1" t="s">
        <v>3</v>
      </c>
      <c r="BC105" s="1" t="s">
        <v>3</v>
      </c>
      <c r="BD105" s="1" t="s">
        <v>3</v>
      </c>
      <c r="BE105" s="1" t="s">
        <v>3</v>
      </c>
      <c r="BF105" s="1" t="s">
        <v>3</v>
      </c>
      <c r="BG105" s="1" t="s">
        <v>3</v>
      </c>
      <c r="BH105" s="1" t="s">
        <v>3</v>
      </c>
      <c r="BI105" s="1" t="s">
        <v>3</v>
      </c>
      <c r="BJ105" s="1" t="s">
        <v>3</v>
      </c>
      <c r="BK105" s="1" t="s">
        <v>3</v>
      </c>
      <c r="BL105" s="1" t="s">
        <v>3</v>
      </c>
      <c r="BM105" s="1" t="s">
        <v>3</v>
      </c>
      <c r="BN105" s="1" t="s">
        <v>3</v>
      </c>
      <c r="BO105" s="1" t="s">
        <v>3</v>
      </c>
      <c r="BP105" s="1" t="s">
        <v>3</v>
      </c>
      <c r="BQ105" s="1"/>
      <c r="BR105" s="1"/>
      <c r="BS105" s="1"/>
      <c r="BT105" s="1"/>
      <c r="BU105" s="1"/>
      <c r="BV105" s="1"/>
      <c r="BW105" s="1"/>
      <c r="BX105" s="1">
        <v>0</v>
      </c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>
        <v>0</v>
      </c>
    </row>
    <row r="107" spans="1:255" x14ac:dyDescent="0.2">
      <c r="A107" s="3">
        <v>52</v>
      </c>
      <c r="B107" s="3">
        <f t="shared" ref="B107:G107" si="85">B112</f>
        <v>1</v>
      </c>
      <c r="C107" s="3">
        <f t="shared" si="85"/>
        <v>4</v>
      </c>
      <c r="D107" s="3">
        <f t="shared" si="85"/>
        <v>105</v>
      </c>
      <c r="E107" s="3">
        <f t="shared" si="85"/>
        <v>0</v>
      </c>
      <c r="F107" s="3" t="str">
        <f t="shared" si="85"/>
        <v>Новый раздел</v>
      </c>
      <c r="G107" s="3" t="str">
        <f t="shared" si="85"/>
        <v>Пусконаладочные работы</v>
      </c>
      <c r="H107" s="3"/>
      <c r="I107" s="3"/>
      <c r="J107" s="3"/>
      <c r="K107" s="3"/>
      <c r="L107" s="3"/>
      <c r="M107" s="3"/>
      <c r="N107" s="3"/>
      <c r="O107" s="3">
        <f t="shared" ref="O107:AT107" si="86">O112</f>
        <v>869.3</v>
      </c>
      <c r="P107" s="3">
        <f t="shared" si="86"/>
        <v>0</v>
      </c>
      <c r="Q107" s="3">
        <f t="shared" si="86"/>
        <v>0</v>
      </c>
      <c r="R107" s="3">
        <f t="shared" si="86"/>
        <v>0</v>
      </c>
      <c r="S107" s="3">
        <f t="shared" si="86"/>
        <v>869.3</v>
      </c>
      <c r="T107" s="3">
        <f t="shared" si="86"/>
        <v>0</v>
      </c>
      <c r="U107" s="3">
        <f t="shared" si="86"/>
        <v>44.800000000000004</v>
      </c>
      <c r="V107" s="3">
        <f t="shared" si="86"/>
        <v>0</v>
      </c>
      <c r="W107" s="3">
        <f t="shared" si="86"/>
        <v>0</v>
      </c>
      <c r="X107" s="3">
        <f t="shared" si="86"/>
        <v>651.98</v>
      </c>
      <c r="Y107" s="3">
        <f t="shared" si="86"/>
        <v>608.51</v>
      </c>
      <c r="Z107" s="3">
        <f t="shared" si="86"/>
        <v>0</v>
      </c>
      <c r="AA107" s="3">
        <f t="shared" si="86"/>
        <v>0</v>
      </c>
      <c r="AB107" s="3">
        <f t="shared" si="86"/>
        <v>869.3</v>
      </c>
      <c r="AC107" s="3">
        <f t="shared" si="86"/>
        <v>0</v>
      </c>
      <c r="AD107" s="3">
        <f t="shared" si="86"/>
        <v>0</v>
      </c>
      <c r="AE107" s="3">
        <f t="shared" si="86"/>
        <v>0</v>
      </c>
      <c r="AF107" s="3">
        <f t="shared" si="86"/>
        <v>869.3</v>
      </c>
      <c r="AG107" s="3">
        <f t="shared" si="86"/>
        <v>0</v>
      </c>
      <c r="AH107" s="3">
        <f t="shared" si="86"/>
        <v>44.800000000000004</v>
      </c>
      <c r="AI107" s="3">
        <f t="shared" si="86"/>
        <v>0</v>
      </c>
      <c r="AJ107" s="3">
        <f t="shared" si="86"/>
        <v>0</v>
      </c>
      <c r="AK107" s="3">
        <f t="shared" si="86"/>
        <v>651.98</v>
      </c>
      <c r="AL107" s="3">
        <f t="shared" si="86"/>
        <v>608.51</v>
      </c>
      <c r="AM107" s="3">
        <f t="shared" si="86"/>
        <v>0</v>
      </c>
      <c r="AN107" s="3">
        <f t="shared" si="86"/>
        <v>0</v>
      </c>
      <c r="AO107" s="3">
        <f t="shared" si="86"/>
        <v>0</v>
      </c>
      <c r="AP107" s="3">
        <f t="shared" si="86"/>
        <v>0</v>
      </c>
      <c r="AQ107" s="3">
        <f t="shared" si="86"/>
        <v>0</v>
      </c>
      <c r="AR107" s="3">
        <f t="shared" si="86"/>
        <v>2129.79</v>
      </c>
      <c r="AS107" s="3">
        <f t="shared" si="86"/>
        <v>0</v>
      </c>
      <c r="AT107" s="3">
        <f t="shared" si="86"/>
        <v>0</v>
      </c>
      <c r="AU107" s="3">
        <f t="shared" ref="AU107:BZ107" si="87">AU112</f>
        <v>2129.79</v>
      </c>
      <c r="AV107" s="3">
        <f t="shared" si="87"/>
        <v>0</v>
      </c>
      <c r="AW107" s="3">
        <f t="shared" si="87"/>
        <v>0</v>
      </c>
      <c r="AX107" s="3">
        <f t="shared" si="87"/>
        <v>0</v>
      </c>
      <c r="AY107" s="3">
        <f t="shared" si="87"/>
        <v>0</v>
      </c>
      <c r="AZ107" s="3">
        <f t="shared" si="87"/>
        <v>0</v>
      </c>
      <c r="BA107" s="3">
        <f t="shared" si="87"/>
        <v>0</v>
      </c>
      <c r="BB107" s="3">
        <f t="shared" si="87"/>
        <v>0</v>
      </c>
      <c r="BC107" s="3">
        <f t="shared" si="87"/>
        <v>0</v>
      </c>
      <c r="BD107" s="3">
        <f t="shared" si="87"/>
        <v>0</v>
      </c>
      <c r="BE107" s="3">
        <f t="shared" si="87"/>
        <v>0</v>
      </c>
      <c r="BF107" s="3">
        <f t="shared" si="87"/>
        <v>0</v>
      </c>
      <c r="BG107" s="3">
        <f t="shared" si="87"/>
        <v>0</v>
      </c>
      <c r="BH107" s="3">
        <f t="shared" si="87"/>
        <v>0</v>
      </c>
      <c r="BI107" s="3">
        <f t="shared" si="87"/>
        <v>0</v>
      </c>
      <c r="BJ107" s="3">
        <f t="shared" si="87"/>
        <v>0</v>
      </c>
      <c r="BK107" s="3">
        <f t="shared" si="87"/>
        <v>0</v>
      </c>
      <c r="BL107" s="3">
        <f t="shared" si="87"/>
        <v>0</v>
      </c>
      <c r="BM107" s="3">
        <f t="shared" si="87"/>
        <v>0</v>
      </c>
      <c r="BN107" s="3">
        <f t="shared" si="87"/>
        <v>0</v>
      </c>
      <c r="BO107" s="3">
        <f t="shared" si="87"/>
        <v>0</v>
      </c>
      <c r="BP107" s="3">
        <f t="shared" si="87"/>
        <v>0</v>
      </c>
      <c r="BQ107" s="3">
        <f t="shared" si="87"/>
        <v>0</v>
      </c>
      <c r="BR107" s="3">
        <f t="shared" si="87"/>
        <v>0</v>
      </c>
      <c r="BS107" s="3">
        <f t="shared" si="87"/>
        <v>0</v>
      </c>
      <c r="BT107" s="3">
        <f t="shared" si="87"/>
        <v>0</v>
      </c>
      <c r="BU107" s="3">
        <f t="shared" si="87"/>
        <v>0</v>
      </c>
      <c r="BV107" s="3">
        <f t="shared" si="87"/>
        <v>0</v>
      </c>
      <c r="BW107" s="3">
        <f t="shared" si="87"/>
        <v>0</v>
      </c>
      <c r="BX107" s="3">
        <f t="shared" si="87"/>
        <v>0</v>
      </c>
      <c r="BY107" s="3">
        <f t="shared" si="87"/>
        <v>0</v>
      </c>
      <c r="BZ107" s="3">
        <f t="shared" si="87"/>
        <v>0</v>
      </c>
      <c r="CA107" s="3">
        <f t="shared" ref="CA107:DF107" si="88">CA112</f>
        <v>2129.79</v>
      </c>
      <c r="CB107" s="3">
        <f t="shared" si="88"/>
        <v>0</v>
      </c>
      <c r="CC107" s="3">
        <f t="shared" si="88"/>
        <v>0</v>
      </c>
      <c r="CD107" s="3">
        <f t="shared" si="88"/>
        <v>2129.79</v>
      </c>
      <c r="CE107" s="3">
        <f t="shared" si="88"/>
        <v>0</v>
      </c>
      <c r="CF107" s="3">
        <f t="shared" si="88"/>
        <v>0</v>
      </c>
      <c r="CG107" s="3">
        <f t="shared" si="88"/>
        <v>0</v>
      </c>
      <c r="CH107" s="3">
        <f t="shared" si="88"/>
        <v>0</v>
      </c>
      <c r="CI107" s="3">
        <f t="shared" si="88"/>
        <v>0</v>
      </c>
      <c r="CJ107" s="3">
        <f t="shared" si="88"/>
        <v>0</v>
      </c>
      <c r="CK107" s="3">
        <f t="shared" si="88"/>
        <v>0</v>
      </c>
      <c r="CL107" s="3">
        <f t="shared" si="88"/>
        <v>0</v>
      </c>
      <c r="CM107" s="3">
        <f t="shared" si="88"/>
        <v>0</v>
      </c>
      <c r="CN107" s="3">
        <f t="shared" si="88"/>
        <v>0</v>
      </c>
      <c r="CO107" s="3">
        <f t="shared" si="88"/>
        <v>0</v>
      </c>
      <c r="CP107" s="3">
        <f t="shared" si="88"/>
        <v>0</v>
      </c>
      <c r="CQ107" s="3">
        <f t="shared" si="88"/>
        <v>0</v>
      </c>
      <c r="CR107" s="3">
        <f t="shared" si="88"/>
        <v>0</v>
      </c>
      <c r="CS107" s="3">
        <f t="shared" si="88"/>
        <v>0</v>
      </c>
      <c r="CT107" s="3">
        <f t="shared" si="88"/>
        <v>0</v>
      </c>
      <c r="CU107" s="3">
        <f t="shared" si="88"/>
        <v>0</v>
      </c>
      <c r="CV107" s="3">
        <f t="shared" si="88"/>
        <v>0</v>
      </c>
      <c r="CW107" s="3">
        <f t="shared" si="88"/>
        <v>0</v>
      </c>
      <c r="CX107" s="3">
        <f t="shared" si="88"/>
        <v>0</v>
      </c>
      <c r="CY107" s="3">
        <f t="shared" si="88"/>
        <v>0</v>
      </c>
      <c r="CZ107" s="3">
        <f t="shared" si="88"/>
        <v>0</v>
      </c>
      <c r="DA107" s="3">
        <f t="shared" si="88"/>
        <v>0</v>
      </c>
      <c r="DB107" s="3">
        <f t="shared" si="88"/>
        <v>0</v>
      </c>
      <c r="DC107" s="3">
        <f t="shared" si="88"/>
        <v>0</v>
      </c>
      <c r="DD107" s="3">
        <f t="shared" si="88"/>
        <v>0</v>
      </c>
      <c r="DE107" s="3">
        <f t="shared" si="88"/>
        <v>0</v>
      </c>
      <c r="DF107" s="3">
        <f t="shared" si="88"/>
        <v>0</v>
      </c>
      <c r="DG107" s="4">
        <f t="shared" ref="DG107:EL107" si="89">DG112</f>
        <v>18855.03</v>
      </c>
      <c r="DH107" s="4">
        <f t="shared" si="89"/>
        <v>0</v>
      </c>
      <c r="DI107" s="4">
        <f t="shared" si="89"/>
        <v>0</v>
      </c>
      <c r="DJ107" s="4">
        <f t="shared" si="89"/>
        <v>0</v>
      </c>
      <c r="DK107" s="4">
        <f t="shared" si="89"/>
        <v>18855.03</v>
      </c>
      <c r="DL107" s="4">
        <f t="shared" si="89"/>
        <v>0</v>
      </c>
      <c r="DM107" s="4">
        <f t="shared" si="89"/>
        <v>44.800000000000004</v>
      </c>
      <c r="DN107" s="4">
        <f t="shared" si="89"/>
        <v>0</v>
      </c>
      <c r="DO107" s="4">
        <f t="shared" si="89"/>
        <v>0</v>
      </c>
      <c r="DP107" s="4">
        <f t="shared" si="89"/>
        <v>12821.42</v>
      </c>
      <c r="DQ107" s="4">
        <f t="shared" si="89"/>
        <v>7730.56</v>
      </c>
      <c r="DR107" s="4">
        <f t="shared" si="89"/>
        <v>0</v>
      </c>
      <c r="DS107" s="4">
        <f t="shared" si="89"/>
        <v>0</v>
      </c>
      <c r="DT107" s="4">
        <f t="shared" si="89"/>
        <v>18855.03</v>
      </c>
      <c r="DU107" s="4">
        <f t="shared" si="89"/>
        <v>0</v>
      </c>
      <c r="DV107" s="4">
        <f t="shared" si="89"/>
        <v>0</v>
      </c>
      <c r="DW107" s="4">
        <f t="shared" si="89"/>
        <v>0</v>
      </c>
      <c r="DX107" s="4">
        <f t="shared" si="89"/>
        <v>18855.03</v>
      </c>
      <c r="DY107" s="4">
        <f t="shared" si="89"/>
        <v>0</v>
      </c>
      <c r="DZ107" s="4">
        <f t="shared" si="89"/>
        <v>44.800000000000004</v>
      </c>
      <c r="EA107" s="4">
        <f t="shared" si="89"/>
        <v>0</v>
      </c>
      <c r="EB107" s="4">
        <f t="shared" si="89"/>
        <v>0</v>
      </c>
      <c r="EC107" s="4">
        <f t="shared" si="89"/>
        <v>12821.42</v>
      </c>
      <c r="ED107" s="4">
        <f t="shared" si="89"/>
        <v>7730.56</v>
      </c>
      <c r="EE107" s="4">
        <f t="shared" si="89"/>
        <v>0</v>
      </c>
      <c r="EF107" s="4">
        <f t="shared" si="89"/>
        <v>0</v>
      </c>
      <c r="EG107" s="4">
        <f t="shared" si="89"/>
        <v>0</v>
      </c>
      <c r="EH107" s="4">
        <f t="shared" si="89"/>
        <v>0</v>
      </c>
      <c r="EI107" s="4">
        <f t="shared" si="89"/>
        <v>0</v>
      </c>
      <c r="EJ107" s="4">
        <f t="shared" si="89"/>
        <v>39407.01</v>
      </c>
      <c r="EK107" s="4">
        <f t="shared" si="89"/>
        <v>0</v>
      </c>
      <c r="EL107" s="4">
        <f t="shared" si="89"/>
        <v>0</v>
      </c>
      <c r="EM107" s="4">
        <f t="shared" ref="EM107:FR107" si="90">EM112</f>
        <v>39407.01</v>
      </c>
      <c r="EN107" s="4">
        <f t="shared" si="90"/>
        <v>0</v>
      </c>
      <c r="EO107" s="4">
        <f t="shared" si="90"/>
        <v>0</v>
      </c>
      <c r="EP107" s="4">
        <f t="shared" si="90"/>
        <v>0</v>
      </c>
      <c r="EQ107" s="4">
        <f t="shared" si="90"/>
        <v>0</v>
      </c>
      <c r="ER107" s="4">
        <f t="shared" si="90"/>
        <v>0</v>
      </c>
      <c r="ES107" s="4">
        <f t="shared" si="90"/>
        <v>0</v>
      </c>
      <c r="ET107" s="4">
        <f t="shared" si="90"/>
        <v>0</v>
      </c>
      <c r="EU107" s="4">
        <f t="shared" si="90"/>
        <v>0</v>
      </c>
      <c r="EV107" s="4">
        <f t="shared" si="90"/>
        <v>0</v>
      </c>
      <c r="EW107" s="4">
        <f t="shared" si="90"/>
        <v>0</v>
      </c>
      <c r="EX107" s="4">
        <f t="shared" si="90"/>
        <v>0</v>
      </c>
      <c r="EY107" s="4">
        <f t="shared" si="90"/>
        <v>0</v>
      </c>
      <c r="EZ107" s="4">
        <f t="shared" si="90"/>
        <v>0</v>
      </c>
      <c r="FA107" s="4">
        <f t="shared" si="90"/>
        <v>0</v>
      </c>
      <c r="FB107" s="4">
        <f t="shared" si="90"/>
        <v>0</v>
      </c>
      <c r="FC107" s="4">
        <f t="shared" si="90"/>
        <v>0</v>
      </c>
      <c r="FD107" s="4">
        <f t="shared" si="90"/>
        <v>0</v>
      </c>
      <c r="FE107" s="4">
        <f t="shared" si="90"/>
        <v>0</v>
      </c>
      <c r="FF107" s="4">
        <f t="shared" si="90"/>
        <v>0</v>
      </c>
      <c r="FG107" s="4">
        <f t="shared" si="90"/>
        <v>0</v>
      </c>
      <c r="FH107" s="4">
        <f t="shared" si="90"/>
        <v>0</v>
      </c>
      <c r="FI107" s="4">
        <f t="shared" si="90"/>
        <v>0</v>
      </c>
      <c r="FJ107" s="4">
        <f t="shared" si="90"/>
        <v>0</v>
      </c>
      <c r="FK107" s="4">
        <f t="shared" si="90"/>
        <v>0</v>
      </c>
      <c r="FL107" s="4">
        <f t="shared" si="90"/>
        <v>0</v>
      </c>
      <c r="FM107" s="4">
        <f t="shared" si="90"/>
        <v>0</v>
      </c>
      <c r="FN107" s="4">
        <f t="shared" si="90"/>
        <v>0</v>
      </c>
      <c r="FO107" s="4">
        <f t="shared" si="90"/>
        <v>0</v>
      </c>
      <c r="FP107" s="4">
        <f t="shared" si="90"/>
        <v>0</v>
      </c>
      <c r="FQ107" s="4">
        <f t="shared" si="90"/>
        <v>0</v>
      </c>
      <c r="FR107" s="4">
        <f t="shared" si="90"/>
        <v>0</v>
      </c>
      <c r="FS107" s="4">
        <f t="shared" ref="FS107:GX107" si="91">FS112</f>
        <v>39407.01</v>
      </c>
      <c r="FT107" s="4">
        <f t="shared" si="91"/>
        <v>0</v>
      </c>
      <c r="FU107" s="4">
        <f t="shared" si="91"/>
        <v>0</v>
      </c>
      <c r="FV107" s="4">
        <f t="shared" si="91"/>
        <v>39407.01</v>
      </c>
      <c r="FW107" s="4">
        <f t="shared" si="91"/>
        <v>0</v>
      </c>
      <c r="FX107" s="4">
        <f t="shared" si="91"/>
        <v>0</v>
      </c>
      <c r="FY107" s="4">
        <f t="shared" si="91"/>
        <v>0</v>
      </c>
      <c r="FZ107" s="4">
        <f t="shared" si="91"/>
        <v>0</v>
      </c>
      <c r="GA107" s="4">
        <f t="shared" si="91"/>
        <v>0</v>
      </c>
      <c r="GB107" s="4">
        <f t="shared" si="91"/>
        <v>0</v>
      </c>
      <c r="GC107" s="4">
        <f t="shared" si="91"/>
        <v>0</v>
      </c>
      <c r="GD107" s="4">
        <f t="shared" si="91"/>
        <v>0</v>
      </c>
      <c r="GE107" s="4">
        <f t="shared" si="91"/>
        <v>0</v>
      </c>
      <c r="GF107" s="4">
        <f t="shared" si="91"/>
        <v>0</v>
      </c>
      <c r="GG107" s="4">
        <f t="shared" si="91"/>
        <v>0</v>
      </c>
      <c r="GH107" s="4">
        <f t="shared" si="91"/>
        <v>0</v>
      </c>
      <c r="GI107" s="4">
        <f t="shared" si="91"/>
        <v>0</v>
      </c>
      <c r="GJ107" s="4">
        <f t="shared" si="91"/>
        <v>0</v>
      </c>
      <c r="GK107" s="4">
        <f t="shared" si="91"/>
        <v>0</v>
      </c>
      <c r="GL107" s="4">
        <f t="shared" si="91"/>
        <v>0</v>
      </c>
      <c r="GM107" s="4">
        <f t="shared" si="91"/>
        <v>0</v>
      </c>
      <c r="GN107" s="4">
        <f t="shared" si="91"/>
        <v>0</v>
      </c>
      <c r="GO107" s="4">
        <f t="shared" si="91"/>
        <v>0</v>
      </c>
      <c r="GP107" s="4">
        <f t="shared" si="91"/>
        <v>0</v>
      </c>
      <c r="GQ107" s="4">
        <f t="shared" si="91"/>
        <v>0</v>
      </c>
      <c r="GR107" s="4">
        <f t="shared" si="91"/>
        <v>0</v>
      </c>
      <c r="GS107" s="4">
        <f t="shared" si="91"/>
        <v>0</v>
      </c>
      <c r="GT107" s="4">
        <f t="shared" si="91"/>
        <v>0</v>
      </c>
      <c r="GU107" s="4">
        <f t="shared" si="91"/>
        <v>0</v>
      </c>
      <c r="GV107" s="4">
        <f t="shared" si="91"/>
        <v>0</v>
      </c>
      <c r="GW107" s="4">
        <f t="shared" si="91"/>
        <v>0</v>
      </c>
      <c r="GX107" s="4">
        <f t="shared" si="91"/>
        <v>0</v>
      </c>
    </row>
    <row r="109" spans="1:255" x14ac:dyDescent="0.2">
      <c r="A109" s="2">
        <v>17</v>
      </c>
      <c r="B109" s="2">
        <v>1</v>
      </c>
      <c r="C109" s="2">
        <f>ROW(SmtRes!A47)</f>
        <v>47</v>
      </c>
      <c r="D109" s="2">
        <f>ROW(EtalonRes!A39)</f>
        <v>39</v>
      </c>
      <c r="E109" s="2" t="s">
        <v>180</v>
      </c>
      <c r="F109" s="2" t="s">
        <v>181</v>
      </c>
      <c r="G109" s="2" t="s">
        <v>182</v>
      </c>
      <c r="H109" s="2" t="s">
        <v>183</v>
      </c>
      <c r="I109" s="2">
        <v>1</v>
      </c>
      <c r="J109" s="2">
        <v>0</v>
      </c>
      <c r="K109" s="2"/>
      <c r="L109" s="2"/>
      <c r="M109" s="2"/>
      <c r="N109" s="2"/>
      <c r="O109" s="2">
        <f>ROUND(CP109,2)</f>
        <v>869.3</v>
      </c>
      <c r="P109" s="2">
        <f>ROUND(CQ109*I109,2)</f>
        <v>0</v>
      </c>
      <c r="Q109" s="2">
        <f>ROUND(CR109*I109,2)</f>
        <v>0</v>
      </c>
      <c r="R109" s="2">
        <f>ROUND(CS109*I109,2)</f>
        <v>0</v>
      </c>
      <c r="S109" s="2">
        <f>ROUND(CT109*I109,2)</f>
        <v>869.3</v>
      </c>
      <c r="T109" s="2">
        <f>ROUND(CU109*I109,2)</f>
        <v>0</v>
      </c>
      <c r="U109" s="2">
        <f>CV109*I109</f>
        <v>44.800000000000004</v>
      </c>
      <c r="V109" s="2">
        <f>CW109*I109</f>
        <v>0</v>
      </c>
      <c r="W109" s="2">
        <f>ROUND(CX109*I109,2)</f>
        <v>0</v>
      </c>
      <c r="X109" s="2">
        <f>ROUND(CY109,2)</f>
        <v>651.98</v>
      </c>
      <c r="Y109" s="2">
        <f>ROUND(CZ109,2)</f>
        <v>608.51</v>
      </c>
      <c r="Z109" s="2"/>
      <c r="AA109" s="2">
        <v>42119681</v>
      </c>
      <c r="AB109" s="2">
        <f>ROUND((AC109+AD109+AF109),6)</f>
        <v>869.29600000000005</v>
      </c>
      <c r="AC109" s="2">
        <f>ROUND((ES109),6)</f>
        <v>0</v>
      </c>
      <c r="AD109" s="2">
        <f>ROUND((((ET109)-(EU109))+AE109),6)</f>
        <v>0</v>
      </c>
      <c r="AE109" s="2">
        <f>ROUND((EU109),6)</f>
        <v>0</v>
      </c>
      <c r="AF109" s="2">
        <f>ROUND(((EV109*0.8)),6)</f>
        <v>869.29600000000005</v>
      </c>
      <c r="AG109" s="2">
        <f>ROUND((AP109),6)</f>
        <v>0</v>
      </c>
      <c r="AH109" s="2">
        <f>((EW109*0.8))</f>
        <v>44.800000000000004</v>
      </c>
      <c r="AI109" s="2">
        <f>(EX109)</f>
        <v>0</v>
      </c>
      <c r="AJ109" s="2">
        <f>(AS109)</f>
        <v>0</v>
      </c>
      <c r="AK109" s="2">
        <v>1086.6199999999999</v>
      </c>
      <c r="AL109" s="2">
        <v>0</v>
      </c>
      <c r="AM109" s="2">
        <v>0</v>
      </c>
      <c r="AN109" s="2">
        <v>0</v>
      </c>
      <c r="AO109" s="2">
        <v>1086.6199999999999</v>
      </c>
      <c r="AP109" s="2">
        <v>0</v>
      </c>
      <c r="AQ109" s="2">
        <v>56</v>
      </c>
      <c r="AR109" s="2">
        <v>0</v>
      </c>
      <c r="AS109" s="2">
        <v>0</v>
      </c>
      <c r="AT109" s="2">
        <v>75</v>
      </c>
      <c r="AU109" s="2">
        <v>70</v>
      </c>
      <c r="AV109" s="2">
        <v>1</v>
      </c>
      <c r="AW109" s="2">
        <v>1</v>
      </c>
      <c r="AX109" s="2"/>
      <c r="AY109" s="2"/>
      <c r="AZ109" s="2">
        <v>1</v>
      </c>
      <c r="BA109" s="2">
        <v>1</v>
      </c>
      <c r="BB109" s="2">
        <v>1</v>
      </c>
      <c r="BC109" s="2">
        <v>1</v>
      </c>
      <c r="BD109" s="2" t="s">
        <v>3</v>
      </c>
      <c r="BE109" s="2" t="s">
        <v>3</v>
      </c>
      <c r="BF109" s="2" t="s">
        <v>3</v>
      </c>
      <c r="BG109" s="2" t="s">
        <v>3</v>
      </c>
      <c r="BH109" s="2">
        <v>0</v>
      </c>
      <c r="BI109" s="2">
        <v>4</v>
      </c>
      <c r="BJ109" s="2" t="s">
        <v>184</v>
      </c>
      <c r="BK109" s="2"/>
      <c r="BL109" s="2"/>
      <c r="BM109" s="2">
        <v>382</v>
      </c>
      <c r="BN109" s="2">
        <v>0</v>
      </c>
      <c r="BO109" s="2" t="s">
        <v>3</v>
      </c>
      <c r="BP109" s="2">
        <v>0</v>
      </c>
      <c r="BQ109" s="2">
        <v>50</v>
      </c>
      <c r="BR109" s="2">
        <v>0</v>
      </c>
      <c r="BS109" s="2">
        <v>1</v>
      </c>
      <c r="BT109" s="2">
        <v>1</v>
      </c>
      <c r="BU109" s="2">
        <v>1</v>
      </c>
      <c r="BV109" s="2">
        <v>1</v>
      </c>
      <c r="BW109" s="2">
        <v>1</v>
      </c>
      <c r="BX109" s="2">
        <v>1</v>
      </c>
      <c r="BY109" s="2" t="s">
        <v>3</v>
      </c>
      <c r="BZ109" s="2">
        <v>75</v>
      </c>
      <c r="CA109" s="2">
        <v>70</v>
      </c>
      <c r="CB109" s="2"/>
      <c r="CC109" s="2"/>
      <c r="CD109" s="2"/>
      <c r="CE109" s="2">
        <v>0</v>
      </c>
      <c r="CF109" s="2">
        <v>0</v>
      </c>
      <c r="CG109" s="2">
        <v>0</v>
      </c>
      <c r="CH109" s="2"/>
      <c r="CI109" s="2"/>
      <c r="CJ109" s="2"/>
      <c r="CK109" s="2"/>
      <c r="CL109" s="2"/>
      <c r="CM109" s="2">
        <v>0</v>
      </c>
      <c r="CN109" s="2" t="s">
        <v>226</v>
      </c>
      <c r="CO109" s="2">
        <v>0</v>
      </c>
      <c r="CP109" s="2">
        <f>(P109+Q109+S109)</f>
        <v>869.3</v>
      </c>
      <c r="CQ109" s="2">
        <f>(AC109*BC109*AW109)</f>
        <v>0</v>
      </c>
      <c r="CR109" s="2">
        <f>((((ET109)*BB109-(EU109)*BS109)+AE109*BS109)*AV109)</f>
        <v>0</v>
      </c>
      <c r="CS109" s="2">
        <f>(AE109*BS109*AV109)</f>
        <v>0</v>
      </c>
      <c r="CT109" s="2">
        <f>(AF109*BA109*AV109)</f>
        <v>869.29600000000005</v>
      </c>
      <c r="CU109" s="2">
        <f>AG109</f>
        <v>0</v>
      </c>
      <c r="CV109" s="2">
        <f>(AH109*AV109)</f>
        <v>44.800000000000004</v>
      </c>
      <c r="CW109" s="2">
        <f>AI109</f>
        <v>0</v>
      </c>
      <c r="CX109" s="2">
        <f>AJ109</f>
        <v>0</v>
      </c>
      <c r="CY109" s="2">
        <f>((S109*BZ109)/100)</f>
        <v>651.97500000000002</v>
      </c>
      <c r="CZ109" s="2">
        <f>((S109*CA109)/100)</f>
        <v>608.51</v>
      </c>
      <c r="DA109" s="2"/>
      <c r="DB109" s="2"/>
      <c r="DC109" s="2" t="s">
        <v>3</v>
      </c>
      <c r="DD109" s="2" t="s">
        <v>3</v>
      </c>
      <c r="DE109" s="2" t="s">
        <v>3</v>
      </c>
      <c r="DF109" s="2" t="s">
        <v>3</v>
      </c>
      <c r="DG109" s="2" t="s">
        <v>185</v>
      </c>
      <c r="DH109" s="2" t="s">
        <v>3</v>
      </c>
      <c r="DI109" s="2" t="s">
        <v>185</v>
      </c>
      <c r="DJ109" s="2" t="s">
        <v>3</v>
      </c>
      <c r="DK109" s="2" t="s">
        <v>3</v>
      </c>
      <c r="DL109" s="2" t="s">
        <v>3</v>
      </c>
      <c r="DM109" s="2" t="s">
        <v>3</v>
      </c>
      <c r="DN109" s="2">
        <v>0</v>
      </c>
      <c r="DO109" s="2">
        <v>0</v>
      </c>
      <c r="DP109" s="2">
        <v>1</v>
      </c>
      <c r="DQ109" s="2">
        <v>1</v>
      </c>
      <c r="DR109" s="2"/>
      <c r="DS109" s="2"/>
      <c r="DT109" s="2"/>
      <c r="DU109" s="2">
        <v>1013</v>
      </c>
      <c r="DV109" s="2" t="s">
        <v>183</v>
      </c>
      <c r="DW109" s="2" t="s">
        <v>183</v>
      </c>
      <c r="DX109" s="2">
        <v>1</v>
      </c>
      <c r="DY109" s="2"/>
      <c r="DZ109" s="2"/>
      <c r="EA109" s="2"/>
      <c r="EB109" s="2"/>
      <c r="EC109" s="2"/>
      <c r="ED109" s="2"/>
      <c r="EE109" s="2">
        <v>41393111</v>
      </c>
      <c r="EF109" s="2">
        <v>50</v>
      </c>
      <c r="EG109" s="2" t="s">
        <v>179</v>
      </c>
      <c r="EH109" s="2">
        <v>0</v>
      </c>
      <c r="EI109" s="2" t="s">
        <v>3</v>
      </c>
      <c r="EJ109" s="2">
        <v>4</v>
      </c>
      <c r="EK109" s="2">
        <v>382</v>
      </c>
      <c r="EL109" s="2" t="s">
        <v>186</v>
      </c>
      <c r="EM109" s="2" t="s">
        <v>187</v>
      </c>
      <c r="EN109" s="2"/>
      <c r="EO109" s="2" t="s">
        <v>188</v>
      </c>
      <c r="EP109" s="2"/>
      <c r="EQ109" s="2">
        <v>0</v>
      </c>
      <c r="ER109" s="2">
        <v>1086.6199999999999</v>
      </c>
      <c r="ES109" s="2">
        <v>0</v>
      </c>
      <c r="ET109" s="2">
        <v>0</v>
      </c>
      <c r="EU109" s="2">
        <v>0</v>
      </c>
      <c r="EV109" s="2">
        <v>1086.6199999999999</v>
      </c>
      <c r="EW109" s="2">
        <v>56</v>
      </c>
      <c r="EX109" s="2">
        <v>0</v>
      </c>
      <c r="EY109" s="2">
        <v>0</v>
      </c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>
        <v>0</v>
      </c>
      <c r="FR109" s="2">
        <f>ROUND(IF(AND(BH109=3,BI109=3),P109,0),2)</f>
        <v>0</v>
      </c>
      <c r="FS109" s="2">
        <v>0</v>
      </c>
      <c r="FT109" s="2"/>
      <c r="FU109" s="2"/>
      <c r="FV109" s="2"/>
      <c r="FW109" s="2"/>
      <c r="FX109" s="2">
        <v>75</v>
      </c>
      <c r="FY109" s="2">
        <v>70</v>
      </c>
      <c r="FZ109" s="2"/>
      <c r="GA109" s="2" t="s">
        <v>3</v>
      </c>
      <c r="GB109" s="2"/>
      <c r="GC109" s="2"/>
      <c r="GD109" s="2">
        <v>1</v>
      </c>
      <c r="GE109" s="2"/>
      <c r="GF109" s="2">
        <v>-1711702085</v>
      </c>
      <c r="GG109" s="2">
        <v>2</v>
      </c>
      <c r="GH109" s="2">
        <v>1</v>
      </c>
      <c r="GI109" s="2">
        <v>-2</v>
      </c>
      <c r="GJ109" s="2">
        <v>0</v>
      </c>
      <c r="GK109" s="2">
        <v>0</v>
      </c>
      <c r="GL109" s="2">
        <f>ROUND(IF(AND(BH109=3,BI109=3,FS109&lt;&gt;0),P109,0),2)</f>
        <v>0</v>
      </c>
      <c r="GM109" s="2">
        <f>ROUND(O109+X109+Y109,2)+GX109</f>
        <v>2129.79</v>
      </c>
      <c r="GN109" s="2">
        <f>IF(OR(BI109=0,BI109=1),ROUND(O109+X109+Y109,2),0)</f>
        <v>0</v>
      </c>
      <c r="GO109" s="2">
        <f>IF(BI109=2,ROUND(O109+X109+Y109,2),0)</f>
        <v>0</v>
      </c>
      <c r="GP109" s="2">
        <f>IF(BI109=4,ROUND(O109+X109+Y109,2)+GX109,0)</f>
        <v>2129.79</v>
      </c>
      <c r="GQ109" s="2"/>
      <c r="GR109" s="2">
        <v>0</v>
      </c>
      <c r="GS109" s="2">
        <v>3</v>
      </c>
      <c r="GT109" s="2">
        <v>0</v>
      </c>
      <c r="GU109" s="2" t="s">
        <v>3</v>
      </c>
      <c r="GV109" s="2">
        <f>ROUND((GT109),6)</f>
        <v>0</v>
      </c>
      <c r="GW109" s="2">
        <v>1</v>
      </c>
      <c r="GX109" s="2">
        <f>ROUND(HC109*I109,2)</f>
        <v>0</v>
      </c>
      <c r="GY109" s="2"/>
      <c r="GZ109" s="2"/>
      <c r="HA109" s="2">
        <v>0</v>
      </c>
      <c r="HB109" s="2">
        <v>0</v>
      </c>
      <c r="HC109" s="2">
        <f>GV109*GW109</f>
        <v>0</v>
      </c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>
        <v>0</v>
      </c>
      <c r="IL109" s="2"/>
      <c r="IM109" s="2"/>
      <c r="IN109" s="2"/>
      <c r="IO109" s="2"/>
      <c r="IP109" s="2"/>
      <c r="IQ109" s="2"/>
      <c r="IR109" s="2"/>
      <c r="IS109" s="2"/>
      <c r="IT109" s="2"/>
      <c r="IU109" s="2"/>
    </row>
    <row r="110" spans="1:255" x14ac:dyDescent="0.2">
      <c r="A110">
        <v>17</v>
      </c>
      <c r="B110">
        <v>1</v>
      </c>
      <c r="C110">
        <f>ROW(SmtRes!A48)</f>
        <v>48</v>
      </c>
      <c r="D110">
        <f>ROW(EtalonRes!A40)</f>
        <v>40</v>
      </c>
      <c r="E110" t="s">
        <v>180</v>
      </c>
      <c r="F110" t="s">
        <v>181</v>
      </c>
      <c r="G110" t="s">
        <v>182</v>
      </c>
      <c r="H110" t="s">
        <v>183</v>
      </c>
      <c r="I110">
        <v>1</v>
      </c>
      <c r="J110">
        <v>0</v>
      </c>
      <c r="O110">
        <f>ROUND(CP110,2)</f>
        <v>18855.03</v>
      </c>
      <c r="P110">
        <f>ROUND(CQ110*I110,2)</f>
        <v>0</v>
      </c>
      <c r="Q110">
        <f>ROUND(CR110*I110,2)</f>
        <v>0</v>
      </c>
      <c r="R110">
        <f>ROUND(CS110*I110,2)</f>
        <v>0</v>
      </c>
      <c r="S110">
        <f>ROUND(CT110*I110,2)</f>
        <v>18855.03</v>
      </c>
      <c r="T110">
        <f>ROUND(CU110*I110,2)</f>
        <v>0</v>
      </c>
      <c r="U110">
        <f>CV110*I110</f>
        <v>44.800000000000004</v>
      </c>
      <c r="V110">
        <f>CW110*I110</f>
        <v>0</v>
      </c>
      <c r="W110">
        <f>ROUND(CX110*I110,2)</f>
        <v>0</v>
      </c>
      <c r="X110">
        <f>ROUND(CY110,2)</f>
        <v>12821.42</v>
      </c>
      <c r="Y110">
        <f>ROUND(CZ110,2)</f>
        <v>7730.56</v>
      </c>
      <c r="AA110">
        <v>42119679</v>
      </c>
      <c r="AB110">
        <f>ROUND((AC110+AD110+AF110),6)</f>
        <v>869.29600000000005</v>
      </c>
      <c r="AC110">
        <f>ROUND((ES110),6)</f>
        <v>0</v>
      </c>
      <c r="AD110">
        <f>ROUND((((ET110)-(EU110))+AE110),6)</f>
        <v>0</v>
      </c>
      <c r="AE110">
        <f>ROUND((EU110),6)</f>
        <v>0</v>
      </c>
      <c r="AF110">
        <f>ROUND(((EV110*0.8)),6)</f>
        <v>869.29600000000005</v>
      </c>
      <c r="AG110">
        <f>ROUND((AP110),6)</f>
        <v>0</v>
      </c>
      <c r="AH110">
        <f>((EW110*0.8))</f>
        <v>44.800000000000004</v>
      </c>
      <c r="AI110">
        <f>(EX110)</f>
        <v>0</v>
      </c>
      <c r="AJ110">
        <f>(AS110)</f>
        <v>0</v>
      </c>
      <c r="AK110">
        <v>1086.6199999999999</v>
      </c>
      <c r="AL110">
        <v>0</v>
      </c>
      <c r="AM110">
        <v>0</v>
      </c>
      <c r="AN110">
        <v>0</v>
      </c>
      <c r="AO110">
        <v>1086.6199999999999</v>
      </c>
      <c r="AP110">
        <v>0</v>
      </c>
      <c r="AQ110">
        <v>56</v>
      </c>
      <c r="AR110">
        <v>0</v>
      </c>
      <c r="AS110">
        <v>0</v>
      </c>
      <c r="AT110">
        <v>68</v>
      </c>
      <c r="AU110">
        <v>41</v>
      </c>
      <c r="AV110">
        <v>1</v>
      </c>
      <c r="AW110">
        <v>1</v>
      </c>
      <c r="AZ110">
        <v>1</v>
      </c>
      <c r="BA110">
        <v>21.69</v>
      </c>
      <c r="BB110">
        <v>1</v>
      </c>
      <c r="BC110">
        <v>1</v>
      </c>
      <c r="BD110" t="s">
        <v>3</v>
      </c>
      <c r="BE110" t="s">
        <v>3</v>
      </c>
      <c r="BF110" t="s">
        <v>3</v>
      </c>
      <c r="BG110" t="s">
        <v>3</v>
      </c>
      <c r="BH110">
        <v>0</v>
      </c>
      <c r="BI110">
        <v>4</v>
      </c>
      <c r="BJ110" t="s">
        <v>184</v>
      </c>
      <c r="BM110">
        <v>382</v>
      </c>
      <c r="BN110">
        <v>0</v>
      </c>
      <c r="BO110" t="s">
        <v>3</v>
      </c>
      <c r="BP110">
        <v>0</v>
      </c>
      <c r="BQ110">
        <v>50</v>
      </c>
      <c r="BR110">
        <v>0</v>
      </c>
      <c r="BS110">
        <v>1</v>
      </c>
      <c r="BT110">
        <v>1</v>
      </c>
      <c r="BU110">
        <v>1</v>
      </c>
      <c r="BV110">
        <v>1</v>
      </c>
      <c r="BW110">
        <v>1</v>
      </c>
      <c r="BX110">
        <v>1</v>
      </c>
      <c r="BY110" t="s">
        <v>3</v>
      </c>
      <c r="BZ110">
        <v>68</v>
      </c>
      <c r="CA110">
        <v>41</v>
      </c>
      <c r="CE110">
        <v>0</v>
      </c>
      <c r="CF110">
        <v>0</v>
      </c>
      <c r="CG110">
        <v>0</v>
      </c>
      <c r="CM110">
        <v>0</v>
      </c>
      <c r="CN110" t="s">
        <v>226</v>
      </c>
      <c r="CO110">
        <v>0</v>
      </c>
      <c r="CP110">
        <f>(P110+Q110+S110)</f>
        <v>18855.03</v>
      </c>
      <c r="CQ110">
        <f>(AC110*BC110*AW110)</f>
        <v>0</v>
      </c>
      <c r="CR110">
        <f>((((ET110)*BB110-(EU110)*BS110)+AE110*BS110)*AV110)</f>
        <v>0</v>
      </c>
      <c r="CS110">
        <f>(AE110*BS110*AV110)</f>
        <v>0</v>
      </c>
      <c r="CT110">
        <f>(AF110*BA110*AV110)</f>
        <v>18855.030240000004</v>
      </c>
      <c r="CU110">
        <f>AG110</f>
        <v>0</v>
      </c>
      <c r="CV110">
        <f>(AH110*AV110)</f>
        <v>44.800000000000004</v>
      </c>
      <c r="CW110">
        <f>AI110</f>
        <v>0</v>
      </c>
      <c r="CX110">
        <f>AJ110</f>
        <v>0</v>
      </c>
      <c r="CY110">
        <f>S110*(BZ110/100)</f>
        <v>12821.420400000001</v>
      </c>
      <c r="CZ110">
        <f>S110*(CA110/100)</f>
        <v>7730.5622999999987</v>
      </c>
      <c r="DC110" t="s">
        <v>3</v>
      </c>
      <c r="DD110" t="s">
        <v>3</v>
      </c>
      <c r="DE110" t="s">
        <v>3</v>
      </c>
      <c r="DF110" t="s">
        <v>3</v>
      </c>
      <c r="DG110" t="s">
        <v>185</v>
      </c>
      <c r="DH110" t="s">
        <v>3</v>
      </c>
      <c r="DI110" t="s">
        <v>185</v>
      </c>
      <c r="DJ110" t="s">
        <v>3</v>
      </c>
      <c r="DK110" t="s">
        <v>3</v>
      </c>
      <c r="DL110" t="s">
        <v>3</v>
      </c>
      <c r="DM110" t="s">
        <v>3</v>
      </c>
      <c r="DN110">
        <v>75</v>
      </c>
      <c r="DO110">
        <v>70</v>
      </c>
      <c r="DP110">
        <v>1</v>
      </c>
      <c r="DQ110">
        <v>1</v>
      </c>
      <c r="DU110">
        <v>1013</v>
      </c>
      <c r="DV110" t="s">
        <v>183</v>
      </c>
      <c r="DW110" t="s">
        <v>183</v>
      </c>
      <c r="DX110">
        <v>1</v>
      </c>
      <c r="EE110">
        <v>41393111</v>
      </c>
      <c r="EF110">
        <v>50</v>
      </c>
      <c r="EG110" t="s">
        <v>179</v>
      </c>
      <c r="EH110">
        <v>0</v>
      </c>
      <c r="EI110" t="s">
        <v>3</v>
      </c>
      <c r="EJ110">
        <v>4</v>
      </c>
      <c r="EK110">
        <v>382</v>
      </c>
      <c r="EL110" t="s">
        <v>186</v>
      </c>
      <c r="EM110" t="s">
        <v>187</v>
      </c>
      <c r="EO110" t="s">
        <v>188</v>
      </c>
      <c r="EQ110">
        <v>0</v>
      </c>
      <c r="ER110">
        <v>1086.6199999999999</v>
      </c>
      <c r="ES110">
        <v>0</v>
      </c>
      <c r="ET110">
        <v>0</v>
      </c>
      <c r="EU110">
        <v>0</v>
      </c>
      <c r="EV110">
        <v>1086.6199999999999</v>
      </c>
      <c r="EW110">
        <v>56</v>
      </c>
      <c r="EX110">
        <v>0</v>
      </c>
      <c r="EY110">
        <v>0</v>
      </c>
      <c r="FQ110">
        <v>0</v>
      </c>
      <c r="FR110">
        <f>ROUND(IF(AND(BH110=3,BI110=3),P110,0),2)</f>
        <v>0</v>
      </c>
      <c r="FS110">
        <v>0</v>
      </c>
      <c r="FX110">
        <v>75</v>
      </c>
      <c r="FY110">
        <v>70</v>
      </c>
      <c r="GA110" t="s">
        <v>3</v>
      </c>
      <c r="GD110">
        <v>0</v>
      </c>
      <c r="GF110">
        <v>-1711702085</v>
      </c>
      <c r="GG110">
        <v>2</v>
      </c>
      <c r="GH110">
        <v>1</v>
      </c>
      <c r="GI110">
        <v>2</v>
      </c>
      <c r="GJ110">
        <v>0</v>
      </c>
      <c r="GK110">
        <f>ROUND(R110*(S12)/100,2)</f>
        <v>0</v>
      </c>
      <c r="GL110">
        <f>ROUND(IF(AND(BH110=3,BI110=3,FS110&lt;&gt;0),P110,0),2)</f>
        <v>0</v>
      </c>
      <c r="GM110">
        <f>ROUND(O110+X110+Y110+GK110,2)+GX110</f>
        <v>39407.01</v>
      </c>
      <c r="GN110">
        <f>IF(OR(BI110=0,BI110=1),ROUND(O110+X110+Y110+GK110,2),0)</f>
        <v>0</v>
      </c>
      <c r="GO110">
        <f>IF(BI110=2,ROUND(O110+X110+Y110+GK110,2),0)</f>
        <v>0</v>
      </c>
      <c r="GP110">
        <f>IF(BI110=4,ROUND(O110+X110+Y110+GK110,2)+GX110,0)</f>
        <v>39407.01</v>
      </c>
      <c r="GR110">
        <v>0</v>
      </c>
      <c r="GS110">
        <v>3</v>
      </c>
      <c r="GT110">
        <v>0</v>
      </c>
      <c r="GU110" t="s">
        <v>3</v>
      </c>
      <c r="GV110">
        <f>ROUND((GT110),6)</f>
        <v>0</v>
      </c>
      <c r="GW110">
        <v>1</v>
      </c>
      <c r="GX110">
        <f>ROUND(HC110*I110,2)</f>
        <v>0</v>
      </c>
      <c r="HA110">
        <v>0</v>
      </c>
      <c r="HB110">
        <v>0</v>
      </c>
      <c r="HC110">
        <f>GV110*GW110</f>
        <v>0</v>
      </c>
      <c r="IK110">
        <v>0</v>
      </c>
    </row>
    <row r="112" spans="1:255" x14ac:dyDescent="0.2">
      <c r="A112" s="3">
        <v>51</v>
      </c>
      <c r="B112" s="3">
        <f>B105</f>
        <v>1</v>
      </c>
      <c r="C112" s="3">
        <f>A105</f>
        <v>4</v>
      </c>
      <c r="D112" s="3">
        <f>ROW(A105)</f>
        <v>105</v>
      </c>
      <c r="E112" s="3"/>
      <c r="F112" s="3" t="str">
        <f>IF(F105&lt;&gt;"",F105,"")</f>
        <v>Новый раздел</v>
      </c>
      <c r="G112" s="3" t="str">
        <f>IF(G105&lt;&gt;"",G105,"")</f>
        <v>Пусконаладочные работы</v>
      </c>
      <c r="H112" s="3">
        <v>0</v>
      </c>
      <c r="I112" s="3"/>
      <c r="J112" s="3"/>
      <c r="K112" s="3"/>
      <c r="L112" s="3"/>
      <c r="M112" s="3"/>
      <c r="N112" s="3"/>
      <c r="O112" s="3">
        <f t="shared" ref="O112:T112" si="92">ROUND(AB112,2)</f>
        <v>869.3</v>
      </c>
      <c r="P112" s="3">
        <f t="shared" si="92"/>
        <v>0</v>
      </c>
      <c r="Q112" s="3">
        <f t="shared" si="92"/>
        <v>0</v>
      </c>
      <c r="R112" s="3">
        <f t="shared" si="92"/>
        <v>0</v>
      </c>
      <c r="S112" s="3">
        <f t="shared" si="92"/>
        <v>869.3</v>
      </c>
      <c r="T112" s="3">
        <f t="shared" si="92"/>
        <v>0</v>
      </c>
      <c r="U112" s="3">
        <f>AH112</f>
        <v>44.800000000000004</v>
      </c>
      <c r="V112" s="3">
        <f>AI112</f>
        <v>0</v>
      </c>
      <c r="W112" s="3">
        <f>ROUND(AJ112,2)</f>
        <v>0</v>
      </c>
      <c r="X112" s="3">
        <f>ROUND(AK112,2)</f>
        <v>651.98</v>
      </c>
      <c r="Y112" s="3">
        <f>ROUND(AL112,2)</f>
        <v>608.51</v>
      </c>
      <c r="Z112" s="3"/>
      <c r="AA112" s="3"/>
      <c r="AB112" s="3">
        <f>ROUND(SUMIF(AA109:AA110,"=42119681",O109:O110),2)</f>
        <v>869.3</v>
      </c>
      <c r="AC112" s="3">
        <f>ROUND(SUMIF(AA109:AA110,"=42119681",P109:P110),2)</f>
        <v>0</v>
      </c>
      <c r="AD112" s="3">
        <f>ROUND(SUMIF(AA109:AA110,"=42119681",Q109:Q110),2)</f>
        <v>0</v>
      </c>
      <c r="AE112" s="3">
        <f>ROUND(SUMIF(AA109:AA110,"=42119681",R109:R110),2)</f>
        <v>0</v>
      </c>
      <c r="AF112" s="3">
        <f>ROUND(SUMIF(AA109:AA110,"=42119681",S109:S110),2)</f>
        <v>869.3</v>
      </c>
      <c r="AG112" s="3">
        <f>ROUND(SUMIF(AA109:AA110,"=42119681",T109:T110),2)</f>
        <v>0</v>
      </c>
      <c r="AH112" s="3">
        <f>SUMIF(AA109:AA110,"=42119681",U109:U110)</f>
        <v>44.800000000000004</v>
      </c>
      <c r="AI112" s="3">
        <f>SUMIF(AA109:AA110,"=42119681",V109:V110)</f>
        <v>0</v>
      </c>
      <c r="AJ112" s="3">
        <f>ROUND(SUMIF(AA109:AA110,"=42119681",W109:W110),2)</f>
        <v>0</v>
      </c>
      <c r="AK112" s="3">
        <f>ROUND(SUMIF(AA109:AA110,"=42119681",X109:X110),2)</f>
        <v>651.98</v>
      </c>
      <c r="AL112" s="3">
        <f>ROUND(SUMIF(AA109:AA110,"=42119681",Y109:Y110),2)</f>
        <v>608.51</v>
      </c>
      <c r="AM112" s="3"/>
      <c r="AN112" s="3"/>
      <c r="AO112" s="3">
        <f t="shared" ref="AO112:BC112" si="93">ROUND(BX112,2)</f>
        <v>0</v>
      </c>
      <c r="AP112" s="3">
        <f t="shared" si="93"/>
        <v>0</v>
      </c>
      <c r="AQ112" s="3">
        <f t="shared" si="93"/>
        <v>0</v>
      </c>
      <c r="AR112" s="3">
        <f t="shared" si="93"/>
        <v>2129.79</v>
      </c>
      <c r="AS112" s="3">
        <f t="shared" si="93"/>
        <v>0</v>
      </c>
      <c r="AT112" s="3">
        <f t="shared" si="93"/>
        <v>0</v>
      </c>
      <c r="AU112" s="3">
        <f t="shared" si="93"/>
        <v>2129.79</v>
      </c>
      <c r="AV112" s="3">
        <f t="shared" si="93"/>
        <v>0</v>
      </c>
      <c r="AW112" s="3">
        <f t="shared" si="93"/>
        <v>0</v>
      </c>
      <c r="AX112" s="3">
        <f t="shared" si="93"/>
        <v>0</v>
      </c>
      <c r="AY112" s="3">
        <f t="shared" si="93"/>
        <v>0</v>
      </c>
      <c r="AZ112" s="3">
        <f t="shared" si="93"/>
        <v>0</v>
      </c>
      <c r="BA112" s="3">
        <f t="shared" si="93"/>
        <v>0</v>
      </c>
      <c r="BB112" s="3">
        <f t="shared" si="93"/>
        <v>0</v>
      </c>
      <c r="BC112" s="3">
        <f t="shared" si="93"/>
        <v>0</v>
      </c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>
        <f>ROUND(SUMIF(AA109:AA110,"=42119681",FQ109:FQ110),2)</f>
        <v>0</v>
      </c>
      <c r="BY112" s="3">
        <f>ROUND(SUMIF(AA109:AA110,"=42119681",FR109:FR110),2)</f>
        <v>0</v>
      </c>
      <c r="BZ112" s="3">
        <f>ROUND(SUMIF(AA109:AA110,"=42119681",GL109:GL110),2)</f>
        <v>0</v>
      </c>
      <c r="CA112" s="3">
        <f>ROUND(SUMIF(AA109:AA110,"=42119681",GM109:GM110),2)</f>
        <v>2129.79</v>
      </c>
      <c r="CB112" s="3">
        <f>ROUND(SUMIF(AA109:AA110,"=42119681",GN109:GN110),2)</f>
        <v>0</v>
      </c>
      <c r="CC112" s="3">
        <f>ROUND(SUMIF(AA109:AA110,"=42119681",GO109:GO110),2)</f>
        <v>0</v>
      </c>
      <c r="CD112" s="3">
        <f>ROUND(SUMIF(AA109:AA110,"=42119681",GP109:GP110),2)</f>
        <v>2129.79</v>
      </c>
      <c r="CE112" s="3">
        <f>AC112-BX112</f>
        <v>0</v>
      </c>
      <c r="CF112" s="3">
        <f>AC112-BY112</f>
        <v>0</v>
      </c>
      <c r="CG112" s="3">
        <f>BX112-BZ112</f>
        <v>0</v>
      </c>
      <c r="CH112" s="3">
        <f>AC112-BX112-BY112+BZ112</f>
        <v>0</v>
      </c>
      <c r="CI112" s="3">
        <f>BY112-BZ112</f>
        <v>0</v>
      </c>
      <c r="CJ112" s="3">
        <f>ROUND(SUMIF(AA109:AA110,"=42119681",GX109:GX110),2)</f>
        <v>0</v>
      </c>
      <c r="CK112" s="3">
        <f>ROUND(SUMIF(AA109:AA110,"=42119681",GY109:GY110),2)</f>
        <v>0</v>
      </c>
      <c r="CL112" s="3">
        <f>ROUND(SUMIF(AA109:AA110,"=42119681",GZ109:GZ110),2)</f>
        <v>0</v>
      </c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4">
        <f t="shared" ref="DG112:DL112" si="94">ROUND(DT112,2)</f>
        <v>18855.03</v>
      </c>
      <c r="DH112" s="4">
        <f t="shared" si="94"/>
        <v>0</v>
      </c>
      <c r="DI112" s="4">
        <f t="shared" si="94"/>
        <v>0</v>
      </c>
      <c r="DJ112" s="4">
        <f t="shared" si="94"/>
        <v>0</v>
      </c>
      <c r="DK112" s="4">
        <f t="shared" si="94"/>
        <v>18855.03</v>
      </c>
      <c r="DL112" s="4">
        <f t="shared" si="94"/>
        <v>0</v>
      </c>
      <c r="DM112" s="4">
        <f>DZ112</f>
        <v>44.800000000000004</v>
      </c>
      <c r="DN112" s="4">
        <f>EA112</f>
        <v>0</v>
      </c>
      <c r="DO112" s="4">
        <f>ROUND(EB112,2)</f>
        <v>0</v>
      </c>
      <c r="DP112" s="4">
        <f>ROUND(EC112,2)</f>
        <v>12821.42</v>
      </c>
      <c r="DQ112" s="4">
        <f>ROUND(ED112,2)</f>
        <v>7730.56</v>
      </c>
      <c r="DR112" s="4"/>
      <c r="DS112" s="4"/>
      <c r="DT112" s="4">
        <f>ROUND(SUMIF(AA109:AA110,"=42119679",O109:O110),2)</f>
        <v>18855.03</v>
      </c>
      <c r="DU112" s="4">
        <f>ROUND(SUMIF(AA109:AA110,"=42119679",P109:P110),2)</f>
        <v>0</v>
      </c>
      <c r="DV112" s="4">
        <f>ROUND(SUMIF(AA109:AA110,"=42119679",Q109:Q110),2)</f>
        <v>0</v>
      </c>
      <c r="DW112" s="4">
        <f>ROUND(SUMIF(AA109:AA110,"=42119679",R109:R110),2)</f>
        <v>0</v>
      </c>
      <c r="DX112" s="4">
        <f>ROUND(SUMIF(AA109:AA110,"=42119679",S109:S110),2)</f>
        <v>18855.03</v>
      </c>
      <c r="DY112" s="4">
        <f>ROUND(SUMIF(AA109:AA110,"=42119679",T109:T110),2)</f>
        <v>0</v>
      </c>
      <c r="DZ112" s="4">
        <f>SUMIF(AA109:AA110,"=42119679",U109:U110)</f>
        <v>44.800000000000004</v>
      </c>
      <c r="EA112" s="4">
        <f>SUMIF(AA109:AA110,"=42119679",V109:V110)</f>
        <v>0</v>
      </c>
      <c r="EB112" s="4">
        <f>ROUND(SUMIF(AA109:AA110,"=42119679",W109:W110),2)</f>
        <v>0</v>
      </c>
      <c r="EC112" s="4">
        <f>ROUND(SUMIF(AA109:AA110,"=42119679",X109:X110),2)</f>
        <v>12821.42</v>
      </c>
      <c r="ED112" s="4">
        <f>ROUND(SUMIF(AA109:AA110,"=42119679",Y109:Y110),2)</f>
        <v>7730.56</v>
      </c>
      <c r="EE112" s="4"/>
      <c r="EF112" s="4"/>
      <c r="EG112" s="4">
        <f t="shared" ref="EG112:EU112" si="95">ROUND(FP112,2)</f>
        <v>0</v>
      </c>
      <c r="EH112" s="4">
        <f t="shared" si="95"/>
        <v>0</v>
      </c>
      <c r="EI112" s="4">
        <f t="shared" si="95"/>
        <v>0</v>
      </c>
      <c r="EJ112" s="4">
        <f t="shared" si="95"/>
        <v>39407.01</v>
      </c>
      <c r="EK112" s="4">
        <f t="shared" si="95"/>
        <v>0</v>
      </c>
      <c r="EL112" s="4">
        <f t="shared" si="95"/>
        <v>0</v>
      </c>
      <c r="EM112" s="4">
        <f t="shared" si="95"/>
        <v>39407.01</v>
      </c>
      <c r="EN112" s="4">
        <f t="shared" si="95"/>
        <v>0</v>
      </c>
      <c r="EO112" s="4">
        <f t="shared" si="95"/>
        <v>0</v>
      </c>
      <c r="EP112" s="4">
        <f t="shared" si="95"/>
        <v>0</v>
      </c>
      <c r="EQ112" s="4">
        <f t="shared" si="95"/>
        <v>0</v>
      </c>
      <c r="ER112" s="4">
        <f t="shared" si="95"/>
        <v>0</v>
      </c>
      <c r="ES112" s="4">
        <f t="shared" si="95"/>
        <v>0</v>
      </c>
      <c r="ET112" s="4">
        <f t="shared" si="95"/>
        <v>0</v>
      </c>
      <c r="EU112" s="4">
        <f t="shared" si="95"/>
        <v>0</v>
      </c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>
        <f>ROUND(SUMIF(AA109:AA110,"=42119679",FQ109:FQ110),2)</f>
        <v>0</v>
      </c>
      <c r="FQ112" s="4">
        <f>ROUND(SUMIF(AA109:AA110,"=42119679",FR109:FR110),2)</f>
        <v>0</v>
      </c>
      <c r="FR112" s="4">
        <f>ROUND(SUMIF(AA109:AA110,"=42119679",GL109:GL110),2)</f>
        <v>0</v>
      </c>
      <c r="FS112" s="4">
        <f>ROUND(SUMIF(AA109:AA110,"=42119679",GM109:GM110),2)</f>
        <v>39407.01</v>
      </c>
      <c r="FT112" s="4">
        <f>ROUND(SUMIF(AA109:AA110,"=42119679",GN109:GN110),2)</f>
        <v>0</v>
      </c>
      <c r="FU112" s="4">
        <f>ROUND(SUMIF(AA109:AA110,"=42119679",GO109:GO110),2)</f>
        <v>0</v>
      </c>
      <c r="FV112" s="4">
        <f>ROUND(SUMIF(AA109:AA110,"=42119679",GP109:GP110),2)</f>
        <v>39407.01</v>
      </c>
      <c r="FW112" s="4">
        <f>DU112-FP112</f>
        <v>0</v>
      </c>
      <c r="FX112" s="4">
        <f>DU112-FQ112</f>
        <v>0</v>
      </c>
      <c r="FY112" s="4">
        <f>FP112-FR112</f>
        <v>0</v>
      </c>
      <c r="FZ112" s="4">
        <f>DU112-FP112-FQ112+FR112</f>
        <v>0</v>
      </c>
      <c r="GA112" s="4">
        <f>FQ112-FR112</f>
        <v>0</v>
      </c>
      <c r="GB112" s="4">
        <f>ROUND(SUMIF(AA109:AA110,"=42119679",GX109:GX110),2)</f>
        <v>0</v>
      </c>
      <c r="GC112" s="4">
        <f>ROUND(SUMIF(AA109:AA110,"=42119679",GY109:GY110),2)</f>
        <v>0</v>
      </c>
      <c r="GD112" s="4">
        <f>ROUND(SUMIF(AA109:AA110,"=42119679",GZ109:GZ110),2)</f>
        <v>0</v>
      </c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>
        <v>0</v>
      </c>
    </row>
    <row r="114" spans="1:23" x14ac:dyDescent="0.2">
      <c r="A114" s="5">
        <v>50</v>
      </c>
      <c r="B114" s="5">
        <v>0</v>
      </c>
      <c r="C114" s="5">
        <v>0</v>
      </c>
      <c r="D114" s="5">
        <v>1</v>
      </c>
      <c r="E114" s="5">
        <v>201</v>
      </c>
      <c r="F114" s="5">
        <f>ROUND(Source!O112,O114)</f>
        <v>869.3</v>
      </c>
      <c r="G114" s="5" t="s">
        <v>127</v>
      </c>
      <c r="H114" s="5" t="s">
        <v>128</v>
      </c>
      <c r="I114" s="5"/>
      <c r="J114" s="5"/>
      <c r="K114" s="5">
        <v>201</v>
      </c>
      <c r="L114" s="5">
        <v>1</v>
      </c>
      <c r="M114" s="5">
        <v>3</v>
      </c>
      <c r="N114" s="5" t="s">
        <v>3</v>
      </c>
      <c r="O114" s="5">
        <v>2</v>
      </c>
      <c r="P114" s="5">
        <f>ROUND(Source!DG112,O114)</f>
        <v>18855.03</v>
      </c>
      <c r="Q114" s="5"/>
      <c r="R114" s="5"/>
      <c r="S114" s="5"/>
      <c r="T114" s="5"/>
      <c r="U114" s="5"/>
      <c r="V114" s="5"/>
      <c r="W114" s="5"/>
    </row>
    <row r="115" spans="1:23" x14ac:dyDescent="0.2">
      <c r="A115" s="5">
        <v>50</v>
      </c>
      <c r="B115" s="5">
        <v>0</v>
      </c>
      <c r="C115" s="5">
        <v>0</v>
      </c>
      <c r="D115" s="5">
        <v>1</v>
      </c>
      <c r="E115" s="5">
        <v>202</v>
      </c>
      <c r="F115" s="5">
        <f>ROUND(Source!P112,O115)</f>
        <v>0</v>
      </c>
      <c r="G115" s="5" t="s">
        <v>129</v>
      </c>
      <c r="H115" s="5" t="s">
        <v>130</v>
      </c>
      <c r="I115" s="5"/>
      <c r="J115" s="5"/>
      <c r="K115" s="5">
        <v>202</v>
      </c>
      <c r="L115" s="5">
        <v>2</v>
      </c>
      <c r="M115" s="5">
        <v>3</v>
      </c>
      <c r="N115" s="5" t="s">
        <v>3</v>
      </c>
      <c r="O115" s="5">
        <v>2</v>
      </c>
      <c r="P115" s="5">
        <f>ROUND(Source!DH112,O115)</f>
        <v>0</v>
      </c>
      <c r="Q115" s="5"/>
      <c r="R115" s="5"/>
      <c r="S115" s="5"/>
      <c r="T115" s="5"/>
      <c r="U115" s="5"/>
      <c r="V115" s="5"/>
      <c r="W115" s="5"/>
    </row>
    <row r="116" spans="1:23" x14ac:dyDescent="0.2">
      <c r="A116" s="5">
        <v>50</v>
      </c>
      <c r="B116" s="5">
        <v>0</v>
      </c>
      <c r="C116" s="5">
        <v>0</v>
      </c>
      <c r="D116" s="5">
        <v>1</v>
      </c>
      <c r="E116" s="5">
        <v>222</v>
      </c>
      <c r="F116" s="5">
        <f>ROUND(Source!AO112,O116)</f>
        <v>0</v>
      </c>
      <c r="G116" s="5" t="s">
        <v>131</v>
      </c>
      <c r="H116" s="5" t="s">
        <v>132</v>
      </c>
      <c r="I116" s="5"/>
      <c r="J116" s="5"/>
      <c r="K116" s="5">
        <v>222</v>
      </c>
      <c r="L116" s="5">
        <v>3</v>
      </c>
      <c r="M116" s="5">
        <v>3</v>
      </c>
      <c r="N116" s="5" t="s">
        <v>3</v>
      </c>
      <c r="O116" s="5">
        <v>2</v>
      </c>
      <c r="P116" s="5">
        <f>ROUND(Source!EG112,O116)</f>
        <v>0</v>
      </c>
      <c r="Q116" s="5"/>
      <c r="R116" s="5"/>
      <c r="S116" s="5"/>
      <c r="T116" s="5"/>
      <c r="U116" s="5"/>
      <c r="V116" s="5"/>
      <c r="W116" s="5"/>
    </row>
    <row r="117" spans="1:23" x14ac:dyDescent="0.2">
      <c r="A117" s="5">
        <v>50</v>
      </c>
      <c r="B117" s="5">
        <v>0</v>
      </c>
      <c r="C117" s="5">
        <v>0</v>
      </c>
      <c r="D117" s="5">
        <v>1</v>
      </c>
      <c r="E117" s="5">
        <v>225</v>
      </c>
      <c r="F117" s="5">
        <f>ROUND(Source!AV112,O117)</f>
        <v>0</v>
      </c>
      <c r="G117" s="5" t="s">
        <v>133</v>
      </c>
      <c r="H117" s="5" t="s">
        <v>134</v>
      </c>
      <c r="I117" s="5"/>
      <c r="J117" s="5"/>
      <c r="K117" s="5">
        <v>225</v>
      </c>
      <c r="L117" s="5">
        <v>4</v>
      </c>
      <c r="M117" s="5">
        <v>3</v>
      </c>
      <c r="N117" s="5" t="s">
        <v>3</v>
      </c>
      <c r="O117" s="5">
        <v>2</v>
      </c>
      <c r="P117" s="5">
        <f>ROUND(Source!EN112,O117)</f>
        <v>0</v>
      </c>
      <c r="Q117" s="5"/>
      <c r="R117" s="5"/>
      <c r="S117" s="5"/>
      <c r="T117" s="5"/>
      <c r="U117" s="5"/>
      <c r="V117" s="5"/>
      <c r="W117" s="5"/>
    </row>
    <row r="118" spans="1:23" x14ac:dyDescent="0.2">
      <c r="A118" s="5">
        <v>50</v>
      </c>
      <c r="B118" s="5">
        <v>0</v>
      </c>
      <c r="C118" s="5">
        <v>0</v>
      </c>
      <c r="D118" s="5">
        <v>1</v>
      </c>
      <c r="E118" s="5">
        <v>226</v>
      </c>
      <c r="F118" s="5">
        <f>ROUND(Source!AW112,O118)</f>
        <v>0</v>
      </c>
      <c r="G118" s="5" t="s">
        <v>135</v>
      </c>
      <c r="H118" s="5" t="s">
        <v>136</v>
      </c>
      <c r="I118" s="5"/>
      <c r="J118" s="5"/>
      <c r="K118" s="5">
        <v>226</v>
      </c>
      <c r="L118" s="5">
        <v>5</v>
      </c>
      <c r="M118" s="5">
        <v>3</v>
      </c>
      <c r="N118" s="5" t="s">
        <v>3</v>
      </c>
      <c r="O118" s="5">
        <v>2</v>
      </c>
      <c r="P118" s="5">
        <f>ROUND(Source!EO112,O118)</f>
        <v>0</v>
      </c>
      <c r="Q118" s="5"/>
      <c r="R118" s="5"/>
      <c r="S118" s="5"/>
      <c r="T118" s="5"/>
      <c r="U118" s="5"/>
      <c r="V118" s="5"/>
      <c r="W118" s="5"/>
    </row>
    <row r="119" spans="1:23" x14ac:dyDescent="0.2">
      <c r="A119" s="5">
        <v>50</v>
      </c>
      <c r="B119" s="5">
        <v>0</v>
      </c>
      <c r="C119" s="5">
        <v>0</v>
      </c>
      <c r="D119" s="5">
        <v>1</v>
      </c>
      <c r="E119" s="5">
        <v>227</v>
      </c>
      <c r="F119" s="5">
        <f>ROUND(Source!AX112,O119)</f>
        <v>0</v>
      </c>
      <c r="G119" s="5" t="s">
        <v>137</v>
      </c>
      <c r="H119" s="5" t="s">
        <v>138</v>
      </c>
      <c r="I119" s="5"/>
      <c r="J119" s="5"/>
      <c r="K119" s="5">
        <v>227</v>
      </c>
      <c r="L119" s="5">
        <v>6</v>
      </c>
      <c r="M119" s="5">
        <v>3</v>
      </c>
      <c r="N119" s="5" t="s">
        <v>3</v>
      </c>
      <c r="O119" s="5">
        <v>2</v>
      </c>
      <c r="P119" s="5">
        <f>ROUND(Source!EP112,O119)</f>
        <v>0</v>
      </c>
      <c r="Q119" s="5"/>
      <c r="R119" s="5"/>
      <c r="S119" s="5"/>
      <c r="T119" s="5"/>
      <c r="U119" s="5"/>
      <c r="V119" s="5"/>
      <c r="W119" s="5"/>
    </row>
    <row r="120" spans="1:23" x14ac:dyDescent="0.2">
      <c r="A120" s="5">
        <v>50</v>
      </c>
      <c r="B120" s="5">
        <v>0</v>
      </c>
      <c r="C120" s="5">
        <v>0</v>
      </c>
      <c r="D120" s="5">
        <v>1</v>
      </c>
      <c r="E120" s="5">
        <v>228</v>
      </c>
      <c r="F120" s="5">
        <f>ROUND(Source!AY112,O120)</f>
        <v>0</v>
      </c>
      <c r="G120" s="5" t="s">
        <v>139</v>
      </c>
      <c r="H120" s="5" t="s">
        <v>140</v>
      </c>
      <c r="I120" s="5"/>
      <c r="J120" s="5"/>
      <c r="K120" s="5">
        <v>228</v>
      </c>
      <c r="L120" s="5">
        <v>7</v>
      </c>
      <c r="M120" s="5">
        <v>3</v>
      </c>
      <c r="N120" s="5" t="s">
        <v>3</v>
      </c>
      <c r="O120" s="5">
        <v>2</v>
      </c>
      <c r="P120" s="5">
        <f>ROUND(Source!EQ112,O120)</f>
        <v>0</v>
      </c>
      <c r="Q120" s="5"/>
      <c r="R120" s="5"/>
      <c r="S120" s="5"/>
      <c r="T120" s="5"/>
      <c r="U120" s="5"/>
      <c r="V120" s="5"/>
      <c r="W120" s="5"/>
    </row>
    <row r="121" spans="1:23" x14ac:dyDescent="0.2">
      <c r="A121" s="5">
        <v>50</v>
      </c>
      <c r="B121" s="5">
        <v>0</v>
      </c>
      <c r="C121" s="5">
        <v>0</v>
      </c>
      <c r="D121" s="5">
        <v>1</v>
      </c>
      <c r="E121" s="5">
        <v>216</v>
      </c>
      <c r="F121" s="5">
        <f>ROUND(Source!AP112,O121)</f>
        <v>0</v>
      </c>
      <c r="G121" s="5" t="s">
        <v>141</v>
      </c>
      <c r="H121" s="5" t="s">
        <v>142</v>
      </c>
      <c r="I121" s="5"/>
      <c r="J121" s="5"/>
      <c r="K121" s="5">
        <v>216</v>
      </c>
      <c r="L121" s="5">
        <v>8</v>
      </c>
      <c r="M121" s="5">
        <v>3</v>
      </c>
      <c r="N121" s="5" t="s">
        <v>3</v>
      </c>
      <c r="O121" s="5">
        <v>2</v>
      </c>
      <c r="P121" s="5">
        <f>ROUND(Source!EH112,O121)</f>
        <v>0</v>
      </c>
      <c r="Q121" s="5"/>
      <c r="R121" s="5"/>
      <c r="S121" s="5"/>
      <c r="T121" s="5"/>
      <c r="U121" s="5"/>
      <c r="V121" s="5"/>
      <c r="W121" s="5"/>
    </row>
    <row r="122" spans="1:23" x14ac:dyDescent="0.2">
      <c r="A122" s="5">
        <v>50</v>
      </c>
      <c r="B122" s="5">
        <v>0</v>
      </c>
      <c r="C122" s="5">
        <v>0</v>
      </c>
      <c r="D122" s="5">
        <v>1</v>
      </c>
      <c r="E122" s="5">
        <v>223</v>
      </c>
      <c r="F122" s="5">
        <f>ROUND(Source!AQ112,O122)</f>
        <v>0</v>
      </c>
      <c r="G122" s="5" t="s">
        <v>143</v>
      </c>
      <c r="H122" s="5" t="s">
        <v>144</v>
      </c>
      <c r="I122" s="5"/>
      <c r="J122" s="5"/>
      <c r="K122" s="5">
        <v>223</v>
      </c>
      <c r="L122" s="5">
        <v>9</v>
      </c>
      <c r="M122" s="5">
        <v>3</v>
      </c>
      <c r="N122" s="5" t="s">
        <v>3</v>
      </c>
      <c r="O122" s="5">
        <v>2</v>
      </c>
      <c r="P122" s="5">
        <f>ROUND(Source!EI112,O122)</f>
        <v>0</v>
      </c>
      <c r="Q122" s="5"/>
      <c r="R122" s="5"/>
      <c r="S122" s="5"/>
      <c r="T122" s="5"/>
      <c r="U122" s="5"/>
      <c r="V122" s="5"/>
      <c r="W122" s="5"/>
    </row>
    <row r="123" spans="1:23" x14ac:dyDescent="0.2">
      <c r="A123" s="5">
        <v>50</v>
      </c>
      <c r="B123" s="5">
        <v>0</v>
      </c>
      <c r="C123" s="5">
        <v>0</v>
      </c>
      <c r="D123" s="5">
        <v>1</v>
      </c>
      <c r="E123" s="5">
        <v>229</v>
      </c>
      <c r="F123" s="5">
        <f>ROUND(Source!AZ112,O123)</f>
        <v>0</v>
      </c>
      <c r="G123" s="5" t="s">
        <v>145</v>
      </c>
      <c r="H123" s="5" t="s">
        <v>146</v>
      </c>
      <c r="I123" s="5"/>
      <c r="J123" s="5"/>
      <c r="K123" s="5">
        <v>229</v>
      </c>
      <c r="L123" s="5">
        <v>10</v>
      </c>
      <c r="M123" s="5">
        <v>3</v>
      </c>
      <c r="N123" s="5" t="s">
        <v>3</v>
      </c>
      <c r="O123" s="5">
        <v>2</v>
      </c>
      <c r="P123" s="5">
        <f>ROUND(Source!ER112,O123)</f>
        <v>0</v>
      </c>
      <c r="Q123" s="5"/>
      <c r="R123" s="5"/>
      <c r="S123" s="5"/>
      <c r="T123" s="5"/>
      <c r="U123" s="5"/>
      <c r="V123" s="5"/>
      <c r="W123" s="5"/>
    </row>
    <row r="124" spans="1:23" x14ac:dyDescent="0.2">
      <c r="A124" s="5">
        <v>50</v>
      </c>
      <c r="B124" s="5">
        <v>0</v>
      </c>
      <c r="C124" s="5">
        <v>0</v>
      </c>
      <c r="D124" s="5">
        <v>1</v>
      </c>
      <c r="E124" s="5">
        <v>203</v>
      </c>
      <c r="F124" s="5">
        <f>ROUND(Source!Q112,O124)</f>
        <v>0</v>
      </c>
      <c r="G124" s="5" t="s">
        <v>147</v>
      </c>
      <c r="H124" s="5" t="s">
        <v>148</v>
      </c>
      <c r="I124" s="5"/>
      <c r="J124" s="5"/>
      <c r="K124" s="5">
        <v>203</v>
      </c>
      <c r="L124" s="5">
        <v>11</v>
      </c>
      <c r="M124" s="5">
        <v>3</v>
      </c>
      <c r="N124" s="5" t="s">
        <v>3</v>
      </c>
      <c r="O124" s="5">
        <v>2</v>
      </c>
      <c r="P124" s="5">
        <f>ROUND(Source!DI112,O124)</f>
        <v>0</v>
      </c>
      <c r="Q124" s="5"/>
      <c r="R124" s="5"/>
      <c r="S124" s="5"/>
      <c r="T124" s="5"/>
      <c r="U124" s="5"/>
      <c r="V124" s="5"/>
      <c r="W124" s="5"/>
    </row>
    <row r="125" spans="1:23" x14ac:dyDescent="0.2">
      <c r="A125" s="5">
        <v>50</v>
      </c>
      <c r="B125" s="5">
        <v>0</v>
      </c>
      <c r="C125" s="5">
        <v>0</v>
      </c>
      <c r="D125" s="5">
        <v>1</v>
      </c>
      <c r="E125" s="5">
        <v>231</v>
      </c>
      <c r="F125" s="5">
        <f>ROUND(Source!BB112,O125)</f>
        <v>0</v>
      </c>
      <c r="G125" s="5" t="s">
        <v>149</v>
      </c>
      <c r="H125" s="5" t="s">
        <v>150</v>
      </c>
      <c r="I125" s="5"/>
      <c r="J125" s="5"/>
      <c r="K125" s="5">
        <v>231</v>
      </c>
      <c r="L125" s="5">
        <v>12</v>
      </c>
      <c r="M125" s="5">
        <v>3</v>
      </c>
      <c r="N125" s="5" t="s">
        <v>3</v>
      </c>
      <c r="O125" s="5">
        <v>2</v>
      </c>
      <c r="P125" s="5">
        <f>ROUND(Source!ET112,O125)</f>
        <v>0</v>
      </c>
      <c r="Q125" s="5"/>
      <c r="R125" s="5"/>
      <c r="S125" s="5"/>
      <c r="T125" s="5"/>
      <c r="U125" s="5"/>
      <c r="V125" s="5"/>
      <c r="W125" s="5"/>
    </row>
    <row r="126" spans="1:23" x14ac:dyDescent="0.2">
      <c r="A126" s="5">
        <v>50</v>
      </c>
      <c r="B126" s="5">
        <v>0</v>
      </c>
      <c r="C126" s="5">
        <v>0</v>
      </c>
      <c r="D126" s="5">
        <v>1</v>
      </c>
      <c r="E126" s="5">
        <v>204</v>
      </c>
      <c r="F126" s="5">
        <f>ROUND(Source!R112,O126)</f>
        <v>0</v>
      </c>
      <c r="G126" s="5" t="s">
        <v>151</v>
      </c>
      <c r="H126" s="5" t="s">
        <v>152</v>
      </c>
      <c r="I126" s="5"/>
      <c r="J126" s="5"/>
      <c r="K126" s="5">
        <v>204</v>
      </c>
      <c r="L126" s="5">
        <v>13</v>
      </c>
      <c r="M126" s="5">
        <v>3</v>
      </c>
      <c r="N126" s="5" t="s">
        <v>3</v>
      </c>
      <c r="O126" s="5">
        <v>2</v>
      </c>
      <c r="P126" s="5">
        <f>ROUND(Source!DJ112,O126)</f>
        <v>0</v>
      </c>
      <c r="Q126" s="5"/>
      <c r="R126" s="5"/>
      <c r="S126" s="5"/>
      <c r="T126" s="5"/>
      <c r="U126" s="5"/>
      <c r="V126" s="5"/>
      <c r="W126" s="5"/>
    </row>
    <row r="127" spans="1:23" x14ac:dyDescent="0.2">
      <c r="A127" s="5">
        <v>50</v>
      </c>
      <c r="B127" s="5">
        <v>0</v>
      </c>
      <c r="C127" s="5">
        <v>0</v>
      </c>
      <c r="D127" s="5">
        <v>1</v>
      </c>
      <c r="E127" s="5">
        <v>205</v>
      </c>
      <c r="F127" s="5">
        <f>ROUND(Source!S112,O127)</f>
        <v>869.3</v>
      </c>
      <c r="G127" s="5" t="s">
        <v>153</v>
      </c>
      <c r="H127" s="5" t="s">
        <v>154</v>
      </c>
      <c r="I127" s="5"/>
      <c r="J127" s="5"/>
      <c r="K127" s="5">
        <v>205</v>
      </c>
      <c r="L127" s="5">
        <v>14</v>
      </c>
      <c r="M127" s="5">
        <v>3</v>
      </c>
      <c r="N127" s="5" t="s">
        <v>3</v>
      </c>
      <c r="O127" s="5">
        <v>2</v>
      </c>
      <c r="P127" s="5">
        <f>ROUND(Source!DK112,O127)</f>
        <v>18855.03</v>
      </c>
      <c r="Q127" s="5"/>
      <c r="R127" s="5"/>
      <c r="S127" s="5"/>
      <c r="T127" s="5"/>
      <c r="U127" s="5"/>
      <c r="V127" s="5"/>
      <c r="W127" s="5"/>
    </row>
    <row r="128" spans="1:23" x14ac:dyDescent="0.2">
      <c r="A128" s="5">
        <v>50</v>
      </c>
      <c r="B128" s="5">
        <v>0</v>
      </c>
      <c r="C128" s="5">
        <v>0</v>
      </c>
      <c r="D128" s="5">
        <v>1</v>
      </c>
      <c r="E128" s="5">
        <v>232</v>
      </c>
      <c r="F128" s="5">
        <f>ROUND(Source!BC112,O128)</f>
        <v>0</v>
      </c>
      <c r="G128" s="5" t="s">
        <v>155</v>
      </c>
      <c r="H128" s="5" t="s">
        <v>156</v>
      </c>
      <c r="I128" s="5"/>
      <c r="J128" s="5"/>
      <c r="K128" s="5">
        <v>232</v>
      </c>
      <c r="L128" s="5">
        <v>15</v>
      </c>
      <c r="M128" s="5">
        <v>3</v>
      </c>
      <c r="N128" s="5" t="s">
        <v>3</v>
      </c>
      <c r="O128" s="5">
        <v>2</v>
      </c>
      <c r="P128" s="5">
        <f>ROUND(Source!EU112,O128)</f>
        <v>0</v>
      </c>
      <c r="Q128" s="5"/>
      <c r="R128" s="5"/>
      <c r="S128" s="5"/>
      <c r="T128" s="5"/>
      <c r="U128" s="5"/>
      <c r="V128" s="5"/>
      <c r="W128" s="5"/>
    </row>
    <row r="129" spans="1:206" x14ac:dyDescent="0.2">
      <c r="A129" s="5">
        <v>50</v>
      </c>
      <c r="B129" s="5">
        <v>0</v>
      </c>
      <c r="C129" s="5">
        <v>0</v>
      </c>
      <c r="D129" s="5">
        <v>1</v>
      </c>
      <c r="E129" s="5">
        <v>214</v>
      </c>
      <c r="F129" s="5">
        <f>ROUND(Source!AS112,O129)</f>
        <v>0</v>
      </c>
      <c r="G129" s="5" t="s">
        <v>157</v>
      </c>
      <c r="H129" s="5" t="s">
        <v>158</v>
      </c>
      <c r="I129" s="5"/>
      <c r="J129" s="5"/>
      <c r="K129" s="5">
        <v>214</v>
      </c>
      <c r="L129" s="5">
        <v>16</v>
      </c>
      <c r="M129" s="5">
        <v>3</v>
      </c>
      <c r="N129" s="5" t="s">
        <v>3</v>
      </c>
      <c r="O129" s="5">
        <v>2</v>
      </c>
      <c r="P129" s="5">
        <f>ROUND(Source!EK112,O129)</f>
        <v>0</v>
      </c>
      <c r="Q129" s="5"/>
      <c r="R129" s="5"/>
      <c r="S129" s="5"/>
      <c r="T129" s="5"/>
      <c r="U129" s="5"/>
      <c r="V129" s="5"/>
      <c r="W129" s="5"/>
    </row>
    <row r="130" spans="1:206" x14ac:dyDescent="0.2">
      <c r="A130" s="5">
        <v>50</v>
      </c>
      <c r="B130" s="5">
        <v>0</v>
      </c>
      <c r="C130" s="5">
        <v>0</v>
      </c>
      <c r="D130" s="5">
        <v>1</v>
      </c>
      <c r="E130" s="5">
        <v>215</v>
      </c>
      <c r="F130" s="5">
        <f>ROUND(Source!AT112,O130)</f>
        <v>0</v>
      </c>
      <c r="G130" s="5" t="s">
        <v>159</v>
      </c>
      <c r="H130" s="5" t="s">
        <v>160</v>
      </c>
      <c r="I130" s="5"/>
      <c r="J130" s="5"/>
      <c r="K130" s="5">
        <v>215</v>
      </c>
      <c r="L130" s="5">
        <v>17</v>
      </c>
      <c r="M130" s="5">
        <v>3</v>
      </c>
      <c r="N130" s="5" t="s">
        <v>3</v>
      </c>
      <c r="O130" s="5">
        <v>2</v>
      </c>
      <c r="P130" s="5">
        <f>ROUND(Source!EL112,O130)</f>
        <v>0</v>
      </c>
      <c r="Q130" s="5"/>
      <c r="R130" s="5"/>
      <c r="S130" s="5"/>
      <c r="T130" s="5"/>
      <c r="U130" s="5"/>
      <c r="V130" s="5"/>
      <c r="W130" s="5"/>
    </row>
    <row r="131" spans="1:206" x14ac:dyDescent="0.2">
      <c r="A131" s="5">
        <v>50</v>
      </c>
      <c r="B131" s="5">
        <v>0</v>
      </c>
      <c r="C131" s="5">
        <v>0</v>
      </c>
      <c r="D131" s="5">
        <v>1</v>
      </c>
      <c r="E131" s="5">
        <v>217</v>
      </c>
      <c r="F131" s="5">
        <f>ROUND(Source!AU112,O131)</f>
        <v>2129.79</v>
      </c>
      <c r="G131" s="5" t="s">
        <v>161</v>
      </c>
      <c r="H131" s="5" t="s">
        <v>162</v>
      </c>
      <c r="I131" s="5"/>
      <c r="J131" s="5"/>
      <c r="K131" s="5">
        <v>217</v>
      </c>
      <c r="L131" s="5">
        <v>18</v>
      </c>
      <c r="M131" s="5">
        <v>3</v>
      </c>
      <c r="N131" s="5" t="s">
        <v>3</v>
      </c>
      <c r="O131" s="5">
        <v>2</v>
      </c>
      <c r="P131" s="5">
        <f>ROUND(Source!EM112,O131)</f>
        <v>39407.01</v>
      </c>
      <c r="Q131" s="5"/>
      <c r="R131" s="5"/>
      <c r="S131" s="5"/>
      <c r="T131" s="5"/>
      <c r="U131" s="5"/>
      <c r="V131" s="5"/>
      <c r="W131" s="5"/>
    </row>
    <row r="132" spans="1:206" x14ac:dyDescent="0.2">
      <c r="A132" s="5">
        <v>50</v>
      </c>
      <c r="B132" s="5">
        <v>0</v>
      </c>
      <c r="C132" s="5">
        <v>0</v>
      </c>
      <c r="D132" s="5">
        <v>1</v>
      </c>
      <c r="E132" s="5">
        <v>230</v>
      </c>
      <c r="F132" s="5">
        <f>ROUND(Source!BA112,O132)</f>
        <v>0</v>
      </c>
      <c r="G132" s="5" t="s">
        <v>163</v>
      </c>
      <c r="H132" s="5" t="s">
        <v>164</v>
      </c>
      <c r="I132" s="5"/>
      <c r="J132" s="5"/>
      <c r="K132" s="5">
        <v>230</v>
      </c>
      <c r="L132" s="5">
        <v>19</v>
      </c>
      <c r="M132" s="5">
        <v>3</v>
      </c>
      <c r="N132" s="5" t="s">
        <v>3</v>
      </c>
      <c r="O132" s="5">
        <v>2</v>
      </c>
      <c r="P132" s="5">
        <f>ROUND(Source!ES112,O132)</f>
        <v>0</v>
      </c>
      <c r="Q132" s="5"/>
      <c r="R132" s="5"/>
      <c r="S132" s="5"/>
      <c r="T132" s="5"/>
      <c r="U132" s="5"/>
      <c r="V132" s="5"/>
      <c r="W132" s="5"/>
    </row>
    <row r="133" spans="1:206" x14ac:dyDescent="0.2">
      <c r="A133" s="5">
        <v>50</v>
      </c>
      <c r="B133" s="5">
        <v>0</v>
      </c>
      <c r="C133" s="5">
        <v>0</v>
      </c>
      <c r="D133" s="5">
        <v>1</v>
      </c>
      <c r="E133" s="5">
        <v>206</v>
      </c>
      <c r="F133" s="5">
        <f>ROUND(Source!T112,O133)</f>
        <v>0</v>
      </c>
      <c r="G133" s="5" t="s">
        <v>165</v>
      </c>
      <c r="H133" s="5" t="s">
        <v>166</v>
      </c>
      <c r="I133" s="5"/>
      <c r="J133" s="5"/>
      <c r="K133" s="5">
        <v>206</v>
      </c>
      <c r="L133" s="5">
        <v>20</v>
      </c>
      <c r="M133" s="5">
        <v>3</v>
      </c>
      <c r="N133" s="5" t="s">
        <v>3</v>
      </c>
      <c r="O133" s="5">
        <v>2</v>
      </c>
      <c r="P133" s="5">
        <f>ROUND(Source!DL112,O133)</f>
        <v>0</v>
      </c>
      <c r="Q133" s="5"/>
      <c r="R133" s="5"/>
      <c r="S133" s="5"/>
      <c r="T133" s="5"/>
      <c r="U133" s="5"/>
      <c r="V133" s="5"/>
      <c r="W133" s="5"/>
    </row>
    <row r="134" spans="1:206" x14ac:dyDescent="0.2">
      <c r="A134" s="5">
        <v>50</v>
      </c>
      <c r="B134" s="5">
        <v>0</v>
      </c>
      <c r="C134" s="5">
        <v>0</v>
      </c>
      <c r="D134" s="5">
        <v>1</v>
      </c>
      <c r="E134" s="5">
        <v>207</v>
      </c>
      <c r="F134" s="5">
        <f>Source!U112</f>
        <v>44.800000000000004</v>
      </c>
      <c r="G134" s="5" t="s">
        <v>167</v>
      </c>
      <c r="H134" s="5" t="s">
        <v>168</v>
      </c>
      <c r="I134" s="5"/>
      <c r="J134" s="5"/>
      <c r="K134" s="5">
        <v>207</v>
      </c>
      <c r="L134" s="5">
        <v>21</v>
      </c>
      <c r="M134" s="5">
        <v>3</v>
      </c>
      <c r="N134" s="5" t="s">
        <v>3</v>
      </c>
      <c r="O134" s="5">
        <v>-1</v>
      </c>
      <c r="P134" s="5">
        <f>Source!DM112</f>
        <v>44.800000000000004</v>
      </c>
      <c r="Q134" s="5"/>
      <c r="R134" s="5"/>
      <c r="S134" s="5"/>
      <c r="T134" s="5"/>
      <c r="U134" s="5"/>
      <c r="V134" s="5"/>
      <c r="W134" s="5"/>
    </row>
    <row r="135" spans="1:206" x14ac:dyDescent="0.2">
      <c r="A135" s="5">
        <v>50</v>
      </c>
      <c r="B135" s="5">
        <v>0</v>
      </c>
      <c r="C135" s="5">
        <v>0</v>
      </c>
      <c r="D135" s="5">
        <v>1</v>
      </c>
      <c r="E135" s="5">
        <v>208</v>
      </c>
      <c r="F135" s="5">
        <f>Source!V112</f>
        <v>0</v>
      </c>
      <c r="G135" s="5" t="s">
        <v>169</v>
      </c>
      <c r="H135" s="5" t="s">
        <v>170</v>
      </c>
      <c r="I135" s="5"/>
      <c r="J135" s="5"/>
      <c r="K135" s="5">
        <v>208</v>
      </c>
      <c r="L135" s="5">
        <v>22</v>
      </c>
      <c r="M135" s="5">
        <v>3</v>
      </c>
      <c r="N135" s="5" t="s">
        <v>3</v>
      </c>
      <c r="O135" s="5">
        <v>-1</v>
      </c>
      <c r="P135" s="5">
        <f>Source!DN112</f>
        <v>0</v>
      </c>
      <c r="Q135" s="5"/>
      <c r="R135" s="5"/>
      <c r="S135" s="5"/>
      <c r="T135" s="5"/>
      <c r="U135" s="5"/>
      <c r="V135" s="5"/>
      <c r="W135" s="5"/>
    </row>
    <row r="136" spans="1:206" x14ac:dyDescent="0.2">
      <c r="A136" s="5">
        <v>50</v>
      </c>
      <c r="B136" s="5">
        <v>0</v>
      </c>
      <c r="C136" s="5">
        <v>0</v>
      </c>
      <c r="D136" s="5">
        <v>1</v>
      </c>
      <c r="E136" s="5">
        <v>209</v>
      </c>
      <c r="F136" s="5">
        <f>ROUND(Source!W112,O136)</f>
        <v>0</v>
      </c>
      <c r="G136" s="5" t="s">
        <v>171</v>
      </c>
      <c r="H136" s="5" t="s">
        <v>172</v>
      </c>
      <c r="I136" s="5"/>
      <c r="J136" s="5"/>
      <c r="K136" s="5">
        <v>209</v>
      </c>
      <c r="L136" s="5">
        <v>23</v>
      </c>
      <c r="M136" s="5">
        <v>3</v>
      </c>
      <c r="N136" s="5" t="s">
        <v>3</v>
      </c>
      <c r="O136" s="5">
        <v>2</v>
      </c>
      <c r="P136" s="5">
        <f>ROUND(Source!DO112,O136)</f>
        <v>0</v>
      </c>
      <c r="Q136" s="5"/>
      <c r="R136" s="5"/>
      <c r="S136" s="5"/>
      <c r="T136" s="5"/>
      <c r="U136" s="5"/>
      <c r="V136" s="5"/>
      <c r="W136" s="5"/>
    </row>
    <row r="137" spans="1:206" x14ac:dyDescent="0.2">
      <c r="A137" s="5">
        <v>50</v>
      </c>
      <c r="B137" s="5">
        <v>0</v>
      </c>
      <c r="C137" s="5">
        <v>0</v>
      </c>
      <c r="D137" s="5">
        <v>1</v>
      </c>
      <c r="E137" s="5">
        <v>210</v>
      </c>
      <c r="F137" s="5">
        <f>ROUND(Source!X112,O137)</f>
        <v>651.98</v>
      </c>
      <c r="G137" s="5" t="s">
        <v>173</v>
      </c>
      <c r="H137" s="5" t="s">
        <v>174</v>
      </c>
      <c r="I137" s="5"/>
      <c r="J137" s="5"/>
      <c r="K137" s="5">
        <v>210</v>
      </c>
      <c r="L137" s="5">
        <v>24</v>
      </c>
      <c r="M137" s="5">
        <v>3</v>
      </c>
      <c r="N137" s="5" t="s">
        <v>3</v>
      </c>
      <c r="O137" s="5">
        <v>2</v>
      </c>
      <c r="P137" s="5">
        <f>ROUND(Source!DP112,O137)</f>
        <v>12821.42</v>
      </c>
      <c r="Q137" s="5"/>
      <c r="R137" s="5"/>
      <c r="S137" s="5"/>
      <c r="T137" s="5"/>
      <c r="U137" s="5"/>
      <c r="V137" s="5"/>
      <c r="W137" s="5"/>
    </row>
    <row r="138" spans="1:206" x14ac:dyDescent="0.2">
      <c r="A138" s="5">
        <v>50</v>
      </c>
      <c r="B138" s="5">
        <v>0</v>
      </c>
      <c r="C138" s="5">
        <v>0</v>
      </c>
      <c r="D138" s="5">
        <v>1</v>
      </c>
      <c r="E138" s="5">
        <v>211</v>
      </c>
      <c r="F138" s="5">
        <f>ROUND(Source!Y112,O138)</f>
        <v>608.51</v>
      </c>
      <c r="G138" s="5" t="s">
        <v>175</v>
      </c>
      <c r="H138" s="5" t="s">
        <v>176</v>
      </c>
      <c r="I138" s="5"/>
      <c r="J138" s="5"/>
      <c r="K138" s="5">
        <v>211</v>
      </c>
      <c r="L138" s="5">
        <v>25</v>
      </c>
      <c r="M138" s="5">
        <v>3</v>
      </c>
      <c r="N138" s="5" t="s">
        <v>3</v>
      </c>
      <c r="O138" s="5">
        <v>2</v>
      </c>
      <c r="P138" s="5">
        <f>ROUND(Source!DQ112,O138)</f>
        <v>7730.56</v>
      </c>
      <c r="Q138" s="5"/>
      <c r="R138" s="5"/>
      <c r="S138" s="5"/>
      <c r="T138" s="5"/>
      <c r="U138" s="5"/>
      <c r="V138" s="5"/>
      <c r="W138" s="5"/>
    </row>
    <row r="139" spans="1:206" x14ac:dyDescent="0.2">
      <c r="A139" s="5">
        <v>50</v>
      </c>
      <c r="B139" s="5">
        <v>0</v>
      </c>
      <c r="C139" s="5">
        <v>0</v>
      </c>
      <c r="D139" s="5">
        <v>1</v>
      </c>
      <c r="E139" s="5">
        <v>224</v>
      </c>
      <c r="F139" s="5">
        <f>ROUND(Source!AR112,O139)</f>
        <v>2129.79</v>
      </c>
      <c r="G139" s="5" t="s">
        <v>177</v>
      </c>
      <c r="H139" s="5" t="s">
        <v>178</v>
      </c>
      <c r="I139" s="5"/>
      <c r="J139" s="5"/>
      <c r="K139" s="5">
        <v>224</v>
      </c>
      <c r="L139" s="5">
        <v>26</v>
      </c>
      <c r="M139" s="5">
        <v>3</v>
      </c>
      <c r="N139" s="5" t="s">
        <v>3</v>
      </c>
      <c r="O139" s="5">
        <v>2</v>
      </c>
      <c r="P139" s="5">
        <f>ROUND(Source!EJ112,O139)</f>
        <v>39407.01</v>
      </c>
      <c r="Q139" s="5"/>
      <c r="R139" s="5"/>
      <c r="S139" s="5"/>
      <c r="T139" s="5"/>
      <c r="U139" s="5"/>
      <c r="V139" s="5"/>
      <c r="W139" s="5"/>
    </row>
    <row r="141" spans="1:206" x14ac:dyDescent="0.2">
      <c r="A141" s="3">
        <v>51</v>
      </c>
      <c r="B141" s="3">
        <f>B20</f>
        <v>1</v>
      </c>
      <c r="C141" s="3">
        <f>A20</f>
        <v>3</v>
      </c>
      <c r="D141" s="3">
        <f>ROW(A20)</f>
        <v>20</v>
      </c>
      <c r="E141" s="3"/>
      <c r="F141" s="3" t="str">
        <f>IF(F20&lt;&gt;"",F20,"")</f>
        <v>Новая локальная смета</v>
      </c>
      <c r="G141" s="3" t="str">
        <f>IF(G20&lt;&gt;"",G20,"")</f>
        <v>Система оповещения и управления эвакуацией людей при пожаре</v>
      </c>
      <c r="H141" s="3">
        <v>0</v>
      </c>
      <c r="I141" s="3"/>
      <c r="J141" s="3"/>
      <c r="K141" s="3"/>
      <c r="L141" s="3"/>
      <c r="M141" s="3"/>
      <c r="N141" s="3"/>
      <c r="O141" s="3">
        <f t="shared" ref="O141:T141" si="96">ROUND(O76+O112+AB141,2)</f>
        <v>97957.06</v>
      </c>
      <c r="P141" s="3">
        <f t="shared" si="96"/>
        <v>94321.17</v>
      </c>
      <c r="Q141" s="3">
        <f t="shared" si="96"/>
        <v>193.83</v>
      </c>
      <c r="R141" s="3">
        <f t="shared" si="96"/>
        <v>20.92</v>
      </c>
      <c r="S141" s="3">
        <f t="shared" si="96"/>
        <v>3442.06</v>
      </c>
      <c r="T141" s="3">
        <f t="shared" si="96"/>
        <v>0</v>
      </c>
      <c r="U141" s="3">
        <f>U76+U112+AH141</f>
        <v>242.70551249999994</v>
      </c>
      <c r="V141" s="3">
        <f>V76+V112+AI141</f>
        <v>0</v>
      </c>
      <c r="W141" s="3">
        <f>ROUND(W76+W112+AJ141,2)</f>
        <v>0</v>
      </c>
      <c r="X141" s="3">
        <f>ROUND(X76+X112+AK141,2)</f>
        <v>3584.93</v>
      </c>
      <c r="Y141" s="3">
        <f>ROUND(Y76+Y112+AL141,2)</f>
        <v>2332.2600000000002</v>
      </c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>
        <f t="shared" ref="AO141:BC141" si="97">ROUND(AO76+AO112+BX141,2)</f>
        <v>0</v>
      </c>
      <c r="AP141" s="3">
        <f t="shared" si="97"/>
        <v>8757</v>
      </c>
      <c r="AQ141" s="3">
        <f t="shared" si="97"/>
        <v>0</v>
      </c>
      <c r="AR141" s="3">
        <f t="shared" si="97"/>
        <v>103874.25</v>
      </c>
      <c r="AS141" s="3">
        <f t="shared" si="97"/>
        <v>0</v>
      </c>
      <c r="AT141" s="3">
        <f t="shared" si="97"/>
        <v>92987.46</v>
      </c>
      <c r="AU141" s="3">
        <f t="shared" si="97"/>
        <v>2129.79</v>
      </c>
      <c r="AV141" s="3">
        <f t="shared" si="97"/>
        <v>94321.17</v>
      </c>
      <c r="AW141" s="3">
        <f t="shared" si="97"/>
        <v>85564.17</v>
      </c>
      <c r="AX141" s="3">
        <f t="shared" si="97"/>
        <v>0</v>
      </c>
      <c r="AY141" s="3">
        <f t="shared" si="97"/>
        <v>85564.17</v>
      </c>
      <c r="AZ141" s="3">
        <f t="shared" si="97"/>
        <v>8757</v>
      </c>
      <c r="BA141" s="3">
        <f t="shared" si="97"/>
        <v>0</v>
      </c>
      <c r="BB141" s="3">
        <f t="shared" si="97"/>
        <v>0</v>
      </c>
      <c r="BC141" s="3">
        <f t="shared" si="97"/>
        <v>0</v>
      </c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4">
        <f t="shared" ref="DG141:DL141" si="98">ROUND(DG76+DG112+DT141,2)</f>
        <v>146561.45000000001</v>
      </c>
      <c r="DH141" s="4">
        <f t="shared" si="98"/>
        <v>70542.070000000007</v>
      </c>
      <c r="DI141" s="4">
        <f t="shared" si="98"/>
        <v>1361.5</v>
      </c>
      <c r="DJ141" s="4">
        <f t="shared" si="98"/>
        <v>453.78</v>
      </c>
      <c r="DK141" s="4">
        <f t="shared" si="98"/>
        <v>74657.88</v>
      </c>
      <c r="DL141" s="4">
        <f t="shared" si="98"/>
        <v>0</v>
      </c>
      <c r="DM141" s="4">
        <f>DM76+DM112+DZ141</f>
        <v>242.70551249999994</v>
      </c>
      <c r="DN141" s="4">
        <f>DN76+DN112+EA141</f>
        <v>0</v>
      </c>
      <c r="DO141" s="4">
        <f>ROUND(DO76+DO112+EB141,2)</f>
        <v>0</v>
      </c>
      <c r="DP141" s="4">
        <f>ROUND(DP76+DP112+EC141,2)</f>
        <v>55789.63</v>
      </c>
      <c r="DQ141" s="4">
        <f>ROUND(DQ76+DQ112+ED141,2)</f>
        <v>30609.72</v>
      </c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>
        <f t="shared" ref="EG141:EU141" si="99">ROUND(EG76+EG112+FP141,2)</f>
        <v>0</v>
      </c>
      <c r="EH141" s="4">
        <f t="shared" si="99"/>
        <v>29887.78</v>
      </c>
      <c r="EI141" s="4">
        <f t="shared" si="99"/>
        <v>0</v>
      </c>
      <c r="EJ141" s="4">
        <f t="shared" si="99"/>
        <v>233673.25</v>
      </c>
      <c r="EK141" s="4">
        <f t="shared" si="99"/>
        <v>0</v>
      </c>
      <c r="EL141" s="4">
        <f t="shared" si="99"/>
        <v>164378.46</v>
      </c>
      <c r="EM141" s="4">
        <f t="shared" si="99"/>
        <v>39407.01</v>
      </c>
      <c r="EN141" s="4">
        <f t="shared" si="99"/>
        <v>70542.070000000007</v>
      </c>
      <c r="EO141" s="4">
        <f t="shared" si="99"/>
        <v>40654.29</v>
      </c>
      <c r="EP141" s="4">
        <f t="shared" si="99"/>
        <v>0</v>
      </c>
      <c r="EQ141" s="4">
        <f t="shared" si="99"/>
        <v>40654.29</v>
      </c>
      <c r="ER141" s="4">
        <f t="shared" si="99"/>
        <v>29887.78</v>
      </c>
      <c r="ES141" s="4">
        <f t="shared" si="99"/>
        <v>0</v>
      </c>
      <c r="ET141" s="4">
        <f t="shared" si="99"/>
        <v>0</v>
      </c>
      <c r="EU141" s="4">
        <f t="shared" si="99"/>
        <v>0</v>
      </c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>
        <v>0</v>
      </c>
    </row>
    <row r="143" spans="1:206" x14ac:dyDescent="0.2">
      <c r="A143" s="5">
        <v>50</v>
      </c>
      <c r="B143" s="5">
        <v>0</v>
      </c>
      <c r="C143" s="5">
        <v>0</v>
      </c>
      <c r="D143" s="5">
        <v>1</v>
      </c>
      <c r="E143" s="5">
        <v>201</v>
      </c>
      <c r="F143" s="5">
        <f>ROUND(Source!O141,O143)</f>
        <v>97957.06</v>
      </c>
      <c r="G143" s="5" t="s">
        <v>127</v>
      </c>
      <c r="H143" s="5" t="s">
        <v>128</v>
      </c>
      <c r="I143" s="5"/>
      <c r="J143" s="5"/>
      <c r="K143" s="5">
        <v>201</v>
      </c>
      <c r="L143" s="5">
        <v>1</v>
      </c>
      <c r="M143" s="5">
        <v>3</v>
      </c>
      <c r="N143" s="5" t="s">
        <v>3</v>
      </c>
      <c r="O143" s="5">
        <v>2</v>
      </c>
      <c r="P143" s="5">
        <f>ROUND(Source!DG141,O143)</f>
        <v>146561.45000000001</v>
      </c>
      <c r="Q143" s="5"/>
      <c r="R143" s="5"/>
      <c r="S143" s="5"/>
      <c r="T143" s="5"/>
      <c r="U143" s="5"/>
      <c r="V143" s="5"/>
      <c r="W143" s="5"/>
    </row>
    <row r="144" spans="1:206" x14ac:dyDescent="0.2">
      <c r="A144" s="5">
        <v>50</v>
      </c>
      <c r="B144" s="5">
        <v>0</v>
      </c>
      <c r="C144" s="5">
        <v>0</v>
      </c>
      <c r="D144" s="5">
        <v>1</v>
      </c>
      <c r="E144" s="5">
        <v>202</v>
      </c>
      <c r="F144" s="5">
        <f>ROUND(Source!P141,O144)</f>
        <v>94321.17</v>
      </c>
      <c r="G144" s="5" t="s">
        <v>129</v>
      </c>
      <c r="H144" s="5" t="s">
        <v>130</v>
      </c>
      <c r="I144" s="5"/>
      <c r="J144" s="5"/>
      <c r="K144" s="5">
        <v>202</v>
      </c>
      <c r="L144" s="5">
        <v>2</v>
      </c>
      <c r="M144" s="5">
        <v>3</v>
      </c>
      <c r="N144" s="5" t="s">
        <v>3</v>
      </c>
      <c r="O144" s="5">
        <v>2</v>
      </c>
      <c r="P144" s="5">
        <f>ROUND(Source!DH141,O144)</f>
        <v>70542.070000000007</v>
      </c>
      <c r="Q144" s="5"/>
      <c r="R144" s="5"/>
      <c r="S144" s="5"/>
      <c r="T144" s="5"/>
      <c r="U144" s="5"/>
      <c r="V144" s="5"/>
      <c r="W144" s="5"/>
    </row>
    <row r="145" spans="1:23" x14ac:dyDescent="0.2">
      <c r="A145" s="5">
        <v>50</v>
      </c>
      <c r="B145" s="5">
        <v>0</v>
      </c>
      <c r="C145" s="5">
        <v>0</v>
      </c>
      <c r="D145" s="5">
        <v>1</v>
      </c>
      <c r="E145" s="5">
        <v>222</v>
      </c>
      <c r="F145" s="5">
        <f>ROUND(Source!AO141,O145)</f>
        <v>0</v>
      </c>
      <c r="G145" s="5" t="s">
        <v>131</v>
      </c>
      <c r="H145" s="5" t="s">
        <v>132</v>
      </c>
      <c r="I145" s="5"/>
      <c r="J145" s="5"/>
      <c r="K145" s="5">
        <v>222</v>
      </c>
      <c r="L145" s="5">
        <v>3</v>
      </c>
      <c r="M145" s="5">
        <v>3</v>
      </c>
      <c r="N145" s="5" t="s">
        <v>3</v>
      </c>
      <c r="O145" s="5">
        <v>2</v>
      </c>
      <c r="P145" s="5">
        <f>ROUND(Source!EG141,O145)</f>
        <v>0</v>
      </c>
      <c r="Q145" s="5"/>
      <c r="R145" s="5"/>
      <c r="S145" s="5"/>
      <c r="T145" s="5"/>
      <c r="U145" s="5"/>
      <c r="V145" s="5"/>
      <c r="W145" s="5"/>
    </row>
    <row r="146" spans="1:23" x14ac:dyDescent="0.2">
      <c r="A146" s="5">
        <v>50</v>
      </c>
      <c r="B146" s="5">
        <v>0</v>
      </c>
      <c r="C146" s="5">
        <v>0</v>
      </c>
      <c r="D146" s="5">
        <v>1</v>
      </c>
      <c r="E146" s="5">
        <v>225</v>
      </c>
      <c r="F146" s="5">
        <f>ROUND(Source!AV141,O146)</f>
        <v>94321.17</v>
      </c>
      <c r="G146" s="5" t="s">
        <v>133</v>
      </c>
      <c r="H146" s="5" t="s">
        <v>134</v>
      </c>
      <c r="I146" s="5"/>
      <c r="J146" s="5"/>
      <c r="K146" s="5">
        <v>225</v>
      </c>
      <c r="L146" s="5">
        <v>4</v>
      </c>
      <c r="M146" s="5">
        <v>3</v>
      </c>
      <c r="N146" s="5" t="s">
        <v>3</v>
      </c>
      <c r="O146" s="5">
        <v>2</v>
      </c>
      <c r="P146" s="5">
        <f>ROUND(Source!EN141,O146)</f>
        <v>70542.070000000007</v>
      </c>
      <c r="Q146" s="5"/>
      <c r="R146" s="5"/>
      <c r="S146" s="5"/>
      <c r="T146" s="5"/>
      <c r="U146" s="5"/>
      <c r="V146" s="5"/>
      <c r="W146" s="5"/>
    </row>
    <row r="147" spans="1:23" x14ac:dyDescent="0.2">
      <c r="A147" s="5">
        <v>50</v>
      </c>
      <c r="B147" s="5">
        <v>0</v>
      </c>
      <c r="C147" s="5">
        <v>0</v>
      </c>
      <c r="D147" s="5">
        <v>1</v>
      </c>
      <c r="E147" s="5">
        <v>226</v>
      </c>
      <c r="F147" s="5">
        <f>ROUND(Source!AW141,O147)</f>
        <v>85564.17</v>
      </c>
      <c r="G147" s="5" t="s">
        <v>135</v>
      </c>
      <c r="H147" s="5" t="s">
        <v>136</v>
      </c>
      <c r="I147" s="5"/>
      <c r="J147" s="5"/>
      <c r="K147" s="5">
        <v>226</v>
      </c>
      <c r="L147" s="5">
        <v>5</v>
      </c>
      <c r="M147" s="5">
        <v>3</v>
      </c>
      <c r="N147" s="5" t="s">
        <v>3</v>
      </c>
      <c r="O147" s="5">
        <v>2</v>
      </c>
      <c r="P147" s="5">
        <f>ROUND(Source!EO141,O147)</f>
        <v>40654.29</v>
      </c>
      <c r="Q147" s="5"/>
      <c r="R147" s="5"/>
      <c r="S147" s="5"/>
      <c r="T147" s="5"/>
      <c r="U147" s="5"/>
      <c r="V147" s="5"/>
      <c r="W147" s="5"/>
    </row>
    <row r="148" spans="1:23" x14ac:dyDescent="0.2">
      <c r="A148" s="5">
        <v>50</v>
      </c>
      <c r="B148" s="5">
        <v>0</v>
      </c>
      <c r="C148" s="5">
        <v>0</v>
      </c>
      <c r="D148" s="5">
        <v>1</v>
      </c>
      <c r="E148" s="5">
        <v>227</v>
      </c>
      <c r="F148" s="5">
        <f>ROUND(Source!AX141,O148)</f>
        <v>0</v>
      </c>
      <c r="G148" s="5" t="s">
        <v>137</v>
      </c>
      <c r="H148" s="5" t="s">
        <v>138</v>
      </c>
      <c r="I148" s="5"/>
      <c r="J148" s="5"/>
      <c r="K148" s="5">
        <v>227</v>
      </c>
      <c r="L148" s="5">
        <v>6</v>
      </c>
      <c r="M148" s="5">
        <v>3</v>
      </c>
      <c r="N148" s="5" t="s">
        <v>3</v>
      </c>
      <c r="O148" s="5">
        <v>2</v>
      </c>
      <c r="P148" s="5">
        <f>ROUND(Source!EP141,O148)</f>
        <v>0</v>
      </c>
      <c r="Q148" s="5"/>
      <c r="R148" s="5"/>
      <c r="S148" s="5"/>
      <c r="T148" s="5"/>
      <c r="U148" s="5"/>
      <c r="V148" s="5"/>
      <c r="W148" s="5"/>
    </row>
    <row r="149" spans="1:23" x14ac:dyDescent="0.2">
      <c r="A149" s="5">
        <v>50</v>
      </c>
      <c r="B149" s="5">
        <v>0</v>
      </c>
      <c r="C149" s="5">
        <v>0</v>
      </c>
      <c r="D149" s="5">
        <v>1</v>
      </c>
      <c r="E149" s="5">
        <v>228</v>
      </c>
      <c r="F149" s="5">
        <f>ROUND(Source!AY141,O149)</f>
        <v>85564.17</v>
      </c>
      <c r="G149" s="5" t="s">
        <v>139</v>
      </c>
      <c r="H149" s="5" t="s">
        <v>140</v>
      </c>
      <c r="I149" s="5"/>
      <c r="J149" s="5"/>
      <c r="K149" s="5">
        <v>228</v>
      </c>
      <c r="L149" s="5">
        <v>7</v>
      </c>
      <c r="M149" s="5">
        <v>3</v>
      </c>
      <c r="N149" s="5" t="s">
        <v>3</v>
      </c>
      <c r="O149" s="5">
        <v>2</v>
      </c>
      <c r="P149" s="5">
        <f>ROUND(Source!EQ141,O149)</f>
        <v>40654.29</v>
      </c>
      <c r="Q149" s="5"/>
      <c r="R149" s="5"/>
      <c r="S149" s="5"/>
      <c r="T149" s="5"/>
      <c r="U149" s="5"/>
      <c r="V149" s="5"/>
      <c r="W149" s="5"/>
    </row>
    <row r="150" spans="1:23" x14ac:dyDescent="0.2">
      <c r="A150" s="5">
        <v>50</v>
      </c>
      <c r="B150" s="5">
        <v>0</v>
      </c>
      <c r="C150" s="5">
        <v>0</v>
      </c>
      <c r="D150" s="5">
        <v>1</v>
      </c>
      <c r="E150" s="5">
        <v>216</v>
      </c>
      <c r="F150" s="5">
        <f>ROUND(Source!AP141,O150)</f>
        <v>8757</v>
      </c>
      <c r="G150" s="5" t="s">
        <v>141</v>
      </c>
      <c r="H150" s="5" t="s">
        <v>142</v>
      </c>
      <c r="I150" s="5"/>
      <c r="J150" s="5"/>
      <c r="K150" s="5">
        <v>216</v>
      </c>
      <c r="L150" s="5">
        <v>8</v>
      </c>
      <c r="M150" s="5">
        <v>3</v>
      </c>
      <c r="N150" s="5" t="s">
        <v>3</v>
      </c>
      <c r="O150" s="5">
        <v>2</v>
      </c>
      <c r="P150" s="5">
        <f>ROUND(Source!EH141,O150)</f>
        <v>29887.78</v>
      </c>
      <c r="Q150" s="5"/>
      <c r="R150" s="5"/>
      <c r="S150" s="5"/>
      <c r="T150" s="5"/>
      <c r="U150" s="5"/>
      <c r="V150" s="5"/>
      <c r="W150" s="5"/>
    </row>
    <row r="151" spans="1:23" x14ac:dyDescent="0.2">
      <c r="A151" s="5">
        <v>50</v>
      </c>
      <c r="B151" s="5">
        <v>0</v>
      </c>
      <c r="C151" s="5">
        <v>0</v>
      </c>
      <c r="D151" s="5">
        <v>1</v>
      </c>
      <c r="E151" s="5">
        <v>223</v>
      </c>
      <c r="F151" s="5">
        <f>ROUND(Source!AQ141,O151)</f>
        <v>0</v>
      </c>
      <c r="G151" s="5" t="s">
        <v>143</v>
      </c>
      <c r="H151" s="5" t="s">
        <v>144</v>
      </c>
      <c r="I151" s="5"/>
      <c r="J151" s="5"/>
      <c r="K151" s="5">
        <v>223</v>
      </c>
      <c r="L151" s="5">
        <v>9</v>
      </c>
      <c r="M151" s="5">
        <v>3</v>
      </c>
      <c r="N151" s="5" t="s">
        <v>3</v>
      </c>
      <c r="O151" s="5">
        <v>2</v>
      </c>
      <c r="P151" s="5">
        <f>ROUND(Source!EI141,O151)</f>
        <v>0</v>
      </c>
      <c r="Q151" s="5"/>
      <c r="R151" s="5"/>
      <c r="S151" s="5"/>
      <c r="T151" s="5"/>
      <c r="U151" s="5"/>
      <c r="V151" s="5"/>
      <c r="W151" s="5"/>
    </row>
    <row r="152" spans="1:23" x14ac:dyDescent="0.2">
      <c r="A152" s="5">
        <v>50</v>
      </c>
      <c r="B152" s="5">
        <v>0</v>
      </c>
      <c r="C152" s="5">
        <v>0</v>
      </c>
      <c r="D152" s="5">
        <v>1</v>
      </c>
      <c r="E152" s="5">
        <v>229</v>
      </c>
      <c r="F152" s="5">
        <f>ROUND(Source!AZ141,O152)</f>
        <v>8757</v>
      </c>
      <c r="G152" s="5" t="s">
        <v>145</v>
      </c>
      <c r="H152" s="5" t="s">
        <v>146</v>
      </c>
      <c r="I152" s="5"/>
      <c r="J152" s="5"/>
      <c r="K152" s="5">
        <v>229</v>
      </c>
      <c r="L152" s="5">
        <v>10</v>
      </c>
      <c r="M152" s="5">
        <v>3</v>
      </c>
      <c r="N152" s="5" t="s">
        <v>3</v>
      </c>
      <c r="O152" s="5">
        <v>2</v>
      </c>
      <c r="P152" s="5">
        <f>ROUND(Source!ER141,O152)</f>
        <v>29887.78</v>
      </c>
      <c r="Q152" s="5"/>
      <c r="R152" s="5"/>
      <c r="S152" s="5"/>
      <c r="T152" s="5"/>
      <c r="U152" s="5"/>
      <c r="V152" s="5"/>
      <c r="W152" s="5"/>
    </row>
    <row r="153" spans="1:23" x14ac:dyDescent="0.2">
      <c r="A153" s="5">
        <v>50</v>
      </c>
      <c r="B153" s="5">
        <v>0</v>
      </c>
      <c r="C153" s="5">
        <v>0</v>
      </c>
      <c r="D153" s="5">
        <v>1</v>
      </c>
      <c r="E153" s="5">
        <v>203</v>
      </c>
      <c r="F153" s="5">
        <f>ROUND(Source!Q141,O153)</f>
        <v>193.83</v>
      </c>
      <c r="G153" s="5" t="s">
        <v>147</v>
      </c>
      <c r="H153" s="5" t="s">
        <v>148</v>
      </c>
      <c r="I153" s="5"/>
      <c r="J153" s="5"/>
      <c r="K153" s="5">
        <v>203</v>
      </c>
      <c r="L153" s="5">
        <v>11</v>
      </c>
      <c r="M153" s="5">
        <v>3</v>
      </c>
      <c r="N153" s="5" t="s">
        <v>3</v>
      </c>
      <c r="O153" s="5">
        <v>2</v>
      </c>
      <c r="P153" s="5">
        <f>ROUND(Source!DI141,O153)</f>
        <v>1361.5</v>
      </c>
      <c r="Q153" s="5"/>
      <c r="R153" s="5"/>
      <c r="S153" s="5"/>
      <c r="T153" s="5"/>
      <c r="U153" s="5"/>
      <c r="V153" s="5"/>
      <c r="W153" s="5"/>
    </row>
    <row r="154" spans="1:23" x14ac:dyDescent="0.2">
      <c r="A154" s="5">
        <v>50</v>
      </c>
      <c r="B154" s="5">
        <v>0</v>
      </c>
      <c r="C154" s="5">
        <v>0</v>
      </c>
      <c r="D154" s="5">
        <v>1</v>
      </c>
      <c r="E154" s="5">
        <v>231</v>
      </c>
      <c r="F154" s="5">
        <f>ROUND(Source!BB141,O154)</f>
        <v>0</v>
      </c>
      <c r="G154" s="5" t="s">
        <v>149</v>
      </c>
      <c r="H154" s="5" t="s">
        <v>150</v>
      </c>
      <c r="I154" s="5"/>
      <c r="J154" s="5"/>
      <c r="K154" s="5">
        <v>231</v>
      </c>
      <c r="L154" s="5">
        <v>12</v>
      </c>
      <c r="M154" s="5">
        <v>3</v>
      </c>
      <c r="N154" s="5" t="s">
        <v>3</v>
      </c>
      <c r="O154" s="5">
        <v>2</v>
      </c>
      <c r="P154" s="5">
        <f>ROUND(Source!ET141,O154)</f>
        <v>0</v>
      </c>
      <c r="Q154" s="5"/>
      <c r="R154" s="5"/>
      <c r="S154" s="5"/>
      <c r="T154" s="5"/>
      <c r="U154" s="5"/>
      <c r="V154" s="5"/>
      <c r="W154" s="5"/>
    </row>
    <row r="155" spans="1:23" x14ac:dyDescent="0.2">
      <c r="A155" s="5">
        <v>50</v>
      </c>
      <c r="B155" s="5">
        <v>0</v>
      </c>
      <c r="C155" s="5">
        <v>0</v>
      </c>
      <c r="D155" s="5">
        <v>1</v>
      </c>
      <c r="E155" s="5">
        <v>204</v>
      </c>
      <c r="F155" s="5">
        <f>ROUND(Source!R141,O155)</f>
        <v>20.92</v>
      </c>
      <c r="G155" s="5" t="s">
        <v>151</v>
      </c>
      <c r="H155" s="5" t="s">
        <v>152</v>
      </c>
      <c r="I155" s="5"/>
      <c r="J155" s="5"/>
      <c r="K155" s="5">
        <v>204</v>
      </c>
      <c r="L155" s="5">
        <v>13</v>
      </c>
      <c r="M155" s="5">
        <v>3</v>
      </c>
      <c r="N155" s="5" t="s">
        <v>3</v>
      </c>
      <c r="O155" s="5">
        <v>2</v>
      </c>
      <c r="P155" s="5">
        <f>ROUND(Source!DJ141,O155)</f>
        <v>453.78</v>
      </c>
      <c r="Q155" s="5"/>
      <c r="R155" s="5"/>
      <c r="S155" s="5"/>
      <c r="T155" s="5"/>
      <c r="U155" s="5"/>
      <c r="V155" s="5"/>
      <c r="W155" s="5"/>
    </row>
    <row r="156" spans="1:23" x14ac:dyDescent="0.2">
      <c r="A156" s="5">
        <v>50</v>
      </c>
      <c r="B156" s="5">
        <v>0</v>
      </c>
      <c r="C156" s="5">
        <v>0</v>
      </c>
      <c r="D156" s="5">
        <v>1</v>
      </c>
      <c r="E156" s="5">
        <v>205</v>
      </c>
      <c r="F156" s="5">
        <f>ROUND(Source!S141,O156)</f>
        <v>3442.06</v>
      </c>
      <c r="G156" s="5" t="s">
        <v>153</v>
      </c>
      <c r="H156" s="5" t="s">
        <v>154</v>
      </c>
      <c r="I156" s="5"/>
      <c r="J156" s="5"/>
      <c r="K156" s="5">
        <v>205</v>
      </c>
      <c r="L156" s="5">
        <v>14</v>
      </c>
      <c r="M156" s="5">
        <v>3</v>
      </c>
      <c r="N156" s="5" t="s">
        <v>3</v>
      </c>
      <c r="O156" s="5">
        <v>2</v>
      </c>
      <c r="P156" s="5">
        <f>ROUND(Source!DK141,O156)</f>
        <v>74657.88</v>
      </c>
      <c r="Q156" s="5"/>
      <c r="R156" s="5"/>
      <c r="S156" s="5"/>
      <c r="T156" s="5"/>
      <c r="U156" s="5"/>
      <c r="V156" s="5"/>
      <c r="W156" s="5"/>
    </row>
    <row r="157" spans="1:23" x14ac:dyDescent="0.2">
      <c r="A157" s="5">
        <v>50</v>
      </c>
      <c r="B157" s="5">
        <v>0</v>
      </c>
      <c r="C157" s="5">
        <v>0</v>
      </c>
      <c r="D157" s="5">
        <v>1</v>
      </c>
      <c r="E157" s="5">
        <v>232</v>
      </c>
      <c r="F157" s="5">
        <f>ROUND(Source!BC141,O157)</f>
        <v>0</v>
      </c>
      <c r="G157" s="5" t="s">
        <v>155</v>
      </c>
      <c r="H157" s="5" t="s">
        <v>156</v>
      </c>
      <c r="I157" s="5"/>
      <c r="J157" s="5"/>
      <c r="K157" s="5">
        <v>232</v>
      </c>
      <c r="L157" s="5">
        <v>15</v>
      </c>
      <c r="M157" s="5">
        <v>3</v>
      </c>
      <c r="N157" s="5" t="s">
        <v>3</v>
      </c>
      <c r="O157" s="5">
        <v>2</v>
      </c>
      <c r="P157" s="5">
        <f>ROUND(Source!EU141,O157)</f>
        <v>0</v>
      </c>
      <c r="Q157" s="5"/>
      <c r="R157" s="5"/>
      <c r="S157" s="5"/>
      <c r="T157" s="5"/>
      <c r="U157" s="5"/>
      <c r="V157" s="5"/>
      <c r="W157" s="5"/>
    </row>
    <row r="158" spans="1:23" x14ac:dyDescent="0.2">
      <c r="A158" s="5">
        <v>50</v>
      </c>
      <c r="B158" s="5">
        <v>0</v>
      </c>
      <c r="C158" s="5">
        <v>0</v>
      </c>
      <c r="D158" s="5">
        <v>1</v>
      </c>
      <c r="E158" s="5">
        <v>214</v>
      </c>
      <c r="F158" s="5">
        <f>ROUND(Source!AS141,O158)</f>
        <v>0</v>
      </c>
      <c r="G158" s="5" t="s">
        <v>157</v>
      </c>
      <c r="H158" s="5" t="s">
        <v>158</v>
      </c>
      <c r="I158" s="5"/>
      <c r="J158" s="5"/>
      <c r="K158" s="5">
        <v>214</v>
      </c>
      <c r="L158" s="5">
        <v>16</v>
      </c>
      <c r="M158" s="5">
        <v>3</v>
      </c>
      <c r="N158" s="5" t="s">
        <v>3</v>
      </c>
      <c r="O158" s="5">
        <v>2</v>
      </c>
      <c r="P158" s="5">
        <f>ROUND(Source!EK141,O158)</f>
        <v>0</v>
      </c>
      <c r="Q158" s="5"/>
      <c r="R158" s="5"/>
      <c r="S158" s="5"/>
      <c r="T158" s="5"/>
      <c r="U158" s="5"/>
      <c r="V158" s="5"/>
      <c r="W158" s="5"/>
    </row>
    <row r="159" spans="1:23" x14ac:dyDescent="0.2">
      <c r="A159" s="5">
        <v>50</v>
      </c>
      <c r="B159" s="5">
        <v>0</v>
      </c>
      <c r="C159" s="5">
        <v>0</v>
      </c>
      <c r="D159" s="5">
        <v>1</v>
      </c>
      <c r="E159" s="5">
        <v>215</v>
      </c>
      <c r="F159" s="5">
        <f>ROUND(Source!AT141,O159)</f>
        <v>92987.46</v>
      </c>
      <c r="G159" s="5" t="s">
        <v>159</v>
      </c>
      <c r="H159" s="5" t="s">
        <v>160</v>
      </c>
      <c r="I159" s="5"/>
      <c r="J159" s="5"/>
      <c r="K159" s="5">
        <v>215</v>
      </c>
      <c r="L159" s="5">
        <v>17</v>
      </c>
      <c r="M159" s="5">
        <v>3</v>
      </c>
      <c r="N159" s="5" t="s">
        <v>3</v>
      </c>
      <c r="O159" s="5">
        <v>2</v>
      </c>
      <c r="P159" s="5">
        <f>ROUND(Source!EL141,O159)</f>
        <v>164378.46</v>
      </c>
      <c r="Q159" s="5"/>
      <c r="R159" s="5"/>
      <c r="S159" s="5"/>
      <c r="T159" s="5"/>
      <c r="U159" s="5"/>
      <c r="V159" s="5"/>
      <c r="W159" s="5"/>
    </row>
    <row r="160" spans="1:23" x14ac:dyDescent="0.2">
      <c r="A160" s="5">
        <v>50</v>
      </c>
      <c r="B160" s="5">
        <v>0</v>
      </c>
      <c r="C160" s="5">
        <v>0</v>
      </c>
      <c r="D160" s="5">
        <v>1</v>
      </c>
      <c r="E160" s="5">
        <v>217</v>
      </c>
      <c r="F160" s="5">
        <f>ROUND(Source!AU141,O160)</f>
        <v>2129.79</v>
      </c>
      <c r="G160" s="5" t="s">
        <v>161</v>
      </c>
      <c r="H160" s="5" t="s">
        <v>162</v>
      </c>
      <c r="I160" s="5"/>
      <c r="J160" s="5"/>
      <c r="K160" s="5">
        <v>217</v>
      </c>
      <c r="L160" s="5">
        <v>18</v>
      </c>
      <c r="M160" s="5">
        <v>3</v>
      </c>
      <c r="N160" s="5" t="s">
        <v>3</v>
      </c>
      <c r="O160" s="5">
        <v>2</v>
      </c>
      <c r="P160" s="5">
        <f>ROUND(Source!EM141,O160)</f>
        <v>39407.01</v>
      </c>
      <c r="Q160" s="5"/>
      <c r="R160" s="5"/>
      <c r="S160" s="5"/>
      <c r="T160" s="5"/>
      <c r="U160" s="5"/>
      <c r="V160" s="5"/>
      <c r="W160" s="5"/>
    </row>
    <row r="161" spans="1:206" x14ac:dyDescent="0.2">
      <c r="A161" s="5">
        <v>50</v>
      </c>
      <c r="B161" s="5">
        <v>0</v>
      </c>
      <c r="C161" s="5">
        <v>0</v>
      </c>
      <c r="D161" s="5">
        <v>1</v>
      </c>
      <c r="E161" s="5">
        <v>230</v>
      </c>
      <c r="F161" s="5">
        <f>ROUND(Source!BA141,O161)</f>
        <v>0</v>
      </c>
      <c r="G161" s="5" t="s">
        <v>163</v>
      </c>
      <c r="H161" s="5" t="s">
        <v>164</v>
      </c>
      <c r="I161" s="5"/>
      <c r="J161" s="5"/>
      <c r="K161" s="5">
        <v>230</v>
      </c>
      <c r="L161" s="5">
        <v>19</v>
      </c>
      <c r="M161" s="5">
        <v>3</v>
      </c>
      <c r="N161" s="5" t="s">
        <v>3</v>
      </c>
      <c r="O161" s="5">
        <v>2</v>
      </c>
      <c r="P161" s="5">
        <f>ROUND(Source!ES141,O161)</f>
        <v>0</v>
      </c>
      <c r="Q161" s="5"/>
      <c r="R161" s="5"/>
      <c r="S161" s="5"/>
      <c r="T161" s="5"/>
      <c r="U161" s="5"/>
      <c r="V161" s="5"/>
      <c r="W161" s="5"/>
    </row>
    <row r="162" spans="1:206" x14ac:dyDescent="0.2">
      <c r="A162" s="5">
        <v>50</v>
      </c>
      <c r="B162" s="5">
        <v>0</v>
      </c>
      <c r="C162" s="5">
        <v>0</v>
      </c>
      <c r="D162" s="5">
        <v>1</v>
      </c>
      <c r="E162" s="5">
        <v>206</v>
      </c>
      <c r="F162" s="5">
        <f>ROUND(Source!T141,O162)</f>
        <v>0</v>
      </c>
      <c r="G162" s="5" t="s">
        <v>165</v>
      </c>
      <c r="H162" s="5" t="s">
        <v>166</v>
      </c>
      <c r="I162" s="5"/>
      <c r="J162" s="5"/>
      <c r="K162" s="5">
        <v>206</v>
      </c>
      <c r="L162" s="5">
        <v>20</v>
      </c>
      <c r="M162" s="5">
        <v>3</v>
      </c>
      <c r="N162" s="5" t="s">
        <v>3</v>
      </c>
      <c r="O162" s="5">
        <v>2</v>
      </c>
      <c r="P162" s="5">
        <f>ROUND(Source!DL141,O162)</f>
        <v>0</v>
      </c>
      <c r="Q162" s="5"/>
      <c r="R162" s="5"/>
      <c r="S162" s="5"/>
      <c r="T162" s="5"/>
      <c r="U162" s="5"/>
      <c r="V162" s="5"/>
      <c r="W162" s="5"/>
    </row>
    <row r="163" spans="1:206" x14ac:dyDescent="0.2">
      <c r="A163" s="5">
        <v>50</v>
      </c>
      <c r="B163" s="5">
        <v>0</v>
      </c>
      <c r="C163" s="5">
        <v>0</v>
      </c>
      <c r="D163" s="5">
        <v>1</v>
      </c>
      <c r="E163" s="5">
        <v>207</v>
      </c>
      <c r="F163" s="5">
        <f>Source!U141</f>
        <v>242.70551249999994</v>
      </c>
      <c r="G163" s="5" t="s">
        <v>167</v>
      </c>
      <c r="H163" s="5" t="s">
        <v>168</v>
      </c>
      <c r="I163" s="5"/>
      <c r="J163" s="5"/>
      <c r="K163" s="5">
        <v>207</v>
      </c>
      <c r="L163" s="5">
        <v>21</v>
      </c>
      <c r="M163" s="5">
        <v>3</v>
      </c>
      <c r="N163" s="5" t="s">
        <v>3</v>
      </c>
      <c r="O163" s="5">
        <v>-1</v>
      </c>
      <c r="P163" s="5">
        <f>Source!DM141</f>
        <v>242.70551249999994</v>
      </c>
      <c r="Q163" s="5"/>
      <c r="R163" s="5"/>
      <c r="S163" s="5"/>
      <c r="T163" s="5"/>
      <c r="U163" s="5"/>
      <c r="V163" s="5"/>
      <c r="W163" s="5"/>
    </row>
    <row r="164" spans="1:206" x14ac:dyDescent="0.2">
      <c r="A164" s="5">
        <v>50</v>
      </c>
      <c r="B164" s="5">
        <v>0</v>
      </c>
      <c r="C164" s="5">
        <v>0</v>
      </c>
      <c r="D164" s="5">
        <v>1</v>
      </c>
      <c r="E164" s="5">
        <v>208</v>
      </c>
      <c r="F164" s="5">
        <f>Source!V141</f>
        <v>0</v>
      </c>
      <c r="G164" s="5" t="s">
        <v>169</v>
      </c>
      <c r="H164" s="5" t="s">
        <v>170</v>
      </c>
      <c r="I164" s="5"/>
      <c r="J164" s="5"/>
      <c r="K164" s="5">
        <v>208</v>
      </c>
      <c r="L164" s="5">
        <v>22</v>
      </c>
      <c r="M164" s="5">
        <v>3</v>
      </c>
      <c r="N164" s="5" t="s">
        <v>3</v>
      </c>
      <c r="O164" s="5">
        <v>-1</v>
      </c>
      <c r="P164" s="5">
        <f>Source!DN141</f>
        <v>0</v>
      </c>
      <c r="Q164" s="5"/>
      <c r="R164" s="5"/>
      <c r="S164" s="5"/>
      <c r="T164" s="5"/>
      <c r="U164" s="5"/>
      <c r="V164" s="5"/>
      <c r="W164" s="5"/>
    </row>
    <row r="165" spans="1:206" x14ac:dyDescent="0.2">
      <c r="A165" s="5">
        <v>50</v>
      </c>
      <c r="B165" s="5">
        <v>0</v>
      </c>
      <c r="C165" s="5">
        <v>0</v>
      </c>
      <c r="D165" s="5">
        <v>1</v>
      </c>
      <c r="E165" s="5">
        <v>209</v>
      </c>
      <c r="F165" s="5">
        <f>ROUND(Source!W141,O165)</f>
        <v>0</v>
      </c>
      <c r="G165" s="5" t="s">
        <v>171</v>
      </c>
      <c r="H165" s="5" t="s">
        <v>172</v>
      </c>
      <c r="I165" s="5"/>
      <c r="J165" s="5"/>
      <c r="K165" s="5">
        <v>209</v>
      </c>
      <c r="L165" s="5">
        <v>23</v>
      </c>
      <c r="M165" s="5">
        <v>3</v>
      </c>
      <c r="N165" s="5" t="s">
        <v>3</v>
      </c>
      <c r="O165" s="5">
        <v>2</v>
      </c>
      <c r="P165" s="5">
        <f>ROUND(Source!DO141,O165)</f>
        <v>0</v>
      </c>
      <c r="Q165" s="5"/>
      <c r="R165" s="5"/>
      <c r="S165" s="5"/>
      <c r="T165" s="5"/>
      <c r="U165" s="5"/>
      <c r="V165" s="5"/>
      <c r="W165" s="5"/>
    </row>
    <row r="166" spans="1:206" x14ac:dyDescent="0.2">
      <c r="A166" s="5">
        <v>50</v>
      </c>
      <c r="B166" s="5">
        <v>0</v>
      </c>
      <c r="C166" s="5">
        <v>0</v>
      </c>
      <c r="D166" s="5">
        <v>1</v>
      </c>
      <c r="E166" s="5">
        <v>210</v>
      </c>
      <c r="F166" s="5">
        <f>ROUND(Source!X141,O166)</f>
        <v>3584.93</v>
      </c>
      <c r="G166" s="5" t="s">
        <v>173</v>
      </c>
      <c r="H166" s="5" t="s">
        <v>174</v>
      </c>
      <c r="I166" s="5"/>
      <c r="J166" s="5"/>
      <c r="K166" s="5">
        <v>210</v>
      </c>
      <c r="L166" s="5">
        <v>24</v>
      </c>
      <c r="M166" s="5">
        <v>3</v>
      </c>
      <c r="N166" s="5" t="s">
        <v>3</v>
      </c>
      <c r="O166" s="5">
        <v>2</v>
      </c>
      <c r="P166" s="5">
        <f>ROUND(Source!DP141,O166)</f>
        <v>55789.63</v>
      </c>
      <c r="Q166" s="5"/>
      <c r="R166" s="5"/>
      <c r="S166" s="5"/>
      <c r="T166" s="5"/>
      <c r="U166" s="5"/>
      <c r="V166" s="5"/>
      <c r="W166" s="5"/>
    </row>
    <row r="167" spans="1:206" x14ac:dyDescent="0.2">
      <c r="A167" s="5">
        <v>50</v>
      </c>
      <c r="B167" s="5">
        <v>0</v>
      </c>
      <c r="C167" s="5">
        <v>0</v>
      </c>
      <c r="D167" s="5">
        <v>1</v>
      </c>
      <c r="E167" s="5">
        <v>211</v>
      </c>
      <c r="F167" s="5">
        <f>ROUND(Source!Y141,O167)</f>
        <v>2332.2600000000002</v>
      </c>
      <c r="G167" s="5" t="s">
        <v>175</v>
      </c>
      <c r="H167" s="5" t="s">
        <v>176</v>
      </c>
      <c r="I167" s="5"/>
      <c r="J167" s="5"/>
      <c r="K167" s="5">
        <v>211</v>
      </c>
      <c r="L167" s="5">
        <v>25</v>
      </c>
      <c r="M167" s="5">
        <v>3</v>
      </c>
      <c r="N167" s="5" t="s">
        <v>3</v>
      </c>
      <c r="O167" s="5">
        <v>2</v>
      </c>
      <c r="P167" s="5">
        <f>ROUND(Source!DQ141,O167)</f>
        <v>30609.72</v>
      </c>
      <c r="Q167" s="5"/>
      <c r="R167" s="5"/>
      <c r="S167" s="5"/>
      <c r="T167" s="5"/>
      <c r="U167" s="5"/>
      <c r="V167" s="5"/>
      <c r="W167" s="5"/>
    </row>
    <row r="168" spans="1:206" x14ac:dyDescent="0.2">
      <c r="A168" s="5">
        <v>50</v>
      </c>
      <c r="B168" s="5">
        <v>0</v>
      </c>
      <c r="C168" s="5">
        <v>0</v>
      </c>
      <c r="D168" s="5">
        <v>1</v>
      </c>
      <c r="E168" s="5">
        <v>224</v>
      </c>
      <c r="F168" s="5">
        <f>ROUND(Source!AR141,O168)</f>
        <v>103874.25</v>
      </c>
      <c r="G168" s="5" t="s">
        <v>177</v>
      </c>
      <c r="H168" s="5" t="s">
        <v>178</v>
      </c>
      <c r="I168" s="5"/>
      <c r="J168" s="5"/>
      <c r="K168" s="5">
        <v>224</v>
      </c>
      <c r="L168" s="5">
        <v>26</v>
      </c>
      <c r="M168" s="5">
        <v>3</v>
      </c>
      <c r="N168" s="5" t="s">
        <v>3</v>
      </c>
      <c r="O168" s="5">
        <v>2</v>
      </c>
      <c r="P168" s="5">
        <f>ROUND(Source!EJ141,O168)</f>
        <v>233673.25</v>
      </c>
      <c r="Q168" s="5"/>
      <c r="R168" s="5"/>
      <c r="S168" s="5"/>
      <c r="T168" s="5"/>
      <c r="U168" s="5"/>
      <c r="V168" s="5"/>
      <c r="W168" s="5"/>
    </row>
    <row r="169" spans="1:206" x14ac:dyDescent="0.2">
      <c r="A169" s="5">
        <v>50</v>
      </c>
      <c r="B169" s="5">
        <v>1</v>
      </c>
      <c r="C169" s="5">
        <v>0</v>
      </c>
      <c r="D169" s="5">
        <v>2</v>
      </c>
      <c r="E169" s="5">
        <v>0</v>
      </c>
      <c r="F169" s="5">
        <f>ROUND(F168,O169)</f>
        <v>103874.25</v>
      </c>
      <c r="G169" s="5" t="s">
        <v>189</v>
      </c>
      <c r="H169" s="5" t="s">
        <v>190</v>
      </c>
      <c r="I169" s="5"/>
      <c r="J169" s="5"/>
      <c r="K169" s="5">
        <v>212</v>
      </c>
      <c r="L169" s="5">
        <v>27</v>
      </c>
      <c r="M169" s="5">
        <v>0</v>
      </c>
      <c r="N169" s="5" t="s">
        <v>3</v>
      </c>
      <c r="O169" s="5">
        <v>2</v>
      </c>
      <c r="P169" s="5">
        <f>ROUND(P168,O169)</f>
        <v>233673.25</v>
      </c>
      <c r="Q169" s="5"/>
      <c r="R169" s="5"/>
      <c r="S169" s="5"/>
      <c r="T169" s="5"/>
      <c r="U169" s="5"/>
      <c r="V169" s="5"/>
      <c r="W169" s="5"/>
    </row>
    <row r="170" spans="1:206" x14ac:dyDescent="0.2">
      <c r="A170" s="5">
        <v>50</v>
      </c>
      <c r="B170" s="5">
        <v>1</v>
      </c>
      <c r="C170" s="5">
        <v>0</v>
      </c>
      <c r="D170" s="5">
        <v>2</v>
      </c>
      <c r="E170" s="5">
        <v>0</v>
      </c>
      <c r="F170" s="5">
        <f>ROUND(F169*0.2,O170)</f>
        <v>20774.849999999999</v>
      </c>
      <c r="G170" s="5" t="s">
        <v>191</v>
      </c>
      <c r="H170" s="5" t="s">
        <v>192</v>
      </c>
      <c r="I170" s="5"/>
      <c r="J170" s="5"/>
      <c r="K170" s="5">
        <v>212</v>
      </c>
      <c r="L170" s="5">
        <v>28</v>
      </c>
      <c r="M170" s="5">
        <v>0</v>
      </c>
      <c r="N170" s="5" t="s">
        <v>3</v>
      </c>
      <c r="O170" s="5">
        <v>2</v>
      </c>
      <c r="P170" s="5">
        <f>ROUND(P169*0.2,O170)</f>
        <v>46734.65</v>
      </c>
      <c r="Q170" s="5"/>
      <c r="R170" s="5"/>
      <c r="S170" s="5"/>
      <c r="T170" s="5"/>
      <c r="U170" s="5"/>
      <c r="V170" s="5"/>
      <c r="W170" s="5"/>
    </row>
    <row r="171" spans="1:206" x14ac:dyDescent="0.2">
      <c r="A171" s="5">
        <v>50</v>
      </c>
      <c r="B171" s="5">
        <v>1</v>
      </c>
      <c r="C171" s="5">
        <v>0</v>
      </c>
      <c r="D171" s="5">
        <v>2</v>
      </c>
      <c r="E171" s="5">
        <v>213</v>
      </c>
      <c r="F171" s="5">
        <f>ROUND(F169+F170,O171)</f>
        <v>124649.1</v>
      </c>
      <c r="G171" s="5" t="s">
        <v>193</v>
      </c>
      <c r="H171" s="5" t="s">
        <v>194</v>
      </c>
      <c r="I171" s="5"/>
      <c r="J171" s="5"/>
      <c r="K171" s="5">
        <v>212</v>
      </c>
      <c r="L171" s="5">
        <v>29</v>
      </c>
      <c r="M171" s="5">
        <v>0</v>
      </c>
      <c r="N171" s="5" t="s">
        <v>3</v>
      </c>
      <c r="O171" s="5">
        <v>2</v>
      </c>
      <c r="P171" s="5">
        <f>ROUND(P169+P170,O171)</f>
        <v>280407.90000000002</v>
      </c>
      <c r="Q171" s="5"/>
      <c r="R171" s="5"/>
      <c r="S171" s="5"/>
      <c r="T171" s="5"/>
      <c r="U171" s="5"/>
      <c r="V171" s="5"/>
      <c r="W171" s="5"/>
    </row>
    <row r="173" spans="1:206" x14ac:dyDescent="0.2">
      <c r="A173" s="3">
        <v>51</v>
      </c>
      <c r="B173" s="3">
        <f>B12</f>
        <v>213</v>
      </c>
      <c r="C173" s="3">
        <f>A12</f>
        <v>1</v>
      </c>
      <c r="D173" s="3">
        <f>ROW(A12)</f>
        <v>12</v>
      </c>
      <c r="E173" s="3"/>
      <c r="F173" s="3" t="str">
        <f>IF(F12&lt;&gt;"",F12,"")</f>
        <v>Новый объект_(Копия)_(Копия)</v>
      </c>
      <c r="G173" s="3" t="str">
        <f>IF(G12&lt;&gt;"",G12,"")</f>
        <v>ГБУК г. Москвы "ТКС "Фили-Давыдково" по адресу: г. Москва, Рублевское ш., д. 18, корп. 1_СОУЭ</v>
      </c>
      <c r="H173" s="3">
        <v>0</v>
      </c>
      <c r="I173" s="3"/>
      <c r="J173" s="3"/>
      <c r="K173" s="3"/>
      <c r="L173" s="3"/>
      <c r="M173" s="3"/>
      <c r="N173" s="3"/>
      <c r="O173" s="3">
        <f t="shared" ref="O173:T173" si="100">ROUND(O141,2)</f>
        <v>97957.06</v>
      </c>
      <c r="P173" s="3">
        <f t="shared" si="100"/>
        <v>94321.17</v>
      </c>
      <c r="Q173" s="3">
        <f t="shared" si="100"/>
        <v>193.83</v>
      </c>
      <c r="R173" s="3">
        <f t="shared" si="100"/>
        <v>20.92</v>
      </c>
      <c r="S173" s="3">
        <f t="shared" si="100"/>
        <v>3442.06</v>
      </c>
      <c r="T173" s="3">
        <f t="shared" si="100"/>
        <v>0</v>
      </c>
      <c r="U173" s="3">
        <f>U141</f>
        <v>242.70551249999994</v>
      </c>
      <c r="V173" s="3">
        <f>V141</f>
        <v>0</v>
      </c>
      <c r="W173" s="3">
        <f>ROUND(W141,2)</f>
        <v>0</v>
      </c>
      <c r="X173" s="3">
        <f>ROUND(X141,2)</f>
        <v>3584.93</v>
      </c>
      <c r="Y173" s="3">
        <f>ROUND(Y141,2)</f>
        <v>2332.2600000000002</v>
      </c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>
        <f t="shared" ref="AO173:BC173" si="101">ROUND(AO141,2)</f>
        <v>0</v>
      </c>
      <c r="AP173" s="3">
        <f t="shared" si="101"/>
        <v>8757</v>
      </c>
      <c r="AQ173" s="3">
        <f t="shared" si="101"/>
        <v>0</v>
      </c>
      <c r="AR173" s="3">
        <f t="shared" si="101"/>
        <v>103874.25</v>
      </c>
      <c r="AS173" s="3">
        <f t="shared" si="101"/>
        <v>0</v>
      </c>
      <c r="AT173" s="3">
        <f t="shared" si="101"/>
        <v>92987.46</v>
      </c>
      <c r="AU173" s="3">
        <f t="shared" si="101"/>
        <v>2129.79</v>
      </c>
      <c r="AV173" s="3">
        <f t="shared" si="101"/>
        <v>94321.17</v>
      </c>
      <c r="AW173" s="3">
        <f t="shared" si="101"/>
        <v>85564.17</v>
      </c>
      <c r="AX173" s="3">
        <f t="shared" si="101"/>
        <v>0</v>
      </c>
      <c r="AY173" s="3">
        <f t="shared" si="101"/>
        <v>85564.17</v>
      </c>
      <c r="AZ173" s="3">
        <f t="shared" si="101"/>
        <v>8757</v>
      </c>
      <c r="BA173" s="3">
        <f t="shared" si="101"/>
        <v>0</v>
      </c>
      <c r="BB173" s="3">
        <f t="shared" si="101"/>
        <v>0</v>
      </c>
      <c r="BC173" s="3">
        <f t="shared" si="101"/>
        <v>0</v>
      </c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4">
        <f t="shared" ref="DG173:DL173" si="102">ROUND(DG141,2)</f>
        <v>146561.45000000001</v>
      </c>
      <c r="DH173" s="4">
        <f t="shared" si="102"/>
        <v>70542.070000000007</v>
      </c>
      <c r="DI173" s="4">
        <f t="shared" si="102"/>
        <v>1361.5</v>
      </c>
      <c r="DJ173" s="4">
        <f t="shared" si="102"/>
        <v>453.78</v>
      </c>
      <c r="DK173" s="4">
        <f t="shared" si="102"/>
        <v>74657.88</v>
      </c>
      <c r="DL173" s="4">
        <f t="shared" si="102"/>
        <v>0</v>
      </c>
      <c r="DM173" s="4">
        <f>DM141</f>
        <v>242.70551249999994</v>
      </c>
      <c r="DN173" s="4">
        <f>DN141</f>
        <v>0</v>
      </c>
      <c r="DO173" s="4">
        <f>ROUND(DO141,2)</f>
        <v>0</v>
      </c>
      <c r="DP173" s="4">
        <f>ROUND(DP141,2)</f>
        <v>55789.63</v>
      </c>
      <c r="DQ173" s="4">
        <f>ROUND(DQ141,2)</f>
        <v>30609.72</v>
      </c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>
        <f t="shared" ref="EG173:EU173" si="103">ROUND(EG141,2)</f>
        <v>0</v>
      </c>
      <c r="EH173" s="4">
        <f t="shared" si="103"/>
        <v>29887.78</v>
      </c>
      <c r="EI173" s="4">
        <f t="shared" si="103"/>
        <v>0</v>
      </c>
      <c r="EJ173" s="4">
        <f t="shared" si="103"/>
        <v>233673.25</v>
      </c>
      <c r="EK173" s="4">
        <f t="shared" si="103"/>
        <v>0</v>
      </c>
      <c r="EL173" s="4">
        <f t="shared" si="103"/>
        <v>164378.46</v>
      </c>
      <c r="EM173" s="4">
        <f t="shared" si="103"/>
        <v>39407.01</v>
      </c>
      <c r="EN173" s="4">
        <f t="shared" si="103"/>
        <v>70542.070000000007</v>
      </c>
      <c r="EO173" s="4">
        <f t="shared" si="103"/>
        <v>40654.29</v>
      </c>
      <c r="EP173" s="4">
        <f t="shared" si="103"/>
        <v>0</v>
      </c>
      <c r="EQ173" s="4">
        <f t="shared" si="103"/>
        <v>40654.29</v>
      </c>
      <c r="ER173" s="4">
        <f t="shared" si="103"/>
        <v>29887.78</v>
      </c>
      <c r="ES173" s="4">
        <f t="shared" si="103"/>
        <v>0</v>
      </c>
      <c r="ET173" s="4">
        <f t="shared" si="103"/>
        <v>0</v>
      </c>
      <c r="EU173" s="4">
        <f t="shared" si="103"/>
        <v>0</v>
      </c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>
        <v>0</v>
      </c>
    </row>
    <row r="175" spans="1:206" x14ac:dyDescent="0.2">
      <c r="A175" s="5">
        <v>50</v>
      </c>
      <c r="B175" s="5">
        <v>0</v>
      </c>
      <c r="C175" s="5">
        <v>0</v>
      </c>
      <c r="D175" s="5">
        <v>1</v>
      </c>
      <c r="E175" s="5">
        <v>201</v>
      </c>
      <c r="F175" s="5">
        <f>ROUND(Source!O173,O175)</f>
        <v>97957.06</v>
      </c>
      <c r="G175" s="5" t="s">
        <v>127</v>
      </c>
      <c r="H175" s="5" t="s">
        <v>128</v>
      </c>
      <c r="I175" s="5"/>
      <c r="J175" s="5"/>
      <c r="K175" s="5">
        <v>201</v>
      </c>
      <c r="L175" s="5">
        <v>1</v>
      </c>
      <c r="M175" s="5">
        <v>3</v>
      </c>
      <c r="N175" s="5" t="s">
        <v>3</v>
      </c>
      <c r="O175" s="5">
        <v>2</v>
      </c>
      <c r="P175" s="5">
        <f>ROUND(Source!DG173,O175)</f>
        <v>146561.45000000001</v>
      </c>
      <c r="Q175" s="5"/>
      <c r="R175" s="5"/>
      <c r="S175" s="5"/>
      <c r="T175" s="5"/>
      <c r="U175" s="5"/>
      <c r="V175" s="5"/>
      <c r="W175" s="5"/>
    </row>
    <row r="176" spans="1:206" x14ac:dyDescent="0.2">
      <c r="A176" s="5">
        <v>50</v>
      </c>
      <c r="B176" s="5">
        <v>0</v>
      </c>
      <c r="C176" s="5">
        <v>0</v>
      </c>
      <c r="D176" s="5">
        <v>1</v>
      </c>
      <c r="E176" s="5">
        <v>202</v>
      </c>
      <c r="F176" s="5">
        <f>ROUND(Source!P173,O176)</f>
        <v>94321.17</v>
      </c>
      <c r="G176" s="5" t="s">
        <v>129</v>
      </c>
      <c r="H176" s="5" t="s">
        <v>130</v>
      </c>
      <c r="I176" s="5"/>
      <c r="J176" s="5"/>
      <c r="K176" s="5">
        <v>202</v>
      </c>
      <c r="L176" s="5">
        <v>2</v>
      </c>
      <c r="M176" s="5">
        <v>3</v>
      </c>
      <c r="N176" s="5" t="s">
        <v>3</v>
      </c>
      <c r="O176" s="5">
        <v>2</v>
      </c>
      <c r="P176" s="5">
        <f>ROUND(Source!DH173,O176)</f>
        <v>70542.070000000007</v>
      </c>
      <c r="Q176" s="5"/>
      <c r="R176" s="5"/>
      <c r="S176" s="5"/>
      <c r="T176" s="5"/>
      <c r="U176" s="5"/>
      <c r="V176" s="5"/>
      <c r="W176" s="5"/>
    </row>
    <row r="177" spans="1:23" x14ac:dyDescent="0.2">
      <c r="A177" s="5">
        <v>50</v>
      </c>
      <c r="B177" s="5">
        <v>0</v>
      </c>
      <c r="C177" s="5">
        <v>0</v>
      </c>
      <c r="D177" s="5">
        <v>1</v>
      </c>
      <c r="E177" s="5">
        <v>222</v>
      </c>
      <c r="F177" s="5">
        <f>ROUND(Source!AO173,O177)</f>
        <v>0</v>
      </c>
      <c r="G177" s="5" t="s">
        <v>131</v>
      </c>
      <c r="H177" s="5" t="s">
        <v>132</v>
      </c>
      <c r="I177" s="5"/>
      <c r="J177" s="5"/>
      <c r="K177" s="5">
        <v>222</v>
      </c>
      <c r="L177" s="5">
        <v>3</v>
      </c>
      <c r="M177" s="5">
        <v>3</v>
      </c>
      <c r="N177" s="5" t="s">
        <v>3</v>
      </c>
      <c r="O177" s="5">
        <v>2</v>
      </c>
      <c r="P177" s="5">
        <f>ROUND(Source!EG173,O177)</f>
        <v>0</v>
      </c>
      <c r="Q177" s="5"/>
      <c r="R177" s="5"/>
      <c r="S177" s="5"/>
      <c r="T177" s="5"/>
      <c r="U177" s="5"/>
      <c r="V177" s="5"/>
      <c r="W177" s="5"/>
    </row>
    <row r="178" spans="1:23" x14ac:dyDescent="0.2">
      <c r="A178" s="5">
        <v>50</v>
      </c>
      <c r="B178" s="5">
        <v>0</v>
      </c>
      <c r="C178" s="5">
        <v>0</v>
      </c>
      <c r="D178" s="5">
        <v>1</v>
      </c>
      <c r="E178" s="5">
        <v>225</v>
      </c>
      <c r="F178" s="5">
        <f>ROUND(Source!AV173,O178)</f>
        <v>94321.17</v>
      </c>
      <c r="G178" s="5" t="s">
        <v>133</v>
      </c>
      <c r="H178" s="5" t="s">
        <v>134</v>
      </c>
      <c r="I178" s="5"/>
      <c r="J178" s="5"/>
      <c r="K178" s="5">
        <v>225</v>
      </c>
      <c r="L178" s="5">
        <v>4</v>
      </c>
      <c r="M178" s="5">
        <v>3</v>
      </c>
      <c r="N178" s="5" t="s">
        <v>3</v>
      </c>
      <c r="O178" s="5">
        <v>2</v>
      </c>
      <c r="P178" s="5">
        <f>ROUND(Source!EN173,O178)</f>
        <v>70542.070000000007</v>
      </c>
      <c r="Q178" s="5"/>
      <c r="R178" s="5"/>
      <c r="S178" s="5"/>
      <c r="T178" s="5"/>
      <c r="U178" s="5"/>
      <c r="V178" s="5"/>
      <c r="W178" s="5"/>
    </row>
    <row r="179" spans="1:23" x14ac:dyDescent="0.2">
      <c r="A179" s="5">
        <v>50</v>
      </c>
      <c r="B179" s="5">
        <v>0</v>
      </c>
      <c r="C179" s="5">
        <v>0</v>
      </c>
      <c r="D179" s="5">
        <v>1</v>
      </c>
      <c r="E179" s="5">
        <v>226</v>
      </c>
      <c r="F179" s="5">
        <f>ROUND(Source!AW173,O179)</f>
        <v>85564.17</v>
      </c>
      <c r="G179" s="5" t="s">
        <v>135</v>
      </c>
      <c r="H179" s="5" t="s">
        <v>136</v>
      </c>
      <c r="I179" s="5"/>
      <c r="J179" s="5"/>
      <c r="K179" s="5">
        <v>226</v>
      </c>
      <c r="L179" s="5">
        <v>5</v>
      </c>
      <c r="M179" s="5">
        <v>3</v>
      </c>
      <c r="N179" s="5" t="s">
        <v>3</v>
      </c>
      <c r="O179" s="5">
        <v>2</v>
      </c>
      <c r="P179" s="5">
        <f>ROUND(Source!EO173,O179)</f>
        <v>40654.29</v>
      </c>
      <c r="Q179" s="5"/>
      <c r="R179" s="5"/>
      <c r="S179" s="5"/>
      <c r="T179" s="5"/>
      <c r="U179" s="5"/>
      <c r="V179" s="5"/>
      <c r="W179" s="5"/>
    </row>
    <row r="180" spans="1:23" x14ac:dyDescent="0.2">
      <c r="A180" s="5">
        <v>50</v>
      </c>
      <c r="B180" s="5">
        <v>0</v>
      </c>
      <c r="C180" s="5">
        <v>0</v>
      </c>
      <c r="D180" s="5">
        <v>1</v>
      </c>
      <c r="E180" s="5">
        <v>227</v>
      </c>
      <c r="F180" s="5">
        <f>ROUND(Source!AX173,O180)</f>
        <v>0</v>
      </c>
      <c r="G180" s="5" t="s">
        <v>137</v>
      </c>
      <c r="H180" s="5" t="s">
        <v>138</v>
      </c>
      <c r="I180" s="5"/>
      <c r="J180" s="5"/>
      <c r="K180" s="5">
        <v>227</v>
      </c>
      <c r="L180" s="5">
        <v>6</v>
      </c>
      <c r="M180" s="5">
        <v>3</v>
      </c>
      <c r="N180" s="5" t="s">
        <v>3</v>
      </c>
      <c r="O180" s="5">
        <v>2</v>
      </c>
      <c r="P180" s="5">
        <f>ROUND(Source!EP173,O180)</f>
        <v>0</v>
      </c>
      <c r="Q180" s="5"/>
      <c r="R180" s="5"/>
      <c r="S180" s="5"/>
      <c r="T180" s="5"/>
      <c r="U180" s="5"/>
      <c r="V180" s="5"/>
      <c r="W180" s="5"/>
    </row>
    <row r="181" spans="1:23" x14ac:dyDescent="0.2">
      <c r="A181" s="5">
        <v>50</v>
      </c>
      <c r="B181" s="5">
        <v>0</v>
      </c>
      <c r="C181" s="5">
        <v>0</v>
      </c>
      <c r="D181" s="5">
        <v>1</v>
      </c>
      <c r="E181" s="5">
        <v>228</v>
      </c>
      <c r="F181" s="5">
        <f>ROUND(Source!AY173,O181)</f>
        <v>85564.17</v>
      </c>
      <c r="G181" s="5" t="s">
        <v>139</v>
      </c>
      <c r="H181" s="5" t="s">
        <v>140</v>
      </c>
      <c r="I181" s="5"/>
      <c r="J181" s="5"/>
      <c r="K181" s="5">
        <v>228</v>
      </c>
      <c r="L181" s="5">
        <v>7</v>
      </c>
      <c r="M181" s="5">
        <v>3</v>
      </c>
      <c r="N181" s="5" t="s">
        <v>3</v>
      </c>
      <c r="O181" s="5">
        <v>2</v>
      </c>
      <c r="P181" s="5">
        <f>ROUND(Source!EQ173,O181)</f>
        <v>40654.29</v>
      </c>
      <c r="Q181" s="5"/>
      <c r="R181" s="5"/>
      <c r="S181" s="5"/>
      <c r="T181" s="5"/>
      <c r="U181" s="5"/>
      <c r="V181" s="5"/>
      <c r="W181" s="5"/>
    </row>
    <row r="182" spans="1:23" x14ac:dyDescent="0.2">
      <c r="A182" s="5">
        <v>50</v>
      </c>
      <c r="B182" s="5">
        <v>0</v>
      </c>
      <c r="C182" s="5">
        <v>0</v>
      </c>
      <c r="D182" s="5">
        <v>1</v>
      </c>
      <c r="E182" s="5">
        <v>216</v>
      </c>
      <c r="F182" s="5">
        <f>ROUND(Source!AP173,O182)</f>
        <v>8757</v>
      </c>
      <c r="G182" s="5" t="s">
        <v>141</v>
      </c>
      <c r="H182" s="5" t="s">
        <v>142</v>
      </c>
      <c r="I182" s="5"/>
      <c r="J182" s="5"/>
      <c r="K182" s="5">
        <v>216</v>
      </c>
      <c r="L182" s="5">
        <v>8</v>
      </c>
      <c r="M182" s="5">
        <v>3</v>
      </c>
      <c r="N182" s="5" t="s">
        <v>3</v>
      </c>
      <c r="O182" s="5">
        <v>2</v>
      </c>
      <c r="P182" s="5">
        <f>ROUND(Source!EH173,O182)</f>
        <v>29887.78</v>
      </c>
      <c r="Q182" s="5"/>
      <c r="R182" s="5"/>
      <c r="S182" s="5"/>
      <c r="T182" s="5"/>
      <c r="U182" s="5"/>
      <c r="V182" s="5"/>
      <c r="W182" s="5"/>
    </row>
    <row r="183" spans="1:23" x14ac:dyDescent="0.2">
      <c r="A183" s="5">
        <v>50</v>
      </c>
      <c r="B183" s="5">
        <v>0</v>
      </c>
      <c r="C183" s="5">
        <v>0</v>
      </c>
      <c r="D183" s="5">
        <v>1</v>
      </c>
      <c r="E183" s="5">
        <v>223</v>
      </c>
      <c r="F183" s="5">
        <f>ROUND(Source!AQ173,O183)</f>
        <v>0</v>
      </c>
      <c r="G183" s="5" t="s">
        <v>143</v>
      </c>
      <c r="H183" s="5" t="s">
        <v>144</v>
      </c>
      <c r="I183" s="5"/>
      <c r="J183" s="5"/>
      <c r="K183" s="5">
        <v>223</v>
      </c>
      <c r="L183" s="5">
        <v>9</v>
      </c>
      <c r="M183" s="5">
        <v>3</v>
      </c>
      <c r="N183" s="5" t="s">
        <v>3</v>
      </c>
      <c r="O183" s="5">
        <v>2</v>
      </c>
      <c r="P183" s="5">
        <f>ROUND(Source!EI173,O183)</f>
        <v>0</v>
      </c>
      <c r="Q183" s="5"/>
      <c r="R183" s="5"/>
      <c r="S183" s="5"/>
      <c r="T183" s="5"/>
      <c r="U183" s="5"/>
      <c r="V183" s="5"/>
      <c r="W183" s="5"/>
    </row>
    <row r="184" spans="1:23" x14ac:dyDescent="0.2">
      <c r="A184" s="5">
        <v>50</v>
      </c>
      <c r="B184" s="5">
        <v>0</v>
      </c>
      <c r="C184" s="5">
        <v>0</v>
      </c>
      <c r="D184" s="5">
        <v>1</v>
      </c>
      <c r="E184" s="5">
        <v>229</v>
      </c>
      <c r="F184" s="5">
        <f>ROUND(Source!AZ173,O184)</f>
        <v>8757</v>
      </c>
      <c r="G184" s="5" t="s">
        <v>145</v>
      </c>
      <c r="H184" s="5" t="s">
        <v>146</v>
      </c>
      <c r="I184" s="5"/>
      <c r="J184" s="5"/>
      <c r="K184" s="5">
        <v>229</v>
      </c>
      <c r="L184" s="5">
        <v>10</v>
      </c>
      <c r="M184" s="5">
        <v>3</v>
      </c>
      <c r="N184" s="5" t="s">
        <v>3</v>
      </c>
      <c r="O184" s="5">
        <v>2</v>
      </c>
      <c r="P184" s="5">
        <f>ROUND(Source!ER173,O184)</f>
        <v>29887.78</v>
      </c>
      <c r="Q184" s="5"/>
      <c r="R184" s="5"/>
      <c r="S184" s="5"/>
      <c r="T184" s="5"/>
      <c r="U184" s="5"/>
      <c r="V184" s="5"/>
      <c r="W184" s="5"/>
    </row>
    <row r="185" spans="1:23" x14ac:dyDescent="0.2">
      <c r="A185" s="5">
        <v>50</v>
      </c>
      <c r="B185" s="5">
        <v>0</v>
      </c>
      <c r="C185" s="5">
        <v>0</v>
      </c>
      <c r="D185" s="5">
        <v>1</v>
      </c>
      <c r="E185" s="5">
        <v>203</v>
      </c>
      <c r="F185" s="5">
        <f>ROUND(Source!Q173,O185)</f>
        <v>193.83</v>
      </c>
      <c r="G185" s="5" t="s">
        <v>147</v>
      </c>
      <c r="H185" s="5" t="s">
        <v>148</v>
      </c>
      <c r="I185" s="5"/>
      <c r="J185" s="5"/>
      <c r="K185" s="5">
        <v>203</v>
      </c>
      <c r="L185" s="5">
        <v>11</v>
      </c>
      <c r="M185" s="5">
        <v>3</v>
      </c>
      <c r="N185" s="5" t="s">
        <v>3</v>
      </c>
      <c r="O185" s="5">
        <v>2</v>
      </c>
      <c r="P185" s="5">
        <f>ROUND(Source!DI173,O185)</f>
        <v>1361.5</v>
      </c>
      <c r="Q185" s="5"/>
      <c r="R185" s="5"/>
      <c r="S185" s="5"/>
      <c r="T185" s="5"/>
      <c r="U185" s="5"/>
      <c r="V185" s="5"/>
      <c r="W185" s="5"/>
    </row>
    <row r="186" spans="1:23" x14ac:dyDescent="0.2">
      <c r="A186" s="5">
        <v>50</v>
      </c>
      <c r="B186" s="5">
        <v>0</v>
      </c>
      <c r="C186" s="5">
        <v>0</v>
      </c>
      <c r="D186" s="5">
        <v>1</v>
      </c>
      <c r="E186" s="5">
        <v>231</v>
      </c>
      <c r="F186" s="5">
        <f>ROUND(Source!BB173,O186)</f>
        <v>0</v>
      </c>
      <c r="G186" s="5" t="s">
        <v>149</v>
      </c>
      <c r="H186" s="5" t="s">
        <v>150</v>
      </c>
      <c r="I186" s="5"/>
      <c r="J186" s="5"/>
      <c r="K186" s="5">
        <v>231</v>
      </c>
      <c r="L186" s="5">
        <v>12</v>
      </c>
      <c r="M186" s="5">
        <v>3</v>
      </c>
      <c r="N186" s="5" t="s">
        <v>3</v>
      </c>
      <c r="O186" s="5">
        <v>2</v>
      </c>
      <c r="P186" s="5">
        <f>ROUND(Source!ET173,O186)</f>
        <v>0</v>
      </c>
      <c r="Q186" s="5"/>
      <c r="R186" s="5"/>
      <c r="S186" s="5"/>
      <c r="T186" s="5"/>
      <c r="U186" s="5"/>
      <c r="V186" s="5"/>
      <c r="W186" s="5"/>
    </row>
    <row r="187" spans="1:23" x14ac:dyDescent="0.2">
      <c r="A187" s="5">
        <v>50</v>
      </c>
      <c r="B187" s="5">
        <v>0</v>
      </c>
      <c r="C187" s="5">
        <v>0</v>
      </c>
      <c r="D187" s="5">
        <v>1</v>
      </c>
      <c r="E187" s="5">
        <v>204</v>
      </c>
      <c r="F187" s="5">
        <f>ROUND(Source!R173,O187)</f>
        <v>20.92</v>
      </c>
      <c r="G187" s="5" t="s">
        <v>151</v>
      </c>
      <c r="H187" s="5" t="s">
        <v>152</v>
      </c>
      <c r="I187" s="5"/>
      <c r="J187" s="5"/>
      <c r="K187" s="5">
        <v>204</v>
      </c>
      <c r="L187" s="5">
        <v>13</v>
      </c>
      <c r="M187" s="5">
        <v>3</v>
      </c>
      <c r="N187" s="5" t="s">
        <v>3</v>
      </c>
      <c r="O187" s="5">
        <v>2</v>
      </c>
      <c r="P187" s="5">
        <f>ROUND(Source!DJ173,O187)</f>
        <v>453.78</v>
      </c>
      <c r="Q187" s="5"/>
      <c r="R187" s="5"/>
      <c r="S187" s="5"/>
      <c r="T187" s="5"/>
      <c r="U187" s="5"/>
      <c r="V187" s="5"/>
      <c r="W187" s="5"/>
    </row>
    <row r="188" spans="1:23" x14ac:dyDescent="0.2">
      <c r="A188" s="5">
        <v>50</v>
      </c>
      <c r="B188" s="5">
        <v>0</v>
      </c>
      <c r="C188" s="5">
        <v>0</v>
      </c>
      <c r="D188" s="5">
        <v>1</v>
      </c>
      <c r="E188" s="5">
        <v>205</v>
      </c>
      <c r="F188" s="5">
        <f>ROUND(Source!S173,O188)</f>
        <v>3442.06</v>
      </c>
      <c r="G188" s="5" t="s">
        <v>153</v>
      </c>
      <c r="H188" s="5" t="s">
        <v>154</v>
      </c>
      <c r="I188" s="5"/>
      <c r="J188" s="5"/>
      <c r="K188" s="5">
        <v>205</v>
      </c>
      <c r="L188" s="5">
        <v>14</v>
      </c>
      <c r="M188" s="5">
        <v>3</v>
      </c>
      <c r="N188" s="5" t="s">
        <v>3</v>
      </c>
      <c r="O188" s="5">
        <v>2</v>
      </c>
      <c r="P188" s="5">
        <f>ROUND(Source!DK173,O188)</f>
        <v>74657.88</v>
      </c>
      <c r="Q188" s="5"/>
      <c r="R188" s="5"/>
      <c r="S188" s="5"/>
      <c r="T188" s="5"/>
      <c r="U188" s="5"/>
      <c r="V188" s="5"/>
      <c r="W188" s="5"/>
    </row>
    <row r="189" spans="1:23" x14ac:dyDescent="0.2">
      <c r="A189" s="5">
        <v>50</v>
      </c>
      <c r="B189" s="5">
        <v>0</v>
      </c>
      <c r="C189" s="5">
        <v>0</v>
      </c>
      <c r="D189" s="5">
        <v>1</v>
      </c>
      <c r="E189" s="5">
        <v>232</v>
      </c>
      <c r="F189" s="5">
        <f>ROUND(Source!BC173,O189)</f>
        <v>0</v>
      </c>
      <c r="G189" s="5" t="s">
        <v>155</v>
      </c>
      <c r="H189" s="5" t="s">
        <v>156</v>
      </c>
      <c r="I189" s="5"/>
      <c r="J189" s="5"/>
      <c r="K189" s="5">
        <v>232</v>
      </c>
      <c r="L189" s="5">
        <v>15</v>
      </c>
      <c r="M189" s="5">
        <v>3</v>
      </c>
      <c r="N189" s="5" t="s">
        <v>3</v>
      </c>
      <c r="O189" s="5">
        <v>2</v>
      </c>
      <c r="P189" s="5">
        <f>ROUND(Source!EU173,O189)</f>
        <v>0</v>
      </c>
      <c r="Q189" s="5"/>
      <c r="R189" s="5"/>
      <c r="S189" s="5"/>
      <c r="T189" s="5"/>
      <c r="U189" s="5"/>
      <c r="V189" s="5"/>
      <c r="W189" s="5"/>
    </row>
    <row r="190" spans="1:23" x14ac:dyDescent="0.2">
      <c r="A190" s="5">
        <v>50</v>
      </c>
      <c r="B190" s="5">
        <v>0</v>
      </c>
      <c r="C190" s="5">
        <v>0</v>
      </c>
      <c r="D190" s="5">
        <v>1</v>
      </c>
      <c r="E190" s="5">
        <v>214</v>
      </c>
      <c r="F190" s="5">
        <f>ROUND(Source!AS173,O190)</f>
        <v>0</v>
      </c>
      <c r="G190" s="5" t="s">
        <v>157</v>
      </c>
      <c r="H190" s="5" t="s">
        <v>158</v>
      </c>
      <c r="I190" s="5"/>
      <c r="J190" s="5"/>
      <c r="K190" s="5">
        <v>214</v>
      </c>
      <c r="L190" s="5">
        <v>16</v>
      </c>
      <c r="M190" s="5">
        <v>3</v>
      </c>
      <c r="N190" s="5" t="s">
        <v>3</v>
      </c>
      <c r="O190" s="5">
        <v>2</v>
      </c>
      <c r="P190" s="5">
        <f>ROUND(Source!EK173,O190)</f>
        <v>0</v>
      </c>
      <c r="Q190" s="5"/>
      <c r="R190" s="5"/>
      <c r="S190" s="5"/>
      <c r="T190" s="5"/>
      <c r="U190" s="5"/>
      <c r="V190" s="5"/>
      <c r="W190" s="5"/>
    </row>
    <row r="191" spans="1:23" x14ac:dyDescent="0.2">
      <c r="A191" s="5">
        <v>50</v>
      </c>
      <c r="B191" s="5">
        <v>0</v>
      </c>
      <c r="C191" s="5">
        <v>0</v>
      </c>
      <c r="D191" s="5">
        <v>1</v>
      </c>
      <c r="E191" s="5">
        <v>215</v>
      </c>
      <c r="F191" s="5">
        <f>ROUND(Source!AT173,O191)</f>
        <v>92987.46</v>
      </c>
      <c r="G191" s="5" t="s">
        <v>159</v>
      </c>
      <c r="H191" s="5" t="s">
        <v>160</v>
      </c>
      <c r="I191" s="5"/>
      <c r="J191" s="5"/>
      <c r="K191" s="5">
        <v>215</v>
      </c>
      <c r="L191" s="5">
        <v>17</v>
      </c>
      <c r="M191" s="5">
        <v>3</v>
      </c>
      <c r="N191" s="5" t="s">
        <v>3</v>
      </c>
      <c r="O191" s="5">
        <v>2</v>
      </c>
      <c r="P191" s="5">
        <f>ROUND(Source!EL173,O191)</f>
        <v>164378.46</v>
      </c>
      <c r="Q191" s="5"/>
      <c r="R191" s="5"/>
      <c r="S191" s="5"/>
      <c r="T191" s="5"/>
      <c r="U191" s="5"/>
      <c r="V191" s="5"/>
      <c r="W191" s="5"/>
    </row>
    <row r="192" spans="1:23" x14ac:dyDescent="0.2">
      <c r="A192" s="5">
        <v>50</v>
      </c>
      <c r="B192" s="5">
        <v>0</v>
      </c>
      <c r="C192" s="5">
        <v>0</v>
      </c>
      <c r="D192" s="5">
        <v>1</v>
      </c>
      <c r="E192" s="5">
        <v>217</v>
      </c>
      <c r="F192" s="5">
        <f>ROUND(Source!AU173,O192)</f>
        <v>2129.79</v>
      </c>
      <c r="G192" s="5" t="s">
        <v>161</v>
      </c>
      <c r="H192" s="5" t="s">
        <v>162</v>
      </c>
      <c r="I192" s="5"/>
      <c r="J192" s="5"/>
      <c r="K192" s="5">
        <v>217</v>
      </c>
      <c r="L192" s="5">
        <v>18</v>
      </c>
      <c r="M192" s="5">
        <v>3</v>
      </c>
      <c r="N192" s="5" t="s">
        <v>3</v>
      </c>
      <c r="O192" s="5">
        <v>2</v>
      </c>
      <c r="P192" s="5">
        <f>ROUND(Source!EM173,O192)</f>
        <v>39407.01</v>
      </c>
      <c r="Q192" s="5"/>
      <c r="R192" s="5"/>
      <c r="S192" s="5"/>
      <c r="T192" s="5"/>
      <c r="U192" s="5"/>
      <c r="V192" s="5"/>
      <c r="W192" s="5"/>
    </row>
    <row r="193" spans="1:23" x14ac:dyDescent="0.2">
      <c r="A193" s="5">
        <v>50</v>
      </c>
      <c r="B193" s="5">
        <v>0</v>
      </c>
      <c r="C193" s="5">
        <v>0</v>
      </c>
      <c r="D193" s="5">
        <v>1</v>
      </c>
      <c r="E193" s="5">
        <v>230</v>
      </c>
      <c r="F193" s="5">
        <f>ROUND(Source!BA173,O193)</f>
        <v>0</v>
      </c>
      <c r="G193" s="5" t="s">
        <v>163</v>
      </c>
      <c r="H193" s="5" t="s">
        <v>164</v>
      </c>
      <c r="I193" s="5"/>
      <c r="J193" s="5"/>
      <c r="K193" s="5">
        <v>230</v>
      </c>
      <c r="L193" s="5">
        <v>19</v>
      </c>
      <c r="M193" s="5">
        <v>3</v>
      </c>
      <c r="N193" s="5" t="s">
        <v>3</v>
      </c>
      <c r="O193" s="5">
        <v>2</v>
      </c>
      <c r="P193" s="5">
        <f>ROUND(Source!ES173,O193)</f>
        <v>0</v>
      </c>
      <c r="Q193" s="5"/>
      <c r="R193" s="5"/>
      <c r="S193" s="5"/>
      <c r="T193" s="5"/>
      <c r="U193" s="5"/>
      <c r="V193" s="5"/>
      <c r="W193" s="5"/>
    </row>
    <row r="194" spans="1:23" x14ac:dyDescent="0.2">
      <c r="A194" s="5">
        <v>50</v>
      </c>
      <c r="B194" s="5">
        <v>0</v>
      </c>
      <c r="C194" s="5">
        <v>0</v>
      </c>
      <c r="D194" s="5">
        <v>1</v>
      </c>
      <c r="E194" s="5">
        <v>206</v>
      </c>
      <c r="F194" s="5">
        <f>ROUND(Source!T173,O194)</f>
        <v>0</v>
      </c>
      <c r="G194" s="5" t="s">
        <v>165</v>
      </c>
      <c r="H194" s="5" t="s">
        <v>166</v>
      </c>
      <c r="I194" s="5"/>
      <c r="J194" s="5"/>
      <c r="K194" s="5">
        <v>206</v>
      </c>
      <c r="L194" s="5">
        <v>20</v>
      </c>
      <c r="M194" s="5">
        <v>3</v>
      </c>
      <c r="N194" s="5" t="s">
        <v>3</v>
      </c>
      <c r="O194" s="5">
        <v>2</v>
      </c>
      <c r="P194" s="5">
        <f>ROUND(Source!DL173,O194)</f>
        <v>0</v>
      </c>
      <c r="Q194" s="5"/>
      <c r="R194" s="5"/>
      <c r="S194" s="5"/>
      <c r="T194" s="5"/>
      <c r="U194" s="5"/>
      <c r="V194" s="5"/>
      <c r="W194" s="5"/>
    </row>
    <row r="195" spans="1:23" x14ac:dyDescent="0.2">
      <c r="A195" s="5">
        <v>50</v>
      </c>
      <c r="B195" s="5">
        <v>0</v>
      </c>
      <c r="C195" s="5">
        <v>0</v>
      </c>
      <c r="D195" s="5">
        <v>1</v>
      </c>
      <c r="E195" s="5">
        <v>207</v>
      </c>
      <c r="F195" s="5">
        <f>Source!U173</f>
        <v>242.70551249999994</v>
      </c>
      <c r="G195" s="5" t="s">
        <v>167</v>
      </c>
      <c r="H195" s="5" t="s">
        <v>168</v>
      </c>
      <c r="I195" s="5"/>
      <c r="J195" s="5"/>
      <c r="K195" s="5">
        <v>207</v>
      </c>
      <c r="L195" s="5">
        <v>21</v>
      </c>
      <c r="M195" s="5">
        <v>3</v>
      </c>
      <c r="N195" s="5" t="s">
        <v>3</v>
      </c>
      <c r="O195" s="5">
        <v>-1</v>
      </c>
      <c r="P195" s="5">
        <f>Source!DM173</f>
        <v>242.70551249999994</v>
      </c>
      <c r="Q195" s="5"/>
      <c r="R195" s="5"/>
      <c r="S195" s="5"/>
      <c r="T195" s="5"/>
      <c r="U195" s="5"/>
      <c r="V195" s="5"/>
      <c r="W195" s="5"/>
    </row>
    <row r="196" spans="1:23" x14ac:dyDescent="0.2">
      <c r="A196" s="5">
        <v>50</v>
      </c>
      <c r="B196" s="5">
        <v>0</v>
      </c>
      <c r="C196" s="5">
        <v>0</v>
      </c>
      <c r="D196" s="5">
        <v>1</v>
      </c>
      <c r="E196" s="5">
        <v>208</v>
      </c>
      <c r="F196" s="5">
        <f>Source!V173</f>
        <v>0</v>
      </c>
      <c r="G196" s="5" t="s">
        <v>169</v>
      </c>
      <c r="H196" s="5" t="s">
        <v>170</v>
      </c>
      <c r="I196" s="5"/>
      <c r="J196" s="5"/>
      <c r="K196" s="5">
        <v>208</v>
      </c>
      <c r="L196" s="5">
        <v>22</v>
      </c>
      <c r="M196" s="5">
        <v>3</v>
      </c>
      <c r="N196" s="5" t="s">
        <v>3</v>
      </c>
      <c r="O196" s="5">
        <v>-1</v>
      </c>
      <c r="P196" s="5">
        <f>Source!DN173</f>
        <v>0</v>
      </c>
      <c r="Q196" s="5"/>
      <c r="R196" s="5"/>
      <c r="S196" s="5"/>
      <c r="T196" s="5"/>
      <c r="U196" s="5"/>
      <c r="V196" s="5"/>
      <c r="W196" s="5"/>
    </row>
    <row r="197" spans="1:23" x14ac:dyDescent="0.2">
      <c r="A197" s="5">
        <v>50</v>
      </c>
      <c r="B197" s="5">
        <v>0</v>
      </c>
      <c r="C197" s="5">
        <v>0</v>
      </c>
      <c r="D197" s="5">
        <v>1</v>
      </c>
      <c r="E197" s="5">
        <v>209</v>
      </c>
      <c r="F197" s="5">
        <f>ROUND(Source!W173,O197)</f>
        <v>0</v>
      </c>
      <c r="G197" s="5" t="s">
        <v>171</v>
      </c>
      <c r="H197" s="5" t="s">
        <v>172</v>
      </c>
      <c r="I197" s="5"/>
      <c r="J197" s="5"/>
      <c r="K197" s="5">
        <v>209</v>
      </c>
      <c r="L197" s="5">
        <v>23</v>
      </c>
      <c r="M197" s="5">
        <v>3</v>
      </c>
      <c r="N197" s="5" t="s">
        <v>3</v>
      </c>
      <c r="O197" s="5">
        <v>2</v>
      </c>
      <c r="P197" s="5">
        <f>ROUND(Source!DO173,O197)</f>
        <v>0</v>
      </c>
      <c r="Q197" s="5"/>
      <c r="R197" s="5"/>
      <c r="S197" s="5"/>
      <c r="T197" s="5"/>
      <c r="U197" s="5"/>
      <c r="V197" s="5"/>
      <c r="W197" s="5"/>
    </row>
    <row r="198" spans="1:23" x14ac:dyDescent="0.2">
      <c r="A198" s="5">
        <v>50</v>
      </c>
      <c r="B198" s="5">
        <v>0</v>
      </c>
      <c r="C198" s="5">
        <v>0</v>
      </c>
      <c r="D198" s="5">
        <v>1</v>
      </c>
      <c r="E198" s="5">
        <v>210</v>
      </c>
      <c r="F198" s="5">
        <f>ROUND(Source!X173,O198)</f>
        <v>3584.93</v>
      </c>
      <c r="G198" s="5" t="s">
        <v>173</v>
      </c>
      <c r="H198" s="5" t="s">
        <v>174</v>
      </c>
      <c r="I198" s="5"/>
      <c r="J198" s="5"/>
      <c r="K198" s="5">
        <v>210</v>
      </c>
      <c r="L198" s="5">
        <v>24</v>
      </c>
      <c r="M198" s="5">
        <v>3</v>
      </c>
      <c r="N198" s="5" t="s">
        <v>3</v>
      </c>
      <c r="O198" s="5">
        <v>2</v>
      </c>
      <c r="P198" s="5">
        <f>ROUND(Source!DP173,O198)</f>
        <v>55789.63</v>
      </c>
      <c r="Q198" s="5"/>
      <c r="R198" s="5"/>
      <c r="S198" s="5"/>
      <c r="T198" s="5"/>
      <c r="U198" s="5"/>
      <c r="V198" s="5"/>
      <c r="W198" s="5"/>
    </row>
    <row r="199" spans="1:23" x14ac:dyDescent="0.2">
      <c r="A199" s="5">
        <v>50</v>
      </c>
      <c r="B199" s="5">
        <v>0</v>
      </c>
      <c r="C199" s="5">
        <v>0</v>
      </c>
      <c r="D199" s="5">
        <v>1</v>
      </c>
      <c r="E199" s="5">
        <v>211</v>
      </c>
      <c r="F199" s="5">
        <f>ROUND(Source!Y173,O199)</f>
        <v>2332.2600000000002</v>
      </c>
      <c r="G199" s="5" t="s">
        <v>175</v>
      </c>
      <c r="H199" s="5" t="s">
        <v>176</v>
      </c>
      <c r="I199" s="5"/>
      <c r="J199" s="5"/>
      <c r="K199" s="5">
        <v>211</v>
      </c>
      <c r="L199" s="5">
        <v>25</v>
      </c>
      <c r="M199" s="5">
        <v>3</v>
      </c>
      <c r="N199" s="5" t="s">
        <v>3</v>
      </c>
      <c r="O199" s="5">
        <v>2</v>
      </c>
      <c r="P199" s="5">
        <f>ROUND(Source!DQ173,O199)</f>
        <v>30609.72</v>
      </c>
      <c r="Q199" s="5"/>
      <c r="R199" s="5"/>
      <c r="S199" s="5"/>
      <c r="T199" s="5"/>
      <c r="U199" s="5"/>
      <c r="V199" s="5"/>
      <c r="W199" s="5"/>
    </row>
    <row r="200" spans="1:23" x14ac:dyDescent="0.2">
      <c r="A200" s="5">
        <v>50</v>
      </c>
      <c r="B200" s="5">
        <v>0</v>
      </c>
      <c r="C200" s="5">
        <v>0</v>
      </c>
      <c r="D200" s="5">
        <v>1</v>
      </c>
      <c r="E200" s="5">
        <v>224</v>
      </c>
      <c r="F200" s="5">
        <f>ROUND(Source!AR173,O200)</f>
        <v>103874.25</v>
      </c>
      <c r="G200" s="5" t="s">
        <v>177</v>
      </c>
      <c r="H200" s="5" t="s">
        <v>178</v>
      </c>
      <c r="I200" s="5"/>
      <c r="J200" s="5"/>
      <c r="K200" s="5">
        <v>224</v>
      </c>
      <c r="L200" s="5">
        <v>26</v>
      </c>
      <c r="M200" s="5">
        <v>3</v>
      </c>
      <c r="N200" s="5" t="s">
        <v>3</v>
      </c>
      <c r="O200" s="5">
        <v>2</v>
      </c>
      <c r="P200" s="5">
        <f>ROUND(Source!EJ173,O200)</f>
        <v>233673.25</v>
      </c>
      <c r="Q200" s="5"/>
      <c r="R200" s="5"/>
      <c r="S200" s="5"/>
      <c r="T200" s="5"/>
      <c r="U200" s="5"/>
      <c r="V200" s="5"/>
      <c r="W200" s="5"/>
    </row>
    <row r="201" spans="1:23" x14ac:dyDescent="0.2">
      <c r="A201" s="5">
        <v>50</v>
      </c>
      <c r="B201" s="5">
        <v>1</v>
      </c>
      <c r="C201" s="5">
        <v>0</v>
      </c>
      <c r="D201" s="5">
        <v>2</v>
      </c>
      <c r="E201" s="5">
        <v>0</v>
      </c>
      <c r="F201" s="5">
        <f>ROUND(F179,O201)</f>
        <v>85564.17</v>
      </c>
      <c r="G201" s="5" t="s">
        <v>195</v>
      </c>
      <c r="H201" s="5" t="s">
        <v>196</v>
      </c>
      <c r="I201" s="5"/>
      <c r="J201" s="5"/>
      <c r="K201" s="5">
        <v>212</v>
      </c>
      <c r="L201" s="5">
        <v>28</v>
      </c>
      <c r="M201" s="5">
        <v>0</v>
      </c>
      <c r="N201" s="5" t="s">
        <v>3</v>
      </c>
      <c r="O201" s="5">
        <v>2</v>
      </c>
      <c r="P201" s="5">
        <f>ROUND(P179,O201)</f>
        <v>40654.29</v>
      </c>
      <c r="Q201" s="5"/>
      <c r="R201" s="5"/>
      <c r="S201" s="5"/>
      <c r="T201" s="5"/>
      <c r="U201" s="5"/>
      <c r="V201" s="5"/>
      <c r="W201" s="5"/>
    </row>
    <row r="202" spans="1:23" x14ac:dyDescent="0.2">
      <c r="A202" s="5">
        <v>50</v>
      </c>
      <c r="B202" s="5">
        <v>1</v>
      </c>
      <c r="C202" s="5">
        <v>0</v>
      </c>
      <c r="D202" s="5">
        <v>2</v>
      </c>
      <c r="E202" s="5">
        <v>0</v>
      </c>
      <c r="F202" s="5">
        <f>ROUND(F184,O202)</f>
        <v>8757</v>
      </c>
      <c r="G202" s="5" t="s">
        <v>197</v>
      </c>
      <c r="H202" s="5" t="s">
        <v>198</v>
      </c>
      <c r="I202" s="5"/>
      <c r="J202" s="5"/>
      <c r="K202" s="5">
        <v>212</v>
      </c>
      <c r="L202" s="5">
        <v>29</v>
      </c>
      <c r="M202" s="5">
        <v>0</v>
      </c>
      <c r="N202" s="5" t="s">
        <v>3</v>
      </c>
      <c r="O202" s="5">
        <v>2</v>
      </c>
      <c r="P202" s="5">
        <f>ROUND(P184,O202)</f>
        <v>29887.78</v>
      </c>
      <c r="Q202" s="5"/>
      <c r="R202" s="5"/>
      <c r="S202" s="5"/>
      <c r="T202" s="5"/>
      <c r="U202" s="5"/>
      <c r="V202" s="5"/>
      <c r="W202" s="5"/>
    </row>
    <row r="203" spans="1:23" x14ac:dyDescent="0.2">
      <c r="A203" s="5">
        <v>50</v>
      </c>
      <c r="B203" s="5">
        <v>1</v>
      </c>
      <c r="C203" s="5">
        <v>0</v>
      </c>
      <c r="D203" s="5">
        <v>2</v>
      </c>
      <c r="E203" s="5">
        <v>0</v>
      </c>
      <c r="F203" s="5">
        <f>ROUND((F201+F202)*0.2,O203)</f>
        <v>18864.23</v>
      </c>
      <c r="G203" s="5" t="s">
        <v>191</v>
      </c>
      <c r="H203" s="5" t="s">
        <v>199</v>
      </c>
      <c r="I203" s="5"/>
      <c r="J203" s="5"/>
      <c r="K203" s="5">
        <v>212</v>
      </c>
      <c r="L203" s="5">
        <v>30</v>
      </c>
      <c r="M203" s="5">
        <v>0</v>
      </c>
      <c r="N203" s="5" t="s">
        <v>3</v>
      </c>
      <c r="O203" s="5">
        <v>2</v>
      </c>
      <c r="P203" s="5">
        <f>ROUND((P201+P202)*0.2,O203)</f>
        <v>14108.41</v>
      </c>
      <c r="Q203" s="5"/>
      <c r="R203" s="5"/>
      <c r="S203" s="5"/>
      <c r="T203" s="5"/>
      <c r="U203" s="5"/>
      <c r="V203" s="5"/>
      <c r="W203" s="5"/>
    </row>
    <row r="204" spans="1:23" x14ac:dyDescent="0.2">
      <c r="A204" s="5">
        <v>50</v>
      </c>
      <c r="B204" s="5">
        <v>1</v>
      </c>
      <c r="C204" s="5">
        <v>0</v>
      </c>
      <c r="D204" s="5">
        <v>2</v>
      </c>
      <c r="E204" s="5">
        <v>213</v>
      </c>
      <c r="F204" s="5">
        <f>ROUND(F200+F203,O204)</f>
        <v>122738.48</v>
      </c>
      <c r="G204" s="5" t="s">
        <v>193</v>
      </c>
      <c r="H204" s="5" t="s">
        <v>194</v>
      </c>
      <c r="I204" s="5"/>
      <c r="J204" s="5"/>
      <c r="K204" s="5">
        <v>212</v>
      </c>
      <c r="L204" s="5">
        <v>31</v>
      </c>
      <c r="M204" s="5">
        <v>0</v>
      </c>
      <c r="N204" s="5" t="s">
        <v>3</v>
      </c>
      <c r="O204" s="5">
        <v>2</v>
      </c>
      <c r="P204" s="5">
        <f>ROUND(P200+P203,O204)</f>
        <v>247781.66</v>
      </c>
      <c r="Q204" s="5"/>
      <c r="R204" s="5"/>
      <c r="S204" s="5"/>
      <c r="T204" s="5"/>
      <c r="U204" s="5"/>
      <c r="V204" s="5"/>
      <c r="W204" s="5"/>
    </row>
    <row r="206" spans="1:23" x14ac:dyDescent="0.2">
      <c r="A206" s="6">
        <v>61</v>
      </c>
      <c r="B206" s="6"/>
      <c r="C206" s="6"/>
      <c r="D206" s="6"/>
      <c r="E206" s="6"/>
      <c r="F206" s="6">
        <v>3</v>
      </c>
      <c r="G206" s="6" t="s">
        <v>200</v>
      </c>
      <c r="H206" s="6" t="s">
        <v>201</v>
      </c>
    </row>
    <row r="207" spans="1:23" x14ac:dyDescent="0.2">
      <c r="A207" s="6">
        <v>61</v>
      </c>
      <c r="B207" s="6"/>
      <c r="C207" s="6"/>
      <c r="D207" s="6"/>
      <c r="E207" s="6"/>
      <c r="F207" s="6">
        <v>2</v>
      </c>
      <c r="G207" s="6" t="s">
        <v>202</v>
      </c>
      <c r="H207" s="6" t="s">
        <v>201</v>
      </c>
    </row>
    <row r="208" spans="1:23" x14ac:dyDescent="0.2">
      <c r="A208" s="6">
        <v>61</v>
      </c>
      <c r="B208" s="6"/>
      <c r="C208" s="6"/>
      <c r="D208" s="6"/>
      <c r="E208" s="6"/>
      <c r="F208" s="6">
        <v>1</v>
      </c>
      <c r="G208" s="6" t="s">
        <v>203</v>
      </c>
      <c r="H208" s="6" t="s">
        <v>201</v>
      </c>
    </row>
    <row r="211" spans="1:27" x14ac:dyDescent="0.2">
      <c r="A211">
        <v>-1</v>
      </c>
    </row>
    <row r="213" spans="1:27" x14ac:dyDescent="0.2">
      <c r="A213" s="4">
        <v>75</v>
      </c>
      <c r="B213" s="4" t="s">
        <v>204</v>
      </c>
      <c r="C213" s="4">
        <v>2019</v>
      </c>
      <c r="D213" s="4">
        <v>0</v>
      </c>
      <c r="E213" s="4">
        <v>3</v>
      </c>
      <c r="F213" s="4"/>
      <c r="G213" s="4">
        <v>0</v>
      </c>
      <c r="H213" s="4">
        <v>2</v>
      </c>
      <c r="I213" s="4">
        <v>1</v>
      </c>
      <c r="J213" s="4">
        <v>1</v>
      </c>
      <c r="K213" s="4">
        <v>93</v>
      </c>
      <c r="L213" s="4">
        <v>64</v>
      </c>
      <c r="M213" s="4">
        <v>1</v>
      </c>
      <c r="N213" s="4">
        <v>42119679</v>
      </c>
      <c r="O213" s="4">
        <v>1</v>
      </c>
    </row>
    <row r="214" spans="1:27" x14ac:dyDescent="0.2">
      <c r="A214" s="7">
        <v>1</v>
      </c>
      <c r="B214" s="7" t="s">
        <v>205</v>
      </c>
      <c r="C214" s="7" t="s">
        <v>206</v>
      </c>
      <c r="D214" s="7">
        <v>2019</v>
      </c>
      <c r="E214" s="7">
        <v>3</v>
      </c>
      <c r="F214" s="7">
        <v>1</v>
      </c>
      <c r="G214" s="7">
        <v>1</v>
      </c>
      <c r="H214" s="7">
        <v>0</v>
      </c>
      <c r="I214" s="7">
        <v>2</v>
      </c>
      <c r="J214" s="7">
        <v>1</v>
      </c>
      <c r="K214" s="7">
        <v>5.36</v>
      </c>
      <c r="L214" s="7">
        <v>4.33</v>
      </c>
      <c r="M214" s="7">
        <v>1</v>
      </c>
      <c r="N214" s="7">
        <v>1</v>
      </c>
      <c r="O214" s="7">
        <v>5.36</v>
      </c>
      <c r="P214" s="7">
        <v>4.33</v>
      </c>
      <c r="Q214" s="7">
        <v>1</v>
      </c>
      <c r="R214" s="7" t="s">
        <v>3</v>
      </c>
      <c r="S214" s="7" t="s">
        <v>3</v>
      </c>
      <c r="T214" s="7" t="s">
        <v>3</v>
      </c>
      <c r="U214" s="7" t="s">
        <v>3</v>
      </c>
      <c r="V214" s="7" t="s">
        <v>3</v>
      </c>
      <c r="W214" s="7" t="s">
        <v>3</v>
      </c>
      <c r="X214" s="7" t="s">
        <v>3</v>
      </c>
      <c r="Y214" s="7" t="s">
        <v>3</v>
      </c>
      <c r="Z214" s="7" t="s">
        <v>3</v>
      </c>
      <c r="AA214" s="7" t="s">
        <v>207</v>
      </c>
    </row>
    <row r="215" spans="1:27" x14ac:dyDescent="0.2">
      <c r="A215" s="4">
        <v>75</v>
      </c>
      <c r="B215" s="4" t="s">
        <v>208</v>
      </c>
      <c r="C215" s="4">
        <v>2000</v>
      </c>
      <c r="D215" s="4">
        <v>0</v>
      </c>
      <c r="E215" s="4">
        <v>1</v>
      </c>
      <c r="F215" s="4"/>
      <c r="G215" s="4">
        <v>0</v>
      </c>
      <c r="H215" s="4">
        <v>1</v>
      </c>
      <c r="I215" s="4">
        <v>0</v>
      </c>
      <c r="J215" s="4">
        <v>1</v>
      </c>
      <c r="K215" s="4">
        <v>0</v>
      </c>
      <c r="L215" s="4">
        <v>0</v>
      </c>
      <c r="M215" s="4">
        <v>0</v>
      </c>
      <c r="N215" s="4">
        <v>42119681</v>
      </c>
      <c r="O215" s="4">
        <v>2</v>
      </c>
    </row>
    <row r="219" spans="1:27" x14ac:dyDescent="0.2">
      <c r="A219">
        <v>65</v>
      </c>
      <c r="C219">
        <v>1</v>
      </c>
      <c r="D219">
        <v>0</v>
      </c>
      <c r="E219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6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209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51759</v>
      </c>
      <c r="M1">
        <v>10</v>
      </c>
      <c r="N1">
        <v>10</v>
      </c>
      <c r="O1">
        <v>1</v>
      </c>
      <c r="P1">
        <v>0</v>
      </c>
      <c r="Q1">
        <v>11</v>
      </c>
    </row>
    <row r="12" spans="1:133" x14ac:dyDescent="0.2">
      <c r="A12" s="1">
        <v>1</v>
      </c>
      <c r="B12" s="1">
        <v>54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>
        <v>157</v>
      </c>
      <c r="T12" s="1"/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16777224</v>
      </c>
      <c r="CI12" s="1" t="s">
        <v>3</v>
      </c>
      <c r="CJ12" s="1" t="s">
        <v>3</v>
      </c>
      <c r="CK12" s="1">
        <v>51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0</v>
      </c>
      <c r="C14" s="1">
        <v>0</v>
      </c>
      <c r="D14" s="1">
        <v>42119679</v>
      </c>
      <c r="E14" s="1">
        <v>42119681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8">
        <v>3</v>
      </c>
      <c r="B16" s="8">
        <v>1</v>
      </c>
      <c r="C16" s="8" t="s">
        <v>12</v>
      </c>
      <c r="D16" s="8" t="s">
        <v>13</v>
      </c>
      <c r="E16" s="9">
        <f>(Source!P158)/1000</f>
        <v>0</v>
      </c>
      <c r="F16" s="9">
        <f>(Source!P159)/1000</f>
        <v>164.37845999999999</v>
      </c>
      <c r="G16" s="9">
        <f>(Source!P150)/1000</f>
        <v>29.887779999999999</v>
      </c>
      <c r="H16" s="9">
        <f>(Source!P160)/1000+(Source!P161)/1000</f>
        <v>39.40701</v>
      </c>
      <c r="I16" s="9">
        <f>E16+F16+G16+H16</f>
        <v>233.67325</v>
      </c>
      <c r="J16" s="9">
        <f>(Source!P156)/1000</f>
        <v>74.657880000000006</v>
      </c>
      <c r="T16" s="10">
        <f>(Source!F158)/1000</f>
        <v>0</v>
      </c>
      <c r="U16" s="10">
        <f>(Source!F159)/1000</f>
        <v>92.987460000000013</v>
      </c>
      <c r="V16" s="10">
        <f>(Source!F150)/1000</f>
        <v>8.7569999999999997</v>
      </c>
      <c r="W16" s="10">
        <f>(Source!F160)/1000+(Source!F161)/1000</f>
        <v>2.1297899999999998</v>
      </c>
      <c r="X16" s="10">
        <f>T16+U16+V16+W16</f>
        <v>103.87425000000002</v>
      </c>
      <c r="Y16" s="10">
        <f>(Source!F156)/1000</f>
        <v>3.4420600000000001</v>
      </c>
      <c r="AI16" s="8">
        <v>0</v>
      </c>
      <c r="AJ16" s="8">
        <v>0</v>
      </c>
      <c r="AK16" s="8" t="s">
        <v>3</v>
      </c>
      <c r="AL16" s="8" t="s">
        <v>3</v>
      </c>
      <c r="AM16" s="8" t="s">
        <v>3</v>
      </c>
      <c r="AN16" s="8">
        <v>0</v>
      </c>
      <c r="AO16" s="8" t="s">
        <v>3</v>
      </c>
      <c r="AP16" s="8" t="s">
        <v>3</v>
      </c>
      <c r="AT16" s="9">
        <v>146561.45000000001</v>
      </c>
      <c r="AU16" s="9">
        <v>70542.070000000007</v>
      </c>
      <c r="AV16" s="9">
        <v>0</v>
      </c>
      <c r="AW16" s="9">
        <v>29887.78</v>
      </c>
      <c r="AX16" s="9">
        <v>0</v>
      </c>
      <c r="AY16" s="9">
        <v>1361.5</v>
      </c>
      <c r="AZ16" s="9">
        <v>453.78</v>
      </c>
      <c r="BA16" s="9">
        <v>74657.88</v>
      </c>
      <c r="BB16" s="9">
        <v>0</v>
      </c>
      <c r="BC16" s="9">
        <v>164378.46</v>
      </c>
      <c r="BD16" s="9">
        <v>39407.01</v>
      </c>
      <c r="BE16" s="9">
        <v>0</v>
      </c>
      <c r="BF16" s="9">
        <v>242.7055125</v>
      </c>
      <c r="BG16" s="9">
        <v>0</v>
      </c>
      <c r="BH16" s="9">
        <v>0</v>
      </c>
      <c r="BI16" s="9">
        <v>55789.63</v>
      </c>
      <c r="BJ16" s="9">
        <v>30609.72</v>
      </c>
      <c r="BK16" s="9">
        <v>233673.25</v>
      </c>
      <c r="BR16" s="10">
        <v>97957.06</v>
      </c>
      <c r="BS16" s="10">
        <v>94321.17</v>
      </c>
      <c r="BT16" s="10">
        <v>0</v>
      </c>
      <c r="BU16" s="10">
        <v>8757</v>
      </c>
      <c r="BV16" s="10">
        <v>0</v>
      </c>
      <c r="BW16" s="10">
        <v>193.83</v>
      </c>
      <c r="BX16" s="10">
        <v>20.92</v>
      </c>
      <c r="BY16" s="10">
        <v>3442.06</v>
      </c>
      <c r="BZ16" s="10">
        <v>0</v>
      </c>
      <c r="CA16" s="10">
        <v>92987.46</v>
      </c>
      <c r="CB16" s="10">
        <v>2129.79</v>
      </c>
      <c r="CC16" s="10">
        <v>0</v>
      </c>
      <c r="CD16" s="10">
        <v>242.7055125</v>
      </c>
      <c r="CE16" s="10">
        <v>0</v>
      </c>
      <c r="CF16" s="10">
        <v>0</v>
      </c>
      <c r="CG16" s="10">
        <v>3584.93</v>
      </c>
      <c r="CH16" s="10">
        <v>2332.2600000000002</v>
      </c>
      <c r="CI16" s="10">
        <v>103874.25</v>
      </c>
    </row>
    <row r="18" spans="1:40" x14ac:dyDescent="0.2">
      <c r="A18">
        <v>51</v>
      </c>
      <c r="E18" s="6">
        <f>SUMIF(A16:A17,3,E16:E17)</f>
        <v>0</v>
      </c>
      <c r="F18" s="6">
        <f>SUMIF(A16:A17,3,F16:F17)</f>
        <v>164.37845999999999</v>
      </c>
      <c r="G18" s="6">
        <f>SUMIF(A16:A17,3,G16:G17)</f>
        <v>29.887779999999999</v>
      </c>
      <c r="H18" s="6">
        <f>SUMIF(A16:A17,3,H16:H17)</f>
        <v>39.40701</v>
      </c>
      <c r="I18" s="6">
        <f>SUMIF(A16:A17,3,I16:I17)</f>
        <v>233.67325</v>
      </c>
      <c r="J18" s="6">
        <f>SUMIF(A16:A17,3,J16:J17)</f>
        <v>74.657880000000006</v>
      </c>
      <c r="K18" s="6"/>
      <c r="L18" s="6"/>
      <c r="M18" s="6"/>
      <c r="N18" s="6"/>
      <c r="O18" s="6"/>
      <c r="P18" s="6"/>
      <c r="Q18" s="6"/>
      <c r="R18" s="6"/>
      <c r="S18" s="6"/>
      <c r="T18" s="3">
        <f>SUMIF(A16:A17,3,T16:T17)</f>
        <v>0</v>
      </c>
      <c r="U18" s="3">
        <f>SUMIF(A16:A17,3,U16:U17)</f>
        <v>92.987460000000013</v>
      </c>
      <c r="V18" s="3">
        <f>SUMIF(A16:A17,3,V16:V17)</f>
        <v>8.7569999999999997</v>
      </c>
      <c r="W18" s="3">
        <f>SUMIF(A16:A17,3,W16:W17)</f>
        <v>2.1297899999999998</v>
      </c>
      <c r="X18" s="3">
        <f>SUMIF(A16:A17,3,X16:X17)</f>
        <v>103.87425000000002</v>
      </c>
      <c r="Y18" s="3">
        <f>SUMIF(A16:A17,3,Y16:Y17)</f>
        <v>3.4420600000000001</v>
      </c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20" spans="1:40" x14ac:dyDescent="0.2">
      <c r="A20" s="5">
        <v>50</v>
      </c>
      <c r="B20" s="5">
        <v>0</v>
      </c>
      <c r="C20" s="5">
        <v>0</v>
      </c>
      <c r="D20" s="5">
        <v>1</v>
      </c>
      <c r="E20" s="5">
        <v>201</v>
      </c>
      <c r="F20" s="5">
        <v>146561.45000000001</v>
      </c>
      <c r="G20" s="5" t="s">
        <v>127</v>
      </c>
      <c r="H20" s="5" t="s">
        <v>128</v>
      </c>
      <c r="I20" s="5"/>
      <c r="J20" s="5"/>
      <c r="K20" s="5">
        <v>201</v>
      </c>
      <c r="L20" s="5">
        <v>1</v>
      </c>
      <c r="M20" s="5">
        <v>3</v>
      </c>
      <c r="N20" s="5" t="s">
        <v>3</v>
      </c>
      <c r="O20" s="5">
        <v>2</v>
      </c>
      <c r="P20" s="5">
        <v>97957.06</v>
      </c>
    </row>
    <row r="21" spans="1:40" x14ac:dyDescent="0.2">
      <c r="A21" s="5">
        <v>50</v>
      </c>
      <c r="B21" s="5">
        <v>0</v>
      </c>
      <c r="C21" s="5">
        <v>0</v>
      </c>
      <c r="D21" s="5">
        <v>1</v>
      </c>
      <c r="E21" s="5">
        <v>202</v>
      </c>
      <c r="F21" s="5">
        <v>70542.070000000007</v>
      </c>
      <c r="G21" s="5" t="s">
        <v>129</v>
      </c>
      <c r="H21" s="5" t="s">
        <v>130</v>
      </c>
      <c r="I21" s="5"/>
      <c r="J21" s="5"/>
      <c r="K21" s="5">
        <v>202</v>
      </c>
      <c r="L21" s="5">
        <v>2</v>
      </c>
      <c r="M21" s="5">
        <v>3</v>
      </c>
      <c r="N21" s="5" t="s">
        <v>3</v>
      </c>
      <c r="O21" s="5">
        <v>2</v>
      </c>
      <c r="P21" s="5">
        <v>94321.17</v>
      </c>
    </row>
    <row r="22" spans="1:40" x14ac:dyDescent="0.2">
      <c r="A22" s="5">
        <v>50</v>
      </c>
      <c r="B22" s="5">
        <v>0</v>
      </c>
      <c r="C22" s="5">
        <v>0</v>
      </c>
      <c r="D22" s="5">
        <v>1</v>
      </c>
      <c r="E22" s="5">
        <v>222</v>
      </c>
      <c r="F22" s="5">
        <v>0</v>
      </c>
      <c r="G22" s="5" t="s">
        <v>131</v>
      </c>
      <c r="H22" s="5" t="s">
        <v>132</v>
      </c>
      <c r="I22" s="5"/>
      <c r="J22" s="5"/>
      <c r="K22" s="5">
        <v>222</v>
      </c>
      <c r="L22" s="5">
        <v>3</v>
      </c>
      <c r="M22" s="5">
        <v>3</v>
      </c>
      <c r="N22" s="5" t="s">
        <v>3</v>
      </c>
      <c r="O22" s="5">
        <v>2</v>
      </c>
      <c r="P22" s="5">
        <v>0</v>
      </c>
    </row>
    <row r="23" spans="1:40" x14ac:dyDescent="0.2">
      <c r="A23" s="5">
        <v>50</v>
      </c>
      <c r="B23" s="5">
        <v>0</v>
      </c>
      <c r="C23" s="5">
        <v>0</v>
      </c>
      <c r="D23" s="5">
        <v>1</v>
      </c>
      <c r="E23" s="5">
        <v>225</v>
      </c>
      <c r="F23" s="5">
        <v>70542.070000000007</v>
      </c>
      <c r="G23" s="5" t="s">
        <v>133</v>
      </c>
      <c r="H23" s="5" t="s">
        <v>134</v>
      </c>
      <c r="I23" s="5"/>
      <c r="J23" s="5"/>
      <c r="K23" s="5">
        <v>225</v>
      </c>
      <c r="L23" s="5">
        <v>4</v>
      </c>
      <c r="M23" s="5">
        <v>3</v>
      </c>
      <c r="N23" s="5" t="s">
        <v>3</v>
      </c>
      <c r="O23" s="5">
        <v>2</v>
      </c>
      <c r="P23" s="5">
        <v>94321.17</v>
      </c>
    </row>
    <row r="24" spans="1:40" x14ac:dyDescent="0.2">
      <c r="A24" s="5">
        <v>50</v>
      </c>
      <c r="B24" s="5">
        <v>0</v>
      </c>
      <c r="C24" s="5">
        <v>0</v>
      </c>
      <c r="D24" s="5">
        <v>1</v>
      </c>
      <c r="E24" s="5">
        <v>226</v>
      </c>
      <c r="F24" s="5">
        <v>40654.29</v>
      </c>
      <c r="G24" s="5" t="s">
        <v>135</v>
      </c>
      <c r="H24" s="5" t="s">
        <v>136</v>
      </c>
      <c r="I24" s="5"/>
      <c r="J24" s="5"/>
      <c r="K24" s="5">
        <v>226</v>
      </c>
      <c r="L24" s="5">
        <v>5</v>
      </c>
      <c r="M24" s="5">
        <v>3</v>
      </c>
      <c r="N24" s="5" t="s">
        <v>3</v>
      </c>
      <c r="O24" s="5">
        <v>2</v>
      </c>
      <c r="P24" s="5">
        <v>85564.17</v>
      </c>
    </row>
    <row r="25" spans="1:40" x14ac:dyDescent="0.2">
      <c r="A25" s="5">
        <v>50</v>
      </c>
      <c r="B25" s="5">
        <v>0</v>
      </c>
      <c r="C25" s="5">
        <v>0</v>
      </c>
      <c r="D25" s="5">
        <v>1</v>
      </c>
      <c r="E25" s="5">
        <v>227</v>
      </c>
      <c r="F25" s="5">
        <v>0</v>
      </c>
      <c r="G25" s="5" t="s">
        <v>137</v>
      </c>
      <c r="H25" s="5" t="s">
        <v>138</v>
      </c>
      <c r="I25" s="5"/>
      <c r="J25" s="5"/>
      <c r="K25" s="5">
        <v>227</v>
      </c>
      <c r="L25" s="5">
        <v>6</v>
      </c>
      <c r="M25" s="5">
        <v>3</v>
      </c>
      <c r="N25" s="5" t="s">
        <v>3</v>
      </c>
      <c r="O25" s="5">
        <v>2</v>
      </c>
      <c r="P25" s="5">
        <v>0</v>
      </c>
    </row>
    <row r="26" spans="1:40" x14ac:dyDescent="0.2">
      <c r="A26" s="5">
        <v>50</v>
      </c>
      <c r="B26" s="5">
        <v>0</v>
      </c>
      <c r="C26" s="5">
        <v>0</v>
      </c>
      <c r="D26" s="5">
        <v>1</v>
      </c>
      <c r="E26" s="5">
        <v>228</v>
      </c>
      <c r="F26" s="5">
        <v>40654.29</v>
      </c>
      <c r="G26" s="5" t="s">
        <v>139</v>
      </c>
      <c r="H26" s="5" t="s">
        <v>140</v>
      </c>
      <c r="I26" s="5"/>
      <c r="J26" s="5"/>
      <c r="K26" s="5">
        <v>228</v>
      </c>
      <c r="L26" s="5">
        <v>7</v>
      </c>
      <c r="M26" s="5">
        <v>3</v>
      </c>
      <c r="N26" s="5" t="s">
        <v>3</v>
      </c>
      <c r="O26" s="5">
        <v>2</v>
      </c>
      <c r="P26" s="5">
        <v>85564.17</v>
      </c>
    </row>
    <row r="27" spans="1:40" x14ac:dyDescent="0.2">
      <c r="A27" s="5">
        <v>50</v>
      </c>
      <c r="B27" s="5">
        <v>0</v>
      </c>
      <c r="C27" s="5">
        <v>0</v>
      </c>
      <c r="D27" s="5">
        <v>1</v>
      </c>
      <c r="E27" s="5">
        <v>216</v>
      </c>
      <c r="F27" s="5">
        <v>29887.78</v>
      </c>
      <c r="G27" s="5" t="s">
        <v>141</v>
      </c>
      <c r="H27" s="5" t="s">
        <v>142</v>
      </c>
      <c r="I27" s="5"/>
      <c r="J27" s="5"/>
      <c r="K27" s="5">
        <v>216</v>
      </c>
      <c r="L27" s="5">
        <v>8</v>
      </c>
      <c r="M27" s="5">
        <v>3</v>
      </c>
      <c r="N27" s="5" t="s">
        <v>3</v>
      </c>
      <c r="O27" s="5">
        <v>2</v>
      </c>
      <c r="P27" s="5">
        <v>8757</v>
      </c>
    </row>
    <row r="28" spans="1:40" x14ac:dyDescent="0.2">
      <c r="A28" s="5">
        <v>50</v>
      </c>
      <c r="B28" s="5">
        <v>0</v>
      </c>
      <c r="C28" s="5">
        <v>0</v>
      </c>
      <c r="D28" s="5">
        <v>1</v>
      </c>
      <c r="E28" s="5">
        <v>223</v>
      </c>
      <c r="F28" s="5">
        <v>0</v>
      </c>
      <c r="G28" s="5" t="s">
        <v>143</v>
      </c>
      <c r="H28" s="5" t="s">
        <v>144</v>
      </c>
      <c r="I28" s="5"/>
      <c r="J28" s="5"/>
      <c r="K28" s="5">
        <v>223</v>
      </c>
      <c r="L28" s="5">
        <v>9</v>
      </c>
      <c r="M28" s="5">
        <v>3</v>
      </c>
      <c r="N28" s="5" t="s">
        <v>3</v>
      </c>
      <c r="O28" s="5">
        <v>2</v>
      </c>
      <c r="P28" s="5">
        <v>0</v>
      </c>
    </row>
    <row r="29" spans="1:40" x14ac:dyDescent="0.2">
      <c r="A29" s="5">
        <v>50</v>
      </c>
      <c r="B29" s="5">
        <v>0</v>
      </c>
      <c r="C29" s="5">
        <v>0</v>
      </c>
      <c r="D29" s="5">
        <v>1</v>
      </c>
      <c r="E29" s="5">
        <v>229</v>
      </c>
      <c r="F29" s="5">
        <v>29887.78</v>
      </c>
      <c r="G29" s="5" t="s">
        <v>145</v>
      </c>
      <c r="H29" s="5" t="s">
        <v>146</v>
      </c>
      <c r="I29" s="5"/>
      <c r="J29" s="5"/>
      <c r="K29" s="5">
        <v>229</v>
      </c>
      <c r="L29" s="5">
        <v>10</v>
      </c>
      <c r="M29" s="5">
        <v>3</v>
      </c>
      <c r="N29" s="5" t="s">
        <v>3</v>
      </c>
      <c r="O29" s="5">
        <v>2</v>
      </c>
      <c r="P29" s="5">
        <v>8757</v>
      </c>
    </row>
    <row r="30" spans="1:40" x14ac:dyDescent="0.2">
      <c r="A30" s="5">
        <v>50</v>
      </c>
      <c r="B30" s="5">
        <v>0</v>
      </c>
      <c r="C30" s="5">
        <v>0</v>
      </c>
      <c r="D30" s="5">
        <v>1</v>
      </c>
      <c r="E30" s="5">
        <v>203</v>
      </c>
      <c r="F30" s="5">
        <v>1361.5</v>
      </c>
      <c r="G30" s="5" t="s">
        <v>147</v>
      </c>
      <c r="H30" s="5" t="s">
        <v>148</v>
      </c>
      <c r="I30" s="5"/>
      <c r="J30" s="5"/>
      <c r="K30" s="5">
        <v>203</v>
      </c>
      <c r="L30" s="5">
        <v>11</v>
      </c>
      <c r="M30" s="5">
        <v>3</v>
      </c>
      <c r="N30" s="5" t="s">
        <v>3</v>
      </c>
      <c r="O30" s="5">
        <v>2</v>
      </c>
      <c r="P30" s="5">
        <v>193.83</v>
      </c>
    </row>
    <row r="31" spans="1:40" x14ac:dyDescent="0.2">
      <c r="A31" s="5">
        <v>50</v>
      </c>
      <c r="B31" s="5">
        <v>0</v>
      </c>
      <c r="C31" s="5">
        <v>0</v>
      </c>
      <c r="D31" s="5">
        <v>1</v>
      </c>
      <c r="E31" s="5">
        <v>231</v>
      </c>
      <c r="F31" s="5">
        <v>0</v>
      </c>
      <c r="G31" s="5" t="s">
        <v>149</v>
      </c>
      <c r="H31" s="5" t="s">
        <v>150</v>
      </c>
      <c r="I31" s="5"/>
      <c r="J31" s="5"/>
      <c r="K31" s="5">
        <v>231</v>
      </c>
      <c r="L31" s="5">
        <v>12</v>
      </c>
      <c r="M31" s="5">
        <v>3</v>
      </c>
      <c r="N31" s="5" t="s">
        <v>3</v>
      </c>
      <c r="O31" s="5">
        <v>2</v>
      </c>
      <c r="P31" s="5">
        <v>0</v>
      </c>
    </row>
    <row r="32" spans="1:40" x14ac:dyDescent="0.2">
      <c r="A32" s="5">
        <v>50</v>
      </c>
      <c r="B32" s="5">
        <v>0</v>
      </c>
      <c r="C32" s="5">
        <v>0</v>
      </c>
      <c r="D32" s="5">
        <v>1</v>
      </c>
      <c r="E32" s="5">
        <v>204</v>
      </c>
      <c r="F32" s="5">
        <v>453.78</v>
      </c>
      <c r="G32" s="5" t="s">
        <v>151</v>
      </c>
      <c r="H32" s="5" t="s">
        <v>152</v>
      </c>
      <c r="I32" s="5"/>
      <c r="J32" s="5"/>
      <c r="K32" s="5">
        <v>204</v>
      </c>
      <c r="L32" s="5">
        <v>13</v>
      </c>
      <c r="M32" s="5">
        <v>3</v>
      </c>
      <c r="N32" s="5" t="s">
        <v>3</v>
      </c>
      <c r="O32" s="5">
        <v>2</v>
      </c>
      <c r="P32" s="5">
        <v>20.92</v>
      </c>
    </row>
    <row r="33" spans="1:16" x14ac:dyDescent="0.2">
      <c r="A33" s="5">
        <v>50</v>
      </c>
      <c r="B33" s="5">
        <v>0</v>
      </c>
      <c r="C33" s="5">
        <v>0</v>
      </c>
      <c r="D33" s="5">
        <v>1</v>
      </c>
      <c r="E33" s="5">
        <v>205</v>
      </c>
      <c r="F33" s="5">
        <v>74657.88</v>
      </c>
      <c r="G33" s="5" t="s">
        <v>153</v>
      </c>
      <c r="H33" s="5" t="s">
        <v>154</v>
      </c>
      <c r="I33" s="5"/>
      <c r="J33" s="5"/>
      <c r="K33" s="5">
        <v>205</v>
      </c>
      <c r="L33" s="5">
        <v>14</v>
      </c>
      <c r="M33" s="5">
        <v>3</v>
      </c>
      <c r="N33" s="5" t="s">
        <v>3</v>
      </c>
      <c r="O33" s="5">
        <v>2</v>
      </c>
      <c r="P33" s="5">
        <v>3442.06</v>
      </c>
    </row>
    <row r="34" spans="1:16" x14ac:dyDescent="0.2">
      <c r="A34" s="5">
        <v>50</v>
      </c>
      <c r="B34" s="5">
        <v>0</v>
      </c>
      <c r="C34" s="5">
        <v>0</v>
      </c>
      <c r="D34" s="5">
        <v>1</v>
      </c>
      <c r="E34" s="5">
        <v>232</v>
      </c>
      <c r="F34" s="5">
        <v>0</v>
      </c>
      <c r="G34" s="5" t="s">
        <v>155</v>
      </c>
      <c r="H34" s="5" t="s">
        <v>156</v>
      </c>
      <c r="I34" s="5"/>
      <c r="J34" s="5"/>
      <c r="K34" s="5">
        <v>232</v>
      </c>
      <c r="L34" s="5">
        <v>15</v>
      </c>
      <c r="M34" s="5">
        <v>3</v>
      </c>
      <c r="N34" s="5" t="s">
        <v>3</v>
      </c>
      <c r="O34" s="5">
        <v>2</v>
      </c>
      <c r="P34" s="5">
        <v>0</v>
      </c>
    </row>
    <row r="35" spans="1:16" x14ac:dyDescent="0.2">
      <c r="A35" s="5">
        <v>50</v>
      </c>
      <c r="B35" s="5">
        <v>0</v>
      </c>
      <c r="C35" s="5">
        <v>0</v>
      </c>
      <c r="D35" s="5">
        <v>1</v>
      </c>
      <c r="E35" s="5">
        <v>214</v>
      </c>
      <c r="F35" s="5">
        <v>0</v>
      </c>
      <c r="G35" s="5" t="s">
        <v>157</v>
      </c>
      <c r="H35" s="5" t="s">
        <v>158</v>
      </c>
      <c r="I35" s="5"/>
      <c r="J35" s="5"/>
      <c r="K35" s="5">
        <v>214</v>
      </c>
      <c r="L35" s="5">
        <v>16</v>
      </c>
      <c r="M35" s="5">
        <v>3</v>
      </c>
      <c r="N35" s="5" t="s">
        <v>3</v>
      </c>
      <c r="O35" s="5">
        <v>2</v>
      </c>
      <c r="P35" s="5">
        <v>0</v>
      </c>
    </row>
    <row r="36" spans="1:16" x14ac:dyDescent="0.2">
      <c r="A36" s="5">
        <v>50</v>
      </c>
      <c r="B36" s="5">
        <v>0</v>
      </c>
      <c r="C36" s="5">
        <v>0</v>
      </c>
      <c r="D36" s="5">
        <v>1</v>
      </c>
      <c r="E36" s="5">
        <v>215</v>
      </c>
      <c r="F36" s="5">
        <v>164378.46</v>
      </c>
      <c r="G36" s="5" t="s">
        <v>159</v>
      </c>
      <c r="H36" s="5" t="s">
        <v>160</v>
      </c>
      <c r="I36" s="5"/>
      <c r="J36" s="5"/>
      <c r="K36" s="5">
        <v>215</v>
      </c>
      <c r="L36" s="5">
        <v>17</v>
      </c>
      <c r="M36" s="5">
        <v>3</v>
      </c>
      <c r="N36" s="5" t="s">
        <v>3</v>
      </c>
      <c r="O36" s="5">
        <v>2</v>
      </c>
      <c r="P36" s="5">
        <v>92987.46</v>
      </c>
    </row>
    <row r="37" spans="1:16" x14ac:dyDescent="0.2">
      <c r="A37" s="5">
        <v>50</v>
      </c>
      <c r="B37" s="5">
        <v>0</v>
      </c>
      <c r="C37" s="5">
        <v>0</v>
      </c>
      <c r="D37" s="5">
        <v>1</v>
      </c>
      <c r="E37" s="5">
        <v>217</v>
      </c>
      <c r="F37" s="5">
        <v>39407.01</v>
      </c>
      <c r="G37" s="5" t="s">
        <v>161</v>
      </c>
      <c r="H37" s="5" t="s">
        <v>162</v>
      </c>
      <c r="I37" s="5"/>
      <c r="J37" s="5"/>
      <c r="K37" s="5">
        <v>217</v>
      </c>
      <c r="L37" s="5">
        <v>18</v>
      </c>
      <c r="M37" s="5">
        <v>3</v>
      </c>
      <c r="N37" s="5" t="s">
        <v>3</v>
      </c>
      <c r="O37" s="5">
        <v>2</v>
      </c>
      <c r="P37" s="5">
        <v>2129.79</v>
      </c>
    </row>
    <row r="38" spans="1:16" x14ac:dyDescent="0.2">
      <c r="A38" s="5">
        <v>50</v>
      </c>
      <c r="B38" s="5">
        <v>0</v>
      </c>
      <c r="C38" s="5">
        <v>0</v>
      </c>
      <c r="D38" s="5">
        <v>1</v>
      </c>
      <c r="E38" s="5">
        <v>230</v>
      </c>
      <c r="F38" s="5">
        <v>0</v>
      </c>
      <c r="G38" s="5" t="s">
        <v>163</v>
      </c>
      <c r="H38" s="5" t="s">
        <v>164</v>
      </c>
      <c r="I38" s="5"/>
      <c r="J38" s="5"/>
      <c r="K38" s="5">
        <v>230</v>
      </c>
      <c r="L38" s="5">
        <v>19</v>
      </c>
      <c r="M38" s="5">
        <v>3</v>
      </c>
      <c r="N38" s="5" t="s">
        <v>3</v>
      </c>
      <c r="O38" s="5">
        <v>2</v>
      </c>
      <c r="P38" s="5">
        <v>0</v>
      </c>
    </row>
    <row r="39" spans="1:16" x14ac:dyDescent="0.2">
      <c r="A39" s="5">
        <v>50</v>
      </c>
      <c r="B39" s="5">
        <v>0</v>
      </c>
      <c r="C39" s="5">
        <v>0</v>
      </c>
      <c r="D39" s="5">
        <v>1</v>
      </c>
      <c r="E39" s="5">
        <v>206</v>
      </c>
      <c r="F39" s="5">
        <v>0</v>
      </c>
      <c r="G39" s="5" t="s">
        <v>165</v>
      </c>
      <c r="H39" s="5" t="s">
        <v>166</v>
      </c>
      <c r="I39" s="5"/>
      <c r="J39" s="5"/>
      <c r="K39" s="5">
        <v>206</v>
      </c>
      <c r="L39" s="5">
        <v>20</v>
      </c>
      <c r="M39" s="5">
        <v>3</v>
      </c>
      <c r="N39" s="5" t="s">
        <v>3</v>
      </c>
      <c r="O39" s="5">
        <v>2</v>
      </c>
      <c r="P39" s="5">
        <v>0</v>
      </c>
    </row>
    <row r="40" spans="1:16" x14ac:dyDescent="0.2">
      <c r="A40" s="5">
        <v>50</v>
      </c>
      <c r="B40" s="5">
        <v>0</v>
      </c>
      <c r="C40" s="5">
        <v>0</v>
      </c>
      <c r="D40" s="5">
        <v>1</v>
      </c>
      <c r="E40" s="5">
        <v>207</v>
      </c>
      <c r="F40" s="5">
        <v>242.7055125</v>
      </c>
      <c r="G40" s="5" t="s">
        <v>167</v>
      </c>
      <c r="H40" s="5" t="s">
        <v>168</v>
      </c>
      <c r="I40" s="5"/>
      <c r="J40" s="5"/>
      <c r="K40" s="5">
        <v>207</v>
      </c>
      <c r="L40" s="5">
        <v>21</v>
      </c>
      <c r="M40" s="5">
        <v>3</v>
      </c>
      <c r="N40" s="5" t="s">
        <v>3</v>
      </c>
      <c r="O40" s="5">
        <v>-1</v>
      </c>
      <c r="P40" s="5">
        <v>242.7055125</v>
      </c>
    </row>
    <row r="41" spans="1:16" x14ac:dyDescent="0.2">
      <c r="A41" s="5">
        <v>50</v>
      </c>
      <c r="B41" s="5">
        <v>0</v>
      </c>
      <c r="C41" s="5">
        <v>0</v>
      </c>
      <c r="D41" s="5">
        <v>1</v>
      </c>
      <c r="E41" s="5">
        <v>208</v>
      </c>
      <c r="F41" s="5">
        <v>0</v>
      </c>
      <c r="G41" s="5" t="s">
        <v>169</v>
      </c>
      <c r="H41" s="5" t="s">
        <v>170</v>
      </c>
      <c r="I41" s="5"/>
      <c r="J41" s="5"/>
      <c r="K41" s="5">
        <v>208</v>
      </c>
      <c r="L41" s="5">
        <v>22</v>
      </c>
      <c r="M41" s="5">
        <v>3</v>
      </c>
      <c r="N41" s="5" t="s">
        <v>3</v>
      </c>
      <c r="O41" s="5">
        <v>-1</v>
      </c>
      <c r="P41" s="5">
        <v>0</v>
      </c>
    </row>
    <row r="42" spans="1:16" x14ac:dyDescent="0.2">
      <c r="A42" s="5">
        <v>50</v>
      </c>
      <c r="B42" s="5">
        <v>0</v>
      </c>
      <c r="C42" s="5">
        <v>0</v>
      </c>
      <c r="D42" s="5">
        <v>1</v>
      </c>
      <c r="E42" s="5">
        <v>209</v>
      </c>
      <c r="F42" s="5">
        <v>0</v>
      </c>
      <c r="G42" s="5" t="s">
        <v>171</v>
      </c>
      <c r="H42" s="5" t="s">
        <v>172</v>
      </c>
      <c r="I42" s="5"/>
      <c r="J42" s="5"/>
      <c r="K42" s="5">
        <v>209</v>
      </c>
      <c r="L42" s="5">
        <v>23</v>
      </c>
      <c r="M42" s="5">
        <v>3</v>
      </c>
      <c r="N42" s="5" t="s">
        <v>3</v>
      </c>
      <c r="O42" s="5">
        <v>2</v>
      </c>
      <c r="P42" s="5">
        <v>0</v>
      </c>
    </row>
    <row r="43" spans="1:16" x14ac:dyDescent="0.2">
      <c r="A43" s="5">
        <v>50</v>
      </c>
      <c r="B43" s="5">
        <v>0</v>
      </c>
      <c r="C43" s="5">
        <v>0</v>
      </c>
      <c r="D43" s="5">
        <v>1</v>
      </c>
      <c r="E43" s="5">
        <v>210</v>
      </c>
      <c r="F43" s="5">
        <v>55789.63</v>
      </c>
      <c r="G43" s="5" t="s">
        <v>173</v>
      </c>
      <c r="H43" s="5" t="s">
        <v>174</v>
      </c>
      <c r="I43" s="5"/>
      <c r="J43" s="5"/>
      <c r="K43" s="5">
        <v>210</v>
      </c>
      <c r="L43" s="5">
        <v>24</v>
      </c>
      <c r="M43" s="5">
        <v>3</v>
      </c>
      <c r="N43" s="5" t="s">
        <v>3</v>
      </c>
      <c r="O43" s="5">
        <v>2</v>
      </c>
      <c r="P43" s="5">
        <v>3584.93</v>
      </c>
    </row>
    <row r="44" spans="1:16" x14ac:dyDescent="0.2">
      <c r="A44" s="5">
        <v>50</v>
      </c>
      <c r="B44" s="5">
        <v>0</v>
      </c>
      <c r="C44" s="5">
        <v>0</v>
      </c>
      <c r="D44" s="5">
        <v>1</v>
      </c>
      <c r="E44" s="5">
        <v>211</v>
      </c>
      <c r="F44" s="5">
        <v>30609.72</v>
      </c>
      <c r="G44" s="5" t="s">
        <v>175</v>
      </c>
      <c r="H44" s="5" t="s">
        <v>176</v>
      </c>
      <c r="I44" s="5"/>
      <c r="J44" s="5"/>
      <c r="K44" s="5">
        <v>211</v>
      </c>
      <c r="L44" s="5">
        <v>25</v>
      </c>
      <c r="M44" s="5">
        <v>3</v>
      </c>
      <c r="N44" s="5" t="s">
        <v>3</v>
      </c>
      <c r="O44" s="5">
        <v>2</v>
      </c>
      <c r="P44" s="5">
        <v>2332.2600000000002</v>
      </c>
    </row>
    <row r="45" spans="1:16" x14ac:dyDescent="0.2">
      <c r="A45" s="5">
        <v>50</v>
      </c>
      <c r="B45" s="5">
        <v>0</v>
      </c>
      <c r="C45" s="5">
        <v>0</v>
      </c>
      <c r="D45" s="5">
        <v>1</v>
      </c>
      <c r="E45" s="5">
        <v>224</v>
      </c>
      <c r="F45" s="5">
        <v>233673.25</v>
      </c>
      <c r="G45" s="5" t="s">
        <v>177</v>
      </c>
      <c r="H45" s="5" t="s">
        <v>178</v>
      </c>
      <c r="I45" s="5"/>
      <c r="J45" s="5"/>
      <c r="K45" s="5">
        <v>224</v>
      </c>
      <c r="L45" s="5">
        <v>26</v>
      </c>
      <c r="M45" s="5">
        <v>3</v>
      </c>
      <c r="N45" s="5" t="s">
        <v>3</v>
      </c>
      <c r="O45" s="5">
        <v>2</v>
      </c>
      <c r="P45" s="5">
        <v>103874.25</v>
      </c>
    </row>
    <row r="46" spans="1:16" x14ac:dyDescent="0.2">
      <c r="A46" s="5">
        <v>50</v>
      </c>
      <c r="B46" s="5">
        <v>1</v>
      </c>
      <c r="C46" s="5">
        <v>0</v>
      </c>
      <c r="D46" s="5">
        <v>2</v>
      </c>
      <c r="E46" s="5">
        <v>0</v>
      </c>
      <c r="F46" s="5">
        <v>40654.29</v>
      </c>
      <c r="G46" s="5" t="s">
        <v>195</v>
      </c>
      <c r="H46" s="5" t="s">
        <v>196</v>
      </c>
      <c r="I46" s="5"/>
      <c r="J46" s="5"/>
      <c r="K46" s="5">
        <v>212</v>
      </c>
      <c r="L46" s="5">
        <v>28</v>
      </c>
      <c r="M46" s="5">
        <v>0</v>
      </c>
      <c r="N46" s="5" t="s">
        <v>3</v>
      </c>
      <c r="O46" s="5">
        <v>2</v>
      </c>
      <c r="P46" s="5">
        <v>85564.17</v>
      </c>
    </row>
    <row r="47" spans="1:16" x14ac:dyDescent="0.2">
      <c r="A47" s="5">
        <v>50</v>
      </c>
      <c r="B47" s="5">
        <v>1</v>
      </c>
      <c r="C47" s="5">
        <v>0</v>
      </c>
      <c r="D47" s="5">
        <v>2</v>
      </c>
      <c r="E47" s="5">
        <v>0</v>
      </c>
      <c r="F47" s="5">
        <v>29887.78</v>
      </c>
      <c r="G47" s="5" t="s">
        <v>197</v>
      </c>
      <c r="H47" s="5" t="s">
        <v>198</v>
      </c>
      <c r="I47" s="5"/>
      <c r="J47" s="5"/>
      <c r="K47" s="5">
        <v>212</v>
      </c>
      <c r="L47" s="5">
        <v>29</v>
      </c>
      <c r="M47" s="5">
        <v>0</v>
      </c>
      <c r="N47" s="5" t="s">
        <v>3</v>
      </c>
      <c r="O47" s="5">
        <v>2</v>
      </c>
      <c r="P47" s="5">
        <v>8757</v>
      </c>
    </row>
    <row r="48" spans="1:16" x14ac:dyDescent="0.2">
      <c r="A48" s="5">
        <v>50</v>
      </c>
      <c r="B48" s="5">
        <v>1</v>
      </c>
      <c r="C48" s="5">
        <v>0</v>
      </c>
      <c r="D48" s="5">
        <v>2</v>
      </c>
      <c r="E48" s="5">
        <v>0</v>
      </c>
      <c r="F48" s="5">
        <v>14108.41</v>
      </c>
      <c r="G48" s="5" t="s">
        <v>191</v>
      </c>
      <c r="H48" s="5" t="s">
        <v>199</v>
      </c>
      <c r="I48" s="5"/>
      <c r="J48" s="5"/>
      <c r="K48" s="5">
        <v>212</v>
      </c>
      <c r="L48" s="5">
        <v>30</v>
      </c>
      <c r="M48" s="5">
        <v>0</v>
      </c>
      <c r="N48" s="5" t="s">
        <v>3</v>
      </c>
      <c r="O48" s="5">
        <v>2</v>
      </c>
      <c r="P48" s="5">
        <v>18864.23</v>
      </c>
    </row>
    <row r="49" spans="1:27" x14ac:dyDescent="0.2">
      <c r="A49" s="5">
        <v>50</v>
      </c>
      <c r="B49" s="5">
        <v>1</v>
      </c>
      <c r="C49" s="5">
        <v>0</v>
      </c>
      <c r="D49" s="5">
        <v>2</v>
      </c>
      <c r="E49" s="5">
        <v>213</v>
      </c>
      <c r="F49" s="5">
        <v>247781.66</v>
      </c>
      <c r="G49" s="5" t="s">
        <v>193</v>
      </c>
      <c r="H49" s="5" t="s">
        <v>194</v>
      </c>
      <c r="I49" s="5"/>
      <c r="J49" s="5"/>
      <c r="K49" s="5">
        <v>212</v>
      </c>
      <c r="L49" s="5">
        <v>31</v>
      </c>
      <c r="M49" s="5">
        <v>0</v>
      </c>
      <c r="N49" s="5" t="s">
        <v>3</v>
      </c>
      <c r="O49" s="5">
        <v>2</v>
      </c>
      <c r="P49" s="5">
        <v>122738.48</v>
      </c>
    </row>
    <row r="51" spans="1:27" x14ac:dyDescent="0.2">
      <c r="A51">
        <v>-1</v>
      </c>
    </row>
    <row r="54" spans="1:27" x14ac:dyDescent="0.2">
      <c r="A54" s="4">
        <v>75</v>
      </c>
      <c r="B54" s="4" t="s">
        <v>204</v>
      </c>
      <c r="C54" s="4">
        <v>2019</v>
      </c>
      <c r="D54" s="4">
        <v>0</v>
      </c>
      <c r="E54" s="4">
        <v>3</v>
      </c>
      <c r="F54" s="4"/>
      <c r="G54" s="4">
        <v>0</v>
      </c>
      <c r="H54" s="4">
        <v>2</v>
      </c>
      <c r="I54" s="4">
        <v>1</v>
      </c>
      <c r="J54" s="4">
        <v>1</v>
      </c>
      <c r="K54" s="4">
        <v>93</v>
      </c>
      <c r="L54" s="4">
        <v>64</v>
      </c>
      <c r="M54" s="4">
        <v>1</v>
      </c>
      <c r="N54" s="4">
        <v>42119679</v>
      </c>
      <c r="O54" s="4">
        <v>1</v>
      </c>
    </row>
    <row r="55" spans="1:27" x14ac:dyDescent="0.2">
      <c r="A55" s="7">
        <v>1</v>
      </c>
      <c r="B55" s="7" t="s">
        <v>205</v>
      </c>
      <c r="C55" s="7" t="s">
        <v>206</v>
      </c>
      <c r="D55" s="7">
        <v>2019</v>
      </c>
      <c r="E55" s="7">
        <v>3</v>
      </c>
      <c r="F55" s="7">
        <v>1</v>
      </c>
      <c r="G55" s="7">
        <v>1</v>
      </c>
      <c r="H55" s="7">
        <v>0</v>
      </c>
      <c r="I55" s="7">
        <v>2</v>
      </c>
      <c r="J55" s="7">
        <v>1</v>
      </c>
      <c r="K55" s="7">
        <v>5.36</v>
      </c>
      <c r="L55" s="7">
        <v>4.33</v>
      </c>
      <c r="M55" s="7">
        <v>1</v>
      </c>
      <c r="N55" s="7">
        <v>1</v>
      </c>
      <c r="O55" s="7">
        <v>5.36</v>
      </c>
      <c r="P55" s="7">
        <v>4.33</v>
      </c>
      <c r="Q55" s="7">
        <v>1</v>
      </c>
      <c r="R55" s="7" t="s">
        <v>3</v>
      </c>
      <c r="S55" s="7" t="s">
        <v>3</v>
      </c>
      <c r="T55" s="7" t="s">
        <v>3</v>
      </c>
      <c r="U55" s="7" t="s">
        <v>3</v>
      </c>
      <c r="V55" s="7" t="s">
        <v>3</v>
      </c>
      <c r="W55" s="7" t="s">
        <v>3</v>
      </c>
      <c r="X55" s="7" t="s">
        <v>3</v>
      </c>
      <c r="Y55" s="7" t="s">
        <v>3</v>
      </c>
      <c r="Z55" s="7" t="s">
        <v>3</v>
      </c>
      <c r="AA55" s="7" t="s">
        <v>207</v>
      </c>
    </row>
    <row r="56" spans="1:27" x14ac:dyDescent="0.2">
      <c r="A56" s="4">
        <v>75</v>
      </c>
      <c r="B56" s="4" t="s">
        <v>208</v>
      </c>
      <c r="C56" s="4">
        <v>2000</v>
      </c>
      <c r="D56" s="4">
        <v>0</v>
      </c>
      <c r="E56" s="4">
        <v>1</v>
      </c>
      <c r="F56" s="4"/>
      <c r="G56" s="4">
        <v>0</v>
      </c>
      <c r="H56" s="4">
        <v>1</v>
      </c>
      <c r="I56" s="4">
        <v>0</v>
      </c>
      <c r="J56" s="4">
        <v>1</v>
      </c>
      <c r="K56" s="4">
        <v>0</v>
      </c>
      <c r="L56" s="4">
        <v>0</v>
      </c>
      <c r="M56" s="4">
        <v>0</v>
      </c>
      <c r="N56" s="4">
        <v>42119681</v>
      </c>
      <c r="O56" s="4">
        <v>2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48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7" x14ac:dyDescent="0.2">
      <c r="A1">
        <f>ROW(Source!A28)</f>
        <v>28</v>
      </c>
      <c r="B1">
        <v>42119681</v>
      </c>
      <c r="C1">
        <v>42120123</v>
      </c>
      <c r="D1">
        <v>32886502</v>
      </c>
      <c r="E1">
        <v>13</v>
      </c>
      <c r="F1">
        <v>1</v>
      </c>
      <c r="G1">
        <v>13</v>
      </c>
      <c r="H1">
        <v>1</v>
      </c>
      <c r="I1" t="s">
        <v>210</v>
      </c>
      <c r="J1" t="s">
        <v>3</v>
      </c>
      <c r="K1" t="s">
        <v>211</v>
      </c>
      <c r="L1">
        <v>1191</v>
      </c>
      <c r="N1">
        <v>1013</v>
      </c>
      <c r="O1" t="s">
        <v>212</v>
      </c>
      <c r="P1" t="s">
        <v>212</v>
      </c>
      <c r="Q1">
        <v>1</v>
      </c>
      <c r="W1">
        <v>0</v>
      </c>
      <c r="X1">
        <v>476480486</v>
      </c>
      <c r="Y1">
        <v>7.5382499999999988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3</v>
      </c>
      <c r="AT1">
        <v>5.7</v>
      </c>
      <c r="AU1" t="s">
        <v>22</v>
      </c>
      <c r="AV1">
        <v>1</v>
      </c>
      <c r="AW1">
        <v>2</v>
      </c>
      <c r="AX1">
        <v>42120124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Y1*Source!I28</f>
        <v>7.5382499999999988</v>
      </c>
      <c r="CY1">
        <f>AD1</f>
        <v>0</v>
      </c>
      <c r="CZ1">
        <f>AH1</f>
        <v>0</v>
      </c>
      <c r="DA1">
        <f>AL1</f>
        <v>1</v>
      </c>
      <c r="DB1">
        <f>ROUND(((ROUND(AT1*CZ1,2)*1.15)*1.15),6)</f>
        <v>0</v>
      </c>
      <c r="DC1">
        <f>ROUND(((ROUND(AT1*AG1,2)*1.15)*1.15),6)</f>
        <v>0</v>
      </c>
    </row>
    <row r="2" spans="1:107" x14ac:dyDescent="0.2">
      <c r="A2">
        <f>ROW(Source!A28)</f>
        <v>28</v>
      </c>
      <c r="B2">
        <v>42119681</v>
      </c>
      <c r="C2">
        <v>42120123</v>
      </c>
      <c r="D2">
        <v>0</v>
      </c>
      <c r="E2">
        <v>13</v>
      </c>
      <c r="F2">
        <v>1</v>
      </c>
      <c r="G2">
        <v>13</v>
      </c>
      <c r="H2">
        <v>3</v>
      </c>
      <c r="I2" t="s">
        <v>28</v>
      </c>
      <c r="J2" t="s">
        <v>3</v>
      </c>
      <c r="K2" t="s">
        <v>29</v>
      </c>
      <c r="L2">
        <v>1354</v>
      </c>
      <c r="N2">
        <v>1010</v>
      </c>
      <c r="O2" t="s">
        <v>30</v>
      </c>
      <c r="P2" t="s">
        <v>30</v>
      </c>
      <c r="Q2">
        <v>1</v>
      </c>
      <c r="W2">
        <v>0</v>
      </c>
      <c r="X2">
        <v>-1904186954</v>
      </c>
      <c r="Y2">
        <v>1</v>
      </c>
      <c r="AA2">
        <v>625.5</v>
      </c>
      <c r="AB2">
        <v>0</v>
      </c>
      <c r="AC2">
        <v>0</v>
      </c>
      <c r="AD2">
        <v>0</v>
      </c>
      <c r="AE2">
        <v>625.5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0</v>
      </c>
      <c r="AP2">
        <v>0</v>
      </c>
      <c r="AQ2">
        <v>0</v>
      </c>
      <c r="AR2">
        <v>0</v>
      </c>
      <c r="AS2" t="s">
        <v>3</v>
      </c>
      <c r="AT2">
        <v>1</v>
      </c>
      <c r="AU2" t="s">
        <v>3</v>
      </c>
      <c r="AV2">
        <v>0</v>
      </c>
      <c r="AW2">
        <v>1</v>
      </c>
      <c r="AX2">
        <v>-1</v>
      </c>
      <c r="AY2">
        <v>0</v>
      </c>
      <c r="AZ2">
        <v>0</v>
      </c>
      <c r="BA2" t="s">
        <v>3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Y2*Source!I28</f>
        <v>1</v>
      </c>
      <c r="CY2">
        <f>AA2</f>
        <v>625.5</v>
      </c>
      <c r="CZ2">
        <f>AE2</f>
        <v>625.5</v>
      </c>
      <c r="DA2">
        <f>AI2</f>
        <v>1</v>
      </c>
      <c r="DB2">
        <f>ROUND(ROUND(AT2*CZ2,2),6)</f>
        <v>625.5</v>
      </c>
      <c r="DC2">
        <f>ROUND(ROUND(AT2*AG2,2),6)</f>
        <v>0</v>
      </c>
    </row>
    <row r="3" spans="1:107" x14ac:dyDescent="0.2">
      <c r="A3">
        <f>ROW(Source!A29)</f>
        <v>29</v>
      </c>
      <c r="B3">
        <v>42119679</v>
      </c>
      <c r="C3">
        <v>42120123</v>
      </c>
      <c r="D3">
        <v>32886502</v>
      </c>
      <c r="E3">
        <v>13</v>
      </c>
      <c r="F3">
        <v>1</v>
      </c>
      <c r="G3">
        <v>13</v>
      </c>
      <c r="H3">
        <v>1</v>
      </c>
      <c r="I3" t="s">
        <v>210</v>
      </c>
      <c r="J3" t="s">
        <v>3</v>
      </c>
      <c r="K3" t="s">
        <v>211</v>
      </c>
      <c r="L3">
        <v>1191</v>
      </c>
      <c r="N3">
        <v>1013</v>
      </c>
      <c r="O3" t="s">
        <v>212</v>
      </c>
      <c r="P3" t="s">
        <v>212</v>
      </c>
      <c r="Q3">
        <v>1</v>
      </c>
      <c r="W3">
        <v>0</v>
      </c>
      <c r="X3">
        <v>476480486</v>
      </c>
      <c r="Y3">
        <v>7.5382499999999988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3</v>
      </c>
      <c r="AT3">
        <v>5.7</v>
      </c>
      <c r="AU3" t="s">
        <v>22</v>
      </c>
      <c r="AV3">
        <v>1</v>
      </c>
      <c r="AW3">
        <v>2</v>
      </c>
      <c r="AX3">
        <v>42120124</v>
      </c>
      <c r="AY3">
        <v>1</v>
      </c>
      <c r="AZ3">
        <v>0</v>
      </c>
      <c r="BA3">
        <v>2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Y3*Source!I29</f>
        <v>7.5382499999999988</v>
      </c>
      <c r="CY3">
        <f>AD3</f>
        <v>0</v>
      </c>
      <c r="CZ3">
        <f>AH3</f>
        <v>0</v>
      </c>
      <c r="DA3">
        <f>AL3</f>
        <v>1</v>
      </c>
      <c r="DB3">
        <f>ROUND(((ROUND(AT3*CZ3,2)*1.15)*1.15),6)</f>
        <v>0</v>
      </c>
      <c r="DC3">
        <f>ROUND(((ROUND(AT3*AG3,2)*1.15)*1.15),6)</f>
        <v>0</v>
      </c>
    </row>
    <row r="4" spans="1:107" x14ac:dyDescent="0.2">
      <c r="A4">
        <f>ROW(Source!A29)</f>
        <v>29</v>
      </c>
      <c r="B4">
        <v>42119679</v>
      </c>
      <c r="C4">
        <v>42120123</v>
      </c>
      <c r="D4">
        <v>0</v>
      </c>
      <c r="E4">
        <v>13</v>
      </c>
      <c r="F4">
        <v>1</v>
      </c>
      <c r="G4">
        <v>13</v>
      </c>
      <c r="H4">
        <v>3</v>
      </c>
      <c r="I4" t="s">
        <v>28</v>
      </c>
      <c r="J4" t="s">
        <v>3</v>
      </c>
      <c r="K4" t="s">
        <v>29</v>
      </c>
      <c r="L4">
        <v>1354</v>
      </c>
      <c r="N4">
        <v>1010</v>
      </c>
      <c r="O4" t="s">
        <v>30</v>
      </c>
      <c r="P4" t="s">
        <v>30</v>
      </c>
      <c r="Q4">
        <v>1</v>
      </c>
      <c r="W4">
        <v>0</v>
      </c>
      <c r="X4">
        <v>-1904186954</v>
      </c>
      <c r="Y4">
        <v>1</v>
      </c>
      <c r="AA4">
        <v>19442.61</v>
      </c>
      <c r="AB4">
        <v>0</v>
      </c>
      <c r="AC4">
        <v>0</v>
      </c>
      <c r="AD4">
        <v>0</v>
      </c>
      <c r="AE4">
        <v>4490.2099999999991</v>
      </c>
      <c r="AF4">
        <v>0</v>
      </c>
      <c r="AG4">
        <v>0</v>
      </c>
      <c r="AH4">
        <v>0</v>
      </c>
      <c r="AI4">
        <v>4.33</v>
      </c>
      <c r="AJ4">
        <v>1</v>
      </c>
      <c r="AK4">
        <v>1</v>
      </c>
      <c r="AL4">
        <v>1</v>
      </c>
      <c r="AN4">
        <v>0</v>
      </c>
      <c r="AO4">
        <v>0</v>
      </c>
      <c r="AP4">
        <v>0</v>
      </c>
      <c r="AQ4">
        <v>0</v>
      </c>
      <c r="AR4">
        <v>0</v>
      </c>
      <c r="AS4" t="s">
        <v>3</v>
      </c>
      <c r="AT4">
        <v>1</v>
      </c>
      <c r="AU4" t="s">
        <v>3</v>
      </c>
      <c r="AV4">
        <v>0</v>
      </c>
      <c r="AW4">
        <v>1</v>
      </c>
      <c r="AX4">
        <v>-1</v>
      </c>
      <c r="AY4">
        <v>0</v>
      </c>
      <c r="AZ4">
        <v>0</v>
      </c>
      <c r="BA4" t="s">
        <v>3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Y4*Source!I29</f>
        <v>1</v>
      </c>
      <c r="CY4">
        <f>AA4</f>
        <v>19442.61</v>
      </c>
      <c r="CZ4">
        <f>AE4</f>
        <v>4490.2099999999991</v>
      </c>
      <c r="DA4">
        <f>AI4</f>
        <v>4.33</v>
      </c>
      <c r="DB4">
        <f>ROUND(ROUND(AT4*CZ4,2),6)</f>
        <v>4490.21</v>
      </c>
      <c r="DC4">
        <f>ROUND(ROUND(AT4*AG4,2),6)</f>
        <v>0</v>
      </c>
    </row>
    <row r="5" spans="1:107" x14ac:dyDescent="0.2">
      <c r="A5">
        <f>ROW(Source!A32)</f>
        <v>32</v>
      </c>
      <c r="B5">
        <v>42119681</v>
      </c>
      <c r="C5">
        <v>42120128</v>
      </c>
      <c r="D5">
        <v>32886502</v>
      </c>
      <c r="E5">
        <v>13</v>
      </c>
      <c r="F5">
        <v>1</v>
      </c>
      <c r="G5">
        <v>13</v>
      </c>
      <c r="H5">
        <v>1</v>
      </c>
      <c r="I5" t="s">
        <v>210</v>
      </c>
      <c r="J5" t="s">
        <v>3</v>
      </c>
      <c r="K5" t="s">
        <v>211</v>
      </c>
      <c r="L5">
        <v>1191</v>
      </c>
      <c r="N5">
        <v>1013</v>
      </c>
      <c r="O5" t="s">
        <v>212</v>
      </c>
      <c r="P5" t="s">
        <v>212</v>
      </c>
      <c r="Q5">
        <v>1</v>
      </c>
      <c r="W5">
        <v>0</v>
      </c>
      <c r="X5">
        <v>476480486</v>
      </c>
      <c r="Y5">
        <v>5.4486999999999988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3</v>
      </c>
      <c r="AT5">
        <v>4.12</v>
      </c>
      <c r="AU5" t="s">
        <v>22</v>
      </c>
      <c r="AV5">
        <v>1</v>
      </c>
      <c r="AW5">
        <v>2</v>
      </c>
      <c r="AX5">
        <v>42120129</v>
      </c>
      <c r="AY5">
        <v>1</v>
      </c>
      <c r="AZ5">
        <v>0</v>
      </c>
      <c r="BA5">
        <v>3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Y5*Source!I32</f>
        <v>10.897399999999998</v>
      </c>
      <c r="CY5">
        <f>AD5</f>
        <v>0</v>
      </c>
      <c r="CZ5">
        <f>AH5</f>
        <v>0</v>
      </c>
      <c r="DA5">
        <f>AL5</f>
        <v>1</v>
      </c>
      <c r="DB5">
        <f>ROUND(((ROUND(AT5*CZ5,2)*1.15)*1.15),6)</f>
        <v>0</v>
      </c>
      <c r="DC5">
        <f>ROUND(((ROUND(AT5*AG5,2)*1.15)*1.15),6)</f>
        <v>0</v>
      </c>
    </row>
    <row r="6" spans="1:107" x14ac:dyDescent="0.2">
      <c r="A6">
        <f>ROW(Source!A32)</f>
        <v>32</v>
      </c>
      <c r="B6">
        <v>42119681</v>
      </c>
      <c r="C6">
        <v>42120128</v>
      </c>
      <c r="D6">
        <v>0</v>
      </c>
      <c r="E6">
        <v>0</v>
      </c>
      <c r="F6">
        <v>1</v>
      </c>
      <c r="G6">
        <v>13</v>
      </c>
      <c r="H6">
        <v>3</v>
      </c>
      <c r="I6" t="s">
        <v>42</v>
      </c>
      <c r="J6" t="s">
        <v>3</v>
      </c>
      <c r="K6" t="s">
        <v>43</v>
      </c>
      <c r="L6">
        <v>1354</v>
      </c>
      <c r="N6">
        <v>1010</v>
      </c>
      <c r="O6" t="s">
        <v>30</v>
      </c>
      <c r="P6" t="s">
        <v>30</v>
      </c>
      <c r="Q6">
        <v>1</v>
      </c>
      <c r="W6">
        <v>0</v>
      </c>
      <c r="X6">
        <v>-1402373455</v>
      </c>
      <c r="Y6">
        <v>1</v>
      </c>
      <c r="AA6">
        <v>285.2</v>
      </c>
      <c r="AB6">
        <v>0</v>
      </c>
      <c r="AC6">
        <v>0</v>
      </c>
      <c r="AD6">
        <v>0</v>
      </c>
      <c r="AE6">
        <v>285.2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N6">
        <v>0</v>
      </c>
      <c r="AO6">
        <v>0</v>
      </c>
      <c r="AP6">
        <v>0</v>
      </c>
      <c r="AQ6">
        <v>0</v>
      </c>
      <c r="AR6">
        <v>0</v>
      </c>
      <c r="AS6" t="s">
        <v>3</v>
      </c>
      <c r="AT6">
        <v>1</v>
      </c>
      <c r="AU6" t="s">
        <v>3</v>
      </c>
      <c r="AV6">
        <v>0</v>
      </c>
      <c r="AW6">
        <v>1</v>
      </c>
      <c r="AX6">
        <v>-1</v>
      </c>
      <c r="AY6">
        <v>0</v>
      </c>
      <c r="AZ6">
        <v>0</v>
      </c>
      <c r="BA6" t="s">
        <v>3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Y6*Source!I32</f>
        <v>2</v>
      </c>
      <c r="CY6">
        <f>AA6</f>
        <v>285.2</v>
      </c>
      <c r="CZ6">
        <f>AE6</f>
        <v>285.2</v>
      </c>
      <c r="DA6">
        <f>AI6</f>
        <v>1</v>
      </c>
      <c r="DB6">
        <f>ROUND(ROUND(AT6*CZ6,2),6)</f>
        <v>285.2</v>
      </c>
      <c r="DC6">
        <f>ROUND(ROUND(AT6*AG6,2),6)</f>
        <v>0</v>
      </c>
    </row>
    <row r="7" spans="1:107" x14ac:dyDescent="0.2">
      <c r="A7">
        <f>ROW(Source!A33)</f>
        <v>33</v>
      </c>
      <c r="B7">
        <v>42119679</v>
      </c>
      <c r="C7">
        <v>42120128</v>
      </c>
      <c r="D7">
        <v>32886502</v>
      </c>
      <c r="E7">
        <v>13</v>
      </c>
      <c r="F7">
        <v>1</v>
      </c>
      <c r="G7">
        <v>13</v>
      </c>
      <c r="H7">
        <v>1</v>
      </c>
      <c r="I7" t="s">
        <v>210</v>
      </c>
      <c r="J7" t="s">
        <v>3</v>
      </c>
      <c r="K7" t="s">
        <v>211</v>
      </c>
      <c r="L7">
        <v>1191</v>
      </c>
      <c r="N7">
        <v>1013</v>
      </c>
      <c r="O7" t="s">
        <v>212</v>
      </c>
      <c r="P7" t="s">
        <v>212</v>
      </c>
      <c r="Q7">
        <v>1</v>
      </c>
      <c r="W7">
        <v>0</v>
      </c>
      <c r="X7">
        <v>476480486</v>
      </c>
      <c r="Y7">
        <v>5.4486999999999988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1</v>
      </c>
      <c r="AQ7">
        <v>0</v>
      </c>
      <c r="AR7">
        <v>0</v>
      </c>
      <c r="AS7" t="s">
        <v>3</v>
      </c>
      <c r="AT7">
        <v>4.12</v>
      </c>
      <c r="AU7" t="s">
        <v>22</v>
      </c>
      <c r="AV7">
        <v>1</v>
      </c>
      <c r="AW7">
        <v>2</v>
      </c>
      <c r="AX7">
        <v>42120129</v>
      </c>
      <c r="AY7">
        <v>1</v>
      </c>
      <c r="AZ7">
        <v>0</v>
      </c>
      <c r="BA7">
        <v>4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Y7*Source!I33</f>
        <v>10.897399999999998</v>
      </c>
      <c r="CY7">
        <f>AD7</f>
        <v>0</v>
      </c>
      <c r="CZ7">
        <f>AH7</f>
        <v>0</v>
      </c>
      <c r="DA7">
        <f>AL7</f>
        <v>1</v>
      </c>
      <c r="DB7">
        <f>ROUND(((ROUND(AT7*CZ7,2)*1.15)*1.15),6)</f>
        <v>0</v>
      </c>
      <c r="DC7">
        <f>ROUND(((ROUND(AT7*AG7,2)*1.15)*1.15),6)</f>
        <v>0</v>
      </c>
    </row>
    <row r="8" spans="1:107" x14ac:dyDescent="0.2">
      <c r="A8">
        <f>ROW(Source!A33)</f>
        <v>33</v>
      </c>
      <c r="B8">
        <v>42119679</v>
      </c>
      <c r="C8">
        <v>42120128</v>
      </c>
      <c r="D8">
        <v>0</v>
      </c>
      <c r="E8">
        <v>0</v>
      </c>
      <c r="F8">
        <v>1</v>
      </c>
      <c r="G8">
        <v>13</v>
      </c>
      <c r="H8">
        <v>3</v>
      </c>
      <c r="I8" t="s">
        <v>42</v>
      </c>
      <c r="J8" t="s">
        <v>3</v>
      </c>
      <c r="K8" t="s">
        <v>43</v>
      </c>
      <c r="L8">
        <v>1354</v>
      </c>
      <c r="N8">
        <v>1010</v>
      </c>
      <c r="O8" t="s">
        <v>30</v>
      </c>
      <c r="P8" t="s">
        <v>30</v>
      </c>
      <c r="Q8">
        <v>1</v>
      </c>
      <c r="W8">
        <v>0</v>
      </c>
      <c r="X8">
        <v>-1402373455</v>
      </c>
      <c r="Y8">
        <v>1</v>
      </c>
      <c r="AA8">
        <v>1445.96</v>
      </c>
      <c r="AB8">
        <v>0</v>
      </c>
      <c r="AC8">
        <v>0</v>
      </c>
      <c r="AD8">
        <v>0</v>
      </c>
      <c r="AE8">
        <v>285.2</v>
      </c>
      <c r="AF8">
        <v>0</v>
      </c>
      <c r="AG8">
        <v>0</v>
      </c>
      <c r="AH8">
        <v>0</v>
      </c>
      <c r="AI8">
        <v>5.07</v>
      </c>
      <c r="AJ8">
        <v>1</v>
      </c>
      <c r="AK8">
        <v>1</v>
      </c>
      <c r="AL8">
        <v>1</v>
      </c>
      <c r="AN8">
        <v>0</v>
      </c>
      <c r="AO8">
        <v>0</v>
      </c>
      <c r="AP8">
        <v>0</v>
      </c>
      <c r="AQ8">
        <v>0</v>
      </c>
      <c r="AR8">
        <v>0</v>
      </c>
      <c r="AS8" t="s">
        <v>3</v>
      </c>
      <c r="AT8">
        <v>1</v>
      </c>
      <c r="AU8" t="s">
        <v>3</v>
      </c>
      <c r="AV8">
        <v>0</v>
      </c>
      <c r="AW8">
        <v>1</v>
      </c>
      <c r="AX8">
        <v>-1</v>
      </c>
      <c r="AY8">
        <v>0</v>
      </c>
      <c r="AZ8">
        <v>0</v>
      </c>
      <c r="BA8" t="s">
        <v>3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Y8*Source!I33</f>
        <v>2</v>
      </c>
      <c r="CY8">
        <f>AA8</f>
        <v>1445.96</v>
      </c>
      <c r="CZ8">
        <f>AE8</f>
        <v>285.2</v>
      </c>
      <c r="DA8">
        <f>AI8</f>
        <v>5.07</v>
      </c>
      <c r="DB8">
        <f>ROUND(ROUND(AT8*CZ8,2),6)</f>
        <v>285.2</v>
      </c>
      <c r="DC8">
        <f>ROUND(ROUND(AT8*AG8,2),6)</f>
        <v>0</v>
      </c>
    </row>
    <row r="9" spans="1:107" x14ac:dyDescent="0.2">
      <c r="A9">
        <f>ROW(Source!A36)</f>
        <v>36</v>
      </c>
      <c r="B9">
        <v>42119681</v>
      </c>
      <c r="C9">
        <v>42120133</v>
      </c>
      <c r="D9">
        <v>32886502</v>
      </c>
      <c r="E9">
        <v>13</v>
      </c>
      <c r="F9">
        <v>1</v>
      </c>
      <c r="G9">
        <v>13</v>
      </c>
      <c r="H9">
        <v>1</v>
      </c>
      <c r="I9" t="s">
        <v>210</v>
      </c>
      <c r="J9" t="s">
        <v>3</v>
      </c>
      <c r="K9" t="s">
        <v>211</v>
      </c>
      <c r="L9">
        <v>1191</v>
      </c>
      <c r="N9">
        <v>1013</v>
      </c>
      <c r="O9" t="s">
        <v>212</v>
      </c>
      <c r="P9" t="s">
        <v>212</v>
      </c>
      <c r="Q9">
        <v>1</v>
      </c>
      <c r="W9">
        <v>0</v>
      </c>
      <c r="X9">
        <v>476480486</v>
      </c>
      <c r="Y9">
        <v>2.6449999999999996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1</v>
      </c>
      <c r="AQ9">
        <v>0</v>
      </c>
      <c r="AR9">
        <v>0</v>
      </c>
      <c r="AS9" t="s">
        <v>3</v>
      </c>
      <c r="AT9">
        <v>2</v>
      </c>
      <c r="AU9" t="s">
        <v>22</v>
      </c>
      <c r="AV9">
        <v>1</v>
      </c>
      <c r="AW9">
        <v>2</v>
      </c>
      <c r="AX9">
        <v>42120134</v>
      </c>
      <c r="AY9">
        <v>1</v>
      </c>
      <c r="AZ9">
        <v>0</v>
      </c>
      <c r="BA9">
        <v>5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Y9*Source!I36</f>
        <v>31.739999999999995</v>
      </c>
      <c r="CY9">
        <f>AD9</f>
        <v>0</v>
      </c>
      <c r="CZ9">
        <f>AH9</f>
        <v>0</v>
      </c>
      <c r="DA9">
        <f>AL9</f>
        <v>1</v>
      </c>
      <c r="DB9">
        <f>ROUND(((ROUND(AT9*CZ9,2)*1.15)*1.15),6)</f>
        <v>0</v>
      </c>
      <c r="DC9">
        <f>ROUND(((ROUND(AT9*AG9,2)*1.15)*1.15),6)</f>
        <v>0</v>
      </c>
    </row>
    <row r="10" spans="1:107" x14ac:dyDescent="0.2">
      <c r="A10">
        <f>ROW(Source!A36)</f>
        <v>36</v>
      </c>
      <c r="B10">
        <v>42119681</v>
      </c>
      <c r="C10">
        <v>42120133</v>
      </c>
      <c r="D10">
        <v>0</v>
      </c>
      <c r="E10">
        <v>13</v>
      </c>
      <c r="F10">
        <v>1</v>
      </c>
      <c r="G10">
        <v>13</v>
      </c>
      <c r="H10">
        <v>3</v>
      </c>
      <c r="I10" t="s">
        <v>28</v>
      </c>
      <c r="J10" t="s">
        <v>3</v>
      </c>
      <c r="K10" t="s">
        <v>50</v>
      </c>
      <c r="L10">
        <v>1354</v>
      </c>
      <c r="N10">
        <v>1010</v>
      </c>
      <c r="O10" t="s">
        <v>30</v>
      </c>
      <c r="P10" t="s">
        <v>30</v>
      </c>
      <c r="Q10">
        <v>1</v>
      </c>
      <c r="W10">
        <v>0</v>
      </c>
      <c r="X10">
        <v>-117973808</v>
      </c>
      <c r="Y10">
        <v>1.0833330000000001</v>
      </c>
      <c r="AA10">
        <v>625.5</v>
      </c>
      <c r="AB10">
        <v>0</v>
      </c>
      <c r="AC10">
        <v>0</v>
      </c>
      <c r="AD10">
        <v>0</v>
      </c>
      <c r="AE10">
        <v>625.5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0</v>
      </c>
      <c r="AP10">
        <v>0</v>
      </c>
      <c r="AQ10">
        <v>0</v>
      </c>
      <c r="AR10">
        <v>0</v>
      </c>
      <c r="AS10" t="s">
        <v>3</v>
      </c>
      <c r="AT10">
        <v>1.0833330000000001</v>
      </c>
      <c r="AU10" t="s">
        <v>3</v>
      </c>
      <c r="AV10">
        <v>0</v>
      </c>
      <c r="AW10">
        <v>1</v>
      </c>
      <c r="AX10">
        <v>-1</v>
      </c>
      <c r="AY10">
        <v>0</v>
      </c>
      <c r="AZ10">
        <v>0</v>
      </c>
      <c r="BA10" t="s">
        <v>3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Y10*Source!I36</f>
        <v>12.999996000000001</v>
      </c>
      <c r="CY10">
        <f>AA10</f>
        <v>625.5</v>
      </c>
      <c r="CZ10">
        <f>AE10</f>
        <v>625.5</v>
      </c>
      <c r="DA10">
        <f>AI10</f>
        <v>1</v>
      </c>
      <c r="DB10">
        <f>ROUND(ROUND(AT10*CZ10,2),6)</f>
        <v>677.62</v>
      </c>
      <c r="DC10">
        <f>ROUND(ROUND(AT10*AG10,2),6)</f>
        <v>0</v>
      </c>
    </row>
    <row r="11" spans="1:107" x14ac:dyDescent="0.2">
      <c r="A11">
        <f>ROW(Source!A37)</f>
        <v>37</v>
      </c>
      <c r="B11">
        <v>42119679</v>
      </c>
      <c r="C11">
        <v>42120133</v>
      </c>
      <c r="D11">
        <v>32886502</v>
      </c>
      <c r="E11">
        <v>13</v>
      </c>
      <c r="F11">
        <v>1</v>
      </c>
      <c r="G11">
        <v>13</v>
      </c>
      <c r="H11">
        <v>1</v>
      </c>
      <c r="I11" t="s">
        <v>210</v>
      </c>
      <c r="J11" t="s">
        <v>3</v>
      </c>
      <c r="K11" t="s">
        <v>211</v>
      </c>
      <c r="L11">
        <v>1191</v>
      </c>
      <c r="N11">
        <v>1013</v>
      </c>
      <c r="O11" t="s">
        <v>212</v>
      </c>
      <c r="P11" t="s">
        <v>212</v>
      </c>
      <c r="Q11">
        <v>1</v>
      </c>
      <c r="W11">
        <v>0</v>
      </c>
      <c r="X11">
        <v>476480486</v>
      </c>
      <c r="Y11">
        <v>2.6449999999999996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3</v>
      </c>
      <c r="AT11">
        <v>2</v>
      </c>
      <c r="AU11" t="s">
        <v>22</v>
      </c>
      <c r="AV11">
        <v>1</v>
      </c>
      <c r="AW11">
        <v>2</v>
      </c>
      <c r="AX11">
        <v>42120134</v>
      </c>
      <c r="AY11">
        <v>1</v>
      </c>
      <c r="AZ11">
        <v>0</v>
      </c>
      <c r="BA11">
        <v>6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Y11*Source!I37</f>
        <v>31.739999999999995</v>
      </c>
      <c r="CY11">
        <f>AD11</f>
        <v>0</v>
      </c>
      <c r="CZ11">
        <f>AH11</f>
        <v>0</v>
      </c>
      <c r="DA11">
        <f>AL11</f>
        <v>1</v>
      </c>
      <c r="DB11">
        <f>ROUND(((ROUND(AT11*CZ11,2)*1.15)*1.15),6)</f>
        <v>0</v>
      </c>
      <c r="DC11">
        <f>ROUND(((ROUND(AT11*AG11,2)*1.15)*1.15),6)</f>
        <v>0</v>
      </c>
    </row>
    <row r="12" spans="1:107" x14ac:dyDescent="0.2">
      <c r="A12">
        <f>ROW(Source!A37)</f>
        <v>37</v>
      </c>
      <c r="B12">
        <v>42119679</v>
      </c>
      <c r="C12">
        <v>42120133</v>
      </c>
      <c r="D12">
        <v>0</v>
      </c>
      <c r="E12">
        <v>13</v>
      </c>
      <c r="F12">
        <v>1</v>
      </c>
      <c r="G12">
        <v>13</v>
      </c>
      <c r="H12">
        <v>3</v>
      </c>
      <c r="I12" t="s">
        <v>28</v>
      </c>
      <c r="J12" t="s">
        <v>3</v>
      </c>
      <c r="K12" t="s">
        <v>50</v>
      </c>
      <c r="L12">
        <v>1354</v>
      </c>
      <c r="N12">
        <v>1010</v>
      </c>
      <c r="O12" t="s">
        <v>30</v>
      </c>
      <c r="P12" t="s">
        <v>30</v>
      </c>
      <c r="Q12">
        <v>1</v>
      </c>
      <c r="W12">
        <v>0</v>
      </c>
      <c r="X12">
        <v>-117973808</v>
      </c>
      <c r="Y12">
        <v>1.0833330000000001</v>
      </c>
      <c r="AA12">
        <v>803.47</v>
      </c>
      <c r="AB12">
        <v>0</v>
      </c>
      <c r="AC12">
        <v>0</v>
      </c>
      <c r="AD12">
        <v>0</v>
      </c>
      <c r="AE12">
        <v>185.56</v>
      </c>
      <c r="AF12">
        <v>0</v>
      </c>
      <c r="AG12">
        <v>0</v>
      </c>
      <c r="AH12">
        <v>0</v>
      </c>
      <c r="AI12">
        <v>4.33</v>
      </c>
      <c r="AJ12">
        <v>1</v>
      </c>
      <c r="AK12">
        <v>1</v>
      </c>
      <c r="AL12">
        <v>1</v>
      </c>
      <c r="AN12">
        <v>0</v>
      </c>
      <c r="AO12">
        <v>0</v>
      </c>
      <c r="AP12">
        <v>0</v>
      </c>
      <c r="AQ12">
        <v>0</v>
      </c>
      <c r="AR12">
        <v>0</v>
      </c>
      <c r="AS12" t="s">
        <v>3</v>
      </c>
      <c r="AT12">
        <v>1.0833330000000001</v>
      </c>
      <c r="AU12" t="s">
        <v>3</v>
      </c>
      <c r="AV12">
        <v>0</v>
      </c>
      <c r="AW12">
        <v>1</v>
      </c>
      <c r="AX12">
        <v>-1</v>
      </c>
      <c r="AY12">
        <v>0</v>
      </c>
      <c r="AZ12">
        <v>0</v>
      </c>
      <c r="BA12" t="s">
        <v>3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Y12*Source!I37</f>
        <v>12.999996000000001</v>
      </c>
      <c r="CY12">
        <f>AA12</f>
        <v>803.47</v>
      </c>
      <c r="CZ12">
        <f>AE12</f>
        <v>185.56</v>
      </c>
      <c r="DA12">
        <f>AI12</f>
        <v>4.33</v>
      </c>
      <c r="DB12">
        <f>ROUND(ROUND(AT12*CZ12,2),6)</f>
        <v>201.02</v>
      </c>
      <c r="DC12">
        <f>ROUND(ROUND(AT12*AG12,2),6)</f>
        <v>0</v>
      </c>
    </row>
    <row r="13" spans="1:107" x14ac:dyDescent="0.2">
      <c r="A13">
        <f>ROW(Source!A40)</f>
        <v>40</v>
      </c>
      <c r="B13">
        <v>42119681</v>
      </c>
      <c r="C13">
        <v>42120141</v>
      </c>
      <c r="D13">
        <v>32886502</v>
      </c>
      <c r="E13">
        <v>13</v>
      </c>
      <c r="F13">
        <v>1</v>
      </c>
      <c r="G13">
        <v>13</v>
      </c>
      <c r="H13">
        <v>1</v>
      </c>
      <c r="I13" t="s">
        <v>210</v>
      </c>
      <c r="J13" t="s">
        <v>3</v>
      </c>
      <c r="K13" t="s">
        <v>211</v>
      </c>
      <c r="L13">
        <v>1191</v>
      </c>
      <c r="N13">
        <v>1013</v>
      </c>
      <c r="O13" t="s">
        <v>212</v>
      </c>
      <c r="P13" t="s">
        <v>212</v>
      </c>
      <c r="Q13">
        <v>1</v>
      </c>
      <c r="W13">
        <v>0</v>
      </c>
      <c r="X13">
        <v>476480486</v>
      </c>
      <c r="Y13">
        <v>2.6449999999999996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1</v>
      </c>
      <c r="AQ13">
        <v>0</v>
      </c>
      <c r="AR13">
        <v>0</v>
      </c>
      <c r="AS13" t="s">
        <v>3</v>
      </c>
      <c r="AT13">
        <v>2</v>
      </c>
      <c r="AU13" t="s">
        <v>22</v>
      </c>
      <c r="AV13">
        <v>1</v>
      </c>
      <c r="AW13">
        <v>2</v>
      </c>
      <c r="AX13">
        <v>42120144</v>
      </c>
      <c r="AY13">
        <v>1</v>
      </c>
      <c r="AZ13">
        <v>0</v>
      </c>
      <c r="BA13">
        <v>7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Y13*Source!I40</f>
        <v>21.159999999999997</v>
      </c>
      <c r="CY13">
        <f>AD13</f>
        <v>0</v>
      </c>
      <c r="CZ13">
        <f>AH13</f>
        <v>0</v>
      </c>
      <c r="DA13">
        <f>AL13</f>
        <v>1</v>
      </c>
      <c r="DB13">
        <f>ROUND(((ROUND(AT13*CZ13,2)*1.15)*1.15),6)</f>
        <v>0</v>
      </c>
      <c r="DC13">
        <f>ROUND(((ROUND(AT13*AG13,2)*1.15)*1.15),6)</f>
        <v>0</v>
      </c>
    </row>
    <row r="14" spans="1:107" x14ac:dyDescent="0.2">
      <c r="A14">
        <f>ROW(Source!A40)</f>
        <v>40</v>
      </c>
      <c r="B14">
        <v>42119681</v>
      </c>
      <c r="C14">
        <v>42120141</v>
      </c>
      <c r="D14">
        <v>0</v>
      </c>
      <c r="E14">
        <v>13</v>
      </c>
      <c r="F14">
        <v>1</v>
      </c>
      <c r="G14">
        <v>13</v>
      </c>
      <c r="H14">
        <v>3</v>
      </c>
      <c r="I14" t="s">
        <v>28</v>
      </c>
      <c r="J14" t="s">
        <v>3</v>
      </c>
      <c r="K14" t="s">
        <v>57</v>
      </c>
      <c r="L14">
        <v>1354</v>
      </c>
      <c r="N14">
        <v>1010</v>
      </c>
      <c r="O14" t="s">
        <v>30</v>
      </c>
      <c r="P14" t="s">
        <v>30</v>
      </c>
      <c r="Q14">
        <v>1</v>
      </c>
      <c r="W14">
        <v>0</v>
      </c>
      <c r="X14">
        <v>2012052233</v>
      </c>
      <c r="Y14">
        <v>1.125</v>
      </c>
      <c r="AA14">
        <v>625.5</v>
      </c>
      <c r="AB14">
        <v>0</v>
      </c>
      <c r="AC14">
        <v>0</v>
      </c>
      <c r="AD14">
        <v>0</v>
      </c>
      <c r="AE14">
        <v>625.5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0</v>
      </c>
      <c r="AP14">
        <v>0</v>
      </c>
      <c r="AQ14">
        <v>0</v>
      </c>
      <c r="AR14">
        <v>0</v>
      </c>
      <c r="AS14" t="s">
        <v>3</v>
      </c>
      <c r="AT14">
        <v>1.125</v>
      </c>
      <c r="AU14" t="s">
        <v>3</v>
      </c>
      <c r="AV14">
        <v>0</v>
      </c>
      <c r="AW14">
        <v>1</v>
      </c>
      <c r="AX14">
        <v>-1</v>
      </c>
      <c r="AY14">
        <v>0</v>
      </c>
      <c r="AZ14">
        <v>0</v>
      </c>
      <c r="BA14" t="s">
        <v>3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Y14*Source!I40</f>
        <v>9</v>
      </c>
      <c r="CY14">
        <f>AA14</f>
        <v>625.5</v>
      </c>
      <c r="CZ14">
        <f>AE14</f>
        <v>625.5</v>
      </c>
      <c r="DA14">
        <f>AI14</f>
        <v>1</v>
      </c>
      <c r="DB14">
        <f>ROUND(ROUND(AT14*CZ14,2),6)</f>
        <v>703.69</v>
      </c>
      <c r="DC14">
        <f>ROUND(ROUND(AT14*AG14,2),6)</f>
        <v>0</v>
      </c>
    </row>
    <row r="15" spans="1:107" x14ac:dyDescent="0.2">
      <c r="A15">
        <f>ROW(Source!A41)</f>
        <v>41</v>
      </c>
      <c r="B15">
        <v>42119679</v>
      </c>
      <c r="C15">
        <v>42120141</v>
      </c>
      <c r="D15">
        <v>32886502</v>
      </c>
      <c r="E15">
        <v>13</v>
      </c>
      <c r="F15">
        <v>1</v>
      </c>
      <c r="G15">
        <v>13</v>
      </c>
      <c r="H15">
        <v>1</v>
      </c>
      <c r="I15" t="s">
        <v>210</v>
      </c>
      <c r="J15" t="s">
        <v>3</v>
      </c>
      <c r="K15" t="s">
        <v>211</v>
      </c>
      <c r="L15">
        <v>1191</v>
      </c>
      <c r="N15">
        <v>1013</v>
      </c>
      <c r="O15" t="s">
        <v>212</v>
      </c>
      <c r="P15" t="s">
        <v>212</v>
      </c>
      <c r="Q15">
        <v>1</v>
      </c>
      <c r="W15">
        <v>0</v>
      </c>
      <c r="X15">
        <v>476480486</v>
      </c>
      <c r="Y15">
        <v>2.6449999999999996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3</v>
      </c>
      <c r="AT15">
        <v>2</v>
      </c>
      <c r="AU15" t="s">
        <v>22</v>
      </c>
      <c r="AV15">
        <v>1</v>
      </c>
      <c r="AW15">
        <v>2</v>
      </c>
      <c r="AX15">
        <v>42120144</v>
      </c>
      <c r="AY15">
        <v>1</v>
      </c>
      <c r="AZ15">
        <v>0</v>
      </c>
      <c r="BA15">
        <v>8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Y15*Source!I41</f>
        <v>21.159999999999997</v>
      </c>
      <c r="CY15">
        <f>AD15</f>
        <v>0</v>
      </c>
      <c r="CZ15">
        <f>AH15</f>
        <v>0</v>
      </c>
      <c r="DA15">
        <f>AL15</f>
        <v>1</v>
      </c>
      <c r="DB15">
        <f>ROUND(((ROUND(AT15*CZ15,2)*1.15)*1.15),6)</f>
        <v>0</v>
      </c>
      <c r="DC15">
        <f>ROUND(((ROUND(AT15*AG15,2)*1.15)*1.15),6)</f>
        <v>0</v>
      </c>
    </row>
    <row r="16" spans="1:107" x14ac:dyDescent="0.2">
      <c r="A16">
        <f>ROW(Source!A41)</f>
        <v>41</v>
      </c>
      <c r="B16">
        <v>42119679</v>
      </c>
      <c r="C16">
        <v>42120141</v>
      </c>
      <c r="D16">
        <v>0</v>
      </c>
      <c r="E16">
        <v>13</v>
      </c>
      <c r="F16">
        <v>1</v>
      </c>
      <c r="G16">
        <v>13</v>
      </c>
      <c r="H16">
        <v>3</v>
      </c>
      <c r="I16" t="s">
        <v>28</v>
      </c>
      <c r="J16" t="s">
        <v>3</v>
      </c>
      <c r="K16" t="s">
        <v>57</v>
      </c>
      <c r="L16">
        <v>1354</v>
      </c>
      <c r="N16">
        <v>1010</v>
      </c>
      <c r="O16" t="s">
        <v>30</v>
      </c>
      <c r="P16" t="s">
        <v>30</v>
      </c>
      <c r="Q16">
        <v>1</v>
      </c>
      <c r="W16">
        <v>0</v>
      </c>
      <c r="X16">
        <v>2012052233</v>
      </c>
      <c r="Y16">
        <v>1.125</v>
      </c>
      <c r="AA16">
        <v>120.71</v>
      </c>
      <c r="AB16">
        <v>0</v>
      </c>
      <c r="AC16">
        <v>0</v>
      </c>
      <c r="AD16">
        <v>0</v>
      </c>
      <c r="AE16">
        <v>22.52</v>
      </c>
      <c r="AF16">
        <v>0</v>
      </c>
      <c r="AG16">
        <v>0</v>
      </c>
      <c r="AH16">
        <v>0</v>
      </c>
      <c r="AI16">
        <v>5.36</v>
      </c>
      <c r="AJ16">
        <v>1</v>
      </c>
      <c r="AK16">
        <v>1</v>
      </c>
      <c r="AL16">
        <v>1</v>
      </c>
      <c r="AN16">
        <v>0</v>
      </c>
      <c r="AO16">
        <v>0</v>
      </c>
      <c r="AP16">
        <v>0</v>
      </c>
      <c r="AQ16">
        <v>0</v>
      </c>
      <c r="AR16">
        <v>0</v>
      </c>
      <c r="AS16" t="s">
        <v>3</v>
      </c>
      <c r="AT16">
        <v>1.125</v>
      </c>
      <c r="AU16" t="s">
        <v>3</v>
      </c>
      <c r="AV16">
        <v>0</v>
      </c>
      <c r="AW16">
        <v>1</v>
      </c>
      <c r="AX16">
        <v>-1</v>
      </c>
      <c r="AY16">
        <v>0</v>
      </c>
      <c r="AZ16">
        <v>0</v>
      </c>
      <c r="BA16" t="s">
        <v>3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Y16*Source!I41</f>
        <v>9</v>
      </c>
      <c r="CY16">
        <f>AA16</f>
        <v>120.71</v>
      </c>
      <c r="CZ16">
        <f>AE16</f>
        <v>22.52</v>
      </c>
      <c r="DA16">
        <f>AI16</f>
        <v>5.36</v>
      </c>
      <c r="DB16">
        <f>ROUND(ROUND(AT16*CZ16,2),6)</f>
        <v>25.34</v>
      </c>
      <c r="DC16">
        <f>ROUND(ROUND(AT16*AG16,2),6)</f>
        <v>0</v>
      </c>
    </row>
    <row r="17" spans="1:107" x14ac:dyDescent="0.2">
      <c r="A17">
        <f>ROW(Source!A44)</f>
        <v>44</v>
      </c>
      <c r="B17">
        <v>42119681</v>
      </c>
      <c r="C17">
        <v>42120155</v>
      </c>
      <c r="D17">
        <v>32886502</v>
      </c>
      <c r="E17">
        <v>13</v>
      </c>
      <c r="F17">
        <v>1</v>
      </c>
      <c r="G17">
        <v>13</v>
      </c>
      <c r="H17">
        <v>1</v>
      </c>
      <c r="I17" t="s">
        <v>210</v>
      </c>
      <c r="J17" t="s">
        <v>3</v>
      </c>
      <c r="K17" t="s">
        <v>211</v>
      </c>
      <c r="L17">
        <v>1191</v>
      </c>
      <c r="N17">
        <v>1013</v>
      </c>
      <c r="O17" t="s">
        <v>212</v>
      </c>
      <c r="P17" t="s">
        <v>212</v>
      </c>
      <c r="Q17">
        <v>1</v>
      </c>
      <c r="W17">
        <v>0</v>
      </c>
      <c r="X17">
        <v>476480486</v>
      </c>
      <c r="Y17">
        <v>2.7243499999999994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1</v>
      </c>
      <c r="AQ17">
        <v>0</v>
      </c>
      <c r="AR17">
        <v>0</v>
      </c>
      <c r="AS17" t="s">
        <v>3</v>
      </c>
      <c r="AT17">
        <v>2.06</v>
      </c>
      <c r="AU17" t="s">
        <v>22</v>
      </c>
      <c r="AV17">
        <v>1</v>
      </c>
      <c r="AW17">
        <v>2</v>
      </c>
      <c r="AX17">
        <v>42120158</v>
      </c>
      <c r="AY17">
        <v>1</v>
      </c>
      <c r="AZ17">
        <v>0</v>
      </c>
      <c r="BA17">
        <v>9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Y17*Source!I44</f>
        <v>2.7243499999999994</v>
      </c>
      <c r="CY17">
        <f>AD17</f>
        <v>0</v>
      </c>
      <c r="CZ17">
        <f>AH17</f>
        <v>0</v>
      </c>
      <c r="DA17">
        <f>AL17</f>
        <v>1</v>
      </c>
      <c r="DB17">
        <f>ROUND(((ROUND(AT17*CZ17,2)*1.15)*1.15),6)</f>
        <v>0</v>
      </c>
      <c r="DC17">
        <f>ROUND(((ROUND(AT17*AG17,2)*1.15)*1.15),6)</f>
        <v>0</v>
      </c>
    </row>
    <row r="18" spans="1:107" x14ac:dyDescent="0.2">
      <c r="A18">
        <f>ROW(Source!A44)</f>
        <v>44</v>
      </c>
      <c r="B18">
        <v>42119681</v>
      </c>
      <c r="C18">
        <v>42120155</v>
      </c>
      <c r="D18">
        <v>0</v>
      </c>
      <c r="E18">
        <v>13</v>
      </c>
      <c r="F18">
        <v>1</v>
      </c>
      <c r="G18">
        <v>13</v>
      </c>
      <c r="H18">
        <v>3</v>
      </c>
      <c r="I18" t="s">
        <v>28</v>
      </c>
      <c r="J18" t="s">
        <v>3</v>
      </c>
      <c r="K18" t="s">
        <v>66</v>
      </c>
      <c r="L18">
        <v>1354</v>
      </c>
      <c r="N18">
        <v>1010</v>
      </c>
      <c r="O18" t="s">
        <v>30</v>
      </c>
      <c r="P18" t="s">
        <v>30</v>
      </c>
      <c r="Q18">
        <v>1</v>
      </c>
      <c r="W18">
        <v>0</v>
      </c>
      <c r="X18">
        <v>-856326276</v>
      </c>
      <c r="Y18">
        <v>1</v>
      </c>
      <c r="AA18">
        <v>364.7</v>
      </c>
      <c r="AB18">
        <v>0</v>
      </c>
      <c r="AC18">
        <v>0</v>
      </c>
      <c r="AD18">
        <v>0</v>
      </c>
      <c r="AE18">
        <v>364.7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0</v>
      </c>
      <c r="AP18">
        <v>0</v>
      </c>
      <c r="AQ18">
        <v>0</v>
      </c>
      <c r="AR18">
        <v>0</v>
      </c>
      <c r="AS18" t="s">
        <v>3</v>
      </c>
      <c r="AT18">
        <v>1</v>
      </c>
      <c r="AU18" t="s">
        <v>3</v>
      </c>
      <c r="AV18">
        <v>0</v>
      </c>
      <c r="AW18">
        <v>1</v>
      </c>
      <c r="AX18">
        <v>-1</v>
      </c>
      <c r="AY18">
        <v>0</v>
      </c>
      <c r="AZ18">
        <v>0</v>
      </c>
      <c r="BA18" t="s">
        <v>3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Y18*Source!I44</f>
        <v>1</v>
      </c>
      <c r="CY18">
        <f>AA18</f>
        <v>364.7</v>
      </c>
      <c r="CZ18">
        <f>AE18</f>
        <v>364.7</v>
      </c>
      <c r="DA18">
        <f>AI18</f>
        <v>1</v>
      </c>
      <c r="DB18">
        <f>ROUND(ROUND(AT18*CZ18,2),6)</f>
        <v>364.7</v>
      </c>
      <c r="DC18">
        <f>ROUND(ROUND(AT18*AG18,2),6)</f>
        <v>0</v>
      </c>
    </row>
    <row r="19" spans="1:107" x14ac:dyDescent="0.2">
      <c r="A19">
        <f>ROW(Source!A45)</f>
        <v>45</v>
      </c>
      <c r="B19">
        <v>42119679</v>
      </c>
      <c r="C19">
        <v>42120155</v>
      </c>
      <c r="D19">
        <v>32886502</v>
      </c>
      <c r="E19">
        <v>13</v>
      </c>
      <c r="F19">
        <v>1</v>
      </c>
      <c r="G19">
        <v>13</v>
      </c>
      <c r="H19">
        <v>1</v>
      </c>
      <c r="I19" t="s">
        <v>210</v>
      </c>
      <c r="J19" t="s">
        <v>3</v>
      </c>
      <c r="K19" t="s">
        <v>211</v>
      </c>
      <c r="L19">
        <v>1191</v>
      </c>
      <c r="N19">
        <v>1013</v>
      </c>
      <c r="O19" t="s">
        <v>212</v>
      </c>
      <c r="P19" t="s">
        <v>212</v>
      </c>
      <c r="Q19">
        <v>1</v>
      </c>
      <c r="W19">
        <v>0</v>
      </c>
      <c r="X19">
        <v>476480486</v>
      </c>
      <c r="Y19">
        <v>2.7243499999999994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1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3</v>
      </c>
      <c r="AT19">
        <v>2.06</v>
      </c>
      <c r="AU19" t="s">
        <v>22</v>
      </c>
      <c r="AV19">
        <v>1</v>
      </c>
      <c r="AW19">
        <v>2</v>
      </c>
      <c r="AX19">
        <v>42120158</v>
      </c>
      <c r="AY19">
        <v>1</v>
      </c>
      <c r="AZ19">
        <v>0</v>
      </c>
      <c r="BA19">
        <v>10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Y19*Source!I45</f>
        <v>2.7243499999999994</v>
      </c>
      <c r="CY19">
        <f>AD19</f>
        <v>0</v>
      </c>
      <c r="CZ19">
        <f>AH19</f>
        <v>0</v>
      </c>
      <c r="DA19">
        <f>AL19</f>
        <v>1</v>
      </c>
      <c r="DB19">
        <f>ROUND(((ROUND(AT19*CZ19,2)*1.15)*1.15),6)</f>
        <v>0</v>
      </c>
      <c r="DC19">
        <f>ROUND(((ROUND(AT19*AG19,2)*1.15)*1.15),6)</f>
        <v>0</v>
      </c>
    </row>
    <row r="20" spans="1:107" x14ac:dyDescent="0.2">
      <c r="A20">
        <f>ROW(Source!A45)</f>
        <v>45</v>
      </c>
      <c r="B20">
        <v>42119679</v>
      </c>
      <c r="C20">
        <v>42120155</v>
      </c>
      <c r="D20">
        <v>0</v>
      </c>
      <c r="E20">
        <v>13</v>
      </c>
      <c r="F20">
        <v>1</v>
      </c>
      <c r="G20">
        <v>13</v>
      </c>
      <c r="H20">
        <v>3</v>
      </c>
      <c r="I20" t="s">
        <v>28</v>
      </c>
      <c r="J20" t="s">
        <v>3</v>
      </c>
      <c r="K20" t="s">
        <v>66</v>
      </c>
      <c r="L20">
        <v>1354</v>
      </c>
      <c r="N20">
        <v>1010</v>
      </c>
      <c r="O20" t="s">
        <v>30</v>
      </c>
      <c r="P20" t="s">
        <v>30</v>
      </c>
      <c r="Q20">
        <v>1</v>
      </c>
      <c r="W20">
        <v>0</v>
      </c>
      <c r="X20">
        <v>-856326276</v>
      </c>
      <c r="Y20">
        <v>1</v>
      </c>
      <c r="AA20">
        <v>73.540000000000006</v>
      </c>
      <c r="AB20">
        <v>0</v>
      </c>
      <c r="AC20">
        <v>0</v>
      </c>
      <c r="AD20">
        <v>0</v>
      </c>
      <c r="AE20">
        <v>13.719999999999999</v>
      </c>
      <c r="AF20">
        <v>0</v>
      </c>
      <c r="AG20">
        <v>0</v>
      </c>
      <c r="AH20">
        <v>0</v>
      </c>
      <c r="AI20">
        <v>5.36</v>
      </c>
      <c r="AJ20">
        <v>1</v>
      </c>
      <c r="AK20">
        <v>1</v>
      </c>
      <c r="AL20">
        <v>1</v>
      </c>
      <c r="AN20">
        <v>0</v>
      </c>
      <c r="AO20">
        <v>0</v>
      </c>
      <c r="AP20">
        <v>0</v>
      </c>
      <c r="AQ20">
        <v>0</v>
      </c>
      <c r="AR20">
        <v>0</v>
      </c>
      <c r="AS20" t="s">
        <v>3</v>
      </c>
      <c r="AT20">
        <v>1</v>
      </c>
      <c r="AU20" t="s">
        <v>3</v>
      </c>
      <c r="AV20">
        <v>0</v>
      </c>
      <c r="AW20">
        <v>1</v>
      </c>
      <c r="AX20">
        <v>-1</v>
      </c>
      <c r="AY20">
        <v>0</v>
      </c>
      <c r="AZ20">
        <v>0</v>
      </c>
      <c r="BA20" t="s">
        <v>3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Y20*Source!I45</f>
        <v>1</v>
      </c>
      <c r="CY20">
        <f>AA20</f>
        <v>73.540000000000006</v>
      </c>
      <c r="CZ20">
        <f>AE20</f>
        <v>13.719999999999999</v>
      </c>
      <c r="DA20">
        <f>AI20</f>
        <v>5.36</v>
      </c>
      <c r="DB20">
        <f>ROUND(ROUND(AT20*CZ20,2),6)</f>
        <v>13.72</v>
      </c>
      <c r="DC20">
        <f>ROUND(ROUND(AT20*AG20,2),6)</f>
        <v>0</v>
      </c>
    </row>
    <row r="21" spans="1:107" x14ac:dyDescent="0.2">
      <c r="A21">
        <f>ROW(Source!A48)</f>
        <v>48</v>
      </c>
      <c r="B21">
        <v>42119681</v>
      </c>
      <c r="C21">
        <v>42120160</v>
      </c>
      <c r="D21">
        <v>32886502</v>
      </c>
      <c r="E21">
        <v>13</v>
      </c>
      <c r="F21">
        <v>1</v>
      </c>
      <c r="G21">
        <v>13</v>
      </c>
      <c r="H21">
        <v>1</v>
      </c>
      <c r="I21" t="s">
        <v>210</v>
      </c>
      <c r="J21" t="s">
        <v>3</v>
      </c>
      <c r="K21" t="s">
        <v>211</v>
      </c>
      <c r="L21">
        <v>1191</v>
      </c>
      <c r="N21">
        <v>1013</v>
      </c>
      <c r="O21" t="s">
        <v>212</v>
      </c>
      <c r="P21" t="s">
        <v>212</v>
      </c>
      <c r="Q21">
        <v>1</v>
      </c>
      <c r="W21">
        <v>0</v>
      </c>
      <c r="X21">
        <v>476480486</v>
      </c>
      <c r="Y21">
        <v>1.7721499999999997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3</v>
      </c>
      <c r="AT21">
        <v>1.34</v>
      </c>
      <c r="AU21" t="s">
        <v>22</v>
      </c>
      <c r="AV21">
        <v>1</v>
      </c>
      <c r="AW21">
        <v>2</v>
      </c>
      <c r="AX21">
        <v>42120163</v>
      </c>
      <c r="AY21">
        <v>1</v>
      </c>
      <c r="AZ21">
        <v>0</v>
      </c>
      <c r="BA21">
        <v>11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Y21*Source!I48</f>
        <v>1.7721499999999997</v>
      </c>
      <c r="CY21">
        <f>AD21</f>
        <v>0</v>
      </c>
      <c r="CZ21">
        <f>AH21</f>
        <v>0</v>
      </c>
      <c r="DA21">
        <f>AL21</f>
        <v>1</v>
      </c>
      <c r="DB21">
        <f>ROUND(((ROUND(AT21*CZ21,2)*1.15)*1.15),6)</f>
        <v>0</v>
      </c>
      <c r="DC21">
        <f>ROUND(((ROUND(AT21*AG21,2)*1.15)*1.15),6)</f>
        <v>0</v>
      </c>
    </row>
    <row r="22" spans="1:107" x14ac:dyDescent="0.2">
      <c r="A22">
        <f>ROW(Source!A48)</f>
        <v>48</v>
      </c>
      <c r="B22">
        <v>42119681</v>
      </c>
      <c r="C22">
        <v>42120160</v>
      </c>
      <c r="D22">
        <v>0</v>
      </c>
      <c r="E22">
        <v>13</v>
      </c>
      <c r="F22">
        <v>1</v>
      </c>
      <c r="G22">
        <v>13</v>
      </c>
      <c r="H22">
        <v>3</v>
      </c>
      <c r="I22" t="s">
        <v>73</v>
      </c>
      <c r="J22" t="s">
        <v>3</v>
      </c>
      <c r="K22" t="s">
        <v>74</v>
      </c>
      <c r="L22">
        <v>1354</v>
      </c>
      <c r="N22">
        <v>1010</v>
      </c>
      <c r="O22" t="s">
        <v>30</v>
      </c>
      <c r="P22" t="s">
        <v>30</v>
      </c>
      <c r="Q22">
        <v>1</v>
      </c>
      <c r="W22">
        <v>0</v>
      </c>
      <c r="X22">
        <v>-79380759</v>
      </c>
      <c r="Y22">
        <v>1</v>
      </c>
      <c r="AA22">
        <v>36.020000000000003</v>
      </c>
      <c r="AB22">
        <v>0</v>
      </c>
      <c r="AC22">
        <v>0</v>
      </c>
      <c r="AD22">
        <v>0</v>
      </c>
      <c r="AE22">
        <v>36.020000000000003</v>
      </c>
      <c r="AF22">
        <v>0</v>
      </c>
      <c r="AG22">
        <v>0</v>
      </c>
      <c r="AH22">
        <v>0</v>
      </c>
      <c r="AI22">
        <v>1</v>
      </c>
      <c r="AJ22">
        <v>1</v>
      </c>
      <c r="AK22">
        <v>1</v>
      </c>
      <c r="AL22">
        <v>1</v>
      </c>
      <c r="AN22">
        <v>0</v>
      </c>
      <c r="AO22">
        <v>0</v>
      </c>
      <c r="AP22">
        <v>0</v>
      </c>
      <c r="AQ22">
        <v>0</v>
      </c>
      <c r="AR22">
        <v>0</v>
      </c>
      <c r="AS22" t="s">
        <v>3</v>
      </c>
      <c r="AT22">
        <v>1</v>
      </c>
      <c r="AU22" t="s">
        <v>3</v>
      </c>
      <c r="AV22">
        <v>0</v>
      </c>
      <c r="AW22">
        <v>1</v>
      </c>
      <c r="AX22">
        <v>-1</v>
      </c>
      <c r="AY22">
        <v>0</v>
      </c>
      <c r="AZ22">
        <v>0</v>
      </c>
      <c r="BA22" t="s">
        <v>3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Y22*Source!I48</f>
        <v>1</v>
      </c>
      <c r="CY22">
        <f>AA22</f>
        <v>36.020000000000003</v>
      </c>
      <c r="CZ22">
        <f>AE22</f>
        <v>36.020000000000003</v>
      </c>
      <c r="DA22">
        <f>AI22</f>
        <v>1</v>
      </c>
      <c r="DB22">
        <f>ROUND(ROUND(AT22*CZ22,2),6)</f>
        <v>36.020000000000003</v>
      </c>
      <c r="DC22">
        <f>ROUND(ROUND(AT22*AG22,2),6)</f>
        <v>0</v>
      </c>
    </row>
    <row r="23" spans="1:107" x14ac:dyDescent="0.2">
      <c r="A23">
        <f>ROW(Source!A49)</f>
        <v>49</v>
      </c>
      <c r="B23">
        <v>42119679</v>
      </c>
      <c r="C23">
        <v>42120160</v>
      </c>
      <c r="D23">
        <v>32886502</v>
      </c>
      <c r="E23">
        <v>13</v>
      </c>
      <c r="F23">
        <v>1</v>
      </c>
      <c r="G23">
        <v>13</v>
      </c>
      <c r="H23">
        <v>1</v>
      </c>
      <c r="I23" t="s">
        <v>210</v>
      </c>
      <c r="J23" t="s">
        <v>3</v>
      </c>
      <c r="K23" t="s">
        <v>211</v>
      </c>
      <c r="L23">
        <v>1191</v>
      </c>
      <c r="N23">
        <v>1013</v>
      </c>
      <c r="O23" t="s">
        <v>212</v>
      </c>
      <c r="P23" t="s">
        <v>212</v>
      </c>
      <c r="Q23">
        <v>1</v>
      </c>
      <c r="W23">
        <v>0</v>
      </c>
      <c r="X23">
        <v>476480486</v>
      </c>
      <c r="Y23">
        <v>1.7721499999999997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1</v>
      </c>
      <c r="AQ23">
        <v>0</v>
      </c>
      <c r="AR23">
        <v>0</v>
      </c>
      <c r="AS23" t="s">
        <v>3</v>
      </c>
      <c r="AT23">
        <v>1.34</v>
      </c>
      <c r="AU23" t="s">
        <v>22</v>
      </c>
      <c r="AV23">
        <v>1</v>
      </c>
      <c r="AW23">
        <v>2</v>
      </c>
      <c r="AX23">
        <v>42120163</v>
      </c>
      <c r="AY23">
        <v>1</v>
      </c>
      <c r="AZ23">
        <v>0</v>
      </c>
      <c r="BA23">
        <v>12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Y23*Source!I49</f>
        <v>1.7721499999999997</v>
      </c>
      <c r="CY23">
        <f>AD23</f>
        <v>0</v>
      </c>
      <c r="CZ23">
        <f>AH23</f>
        <v>0</v>
      </c>
      <c r="DA23">
        <f>AL23</f>
        <v>1</v>
      </c>
      <c r="DB23">
        <f>ROUND(((ROUND(AT23*CZ23,2)*1.15)*1.15),6)</f>
        <v>0</v>
      </c>
      <c r="DC23">
        <f>ROUND(((ROUND(AT23*AG23,2)*1.15)*1.15),6)</f>
        <v>0</v>
      </c>
    </row>
    <row r="24" spans="1:107" x14ac:dyDescent="0.2">
      <c r="A24">
        <f>ROW(Source!A49)</f>
        <v>49</v>
      </c>
      <c r="B24">
        <v>42119679</v>
      </c>
      <c r="C24">
        <v>42120160</v>
      </c>
      <c r="D24">
        <v>0</v>
      </c>
      <c r="E24">
        <v>13</v>
      </c>
      <c r="F24">
        <v>1</v>
      </c>
      <c r="G24">
        <v>13</v>
      </c>
      <c r="H24">
        <v>3</v>
      </c>
      <c r="I24" t="s">
        <v>73</v>
      </c>
      <c r="J24" t="s">
        <v>3</v>
      </c>
      <c r="K24" t="s">
        <v>74</v>
      </c>
      <c r="L24">
        <v>1354</v>
      </c>
      <c r="N24">
        <v>1010</v>
      </c>
      <c r="O24" t="s">
        <v>30</v>
      </c>
      <c r="P24" t="s">
        <v>30</v>
      </c>
      <c r="Q24">
        <v>1</v>
      </c>
      <c r="W24">
        <v>0</v>
      </c>
      <c r="X24">
        <v>-79380759</v>
      </c>
      <c r="Y24">
        <v>1</v>
      </c>
      <c r="AA24">
        <v>382.53</v>
      </c>
      <c r="AB24">
        <v>0</v>
      </c>
      <c r="AC24">
        <v>0</v>
      </c>
      <c r="AD24">
        <v>0</v>
      </c>
      <c r="AE24">
        <v>36.020000000000003</v>
      </c>
      <c r="AF24">
        <v>0</v>
      </c>
      <c r="AG24">
        <v>0</v>
      </c>
      <c r="AH24">
        <v>0</v>
      </c>
      <c r="AI24">
        <v>10.62</v>
      </c>
      <c r="AJ24">
        <v>1</v>
      </c>
      <c r="AK24">
        <v>1</v>
      </c>
      <c r="AL24">
        <v>1</v>
      </c>
      <c r="AN24">
        <v>0</v>
      </c>
      <c r="AO24">
        <v>0</v>
      </c>
      <c r="AP24">
        <v>0</v>
      </c>
      <c r="AQ24">
        <v>0</v>
      </c>
      <c r="AR24">
        <v>0</v>
      </c>
      <c r="AS24" t="s">
        <v>3</v>
      </c>
      <c r="AT24">
        <v>1</v>
      </c>
      <c r="AU24" t="s">
        <v>3</v>
      </c>
      <c r="AV24">
        <v>0</v>
      </c>
      <c r="AW24">
        <v>1</v>
      </c>
      <c r="AX24">
        <v>-1</v>
      </c>
      <c r="AY24">
        <v>0</v>
      </c>
      <c r="AZ24">
        <v>0</v>
      </c>
      <c r="BA24" t="s">
        <v>3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Y24*Source!I49</f>
        <v>1</v>
      </c>
      <c r="CY24">
        <f>AA24</f>
        <v>382.53</v>
      </c>
      <c r="CZ24">
        <f>AE24</f>
        <v>36.020000000000003</v>
      </c>
      <c r="DA24">
        <f>AI24</f>
        <v>10.62</v>
      </c>
      <c r="DB24">
        <f>ROUND(ROUND(AT24*CZ24,2),6)</f>
        <v>36.020000000000003</v>
      </c>
      <c r="DC24">
        <f>ROUND(ROUND(AT24*AG24,2),6)</f>
        <v>0</v>
      </c>
    </row>
    <row r="25" spans="1:107" x14ac:dyDescent="0.2">
      <c r="A25">
        <f>ROW(Source!A53)</f>
        <v>53</v>
      </c>
      <c r="B25">
        <v>42119681</v>
      </c>
      <c r="C25">
        <v>42120166</v>
      </c>
      <c r="D25">
        <v>32886502</v>
      </c>
      <c r="E25">
        <v>13</v>
      </c>
      <c r="F25">
        <v>1</v>
      </c>
      <c r="G25">
        <v>13</v>
      </c>
      <c r="H25">
        <v>1</v>
      </c>
      <c r="I25" t="s">
        <v>210</v>
      </c>
      <c r="J25" t="s">
        <v>3</v>
      </c>
      <c r="K25" t="s">
        <v>211</v>
      </c>
      <c r="L25">
        <v>1191</v>
      </c>
      <c r="N25">
        <v>1013</v>
      </c>
      <c r="O25" t="s">
        <v>212</v>
      </c>
      <c r="P25" t="s">
        <v>212</v>
      </c>
      <c r="Q25">
        <v>1</v>
      </c>
      <c r="W25">
        <v>0</v>
      </c>
      <c r="X25">
        <v>476480486</v>
      </c>
      <c r="Y25">
        <v>51.127849999999988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1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1</v>
      </c>
      <c r="AQ25">
        <v>0</v>
      </c>
      <c r="AR25">
        <v>0</v>
      </c>
      <c r="AS25" t="s">
        <v>3</v>
      </c>
      <c r="AT25">
        <v>38.659999999999997</v>
      </c>
      <c r="AU25" t="s">
        <v>22</v>
      </c>
      <c r="AV25">
        <v>1</v>
      </c>
      <c r="AW25">
        <v>2</v>
      </c>
      <c r="AX25">
        <v>42120171</v>
      </c>
      <c r="AY25">
        <v>1</v>
      </c>
      <c r="AZ25">
        <v>0</v>
      </c>
      <c r="BA25">
        <v>13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Y25*Source!I53</f>
        <v>102.25569999999998</v>
      </c>
      <c r="CY25">
        <f>AD25</f>
        <v>0</v>
      </c>
      <c r="CZ25">
        <f>AH25</f>
        <v>0</v>
      </c>
      <c r="DA25">
        <f>AL25</f>
        <v>1</v>
      </c>
      <c r="DB25">
        <f>ROUND(((ROUND(AT25*CZ25,2)*1.15)*1.15),6)</f>
        <v>0</v>
      </c>
      <c r="DC25">
        <f>ROUND(((ROUND(AT25*AG25,2)*1.15)*1.15),6)</f>
        <v>0</v>
      </c>
    </row>
    <row r="26" spans="1:107" x14ac:dyDescent="0.2">
      <c r="A26">
        <f>ROW(Source!A53)</f>
        <v>53</v>
      </c>
      <c r="B26">
        <v>42119681</v>
      </c>
      <c r="C26">
        <v>42120166</v>
      </c>
      <c r="D26">
        <v>32892304</v>
      </c>
      <c r="E26">
        <v>1</v>
      </c>
      <c r="F26">
        <v>1</v>
      </c>
      <c r="G26">
        <v>13</v>
      </c>
      <c r="H26">
        <v>3</v>
      </c>
      <c r="I26" t="s">
        <v>84</v>
      </c>
      <c r="J26" t="s">
        <v>87</v>
      </c>
      <c r="K26" t="s">
        <v>85</v>
      </c>
      <c r="L26">
        <v>1301</v>
      </c>
      <c r="N26">
        <v>1003</v>
      </c>
      <c r="O26" t="s">
        <v>86</v>
      </c>
      <c r="P26" t="s">
        <v>86</v>
      </c>
      <c r="Q26">
        <v>1</v>
      </c>
      <c r="W26">
        <v>0</v>
      </c>
      <c r="X26">
        <v>-1319589642</v>
      </c>
      <c r="Y26">
        <v>102</v>
      </c>
      <c r="AA26">
        <v>3.45</v>
      </c>
      <c r="AB26">
        <v>0</v>
      </c>
      <c r="AC26">
        <v>0</v>
      </c>
      <c r="AD26">
        <v>0</v>
      </c>
      <c r="AE26">
        <v>3.45</v>
      </c>
      <c r="AF26">
        <v>0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1</v>
      </c>
      <c r="AN26">
        <v>0</v>
      </c>
      <c r="AO26">
        <v>0</v>
      </c>
      <c r="AP26">
        <v>0</v>
      </c>
      <c r="AQ26">
        <v>0</v>
      </c>
      <c r="AR26">
        <v>0</v>
      </c>
      <c r="AS26" t="s">
        <v>3</v>
      </c>
      <c r="AT26">
        <v>102</v>
      </c>
      <c r="AU26" t="s">
        <v>3</v>
      </c>
      <c r="AV26">
        <v>0</v>
      </c>
      <c r="AW26">
        <v>1</v>
      </c>
      <c r="AX26">
        <v>-1</v>
      </c>
      <c r="AY26">
        <v>0</v>
      </c>
      <c r="AZ26">
        <v>0</v>
      </c>
      <c r="BA26" t="s">
        <v>3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Y26*Source!I53</f>
        <v>204</v>
      </c>
      <c r="CY26">
        <f>AA26</f>
        <v>3.45</v>
      </c>
      <c r="CZ26">
        <f>AE26</f>
        <v>3.45</v>
      </c>
      <c r="DA26">
        <f>AI26</f>
        <v>1</v>
      </c>
      <c r="DB26">
        <f>ROUND(ROUND(AT26*CZ26,2),6)</f>
        <v>351.9</v>
      </c>
      <c r="DC26">
        <f>ROUND(ROUND(AT26*AG26,2),6)</f>
        <v>0</v>
      </c>
    </row>
    <row r="27" spans="1:107" x14ac:dyDescent="0.2">
      <c r="A27">
        <f>ROW(Source!A53)</f>
        <v>53</v>
      </c>
      <c r="B27">
        <v>42119681</v>
      </c>
      <c r="C27">
        <v>42120166</v>
      </c>
      <c r="D27">
        <v>32895889</v>
      </c>
      <c r="E27">
        <v>1</v>
      </c>
      <c r="F27">
        <v>1</v>
      </c>
      <c r="G27">
        <v>13</v>
      </c>
      <c r="H27">
        <v>3</v>
      </c>
      <c r="I27" t="s">
        <v>93</v>
      </c>
      <c r="J27" t="s">
        <v>95</v>
      </c>
      <c r="K27" t="s">
        <v>94</v>
      </c>
      <c r="L27">
        <v>1354</v>
      </c>
      <c r="N27">
        <v>1010</v>
      </c>
      <c r="O27" t="s">
        <v>30</v>
      </c>
      <c r="P27" t="s">
        <v>30</v>
      </c>
      <c r="Q27">
        <v>1</v>
      </c>
      <c r="W27">
        <v>0</v>
      </c>
      <c r="X27">
        <v>-443561284</v>
      </c>
      <c r="Y27">
        <v>6</v>
      </c>
      <c r="AA27">
        <v>3.83</v>
      </c>
      <c r="AB27">
        <v>0</v>
      </c>
      <c r="AC27">
        <v>0</v>
      </c>
      <c r="AD27">
        <v>0</v>
      </c>
      <c r="AE27">
        <v>3.83</v>
      </c>
      <c r="AF27">
        <v>0</v>
      </c>
      <c r="AG27">
        <v>0</v>
      </c>
      <c r="AH27">
        <v>0</v>
      </c>
      <c r="AI27">
        <v>1</v>
      </c>
      <c r="AJ27">
        <v>1</v>
      </c>
      <c r="AK27">
        <v>1</v>
      </c>
      <c r="AL27">
        <v>1</v>
      </c>
      <c r="AN27">
        <v>0</v>
      </c>
      <c r="AO27">
        <v>0</v>
      </c>
      <c r="AP27">
        <v>0</v>
      </c>
      <c r="AQ27">
        <v>0</v>
      </c>
      <c r="AR27">
        <v>0</v>
      </c>
      <c r="AS27" t="s">
        <v>3</v>
      </c>
      <c r="AT27">
        <v>6</v>
      </c>
      <c r="AU27" t="s">
        <v>3</v>
      </c>
      <c r="AV27">
        <v>0</v>
      </c>
      <c r="AW27">
        <v>1</v>
      </c>
      <c r="AX27">
        <v>-1</v>
      </c>
      <c r="AY27">
        <v>0</v>
      </c>
      <c r="AZ27">
        <v>0</v>
      </c>
      <c r="BA27" t="s">
        <v>3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Y27*Source!I53</f>
        <v>12</v>
      </c>
      <c r="CY27">
        <f>AA27</f>
        <v>3.83</v>
      </c>
      <c r="CZ27">
        <f>AE27</f>
        <v>3.83</v>
      </c>
      <c r="DA27">
        <f>AI27</f>
        <v>1</v>
      </c>
      <c r="DB27">
        <f>ROUND(ROUND(AT27*CZ27,2),6)</f>
        <v>22.98</v>
      </c>
      <c r="DC27">
        <f>ROUND(ROUND(AT27*AG27,2),6)</f>
        <v>0</v>
      </c>
    </row>
    <row r="28" spans="1:107" x14ac:dyDescent="0.2">
      <c r="A28">
        <f>ROW(Source!A53)</f>
        <v>53</v>
      </c>
      <c r="B28">
        <v>42119681</v>
      </c>
      <c r="C28">
        <v>42120166</v>
      </c>
      <c r="D28">
        <v>32900519</v>
      </c>
      <c r="E28">
        <v>1</v>
      </c>
      <c r="F28">
        <v>1</v>
      </c>
      <c r="G28">
        <v>13</v>
      </c>
      <c r="H28">
        <v>3</v>
      </c>
      <c r="I28" t="s">
        <v>89</v>
      </c>
      <c r="J28" t="s">
        <v>91</v>
      </c>
      <c r="K28" t="s">
        <v>90</v>
      </c>
      <c r="L28">
        <v>1354</v>
      </c>
      <c r="N28">
        <v>1010</v>
      </c>
      <c r="O28" t="s">
        <v>30</v>
      </c>
      <c r="P28" t="s">
        <v>30</v>
      </c>
      <c r="Q28">
        <v>1</v>
      </c>
      <c r="W28">
        <v>0</v>
      </c>
      <c r="X28">
        <v>6169889</v>
      </c>
      <c r="Y28">
        <v>0.5</v>
      </c>
      <c r="AA28">
        <v>10.96</v>
      </c>
      <c r="AB28">
        <v>0</v>
      </c>
      <c r="AC28">
        <v>0</v>
      </c>
      <c r="AD28">
        <v>0</v>
      </c>
      <c r="AE28">
        <v>10.96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N28">
        <v>0</v>
      </c>
      <c r="AO28">
        <v>0</v>
      </c>
      <c r="AP28">
        <v>0</v>
      </c>
      <c r="AQ28">
        <v>0</v>
      </c>
      <c r="AR28">
        <v>0</v>
      </c>
      <c r="AS28" t="s">
        <v>3</v>
      </c>
      <c r="AT28">
        <v>0.5</v>
      </c>
      <c r="AU28" t="s">
        <v>3</v>
      </c>
      <c r="AV28">
        <v>0</v>
      </c>
      <c r="AW28">
        <v>1</v>
      </c>
      <c r="AX28">
        <v>-1</v>
      </c>
      <c r="AY28">
        <v>0</v>
      </c>
      <c r="AZ28">
        <v>0</v>
      </c>
      <c r="BA28" t="s">
        <v>3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Y28*Source!I53</f>
        <v>1</v>
      </c>
      <c r="CY28">
        <f>AA28</f>
        <v>10.96</v>
      </c>
      <c r="CZ28">
        <f>AE28</f>
        <v>10.96</v>
      </c>
      <c r="DA28">
        <f>AI28</f>
        <v>1</v>
      </c>
      <c r="DB28">
        <f>ROUND(ROUND(AT28*CZ28,2),6)</f>
        <v>5.48</v>
      </c>
      <c r="DC28">
        <f>ROUND(ROUND(AT28*AG28,2),6)</f>
        <v>0</v>
      </c>
    </row>
    <row r="29" spans="1:107" x14ac:dyDescent="0.2">
      <c r="A29">
        <f>ROW(Source!A53)</f>
        <v>53</v>
      </c>
      <c r="B29">
        <v>42119681</v>
      </c>
      <c r="C29">
        <v>42120166</v>
      </c>
      <c r="D29">
        <v>32900550</v>
      </c>
      <c r="E29">
        <v>1</v>
      </c>
      <c r="F29">
        <v>1</v>
      </c>
      <c r="G29">
        <v>13</v>
      </c>
      <c r="H29">
        <v>3</v>
      </c>
      <c r="I29" t="s">
        <v>97</v>
      </c>
      <c r="J29" t="s">
        <v>100</v>
      </c>
      <c r="K29" t="s">
        <v>98</v>
      </c>
      <c r="L29">
        <v>1355</v>
      </c>
      <c r="N29">
        <v>1010</v>
      </c>
      <c r="O29" t="s">
        <v>99</v>
      </c>
      <c r="P29" t="s">
        <v>99</v>
      </c>
      <c r="Q29">
        <v>100</v>
      </c>
      <c r="W29">
        <v>0</v>
      </c>
      <c r="X29">
        <v>128275168</v>
      </c>
      <c r="Y29">
        <v>1</v>
      </c>
      <c r="AA29">
        <v>146.88999999999999</v>
      </c>
      <c r="AB29">
        <v>0</v>
      </c>
      <c r="AC29">
        <v>0</v>
      </c>
      <c r="AD29">
        <v>0</v>
      </c>
      <c r="AE29">
        <v>146.88999999999999</v>
      </c>
      <c r="AF29">
        <v>0</v>
      </c>
      <c r="AG29">
        <v>0</v>
      </c>
      <c r="AH29">
        <v>0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0</v>
      </c>
      <c r="AP29">
        <v>0</v>
      </c>
      <c r="AQ29">
        <v>0</v>
      </c>
      <c r="AR29">
        <v>0</v>
      </c>
      <c r="AS29" t="s">
        <v>3</v>
      </c>
      <c r="AT29">
        <v>1</v>
      </c>
      <c r="AU29" t="s">
        <v>3</v>
      </c>
      <c r="AV29">
        <v>0</v>
      </c>
      <c r="AW29">
        <v>1</v>
      </c>
      <c r="AX29">
        <v>-1</v>
      </c>
      <c r="AY29">
        <v>0</v>
      </c>
      <c r="AZ29">
        <v>0</v>
      </c>
      <c r="BA29" t="s">
        <v>3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Y29*Source!I53</f>
        <v>2</v>
      </c>
      <c r="CY29">
        <f>AA29</f>
        <v>146.88999999999999</v>
      </c>
      <c r="CZ29">
        <f>AE29</f>
        <v>146.88999999999999</v>
      </c>
      <c r="DA29">
        <f>AI29</f>
        <v>1</v>
      </c>
      <c r="DB29">
        <f>ROUND(ROUND(AT29*CZ29,2),6)</f>
        <v>146.88999999999999</v>
      </c>
      <c r="DC29">
        <f>ROUND(ROUND(AT29*AG29,2),6)</f>
        <v>0</v>
      </c>
    </row>
    <row r="30" spans="1:107" x14ac:dyDescent="0.2">
      <c r="A30">
        <f>ROW(Source!A54)</f>
        <v>54</v>
      </c>
      <c r="B30">
        <v>42119679</v>
      </c>
      <c r="C30">
        <v>42120166</v>
      </c>
      <c r="D30">
        <v>32886502</v>
      </c>
      <c r="E30">
        <v>13</v>
      </c>
      <c r="F30">
        <v>1</v>
      </c>
      <c r="G30">
        <v>13</v>
      </c>
      <c r="H30">
        <v>1</v>
      </c>
      <c r="I30" t="s">
        <v>210</v>
      </c>
      <c r="J30" t="s">
        <v>3</v>
      </c>
      <c r="K30" t="s">
        <v>211</v>
      </c>
      <c r="L30">
        <v>1191</v>
      </c>
      <c r="N30">
        <v>1013</v>
      </c>
      <c r="O30" t="s">
        <v>212</v>
      </c>
      <c r="P30" t="s">
        <v>212</v>
      </c>
      <c r="Q30">
        <v>1</v>
      </c>
      <c r="W30">
        <v>0</v>
      </c>
      <c r="X30">
        <v>476480486</v>
      </c>
      <c r="Y30">
        <v>51.127849999999988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1</v>
      </c>
      <c r="AQ30">
        <v>0</v>
      </c>
      <c r="AR30">
        <v>0</v>
      </c>
      <c r="AS30" t="s">
        <v>3</v>
      </c>
      <c r="AT30">
        <v>38.659999999999997</v>
      </c>
      <c r="AU30" t="s">
        <v>22</v>
      </c>
      <c r="AV30">
        <v>1</v>
      </c>
      <c r="AW30">
        <v>2</v>
      </c>
      <c r="AX30">
        <v>42120171</v>
      </c>
      <c r="AY30">
        <v>1</v>
      </c>
      <c r="AZ30">
        <v>0</v>
      </c>
      <c r="BA30">
        <v>16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Y30*Source!I54</f>
        <v>102.25569999999998</v>
      </c>
      <c r="CY30">
        <f>AD30</f>
        <v>0</v>
      </c>
      <c r="CZ30">
        <f>AH30</f>
        <v>0</v>
      </c>
      <c r="DA30">
        <f>AL30</f>
        <v>1</v>
      </c>
      <c r="DB30">
        <f>ROUND(((ROUND(AT30*CZ30,2)*1.15)*1.15),6)</f>
        <v>0</v>
      </c>
      <c r="DC30">
        <f>ROUND(((ROUND(AT30*AG30,2)*1.15)*1.15),6)</f>
        <v>0</v>
      </c>
    </row>
    <row r="31" spans="1:107" x14ac:dyDescent="0.2">
      <c r="A31">
        <f>ROW(Source!A54)</f>
        <v>54</v>
      </c>
      <c r="B31">
        <v>42119679</v>
      </c>
      <c r="C31">
        <v>42120166</v>
      </c>
      <c r="D31">
        <v>32892304</v>
      </c>
      <c r="E31">
        <v>1</v>
      </c>
      <c r="F31">
        <v>1</v>
      </c>
      <c r="G31">
        <v>13</v>
      </c>
      <c r="H31">
        <v>3</v>
      </c>
      <c r="I31" t="s">
        <v>84</v>
      </c>
      <c r="J31" t="s">
        <v>87</v>
      </c>
      <c r="K31" t="s">
        <v>85</v>
      </c>
      <c r="L31">
        <v>1301</v>
      </c>
      <c r="N31">
        <v>1003</v>
      </c>
      <c r="O31" t="s">
        <v>86</v>
      </c>
      <c r="P31" t="s">
        <v>86</v>
      </c>
      <c r="Q31">
        <v>1</v>
      </c>
      <c r="W31">
        <v>0</v>
      </c>
      <c r="X31">
        <v>-1319589642</v>
      </c>
      <c r="Y31">
        <v>102</v>
      </c>
      <c r="AA31">
        <v>21.63</v>
      </c>
      <c r="AB31">
        <v>0</v>
      </c>
      <c r="AC31">
        <v>0</v>
      </c>
      <c r="AD31">
        <v>0</v>
      </c>
      <c r="AE31">
        <v>3.45</v>
      </c>
      <c r="AF31">
        <v>0</v>
      </c>
      <c r="AG31">
        <v>0</v>
      </c>
      <c r="AH31">
        <v>0</v>
      </c>
      <c r="AI31">
        <v>6.27</v>
      </c>
      <c r="AJ31">
        <v>1</v>
      </c>
      <c r="AK31">
        <v>1</v>
      </c>
      <c r="AL31">
        <v>1</v>
      </c>
      <c r="AN31">
        <v>0</v>
      </c>
      <c r="AO31">
        <v>0</v>
      </c>
      <c r="AP31">
        <v>0</v>
      </c>
      <c r="AQ31">
        <v>0</v>
      </c>
      <c r="AR31">
        <v>0</v>
      </c>
      <c r="AS31" t="s">
        <v>3</v>
      </c>
      <c r="AT31">
        <v>102</v>
      </c>
      <c r="AU31" t="s">
        <v>3</v>
      </c>
      <c r="AV31">
        <v>0</v>
      </c>
      <c r="AW31">
        <v>1</v>
      </c>
      <c r="AX31">
        <v>-1</v>
      </c>
      <c r="AY31">
        <v>0</v>
      </c>
      <c r="AZ31">
        <v>0</v>
      </c>
      <c r="BA31" t="s">
        <v>3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Y31*Source!I54</f>
        <v>204</v>
      </c>
      <c r="CY31">
        <f>AA31</f>
        <v>21.63</v>
      </c>
      <c r="CZ31">
        <f>AE31</f>
        <v>3.45</v>
      </c>
      <c r="DA31">
        <f>AI31</f>
        <v>6.27</v>
      </c>
      <c r="DB31">
        <f>ROUND(ROUND(AT31*CZ31,2),6)</f>
        <v>351.9</v>
      </c>
      <c r="DC31">
        <f>ROUND(ROUND(AT31*AG31,2),6)</f>
        <v>0</v>
      </c>
    </row>
    <row r="32" spans="1:107" x14ac:dyDescent="0.2">
      <c r="A32">
        <f>ROW(Source!A54)</f>
        <v>54</v>
      </c>
      <c r="B32">
        <v>42119679</v>
      </c>
      <c r="C32">
        <v>42120166</v>
      </c>
      <c r="D32">
        <v>32895889</v>
      </c>
      <c r="E32">
        <v>1</v>
      </c>
      <c r="F32">
        <v>1</v>
      </c>
      <c r="G32">
        <v>13</v>
      </c>
      <c r="H32">
        <v>3</v>
      </c>
      <c r="I32" t="s">
        <v>93</v>
      </c>
      <c r="J32" t="s">
        <v>95</v>
      </c>
      <c r="K32" t="s">
        <v>94</v>
      </c>
      <c r="L32">
        <v>1354</v>
      </c>
      <c r="N32">
        <v>1010</v>
      </c>
      <c r="O32" t="s">
        <v>30</v>
      </c>
      <c r="P32" t="s">
        <v>30</v>
      </c>
      <c r="Q32">
        <v>1</v>
      </c>
      <c r="W32">
        <v>0</v>
      </c>
      <c r="X32">
        <v>-443561284</v>
      </c>
      <c r="Y32">
        <v>6</v>
      </c>
      <c r="AA32">
        <v>16.350000000000001</v>
      </c>
      <c r="AB32">
        <v>0</v>
      </c>
      <c r="AC32">
        <v>0</v>
      </c>
      <c r="AD32">
        <v>0</v>
      </c>
      <c r="AE32">
        <v>3.83</v>
      </c>
      <c r="AF32">
        <v>0</v>
      </c>
      <c r="AG32">
        <v>0</v>
      </c>
      <c r="AH32">
        <v>0</v>
      </c>
      <c r="AI32">
        <v>4.2699999999999996</v>
      </c>
      <c r="AJ32">
        <v>1</v>
      </c>
      <c r="AK32">
        <v>1</v>
      </c>
      <c r="AL32">
        <v>1</v>
      </c>
      <c r="AN32">
        <v>0</v>
      </c>
      <c r="AO32">
        <v>0</v>
      </c>
      <c r="AP32">
        <v>0</v>
      </c>
      <c r="AQ32">
        <v>0</v>
      </c>
      <c r="AR32">
        <v>0</v>
      </c>
      <c r="AS32" t="s">
        <v>3</v>
      </c>
      <c r="AT32">
        <v>6</v>
      </c>
      <c r="AU32" t="s">
        <v>3</v>
      </c>
      <c r="AV32">
        <v>0</v>
      </c>
      <c r="AW32">
        <v>1</v>
      </c>
      <c r="AX32">
        <v>-1</v>
      </c>
      <c r="AY32">
        <v>0</v>
      </c>
      <c r="AZ32">
        <v>0</v>
      </c>
      <c r="BA32" t="s">
        <v>3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Y32*Source!I54</f>
        <v>12</v>
      </c>
      <c r="CY32">
        <f>AA32</f>
        <v>16.350000000000001</v>
      </c>
      <c r="CZ32">
        <f>AE32</f>
        <v>3.83</v>
      </c>
      <c r="DA32">
        <f>AI32</f>
        <v>4.2699999999999996</v>
      </c>
      <c r="DB32">
        <f>ROUND(ROUND(AT32*CZ32,2),6)</f>
        <v>22.98</v>
      </c>
      <c r="DC32">
        <f>ROUND(ROUND(AT32*AG32,2),6)</f>
        <v>0</v>
      </c>
    </row>
    <row r="33" spans="1:107" x14ac:dyDescent="0.2">
      <c r="A33">
        <f>ROW(Source!A54)</f>
        <v>54</v>
      </c>
      <c r="B33">
        <v>42119679</v>
      </c>
      <c r="C33">
        <v>42120166</v>
      </c>
      <c r="D33">
        <v>32900519</v>
      </c>
      <c r="E33">
        <v>1</v>
      </c>
      <c r="F33">
        <v>1</v>
      </c>
      <c r="G33">
        <v>13</v>
      </c>
      <c r="H33">
        <v>3</v>
      </c>
      <c r="I33" t="s">
        <v>89</v>
      </c>
      <c r="J33" t="s">
        <v>91</v>
      </c>
      <c r="K33" t="s">
        <v>90</v>
      </c>
      <c r="L33">
        <v>1354</v>
      </c>
      <c r="N33">
        <v>1010</v>
      </c>
      <c r="O33" t="s">
        <v>30</v>
      </c>
      <c r="P33" t="s">
        <v>30</v>
      </c>
      <c r="Q33">
        <v>1</v>
      </c>
      <c r="W33">
        <v>0</v>
      </c>
      <c r="X33">
        <v>6169889</v>
      </c>
      <c r="Y33">
        <v>0.5</v>
      </c>
      <c r="AA33">
        <v>22.25</v>
      </c>
      <c r="AB33">
        <v>0</v>
      </c>
      <c r="AC33">
        <v>0</v>
      </c>
      <c r="AD33">
        <v>0</v>
      </c>
      <c r="AE33">
        <v>10.96</v>
      </c>
      <c r="AF33">
        <v>0</v>
      </c>
      <c r="AG33">
        <v>0</v>
      </c>
      <c r="AH33">
        <v>0</v>
      </c>
      <c r="AI33">
        <v>2.0299999999999998</v>
      </c>
      <c r="AJ33">
        <v>1</v>
      </c>
      <c r="AK33">
        <v>1</v>
      </c>
      <c r="AL33">
        <v>1</v>
      </c>
      <c r="AN33">
        <v>0</v>
      </c>
      <c r="AO33">
        <v>0</v>
      </c>
      <c r="AP33">
        <v>0</v>
      </c>
      <c r="AQ33">
        <v>0</v>
      </c>
      <c r="AR33">
        <v>0</v>
      </c>
      <c r="AS33" t="s">
        <v>3</v>
      </c>
      <c r="AT33">
        <v>0.5</v>
      </c>
      <c r="AU33" t="s">
        <v>3</v>
      </c>
      <c r="AV33">
        <v>0</v>
      </c>
      <c r="AW33">
        <v>1</v>
      </c>
      <c r="AX33">
        <v>-1</v>
      </c>
      <c r="AY33">
        <v>0</v>
      </c>
      <c r="AZ33">
        <v>0</v>
      </c>
      <c r="BA33" t="s">
        <v>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Y33*Source!I54</f>
        <v>1</v>
      </c>
      <c r="CY33">
        <f>AA33</f>
        <v>22.25</v>
      </c>
      <c r="CZ33">
        <f>AE33</f>
        <v>10.96</v>
      </c>
      <c r="DA33">
        <f>AI33</f>
        <v>2.0299999999999998</v>
      </c>
      <c r="DB33">
        <f>ROUND(ROUND(AT33*CZ33,2),6)</f>
        <v>5.48</v>
      </c>
      <c r="DC33">
        <f>ROUND(ROUND(AT33*AG33,2),6)</f>
        <v>0</v>
      </c>
    </row>
    <row r="34" spans="1:107" x14ac:dyDescent="0.2">
      <c r="A34">
        <f>ROW(Source!A54)</f>
        <v>54</v>
      </c>
      <c r="B34">
        <v>42119679</v>
      </c>
      <c r="C34">
        <v>42120166</v>
      </c>
      <c r="D34">
        <v>32900550</v>
      </c>
      <c r="E34">
        <v>1</v>
      </c>
      <c r="F34">
        <v>1</v>
      </c>
      <c r="G34">
        <v>13</v>
      </c>
      <c r="H34">
        <v>3</v>
      </c>
      <c r="I34" t="s">
        <v>97</v>
      </c>
      <c r="J34" t="s">
        <v>100</v>
      </c>
      <c r="K34" t="s">
        <v>98</v>
      </c>
      <c r="L34">
        <v>1355</v>
      </c>
      <c r="N34">
        <v>1010</v>
      </c>
      <c r="O34" t="s">
        <v>99</v>
      </c>
      <c r="P34" t="s">
        <v>99</v>
      </c>
      <c r="Q34">
        <v>100</v>
      </c>
      <c r="W34">
        <v>0</v>
      </c>
      <c r="X34">
        <v>128275168</v>
      </c>
      <c r="Y34">
        <v>1</v>
      </c>
      <c r="AA34">
        <v>174.8</v>
      </c>
      <c r="AB34">
        <v>0</v>
      </c>
      <c r="AC34">
        <v>0</v>
      </c>
      <c r="AD34">
        <v>0</v>
      </c>
      <c r="AE34">
        <v>146.88999999999999</v>
      </c>
      <c r="AF34">
        <v>0</v>
      </c>
      <c r="AG34">
        <v>0</v>
      </c>
      <c r="AH34">
        <v>0</v>
      </c>
      <c r="AI34">
        <v>1.19</v>
      </c>
      <c r="AJ34">
        <v>1</v>
      </c>
      <c r="AK34">
        <v>1</v>
      </c>
      <c r="AL34">
        <v>1</v>
      </c>
      <c r="AN34">
        <v>0</v>
      </c>
      <c r="AO34">
        <v>0</v>
      </c>
      <c r="AP34">
        <v>0</v>
      </c>
      <c r="AQ34">
        <v>0</v>
      </c>
      <c r="AR34">
        <v>0</v>
      </c>
      <c r="AS34" t="s">
        <v>3</v>
      </c>
      <c r="AT34">
        <v>1</v>
      </c>
      <c r="AU34" t="s">
        <v>3</v>
      </c>
      <c r="AV34">
        <v>0</v>
      </c>
      <c r="AW34">
        <v>1</v>
      </c>
      <c r="AX34">
        <v>-1</v>
      </c>
      <c r="AY34">
        <v>0</v>
      </c>
      <c r="AZ34">
        <v>0</v>
      </c>
      <c r="BA34" t="s">
        <v>3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Y34*Source!I54</f>
        <v>2</v>
      </c>
      <c r="CY34">
        <f>AA34</f>
        <v>174.8</v>
      </c>
      <c r="CZ34">
        <f>AE34</f>
        <v>146.88999999999999</v>
      </c>
      <c r="DA34">
        <f>AI34</f>
        <v>1.19</v>
      </c>
      <c r="DB34">
        <f>ROUND(ROUND(AT34*CZ34,2),6)</f>
        <v>146.88999999999999</v>
      </c>
      <c r="DC34">
        <f>ROUND(ROUND(AT34*AG34,2),6)</f>
        <v>0</v>
      </c>
    </row>
    <row r="35" spans="1:107" x14ac:dyDescent="0.2">
      <c r="A35">
        <f>ROW(Source!A63)</f>
        <v>63</v>
      </c>
      <c r="B35">
        <v>42119681</v>
      </c>
      <c r="C35">
        <v>42120182</v>
      </c>
      <c r="D35">
        <v>32886502</v>
      </c>
      <c r="E35">
        <v>13</v>
      </c>
      <c r="F35">
        <v>1</v>
      </c>
      <c r="G35">
        <v>13</v>
      </c>
      <c r="H35">
        <v>1</v>
      </c>
      <c r="I35" t="s">
        <v>210</v>
      </c>
      <c r="J35" t="s">
        <v>3</v>
      </c>
      <c r="K35" t="s">
        <v>211</v>
      </c>
      <c r="L35">
        <v>1191</v>
      </c>
      <c r="N35">
        <v>1013</v>
      </c>
      <c r="O35" t="s">
        <v>212</v>
      </c>
      <c r="P35" t="s">
        <v>212</v>
      </c>
      <c r="Q35">
        <v>1</v>
      </c>
      <c r="W35">
        <v>0</v>
      </c>
      <c r="X35">
        <v>476480486</v>
      </c>
      <c r="Y35">
        <v>6.8108750000000002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1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1</v>
      </c>
      <c r="AQ35">
        <v>0</v>
      </c>
      <c r="AR35">
        <v>0</v>
      </c>
      <c r="AS35" t="s">
        <v>3</v>
      </c>
      <c r="AT35">
        <v>5.15</v>
      </c>
      <c r="AU35" t="s">
        <v>22</v>
      </c>
      <c r="AV35">
        <v>1</v>
      </c>
      <c r="AW35">
        <v>2</v>
      </c>
      <c r="AX35">
        <v>42120185</v>
      </c>
      <c r="AY35">
        <v>1</v>
      </c>
      <c r="AZ35">
        <v>0</v>
      </c>
      <c r="BA35">
        <v>19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Y35*Source!I63</f>
        <v>13.62175</v>
      </c>
      <c r="CY35">
        <f>AD35</f>
        <v>0</v>
      </c>
      <c r="CZ35">
        <f>AH35</f>
        <v>0</v>
      </c>
      <c r="DA35">
        <f>AL35</f>
        <v>1</v>
      </c>
      <c r="DB35">
        <f>ROUND(((ROUND(AT35*CZ35,2)*1.15)*1.15),6)</f>
        <v>0</v>
      </c>
      <c r="DC35">
        <f>ROUND(((ROUND(AT35*AG35,2)*1.15)*1.15),6)</f>
        <v>0</v>
      </c>
    </row>
    <row r="36" spans="1:107" x14ac:dyDescent="0.2">
      <c r="A36">
        <f>ROW(Source!A63)</f>
        <v>63</v>
      </c>
      <c r="B36">
        <v>42119681</v>
      </c>
      <c r="C36">
        <v>42120182</v>
      </c>
      <c r="D36">
        <v>0</v>
      </c>
      <c r="E36">
        <v>13</v>
      </c>
      <c r="F36">
        <v>1</v>
      </c>
      <c r="G36">
        <v>13</v>
      </c>
      <c r="H36">
        <v>3</v>
      </c>
      <c r="I36" t="s">
        <v>28</v>
      </c>
      <c r="J36" t="s">
        <v>3</v>
      </c>
      <c r="K36" t="s">
        <v>108</v>
      </c>
      <c r="L36">
        <v>1301</v>
      </c>
      <c r="N36">
        <v>1003</v>
      </c>
      <c r="O36" t="s">
        <v>86</v>
      </c>
      <c r="P36" t="s">
        <v>86</v>
      </c>
      <c r="Q36">
        <v>1</v>
      </c>
      <c r="W36">
        <v>0</v>
      </c>
      <c r="X36">
        <v>-1867889573</v>
      </c>
      <c r="Y36">
        <v>102</v>
      </c>
      <c r="AA36">
        <v>364.7</v>
      </c>
      <c r="AB36">
        <v>0</v>
      </c>
      <c r="AC36">
        <v>0</v>
      </c>
      <c r="AD36">
        <v>0</v>
      </c>
      <c r="AE36">
        <v>364.7</v>
      </c>
      <c r="AF36">
        <v>0</v>
      </c>
      <c r="AG36">
        <v>0</v>
      </c>
      <c r="AH36">
        <v>0</v>
      </c>
      <c r="AI36">
        <v>1</v>
      </c>
      <c r="AJ36">
        <v>1</v>
      </c>
      <c r="AK36">
        <v>1</v>
      </c>
      <c r="AL36">
        <v>1</v>
      </c>
      <c r="AN36">
        <v>0</v>
      </c>
      <c r="AO36">
        <v>0</v>
      </c>
      <c r="AP36">
        <v>0</v>
      </c>
      <c r="AQ36">
        <v>0</v>
      </c>
      <c r="AR36">
        <v>0</v>
      </c>
      <c r="AS36" t="s">
        <v>3</v>
      </c>
      <c r="AT36">
        <v>102</v>
      </c>
      <c r="AU36" t="s">
        <v>3</v>
      </c>
      <c r="AV36">
        <v>0</v>
      </c>
      <c r="AW36">
        <v>1</v>
      </c>
      <c r="AX36">
        <v>-1</v>
      </c>
      <c r="AY36">
        <v>0</v>
      </c>
      <c r="AZ36">
        <v>0</v>
      </c>
      <c r="BA36" t="s">
        <v>3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Y36*Source!I63</f>
        <v>204</v>
      </c>
      <c r="CY36">
        <f>AA36</f>
        <v>364.7</v>
      </c>
      <c r="CZ36">
        <f>AE36</f>
        <v>364.7</v>
      </c>
      <c r="DA36">
        <f>AI36</f>
        <v>1</v>
      </c>
      <c r="DB36">
        <f>ROUND(ROUND(AT36*CZ36,2),6)</f>
        <v>37199.4</v>
      </c>
      <c r="DC36">
        <f>ROUND(ROUND(AT36*AG36,2),6)</f>
        <v>0</v>
      </c>
    </row>
    <row r="37" spans="1:107" x14ac:dyDescent="0.2">
      <c r="A37">
        <f>ROW(Source!A64)</f>
        <v>64</v>
      </c>
      <c r="B37">
        <v>42119679</v>
      </c>
      <c r="C37">
        <v>42120182</v>
      </c>
      <c r="D37">
        <v>32886502</v>
      </c>
      <c r="E37">
        <v>13</v>
      </c>
      <c r="F37">
        <v>1</v>
      </c>
      <c r="G37">
        <v>13</v>
      </c>
      <c r="H37">
        <v>1</v>
      </c>
      <c r="I37" t="s">
        <v>210</v>
      </c>
      <c r="J37" t="s">
        <v>3</v>
      </c>
      <c r="K37" t="s">
        <v>211</v>
      </c>
      <c r="L37">
        <v>1191</v>
      </c>
      <c r="N37">
        <v>1013</v>
      </c>
      <c r="O37" t="s">
        <v>212</v>
      </c>
      <c r="P37" t="s">
        <v>212</v>
      </c>
      <c r="Q37">
        <v>1</v>
      </c>
      <c r="W37">
        <v>0</v>
      </c>
      <c r="X37">
        <v>476480486</v>
      </c>
      <c r="Y37">
        <v>6.8108750000000002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1</v>
      </c>
      <c r="AQ37">
        <v>0</v>
      </c>
      <c r="AR37">
        <v>0</v>
      </c>
      <c r="AS37" t="s">
        <v>3</v>
      </c>
      <c r="AT37">
        <v>5.15</v>
      </c>
      <c r="AU37" t="s">
        <v>22</v>
      </c>
      <c r="AV37">
        <v>1</v>
      </c>
      <c r="AW37">
        <v>2</v>
      </c>
      <c r="AX37">
        <v>42120185</v>
      </c>
      <c r="AY37">
        <v>1</v>
      </c>
      <c r="AZ37">
        <v>0</v>
      </c>
      <c r="BA37">
        <v>20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Y37*Source!I64</f>
        <v>13.62175</v>
      </c>
      <c r="CY37">
        <f>AD37</f>
        <v>0</v>
      </c>
      <c r="CZ37">
        <f>AH37</f>
        <v>0</v>
      </c>
      <c r="DA37">
        <f>AL37</f>
        <v>1</v>
      </c>
      <c r="DB37">
        <f>ROUND(((ROUND(AT37*CZ37,2)*1.15)*1.15),6)</f>
        <v>0</v>
      </c>
      <c r="DC37">
        <f>ROUND(((ROUND(AT37*AG37,2)*1.15)*1.15),6)</f>
        <v>0</v>
      </c>
    </row>
    <row r="38" spans="1:107" x14ac:dyDescent="0.2">
      <c r="A38">
        <f>ROW(Source!A64)</f>
        <v>64</v>
      </c>
      <c r="B38">
        <v>42119679</v>
      </c>
      <c r="C38">
        <v>42120182</v>
      </c>
      <c r="D38">
        <v>0</v>
      </c>
      <c r="E38">
        <v>13</v>
      </c>
      <c r="F38">
        <v>1</v>
      </c>
      <c r="G38">
        <v>13</v>
      </c>
      <c r="H38">
        <v>3</v>
      </c>
      <c r="I38" t="s">
        <v>28</v>
      </c>
      <c r="J38" t="s">
        <v>3</v>
      </c>
      <c r="K38" t="s">
        <v>108</v>
      </c>
      <c r="L38">
        <v>1301</v>
      </c>
      <c r="N38">
        <v>1003</v>
      </c>
      <c r="O38" t="s">
        <v>86</v>
      </c>
      <c r="P38" t="s">
        <v>86</v>
      </c>
      <c r="Q38">
        <v>1</v>
      </c>
      <c r="W38">
        <v>0</v>
      </c>
      <c r="X38">
        <v>-1867889573</v>
      </c>
      <c r="Y38">
        <v>102</v>
      </c>
      <c r="AA38">
        <v>65.5</v>
      </c>
      <c r="AB38">
        <v>0</v>
      </c>
      <c r="AC38">
        <v>0</v>
      </c>
      <c r="AD38">
        <v>0</v>
      </c>
      <c r="AE38">
        <v>12.22</v>
      </c>
      <c r="AF38">
        <v>0</v>
      </c>
      <c r="AG38">
        <v>0</v>
      </c>
      <c r="AH38">
        <v>0</v>
      </c>
      <c r="AI38">
        <v>5.36</v>
      </c>
      <c r="AJ38">
        <v>1</v>
      </c>
      <c r="AK38">
        <v>1</v>
      </c>
      <c r="AL38">
        <v>1</v>
      </c>
      <c r="AN38">
        <v>0</v>
      </c>
      <c r="AO38">
        <v>0</v>
      </c>
      <c r="AP38">
        <v>0</v>
      </c>
      <c r="AQ38">
        <v>0</v>
      </c>
      <c r="AR38">
        <v>0</v>
      </c>
      <c r="AS38" t="s">
        <v>3</v>
      </c>
      <c r="AT38">
        <v>102</v>
      </c>
      <c r="AU38" t="s">
        <v>3</v>
      </c>
      <c r="AV38">
        <v>0</v>
      </c>
      <c r="AW38">
        <v>1</v>
      </c>
      <c r="AX38">
        <v>-1</v>
      </c>
      <c r="AY38">
        <v>0</v>
      </c>
      <c r="AZ38">
        <v>0</v>
      </c>
      <c r="BA38" t="s">
        <v>3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Y38*Source!I64</f>
        <v>204</v>
      </c>
      <c r="CY38">
        <f>AA38</f>
        <v>65.5</v>
      </c>
      <c r="CZ38">
        <f>AE38</f>
        <v>12.22</v>
      </c>
      <c r="DA38">
        <f>AI38</f>
        <v>5.36</v>
      </c>
      <c r="DB38">
        <f>ROUND(ROUND(AT38*CZ38,2),6)</f>
        <v>1246.44</v>
      </c>
      <c r="DC38">
        <f>ROUND(ROUND(AT38*AG38,2),6)</f>
        <v>0</v>
      </c>
    </row>
    <row r="39" spans="1:107" x14ac:dyDescent="0.2">
      <c r="A39">
        <f>ROW(Source!A67)</f>
        <v>67</v>
      </c>
      <c r="B39">
        <v>42119681</v>
      </c>
      <c r="C39">
        <v>42120187</v>
      </c>
      <c r="D39">
        <v>32886502</v>
      </c>
      <c r="E39">
        <v>13</v>
      </c>
      <c r="F39">
        <v>1</v>
      </c>
      <c r="G39">
        <v>13</v>
      </c>
      <c r="H39">
        <v>1</v>
      </c>
      <c r="I39" t="s">
        <v>210</v>
      </c>
      <c r="J39" t="s">
        <v>3</v>
      </c>
      <c r="K39" t="s">
        <v>211</v>
      </c>
      <c r="L39">
        <v>1191</v>
      </c>
      <c r="N39">
        <v>1013</v>
      </c>
      <c r="O39" t="s">
        <v>212</v>
      </c>
      <c r="P39" t="s">
        <v>212</v>
      </c>
      <c r="Q39">
        <v>1</v>
      </c>
      <c r="W39">
        <v>0</v>
      </c>
      <c r="X39">
        <v>476480486</v>
      </c>
      <c r="Y39">
        <v>53.786074999999997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1</v>
      </c>
      <c r="AQ39">
        <v>0</v>
      </c>
      <c r="AR39">
        <v>0</v>
      </c>
      <c r="AS39" t="s">
        <v>3</v>
      </c>
      <c r="AT39">
        <v>40.67</v>
      </c>
      <c r="AU39" t="s">
        <v>22</v>
      </c>
      <c r="AV39">
        <v>1</v>
      </c>
      <c r="AW39">
        <v>2</v>
      </c>
      <c r="AX39">
        <v>42120191</v>
      </c>
      <c r="AY39">
        <v>1</v>
      </c>
      <c r="AZ39">
        <v>0</v>
      </c>
      <c r="BA39">
        <v>21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Y39*Source!I67</f>
        <v>5.3786075000000002</v>
      </c>
      <c r="CY39">
        <f>AD39</f>
        <v>0</v>
      </c>
      <c r="CZ39">
        <f>AH39</f>
        <v>0</v>
      </c>
      <c r="DA39">
        <f>AL39</f>
        <v>1</v>
      </c>
      <c r="DB39">
        <f>ROUND(((ROUND(AT39*CZ39,2)*1.15)*1.15),6)</f>
        <v>0</v>
      </c>
      <c r="DC39">
        <f>ROUND(((ROUND(AT39*AG39,2)*1.15)*1.15),6)</f>
        <v>0</v>
      </c>
    </row>
    <row r="40" spans="1:107" x14ac:dyDescent="0.2">
      <c r="A40">
        <f>ROW(Source!A67)</f>
        <v>67</v>
      </c>
      <c r="B40">
        <v>42119681</v>
      </c>
      <c r="C40">
        <v>42120187</v>
      </c>
      <c r="D40">
        <v>32888336</v>
      </c>
      <c r="E40">
        <v>1</v>
      </c>
      <c r="F40">
        <v>1</v>
      </c>
      <c r="G40">
        <v>13</v>
      </c>
      <c r="H40">
        <v>3</v>
      </c>
      <c r="I40" t="s">
        <v>115</v>
      </c>
      <c r="J40" t="s">
        <v>117</v>
      </c>
      <c r="K40" t="s">
        <v>116</v>
      </c>
      <c r="L40">
        <v>1301</v>
      </c>
      <c r="N40">
        <v>1003</v>
      </c>
      <c r="O40" t="s">
        <v>86</v>
      </c>
      <c r="P40" t="s">
        <v>86</v>
      </c>
      <c r="Q40">
        <v>1</v>
      </c>
      <c r="W40">
        <v>0</v>
      </c>
      <c r="X40">
        <v>-54299764</v>
      </c>
      <c r="Y40">
        <v>102</v>
      </c>
      <c r="AA40">
        <v>3.8</v>
      </c>
      <c r="AB40">
        <v>0</v>
      </c>
      <c r="AC40">
        <v>0</v>
      </c>
      <c r="AD40">
        <v>0</v>
      </c>
      <c r="AE40">
        <v>3.8</v>
      </c>
      <c r="AF40">
        <v>0</v>
      </c>
      <c r="AG40">
        <v>0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0</v>
      </c>
      <c r="AP40">
        <v>0</v>
      </c>
      <c r="AQ40">
        <v>0</v>
      </c>
      <c r="AR40">
        <v>0</v>
      </c>
      <c r="AS40" t="s">
        <v>3</v>
      </c>
      <c r="AT40">
        <v>102</v>
      </c>
      <c r="AU40" t="s">
        <v>3</v>
      </c>
      <c r="AV40">
        <v>0</v>
      </c>
      <c r="AW40">
        <v>1</v>
      </c>
      <c r="AX40">
        <v>-1</v>
      </c>
      <c r="AY40">
        <v>0</v>
      </c>
      <c r="AZ40">
        <v>0</v>
      </c>
      <c r="BA40" t="s">
        <v>3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Y40*Source!I67</f>
        <v>10.200000000000001</v>
      </c>
      <c r="CY40">
        <f>AA40</f>
        <v>3.8</v>
      </c>
      <c r="CZ40">
        <f>AE40</f>
        <v>3.8</v>
      </c>
      <c r="DA40">
        <f>AI40</f>
        <v>1</v>
      </c>
      <c r="DB40">
        <f>ROUND(ROUND(AT40*CZ40,2),6)</f>
        <v>387.6</v>
      </c>
      <c r="DC40">
        <f>ROUND(ROUND(AT40*AG40,2),6)</f>
        <v>0</v>
      </c>
    </row>
    <row r="41" spans="1:107" x14ac:dyDescent="0.2">
      <c r="A41">
        <f>ROW(Source!A68)</f>
        <v>68</v>
      </c>
      <c r="B41">
        <v>42119679</v>
      </c>
      <c r="C41">
        <v>42120187</v>
      </c>
      <c r="D41">
        <v>32886502</v>
      </c>
      <c r="E41">
        <v>13</v>
      </c>
      <c r="F41">
        <v>1</v>
      </c>
      <c r="G41">
        <v>13</v>
      </c>
      <c r="H41">
        <v>1</v>
      </c>
      <c r="I41" t="s">
        <v>210</v>
      </c>
      <c r="J41" t="s">
        <v>3</v>
      </c>
      <c r="K41" t="s">
        <v>211</v>
      </c>
      <c r="L41">
        <v>1191</v>
      </c>
      <c r="N41">
        <v>1013</v>
      </c>
      <c r="O41" t="s">
        <v>212</v>
      </c>
      <c r="P41" t="s">
        <v>212</v>
      </c>
      <c r="Q41">
        <v>1</v>
      </c>
      <c r="W41">
        <v>0</v>
      </c>
      <c r="X41">
        <v>476480486</v>
      </c>
      <c r="Y41">
        <v>53.786074999999997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1</v>
      </c>
      <c r="AQ41">
        <v>0</v>
      </c>
      <c r="AR41">
        <v>0</v>
      </c>
      <c r="AS41" t="s">
        <v>3</v>
      </c>
      <c r="AT41">
        <v>40.67</v>
      </c>
      <c r="AU41" t="s">
        <v>22</v>
      </c>
      <c r="AV41">
        <v>1</v>
      </c>
      <c r="AW41">
        <v>2</v>
      </c>
      <c r="AX41">
        <v>42120191</v>
      </c>
      <c r="AY41">
        <v>1</v>
      </c>
      <c r="AZ41">
        <v>0</v>
      </c>
      <c r="BA41">
        <v>29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Y41*Source!I68</f>
        <v>5.3786075000000002</v>
      </c>
      <c r="CY41">
        <f>AD41</f>
        <v>0</v>
      </c>
      <c r="CZ41">
        <f>AH41</f>
        <v>0</v>
      </c>
      <c r="DA41">
        <f>AL41</f>
        <v>1</v>
      </c>
      <c r="DB41">
        <f>ROUND(((ROUND(AT41*CZ41,2)*1.15)*1.15),6)</f>
        <v>0</v>
      </c>
      <c r="DC41">
        <f>ROUND(((ROUND(AT41*AG41,2)*1.15)*1.15),6)</f>
        <v>0</v>
      </c>
    </row>
    <row r="42" spans="1:107" x14ac:dyDescent="0.2">
      <c r="A42">
        <f>ROW(Source!A68)</f>
        <v>68</v>
      </c>
      <c r="B42">
        <v>42119679</v>
      </c>
      <c r="C42">
        <v>42120187</v>
      </c>
      <c r="D42">
        <v>32888336</v>
      </c>
      <c r="E42">
        <v>1</v>
      </c>
      <c r="F42">
        <v>1</v>
      </c>
      <c r="G42">
        <v>13</v>
      </c>
      <c r="H42">
        <v>3</v>
      </c>
      <c r="I42" t="s">
        <v>115</v>
      </c>
      <c r="J42" t="s">
        <v>117</v>
      </c>
      <c r="K42" t="s">
        <v>116</v>
      </c>
      <c r="L42">
        <v>1301</v>
      </c>
      <c r="N42">
        <v>1003</v>
      </c>
      <c r="O42" t="s">
        <v>86</v>
      </c>
      <c r="P42" t="s">
        <v>86</v>
      </c>
      <c r="Q42">
        <v>1</v>
      </c>
      <c r="W42">
        <v>0</v>
      </c>
      <c r="X42">
        <v>-54299764</v>
      </c>
      <c r="Y42">
        <v>102</v>
      </c>
      <c r="AA42">
        <v>10.75</v>
      </c>
      <c r="AB42">
        <v>0</v>
      </c>
      <c r="AC42">
        <v>0</v>
      </c>
      <c r="AD42">
        <v>0</v>
      </c>
      <c r="AE42">
        <v>3.8</v>
      </c>
      <c r="AF42">
        <v>0</v>
      </c>
      <c r="AG42">
        <v>0</v>
      </c>
      <c r="AH42">
        <v>0</v>
      </c>
      <c r="AI42">
        <v>2.83</v>
      </c>
      <c r="AJ42">
        <v>1</v>
      </c>
      <c r="AK42">
        <v>1</v>
      </c>
      <c r="AL42">
        <v>1</v>
      </c>
      <c r="AN42">
        <v>0</v>
      </c>
      <c r="AO42">
        <v>0</v>
      </c>
      <c r="AP42">
        <v>0</v>
      </c>
      <c r="AQ42">
        <v>0</v>
      </c>
      <c r="AR42">
        <v>0</v>
      </c>
      <c r="AS42" t="s">
        <v>3</v>
      </c>
      <c r="AT42">
        <v>102</v>
      </c>
      <c r="AU42" t="s">
        <v>3</v>
      </c>
      <c r="AV42">
        <v>0</v>
      </c>
      <c r="AW42">
        <v>1</v>
      </c>
      <c r="AX42">
        <v>-1</v>
      </c>
      <c r="AY42">
        <v>0</v>
      </c>
      <c r="AZ42">
        <v>0</v>
      </c>
      <c r="BA42" t="s">
        <v>3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Y42*Source!I68</f>
        <v>10.200000000000001</v>
      </c>
      <c r="CY42">
        <f>AA42</f>
        <v>10.75</v>
      </c>
      <c r="CZ42">
        <f>AE42</f>
        <v>3.8</v>
      </c>
      <c r="DA42">
        <f>AI42</f>
        <v>2.83</v>
      </c>
      <c r="DB42">
        <f>ROUND(ROUND(AT42*CZ42,2),6)</f>
        <v>387.6</v>
      </c>
      <c r="DC42">
        <f>ROUND(ROUND(AT42*AG42,2),6)</f>
        <v>0</v>
      </c>
    </row>
    <row r="43" spans="1:107" x14ac:dyDescent="0.2">
      <c r="A43">
        <f>ROW(Source!A71)</f>
        <v>71</v>
      </c>
      <c r="B43">
        <v>42119681</v>
      </c>
      <c r="C43">
        <v>42120201</v>
      </c>
      <c r="D43">
        <v>32886502</v>
      </c>
      <c r="E43">
        <v>13</v>
      </c>
      <c r="F43">
        <v>1</v>
      </c>
      <c r="G43">
        <v>13</v>
      </c>
      <c r="H43">
        <v>1</v>
      </c>
      <c r="I43" t="s">
        <v>210</v>
      </c>
      <c r="J43" t="s">
        <v>3</v>
      </c>
      <c r="K43" t="s">
        <v>211</v>
      </c>
      <c r="L43">
        <v>1191</v>
      </c>
      <c r="N43">
        <v>1013</v>
      </c>
      <c r="O43" t="s">
        <v>212</v>
      </c>
      <c r="P43" t="s">
        <v>212</v>
      </c>
      <c r="Q43">
        <v>1</v>
      </c>
      <c r="W43">
        <v>0</v>
      </c>
      <c r="X43">
        <v>476480486</v>
      </c>
      <c r="Y43">
        <v>4.0865249999999991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1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1</v>
      </c>
      <c r="AQ43">
        <v>0</v>
      </c>
      <c r="AR43">
        <v>0</v>
      </c>
      <c r="AS43" t="s">
        <v>3</v>
      </c>
      <c r="AT43">
        <v>3.09</v>
      </c>
      <c r="AU43" t="s">
        <v>22</v>
      </c>
      <c r="AV43">
        <v>1</v>
      </c>
      <c r="AW43">
        <v>2</v>
      </c>
      <c r="AX43">
        <v>42120205</v>
      </c>
      <c r="AY43">
        <v>1</v>
      </c>
      <c r="AZ43">
        <v>0</v>
      </c>
      <c r="BA43">
        <v>37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Y43*Source!I71</f>
        <v>0.81730499999999984</v>
      </c>
      <c r="CY43">
        <f>AD43</f>
        <v>0</v>
      </c>
      <c r="CZ43">
        <f>AH43</f>
        <v>0</v>
      </c>
      <c r="DA43">
        <f>AL43</f>
        <v>1</v>
      </c>
      <c r="DB43">
        <f>ROUND(((ROUND(AT43*CZ43,2)*1.15)*1.15),6)</f>
        <v>0</v>
      </c>
      <c r="DC43">
        <f>ROUND(((ROUND(AT43*AG43,2)*1.15)*1.15),6)</f>
        <v>0</v>
      </c>
    </row>
    <row r="44" spans="1:107" x14ac:dyDescent="0.2">
      <c r="A44">
        <f>ROW(Source!A71)</f>
        <v>71</v>
      </c>
      <c r="B44">
        <v>42119681</v>
      </c>
      <c r="C44">
        <v>42120201</v>
      </c>
      <c r="D44">
        <v>32904119</v>
      </c>
      <c r="E44">
        <v>1</v>
      </c>
      <c r="F44">
        <v>1</v>
      </c>
      <c r="G44">
        <v>13</v>
      </c>
      <c r="H44">
        <v>3</v>
      </c>
      <c r="I44" t="s">
        <v>123</v>
      </c>
      <c r="J44" t="s">
        <v>126</v>
      </c>
      <c r="K44" t="s">
        <v>124</v>
      </c>
      <c r="L44">
        <v>1303</v>
      </c>
      <c r="N44">
        <v>1003</v>
      </c>
      <c r="O44" t="s">
        <v>125</v>
      </c>
      <c r="P44" t="s">
        <v>125</v>
      </c>
      <c r="Q44">
        <v>1000</v>
      </c>
      <c r="W44">
        <v>0</v>
      </c>
      <c r="X44">
        <v>-1401279109</v>
      </c>
      <c r="Y44">
        <v>0.10199999999999999</v>
      </c>
      <c r="AA44">
        <v>16446.900000000001</v>
      </c>
      <c r="AB44">
        <v>0</v>
      </c>
      <c r="AC44">
        <v>0</v>
      </c>
      <c r="AD44">
        <v>0</v>
      </c>
      <c r="AE44">
        <v>16446.900000000001</v>
      </c>
      <c r="AF44">
        <v>0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N44">
        <v>0</v>
      </c>
      <c r="AO44">
        <v>0</v>
      </c>
      <c r="AP44">
        <v>0</v>
      </c>
      <c r="AQ44">
        <v>0</v>
      </c>
      <c r="AR44">
        <v>0</v>
      </c>
      <c r="AS44" t="s">
        <v>3</v>
      </c>
      <c r="AT44">
        <v>0.10199999999999999</v>
      </c>
      <c r="AU44" t="s">
        <v>3</v>
      </c>
      <c r="AV44">
        <v>0</v>
      </c>
      <c r="AW44">
        <v>1</v>
      </c>
      <c r="AX44">
        <v>-1</v>
      </c>
      <c r="AY44">
        <v>0</v>
      </c>
      <c r="AZ44">
        <v>0</v>
      </c>
      <c r="BA44" t="s">
        <v>3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Y44*Source!I71</f>
        <v>2.0400000000000001E-2</v>
      </c>
      <c r="CY44">
        <f>AA44</f>
        <v>16446.900000000001</v>
      </c>
      <c r="CZ44">
        <f>AE44</f>
        <v>16446.900000000001</v>
      </c>
      <c r="DA44">
        <f>AI44</f>
        <v>1</v>
      </c>
      <c r="DB44">
        <f>ROUND(ROUND(AT44*CZ44,2),6)</f>
        <v>1677.58</v>
      </c>
      <c r="DC44">
        <f>ROUND(ROUND(AT44*AG44,2),6)</f>
        <v>0</v>
      </c>
    </row>
    <row r="45" spans="1:107" x14ac:dyDescent="0.2">
      <c r="A45">
        <f>ROW(Source!A72)</f>
        <v>72</v>
      </c>
      <c r="B45">
        <v>42119679</v>
      </c>
      <c r="C45">
        <v>42120201</v>
      </c>
      <c r="D45">
        <v>32886502</v>
      </c>
      <c r="E45">
        <v>13</v>
      </c>
      <c r="F45">
        <v>1</v>
      </c>
      <c r="G45">
        <v>13</v>
      </c>
      <c r="H45">
        <v>1</v>
      </c>
      <c r="I45" t="s">
        <v>210</v>
      </c>
      <c r="J45" t="s">
        <v>3</v>
      </c>
      <c r="K45" t="s">
        <v>211</v>
      </c>
      <c r="L45">
        <v>1191</v>
      </c>
      <c r="N45">
        <v>1013</v>
      </c>
      <c r="O45" t="s">
        <v>212</v>
      </c>
      <c r="P45" t="s">
        <v>212</v>
      </c>
      <c r="Q45">
        <v>1</v>
      </c>
      <c r="W45">
        <v>0</v>
      </c>
      <c r="X45">
        <v>476480486</v>
      </c>
      <c r="Y45">
        <v>4.0865249999999991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1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1</v>
      </c>
      <c r="AQ45">
        <v>0</v>
      </c>
      <c r="AR45">
        <v>0</v>
      </c>
      <c r="AS45" t="s">
        <v>3</v>
      </c>
      <c r="AT45">
        <v>3.09</v>
      </c>
      <c r="AU45" t="s">
        <v>22</v>
      </c>
      <c r="AV45">
        <v>1</v>
      </c>
      <c r="AW45">
        <v>2</v>
      </c>
      <c r="AX45">
        <v>42120205</v>
      </c>
      <c r="AY45">
        <v>1</v>
      </c>
      <c r="AZ45">
        <v>0</v>
      </c>
      <c r="BA45">
        <v>38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Y45*Source!I72</f>
        <v>0.81730499999999984</v>
      </c>
      <c r="CY45">
        <f>AD45</f>
        <v>0</v>
      </c>
      <c r="CZ45">
        <f>AH45</f>
        <v>0</v>
      </c>
      <c r="DA45">
        <f>AL45</f>
        <v>1</v>
      </c>
      <c r="DB45">
        <f>ROUND(((ROUND(AT45*CZ45,2)*1.15)*1.15),6)</f>
        <v>0</v>
      </c>
      <c r="DC45">
        <f>ROUND(((ROUND(AT45*AG45,2)*1.15)*1.15),6)</f>
        <v>0</v>
      </c>
    </row>
    <row r="46" spans="1:107" x14ac:dyDescent="0.2">
      <c r="A46">
        <f>ROW(Source!A72)</f>
        <v>72</v>
      </c>
      <c r="B46">
        <v>42119679</v>
      </c>
      <c r="C46">
        <v>42120201</v>
      </c>
      <c r="D46">
        <v>32904119</v>
      </c>
      <c r="E46">
        <v>1</v>
      </c>
      <c r="F46">
        <v>1</v>
      </c>
      <c r="G46">
        <v>13</v>
      </c>
      <c r="H46">
        <v>3</v>
      </c>
      <c r="I46" t="s">
        <v>123</v>
      </c>
      <c r="J46" t="s">
        <v>126</v>
      </c>
      <c r="K46" t="s">
        <v>124</v>
      </c>
      <c r="L46">
        <v>1303</v>
      </c>
      <c r="N46">
        <v>1003</v>
      </c>
      <c r="O46" t="s">
        <v>125</v>
      </c>
      <c r="P46" t="s">
        <v>125</v>
      </c>
      <c r="Q46">
        <v>1000</v>
      </c>
      <c r="W46">
        <v>0</v>
      </c>
      <c r="X46">
        <v>-1401279109</v>
      </c>
      <c r="Y46">
        <v>0.10199999999999999</v>
      </c>
      <c r="AA46">
        <v>39308.089999999997</v>
      </c>
      <c r="AB46">
        <v>0</v>
      </c>
      <c r="AC46">
        <v>0</v>
      </c>
      <c r="AD46">
        <v>0</v>
      </c>
      <c r="AE46">
        <v>16446.900000000001</v>
      </c>
      <c r="AF46">
        <v>0</v>
      </c>
      <c r="AG46">
        <v>0</v>
      </c>
      <c r="AH46">
        <v>0</v>
      </c>
      <c r="AI46">
        <v>2.39</v>
      </c>
      <c r="AJ46">
        <v>1</v>
      </c>
      <c r="AK46">
        <v>1</v>
      </c>
      <c r="AL46">
        <v>1</v>
      </c>
      <c r="AN46">
        <v>0</v>
      </c>
      <c r="AO46">
        <v>0</v>
      </c>
      <c r="AP46">
        <v>0</v>
      </c>
      <c r="AQ46">
        <v>0</v>
      </c>
      <c r="AR46">
        <v>0</v>
      </c>
      <c r="AS46" t="s">
        <v>3</v>
      </c>
      <c r="AT46">
        <v>0.10199999999999999</v>
      </c>
      <c r="AU46" t="s">
        <v>3</v>
      </c>
      <c r="AV46">
        <v>0</v>
      </c>
      <c r="AW46">
        <v>1</v>
      </c>
      <c r="AX46">
        <v>-1</v>
      </c>
      <c r="AY46">
        <v>0</v>
      </c>
      <c r="AZ46">
        <v>0</v>
      </c>
      <c r="BA46" t="s">
        <v>3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Y46*Source!I72</f>
        <v>2.0400000000000001E-2</v>
      </c>
      <c r="CY46">
        <f>AA46</f>
        <v>39308.089999999997</v>
      </c>
      <c r="CZ46">
        <f>AE46</f>
        <v>16446.900000000001</v>
      </c>
      <c r="DA46">
        <f>AI46</f>
        <v>2.39</v>
      </c>
      <c r="DB46">
        <f>ROUND(ROUND(AT46*CZ46,2),6)</f>
        <v>1677.58</v>
      </c>
      <c r="DC46">
        <f>ROUND(ROUND(AT46*AG46,2),6)</f>
        <v>0</v>
      </c>
    </row>
    <row r="47" spans="1:107" x14ac:dyDescent="0.2">
      <c r="A47">
        <f>ROW(Source!A109)</f>
        <v>109</v>
      </c>
      <c r="B47">
        <v>42119681</v>
      </c>
      <c r="C47">
        <v>42119899</v>
      </c>
      <c r="D47">
        <v>32886502</v>
      </c>
      <c r="E47">
        <v>13</v>
      </c>
      <c r="F47">
        <v>1</v>
      </c>
      <c r="G47">
        <v>13</v>
      </c>
      <c r="H47">
        <v>1</v>
      </c>
      <c r="I47" t="s">
        <v>210</v>
      </c>
      <c r="J47" t="s">
        <v>3</v>
      </c>
      <c r="K47" t="s">
        <v>211</v>
      </c>
      <c r="L47">
        <v>1191</v>
      </c>
      <c r="N47">
        <v>1013</v>
      </c>
      <c r="O47" t="s">
        <v>212</v>
      </c>
      <c r="P47" t="s">
        <v>212</v>
      </c>
      <c r="Q47">
        <v>1</v>
      </c>
      <c r="W47">
        <v>0</v>
      </c>
      <c r="X47">
        <v>476480486</v>
      </c>
      <c r="Y47">
        <v>44.800000000000004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1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1</v>
      </c>
      <c r="AQ47">
        <v>0</v>
      </c>
      <c r="AR47">
        <v>0</v>
      </c>
      <c r="AS47" t="s">
        <v>3</v>
      </c>
      <c r="AT47">
        <v>56</v>
      </c>
      <c r="AU47" t="s">
        <v>185</v>
      </c>
      <c r="AV47">
        <v>1</v>
      </c>
      <c r="AW47">
        <v>2</v>
      </c>
      <c r="AX47">
        <v>42119901</v>
      </c>
      <c r="AY47">
        <v>1</v>
      </c>
      <c r="AZ47">
        <v>0</v>
      </c>
      <c r="BA47">
        <v>39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Y47*Source!I109</f>
        <v>44.800000000000004</v>
      </c>
      <c r="CY47">
        <f>AD47</f>
        <v>0</v>
      </c>
      <c r="CZ47">
        <f>AH47</f>
        <v>0</v>
      </c>
      <c r="DA47">
        <f>AL47</f>
        <v>1</v>
      </c>
      <c r="DB47">
        <f>ROUND((ROUND(AT47*CZ47,2)*0.8),6)</f>
        <v>0</v>
      </c>
      <c r="DC47">
        <f>ROUND((ROUND(AT47*AG47,2)*0.8),6)</f>
        <v>0</v>
      </c>
    </row>
    <row r="48" spans="1:107" x14ac:dyDescent="0.2">
      <c r="A48">
        <f>ROW(Source!A110)</f>
        <v>110</v>
      </c>
      <c r="B48">
        <v>42119679</v>
      </c>
      <c r="C48">
        <v>42119899</v>
      </c>
      <c r="D48">
        <v>32886502</v>
      </c>
      <c r="E48">
        <v>13</v>
      </c>
      <c r="F48">
        <v>1</v>
      </c>
      <c r="G48">
        <v>13</v>
      </c>
      <c r="H48">
        <v>1</v>
      </c>
      <c r="I48" t="s">
        <v>210</v>
      </c>
      <c r="J48" t="s">
        <v>3</v>
      </c>
      <c r="K48" t="s">
        <v>211</v>
      </c>
      <c r="L48">
        <v>1191</v>
      </c>
      <c r="N48">
        <v>1013</v>
      </c>
      <c r="O48" t="s">
        <v>212</v>
      </c>
      <c r="P48" t="s">
        <v>212</v>
      </c>
      <c r="Q48">
        <v>1</v>
      </c>
      <c r="W48">
        <v>0</v>
      </c>
      <c r="X48">
        <v>476480486</v>
      </c>
      <c r="Y48">
        <v>44.800000000000004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1</v>
      </c>
      <c r="AQ48">
        <v>0</v>
      </c>
      <c r="AR48">
        <v>0</v>
      </c>
      <c r="AS48" t="s">
        <v>3</v>
      </c>
      <c r="AT48">
        <v>56</v>
      </c>
      <c r="AU48" t="s">
        <v>185</v>
      </c>
      <c r="AV48">
        <v>1</v>
      </c>
      <c r="AW48">
        <v>2</v>
      </c>
      <c r="AX48">
        <v>42119901</v>
      </c>
      <c r="AY48">
        <v>1</v>
      </c>
      <c r="AZ48">
        <v>0</v>
      </c>
      <c r="BA48">
        <v>40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Y48*Source!I110</f>
        <v>44.800000000000004</v>
      </c>
      <c r="CY48">
        <f>AD48</f>
        <v>0</v>
      </c>
      <c r="CZ48">
        <f>AH48</f>
        <v>0</v>
      </c>
      <c r="DA48">
        <f>AL48</f>
        <v>1</v>
      </c>
      <c r="DB48">
        <f>ROUND((ROUND(AT48*CZ48,2)*0.8),6)</f>
        <v>0</v>
      </c>
      <c r="DC48">
        <f>ROUND((ROUND(AT48*AG48,2)*0.8),6)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0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ROW(Source!A28)</f>
        <v>28</v>
      </c>
      <c r="B1">
        <v>42120124</v>
      </c>
      <c r="C1">
        <v>42120123</v>
      </c>
      <c r="D1">
        <v>32886502</v>
      </c>
      <c r="E1">
        <v>13</v>
      </c>
      <c r="F1">
        <v>1</v>
      </c>
      <c r="G1">
        <v>13</v>
      </c>
      <c r="H1">
        <v>1</v>
      </c>
      <c r="I1" t="s">
        <v>210</v>
      </c>
      <c r="J1" t="s">
        <v>3</v>
      </c>
      <c r="K1" t="s">
        <v>211</v>
      </c>
      <c r="L1">
        <v>1191</v>
      </c>
      <c r="N1">
        <v>1013</v>
      </c>
      <c r="O1" t="s">
        <v>212</v>
      </c>
      <c r="P1" t="s">
        <v>212</v>
      </c>
      <c r="Q1">
        <v>1</v>
      </c>
      <c r="X1">
        <v>5.7</v>
      </c>
      <c r="Y1">
        <v>0</v>
      </c>
      <c r="Z1">
        <v>0</v>
      </c>
      <c r="AA1">
        <v>0</v>
      </c>
      <c r="AB1">
        <v>0</v>
      </c>
      <c r="AC1">
        <v>0</v>
      </c>
      <c r="AD1">
        <v>1</v>
      </c>
      <c r="AE1">
        <v>1</v>
      </c>
      <c r="AF1" t="s">
        <v>22</v>
      </c>
      <c r="AG1">
        <v>7.5382499999999988</v>
      </c>
      <c r="AH1">
        <v>2</v>
      </c>
      <c r="AI1">
        <v>42120124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ROW(Source!A29)</f>
        <v>29</v>
      </c>
      <c r="B2">
        <v>42120124</v>
      </c>
      <c r="C2">
        <v>42120123</v>
      </c>
      <c r="D2">
        <v>32886502</v>
      </c>
      <c r="E2">
        <v>13</v>
      </c>
      <c r="F2">
        <v>1</v>
      </c>
      <c r="G2">
        <v>13</v>
      </c>
      <c r="H2">
        <v>1</v>
      </c>
      <c r="I2" t="s">
        <v>210</v>
      </c>
      <c r="J2" t="s">
        <v>3</v>
      </c>
      <c r="K2" t="s">
        <v>211</v>
      </c>
      <c r="L2">
        <v>1191</v>
      </c>
      <c r="N2">
        <v>1013</v>
      </c>
      <c r="O2" t="s">
        <v>212</v>
      </c>
      <c r="P2" t="s">
        <v>212</v>
      </c>
      <c r="Q2">
        <v>1</v>
      </c>
      <c r="X2">
        <v>5.7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1</v>
      </c>
      <c r="AF2" t="s">
        <v>22</v>
      </c>
      <c r="AG2">
        <v>7.5382499999999988</v>
      </c>
      <c r="AH2">
        <v>2</v>
      </c>
      <c r="AI2">
        <v>42120124</v>
      </c>
      <c r="AJ2">
        <v>3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ROW(Source!A32)</f>
        <v>32</v>
      </c>
      <c r="B3">
        <v>42120129</v>
      </c>
      <c r="C3">
        <v>42120128</v>
      </c>
      <c r="D3">
        <v>32886502</v>
      </c>
      <c r="E3">
        <v>13</v>
      </c>
      <c r="F3">
        <v>1</v>
      </c>
      <c r="G3">
        <v>13</v>
      </c>
      <c r="H3">
        <v>1</v>
      </c>
      <c r="I3" t="s">
        <v>210</v>
      </c>
      <c r="J3" t="s">
        <v>3</v>
      </c>
      <c r="K3" t="s">
        <v>211</v>
      </c>
      <c r="L3">
        <v>1191</v>
      </c>
      <c r="N3">
        <v>1013</v>
      </c>
      <c r="O3" t="s">
        <v>212</v>
      </c>
      <c r="P3" t="s">
        <v>212</v>
      </c>
      <c r="Q3">
        <v>1</v>
      </c>
      <c r="X3">
        <v>4.12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>
        <v>1</v>
      </c>
      <c r="AF3" t="s">
        <v>22</v>
      </c>
      <c r="AG3">
        <v>5.4486999999999988</v>
      </c>
      <c r="AH3">
        <v>2</v>
      </c>
      <c r="AI3">
        <v>42120129</v>
      </c>
      <c r="AJ3">
        <v>5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ROW(Source!A33)</f>
        <v>33</v>
      </c>
      <c r="B4">
        <v>42120129</v>
      </c>
      <c r="C4">
        <v>42120128</v>
      </c>
      <c r="D4">
        <v>32886502</v>
      </c>
      <c r="E4">
        <v>13</v>
      </c>
      <c r="F4">
        <v>1</v>
      </c>
      <c r="G4">
        <v>13</v>
      </c>
      <c r="H4">
        <v>1</v>
      </c>
      <c r="I4" t="s">
        <v>210</v>
      </c>
      <c r="J4" t="s">
        <v>3</v>
      </c>
      <c r="K4" t="s">
        <v>211</v>
      </c>
      <c r="L4">
        <v>1191</v>
      </c>
      <c r="N4">
        <v>1013</v>
      </c>
      <c r="O4" t="s">
        <v>212</v>
      </c>
      <c r="P4" t="s">
        <v>212</v>
      </c>
      <c r="Q4">
        <v>1</v>
      </c>
      <c r="X4">
        <v>4.12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>
        <v>1</v>
      </c>
      <c r="AF4" t="s">
        <v>22</v>
      </c>
      <c r="AG4">
        <v>5.4486999999999988</v>
      </c>
      <c r="AH4">
        <v>2</v>
      </c>
      <c r="AI4">
        <v>42120129</v>
      </c>
      <c r="AJ4">
        <v>7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ROW(Source!A36)</f>
        <v>36</v>
      </c>
      <c r="B5">
        <v>42120134</v>
      </c>
      <c r="C5">
        <v>42120133</v>
      </c>
      <c r="D5">
        <v>32886502</v>
      </c>
      <c r="E5">
        <v>13</v>
      </c>
      <c r="F5">
        <v>1</v>
      </c>
      <c r="G5">
        <v>13</v>
      </c>
      <c r="H5">
        <v>1</v>
      </c>
      <c r="I5" t="s">
        <v>210</v>
      </c>
      <c r="J5" t="s">
        <v>3</v>
      </c>
      <c r="K5" t="s">
        <v>211</v>
      </c>
      <c r="L5">
        <v>1191</v>
      </c>
      <c r="N5">
        <v>1013</v>
      </c>
      <c r="O5" t="s">
        <v>212</v>
      </c>
      <c r="P5" t="s">
        <v>212</v>
      </c>
      <c r="Q5">
        <v>1</v>
      </c>
      <c r="X5">
        <v>2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>
        <v>1</v>
      </c>
      <c r="AF5" t="s">
        <v>22</v>
      </c>
      <c r="AG5">
        <v>2.6449999999999996</v>
      </c>
      <c r="AH5">
        <v>2</v>
      </c>
      <c r="AI5">
        <v>42120134</v>
      </c>
      <c r="AJ5">
        <v>9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ROW(Source!A37)</f>
        <v>37</v>
      </c>
      <c r="B6">
        <v>42120134</v>
      </c>
      <c r="C6">
        <v>42120133</v>
      </c>
      <c r="D6">
        <v>32886502</v>
      </c>
      <c r="E6">
        <v>13</v>
      </c>
      <c r="F6">
        <v>1</v>
      </c>
      <c r="G6">
        <v>13</v>
      </c>
      <c r="H6">
        <v>1</v>
      </c>
      <c r="I6" t="s">
        <v>210</v>
      </c>
      <c r="J6" t="s">
        <v>3</v>
      </c>
      <c r="K6" t="s">
        <v>211</v>
      </c>
      <c r="L6">
        <v>1191</v>
      </c>
      <c r="N6">
        <v>1013</v>
      </c>
      <c r="O6" t="s">
        <v>212</v>
      </c>
      <c r="P6" t="s">
        <v>212</v>
      </c>
      <c r="Q6">
        <v>1</v>
      </c>
      <c r="X6">
        <v>2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>
        <v>1</v>
      </c>
      <c r="AF6" t="s">
        <v>22</v>
      </c>
      <c r="AG6">
        <v>2.6449999999999996</v>
      </c>
      <c r="AH6">
        <v>2</v>
      </c>
      <c r="AI6">
        <v>42120134</v>
      </c>
      <c r="AJ6">
        <v>11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ROW(Source!A40)</f>
        <v>40</v>
      </c>
      <c r="B7">
        <v>42120144</v>
      </c>
      <c r="C7">
        <v>42120141</v>
      </c>
      <c r="D7">
        <v>32886502</v>
      </c>
      <c r="E7">
        <v>13</v>
      </c>
      <c r="F7">
        <v>1</v>
      </c>
      <c r="G7">
        <v>13</v>
      </c>
      <c r="H7">
        <v>1</v>
      </c>
      <c r="I7" t="s">
        <v>210</v>
      </c>
      <c r="J7" t="s">
        <v>3</v>
      </c>
      <c r="K7" t="s">
        <v>211</v>
      </c>
      <c r="L7">
        <v>1191</v>
      </c>
      <c r="N7">
        <v>1013</v>
      </c>
      <c r="O7" t="s">
        <v>212</v>
      </c>
      <c r="P7" t="s">
        <v>212</v>
      </c>
      <c r="Q7">
        <v>1</v>
      </c>
      <c r="X7">
        <v>2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1</v>
      </c>
      <c r="AF7" t="s">
        <v>22</v>
      </c>
      <c r="AG7">
        <v>2.6449999999999996</v>
      </c>
      <c r="AH7">
        <v>2</v>
      </c>
      <c r="AI7">
        <v>42120142</v>
      </c>
      <c r="AJ7">
        <v>13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ROW(Source!A41)</f>
        <v>41</v>
      </c>
      <c r="B8">
        <v>42120144</v>
      </c>
      <c r="C8">
        <v>42120141</v>
      </c>
      <c r="D8">
        <v>32886502</v>
      </c>
      <c r="E8">
        <v>13</v>
      </c>
      <c r="F8">
        <v>1</v>
      </c>
      <c r="G8">
        <v>13</v>
      </c>
      <c r="H8">
        <v>1</v>
      </c>
      <c r="I8" t="s">
        <v>210</v>
      </c>
      <c r="J8" t="s">
        <v>3</v>
      </c>
      <c r="K8" t="s">
        <v>211</v>
      </c>
      <c r="L8">
        <v>1191</v>
      </c>
      <c r="N8">
        <v>1013</v>
      </c>
      <c r="O8" t="s">
        <v>212</v>
      </c>
      <c r="P8" t="s">
        <v>212</v>
      </c>
      <c r="Q8">
        <v>1</v>
      </c>
      <c r="X8">
        <v>2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1</v>
      </c>
      <c r="AF8" t="s">
        <v>22</v>
      </c>
      <c r="AG8">
        <v>2.6449999999999996</v>
      </c>
      <c r="AH8">
        <v>2</v>
      </c>
      <c r="AI8">
        <v>42120142</v>
      </c>
      <c r="AJ8">
        <v>15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ROW(Source!A44)</f>
        <v>44</v>
      </c>
      <c r="B9">
        <v>42120158</v>
      </c>
      <c r="C9">
        <v>42120155</v>
      </c>
      <c r="D9">
        <v>32886502</v>
      </c>
      <c r="E9">
        <v>13</v>
      </c>
      <c r="F9">
        <v>1</v>
      </c>
      <c r="G9">
        <v>13</v>
      </c>
      <c r="H9">
        <v>1</v>
      </c>
      <c r="I9" t="s">
        <v>210</v>
      </c>
      <c r="J9" t="s">
        <v>3</v>
      </c>
      <c r="K9" t="s">
        <v>211</v>
      </c>
      <c r="L9">
        <v>1191</v>
      </c>
      <c r="N9">
        <v>1013</v>
      </c>
      <c r="O9" t="s">
        <v>212</v>
      </c>
      <c r="P9" t="s">
        <v>212</v>
      </c>
      <c r="Q9">
        <v>1</v>
      </c>
      <c r="X9">
        <v>2.06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>
        <v>1</v>
      </c>
      <c r="AF9" t="s">
        <v>22</v>
      </c>
      <c r="AG9">
        <v>2.7243499999999994</v>
      </c>
      <c r="AH9">
        <v>2</v>
      </c>
      <c r="AI9">
        <v>42120156</v>
      </c>
      <c r="AJ9">
        <v>17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ROW(Source!A45)</f>
        <v>45</v>
      </c>
      <c r="B10">
        <v>42120158</v>
      </c>
      <c r="C10">
        <v>42120155</v>
      </c>
      <c r="D10">
        <v>32886502</v>
      </c>
      <c r="E10">
        <v>13</v>
      </c>
      <c r="F10">
        <v>1</v>
      </c>
      <c r="G10">
        <v>13</v>
      </c>
      <c r="H10">
        <v>1</v>
      </c>
      <c r="I10" t="s">
        <v>210</v>
      </c>
      <c r="J10" t="s">
        <v>3</v>
      </c>
      <c r="K10" t="s">
        <v>211</v>
      </c>
      <c r="L10">
        <v>1191</v>
      </c>
      <c r="N10">
        <v>1013</v>
      </c>
      <c r="O10" t="s">
        <v>212</v>
      </c>
      <c r="P10" t="s">
        <v>212</v>
      </c>
      <c r="Q10">
        <v>1</v>
      </c>
      <c r="X10">
        <v>2.06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1</v>
      </c>
      <c r="AF10" t="s">
        <v>22</v>
      </c>
      <c r="AG10">
        <v>2.7243499999999994</v>
      </c>
      <c r="AH10">
        <v>2</v>
      </c>
      <c r="AI10">
        <v>42120156</v>
      </c>
      <c r="AJ10">
        <v>19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ROW(Source!A48)</f>
        <v>48</v>
      </c>
      <c r="B11">
        <v>42120163</v>
      </c>
      <c r="C11">
        <v>42120160</v>
      </c>
      <c r="D11">
        <v>32886502</v>
      </c>
      <c r="E11">
        <v>13</v>
      </c>
      <c r="F11">
        <v>1</v>
      </c>
      <c r="G11">
        <v>13</v>
      </c>
      <c r="H11">
        <v>1</v>
      </c>
      <c r="I11" t="s">
        <v>210</v>
      </c>
      <c r="J11" t="s">
        <v>3</v>
      </c>
      <c r="K11" t="s">
        <v>211</v>
      </c>
      <c r="L11">
        <v>1191</v>
      </c>
      <c r="N11">
        <v>1013</v>
      </c>
      <c r="O11" t="s">
        <v>212</v>
      </c>
      <c r="P11" t="s">
        <v>212</v>
      </c>
      <c r="Q11">
        <v>1</v>
      </c>
      <c r="X11">
        <v>1.34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1</v>
      </c>
      <c r="AF11" t="s">
        <v>22</v>
      </c>
      <c r="AG11">
        <v>1.7721499999999997</v>
      </c>
      <c r="AH11">
        <v>2</v>
      </c>
      <c r="AI11">
        <v>42120161</v>
      </c>
      <c r="AJ11">
        <v>21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ROW(Source!A49)</f>
        <v>49</v>
      </c>
      <c r="B12">
        <v>42120163</v>
      </c>
      <c r="C12">
        <v>42120160</v>
      </c>
      <c r="D12">
        <v>32886502</v>
      </c>
      <c r="E12">
        <v>13</v>
      </c>
      <c r="F12">
        <v>1</v>
      </c>
      <c r="G12">
        <v>13</v>
      </c>
      <c r="H12">
        <v>1</v>
      </c>
      <c r="I12" t="s">
        <v>210</v>
      </c>
      <c r="J12" t="s">
        <v>3</v>
      </c>
      <c r="K12" t="s">
        <v>211</v>
      </c>
      <c r="L12">
        <v>1191</v>
      </c>
      <c r="N12">
        <v>1013</v>
      </c>
      <c r="O12" t="s">
        <v>212</v>
      </c>
      <c r="P12" t="s">
        <v>212</v>
      </c>
      <c r="Q12">
        <v>1</v>
      </c>
      <c r="X12">
        <v>1.34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1</v>
      </c>
      <c r="AF12" t="s">
        <v>22</v>
      </c>
      <c r="AG12">
        <v>1.7721499999999997</v>
      </c>
      <c r="AH12">
        <v>2</v>
      </c>
      <c r="AI12">
        <v>42120161</v>
      </c>
      <c r="AJ12">
        <v>23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ROW(Source!A53)</f>
        <v>53</v>
      </c>
      <c r="B13">
        <v>42120171</v>
      </c>
      <c r="C13">
        <v>42120166</v>
      </c>
      <c r="D13">
        <v>32886502</v>
      </c>
      <c r="E13">
        <v>13</v>
      </c>
      <c r="F13">
        <v>1</v>
      </c>
      <c r="G13">
        <v>13</v>
      </c>
      <c r="H13">
        <v>1</v>
      </c>
      <c r="I13" t="s">
        <v>210</v>
      </c>
      <c r="J13" t="s">
        <v>3</v>
      </c>
      <c r="K13" t="s">
        <v>211</v>
      </c>
      <c r="L13">
        <v>1191</v>
      </c>
      <c r="N13">
        <v>1013</v>
      </c>
      <c r="O13" t="s">
        <v>212</v>
      </c>
      <c r="P13" t="s">
        <v>212</v>
      </c>
      <c r="Q13">
        <v>1</v>
      </c>
      <c r="X13">
        <v>38.659999999999997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1</v>
      </c>
      <c r="AF13" t="s">
        <v>22</v>
      </c>
      <c r="AG13">
        <v>51.127849999999988</v>
      </c>
      <c r="AH13">
        <v>2</v>
      </c>
      <c r="AI13">
        <v>42120167</v>
      </c>
      <c r="AJ13">
        <v>25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ROW(Source!A53)</f>
        <v>53</v>
      </c>
      <c r="B14">
        <v>42120172</v>
      </c>
      <c r="C14">
        <v>42120166</v>
      </c>
      <c r="D14">
        <v>32842361</v>
      </c>
      <c r="E14">
        <v>13</v>
      </c>
      <c r="F14">
        <v>1</v>
      </c>
      <c r="G14">
        <v>13</v>
      </c>
      <c r="H14">
        <v>3</v>
      </c>
      <c r="I14" t="s">
        <v>213</v>
      </c>
      <c r="J14" t="s">
        <v>3</v>
      </c>
      <c r="K14" t="s">
        <v>214</v>
      </c>
      <c r="L14">
        <v>1301</v>
      </c>
      <c r="N14">
        <v>1003</v>
      </c>
      <c r="O14" t="s">
        <v>86</v>
      </c>
      <c r="P14" t="s">
        <v>86</v>
      </c>
      <c r="Q14">
        <v>1</v>
      </c>
      <c r="X14">
        <v>102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 t="s">
        <v>3</v>
      </c>
      <c r="AG14">
        <v>102</v>
      </c>
      <c r="AH14">
        <v>3</v>
      </c>
      <c r="AI14">
        <v>-1</v>
      </c>
      <c r="AJ14" t="s">
        <v>3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ROW(Source!A53)</f>
        <v>53</v>
      </c>
      <c r="B15">
        <v>42120173</v>
      </c>
      <c r="C15">
        <v>42120166</v>
      </c>
      <c r="D15">
        <v>32847703</v>
      </c>
      <c r="E15">
        <v>13</v>
      </c>
      <c r="F15">
        <v>1</v>
      </c>
      <c r="G15">
        <v>13</v>
      </c>
      <c r="H15">
        <v>3</v>
      </c>
      <c r="I15" t="s">
        <v>215</v>
      </c>
      <c r="J15" t="s">
        <v>3</v>
      </c>
      <c r="K15" t="s">
        <v>216</v>
      </c>
      <c r="L15">
        <v>1354</v>
      </c>
      <c r="N15">
        <v>1010</v>
      </c>
      <c r="O15" t="s">
        <v>30</v>
      </c>
      <c r="P15" t="s">
        <v>30</v>
      </c>
      <c r="Q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 t="s">
        <v>3</v>
      </c>
      <c r="AG15">
        <v>0</v>
      </c>
      <c r="AH15">
        <v>3</v>
      </c>
      <c r="AI15">
        <v>-1</v>
      </c>
      <c r="AJ15" t="s">
        <v>3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ROW(Source!A54)</f>
        <v>54</v>
      </c>
      <c r="B16">
        <v>42120171</v>
      </c>
      <c r="C16">
        <v>42120166</v>
      </c>
      <c r="D16">
        <v>32886502</v>
      </c>
      <c r="E16">
        <v>13</v>
      </c>
      <c r="F16">
        <v>1</v>
      </c>
      <c r="G16">
        <v>13</v>
      </c>
      <c r="H16">
        <v>1</v>
      </c>
      <c r="I16" t="s">
        <v>210</v>
      </c>
      <c r="J16" t="s">
        <v>3</v>
      </c>
      <c r="K16" t="s">
        <v>211</v>
      </c>
      <c r="L16">
        <v>1191</v>
      </c>
      <c r="N16">
        <v>1013</v>
      </c>
      <c r="O16" t="s">
        <v>212</v>
      </c>
      <c r="P16" t="s">
        <v>212</v>
      </c>
      <c r="Q16">
        <v>1</v>
      </c>
      <c r="X16">
        <v>38.659999999999997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1</v>
      </c>
      <c r="AF16" t="s">
        <v>22</v>
      </c>
      <c r="AG16">
        <v>51.127849999999988</v>
      </c>
      <c r="AH16">
        <v>2</v>
      </c>
      <c r="AI16">
        <v>42120167</v>
      </c>
      <c r="AJ16">
        <v>30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ROW(Source!A54)</f>
        <v>54</v>
      </c>
      <c r="B17">
        <v>42120172</v>
      </c>
      <c r="C17">
        <v>42120166</v>
      </c>
      <c r="D17">
        <v>32842361</v>
      </c>
      <c r="E17">
        <v>13</v>
      </c>
      <c r="F17">
        <v>1</v>
      </c>
      <c r="G17">
        <v>13</v>
      </c>
      <c r="H17">
        <v>3</v>
      </c>
      <c r="I17" t="s">
        <v>213</v>
      </c>
      <c r="J17" t="s">
        <v>3</v>
      </c>
      <c r="K17" t="s">
        <v>214</v>
      </c>
      <c r="L17">
        <v>1301</v>
      </c>
      <c r="N17">
        <v>1003</v>
      </c>
      <c r="O17" t="s">
        <v>86</v>
      </c>
      <c r="P17" t="s">
        <v>86</v>
      </c>
      <c r="Q17">
        <v>1</v>
      </c>
      <c r="X17">
        <v>102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 t="s">
        <v>3</v>
      </c>
      <c r="AG17">
        <v>102</v>
      </c>
      <c r="AH17">
        <v>3</v>
      </c>
      <c r="AI17">
        <v>-1</v>
      </c>
      <c r="AJ17" t="s">
        <v>3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ROW(Source!A54)</f>
        <v>54</v>
      </c>
      <c r="B18">
        <v>42120173</v>
      </c>
      <c r="C18">
        <v>42120166</v>
      </c>
      <c r="D18">
        <v>32847703</v>
      </c>
      <c r="E18">
        <v>13</v>
      </c>
      <c r="F18">
        <v>1</v>
      </c>
      <c r="G18">
        <v>13</v>
      </c>
      <c r="H18">
        <v>3</v>
      </c>
      <c r="I18" t="s">
        <v>215</v>
      </c>
      <c r="J18" t="s">
        <v>3</v>
      </c>
      <c r="K18" t="s">
        <v>216</v>
      </c>
      <c r="L18">
        <v>1354</v>
      </c>
      <c r="N18">
        <v>1010</v>
      </c>
      <c r="O18" t="s">
        <v>30</v>
      </c>
      <c r="P18" t="s">
        <v>30</v>
      </c>
      <c r="Q18">
        <v>1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 t="s">
        <v>3</v>
      </c>
      <c r="AG18">
        <v>0</v>
      </c>
      <c r="AH18">
        <v>3</v>
      </c>
      <c r="AI18">
        <v>-1</v>
      </c>
      <c r="AJ18" t="s">
        <v>3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ROW(Source!A63)</f>
        <v>63</v>
      </c>
      <c r="B19">
        <v>42120185</v>
      </c>
      <c r="C19">
        <v>42120182</v>
      </c>
      <c r="D19">
        <v>32886502</v>
      </c>
      <c r="E19">
        <v>13</v>
      </c>
      <c r="F19">
        <v>1</v>
      </c>
      <c r="G19">
        <v>13</v>
      </c>
      <c r="H19">
        <v>1</v>
      </c>
      <c r="I19" t="s">
        <v>210</v>
      </c>
      <c r="J19" t="s">
        <v>3</v>
      </c>
      <c r="K19" t="s">
        <v>211</v>
      </c>
      <c r="L19">
        <v>1191</v>
      </c>
      <c r="N19">
        <v>1013</v>
      </c>
      <c r="O19" t="s">
        <v>212</v>
      </c>
      <c r="P19" t="s">
        <v>212</v>
      </c>
      <c r="Q19">
        <v>1</v>
      </c>
      <c r="X19">
        <v>5.15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1</v>
      </c>
      <c r="AF19" t="s">
        <v>22</v>
      </c>
      <c r="AG19">
        <v>6.8108750000000002</v>
      </c>
      <c r="AH19">
        <v>2</v>
      </c>
      <c r="AI19">
        <v>42120183</v>
      </c>
      <c r="AJ19">
        <v>35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ROW(Source!A64)</f>
        <v>64</v>
      </c>
      <c r="B20">
        <v>42120185</v>
      </c>
      <c r="C20">
        <v>42120182</v>
      </c>
      <c r="D20">
        <v>32886502</v>
      </c>
      <c r="E20">
        <v>13</v>
      </c>
      <c r="F20">
        <v>1</v>
      </c>
      <c r="G20">
        <v>13</v>
      </c>
      <c r="H20">
        <v>1</v>
      </c>
      <c r="I20" t="s">
        <v>210</v>
      </c>
      <c r="J20" t="s">
        <v>3</v>
      </c>
      <c r="K20" t="s">
        <v>211</v>
      </c>
      <c r="L20">
        <v>1191</v>
      </c>
      <c r="N20">
        <v>1013</v>
      </c>
      <c r="O20" t="s">
        <v>212</v>
      </c>
      <c r="P20" t="s">
        <v>212</v>
      </c>
      <c r="Q20">
        <v>1</v>
      </c>
      <c r="X20">
        <v>5.15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1</v>
      </c>
      <c r="AF20" t="s">
        <v>22</v>
      </c>
      <c r="AG20">
        <v>6.8108750000000002</v>
      </c>
      <c r="AH20">
        <v>2</v>
      </c>
      <c r="AI20">
        <v>42120183</v>
      </c>
      <c r="AJ20">
        <v>37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ROW(Source!A67)</f>
        <v>67</v>
      </c>
      <c r="B21">
        <v>42120191</v>
      </c>
      <c r="C21">
        <v>42120187</v>
      </c>
      <c r="D21">
        <v>32886502</v>
      </c>
      <c r="E21">
        <v>13</v>
      </c>
      <c r="F21">
        <v>1</v>
      </c>
      <c r="G21">
        <v>13</v>
      </c>
      <c r="H21">
        <v>1</v>
      </c>
      <c r="I21" t="s">
        <v>210</v>
      </c>
      <c r="J21" t="s">
        <v>3</v>
      </c>
      <c r="K21" t="s">
        <v>211</v>
      </c>
      <c r="L21">
        <v>1191</v>
      </c>
      <c r="N21">
        <v>1013</v>
      </c>
      <c r="O21" t="s">
        <v>212</v>
      </c>
      <c r="P21" t="s">
        <v>212</v>
      </c>
      <c r="Q21">
        <v>1</v>
      </c>
      <c r="X21">
        <v>40.67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1</v>
      </c>
      <c r="AF21" t="s">
        <v>22</v>
      </c>
      <c r="AG21">
        <v>53.786074999999997</v>
      </c>
      <c r="AH21">
        <v>2</v>
      </c>
      <c r="AI21">
        <v>42120188</v>
      </c>
      <c r="AJ21">
        <v>39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ROW(Source!A67)</f>
        <v>67</v>
      </c>
      <c r="B22">
        <v>42120192</v>
      </c>
      <c r="C22">
        <v>42120187</v>
      </c>
      <c r="D22">
        <v>32878726</v>
      </c>
      <c r="E22">
        <v>13</v>
      </c>
      <c r="F22">
        <v>1</v>
      </c>
      <c r="G22">
        <v>13</v>
      </c>
      <c r="H22">
        <v>3</v>
      </c>
      <c r="I22" t="s">
        <v>217</v>
      </c>
      <c r="J22" t="s">
        <v>3</v>
      </c>
      <c r="K22" t="s">
        <v>218</v>
      </c>
      <c r="L22">
        <v>1301</v>
      </c>
      <c r="N22">
        <v>1003</v>
      </c>
      <c r="O22" t="s">
        <v>86</v>
      </c>
      <c r="P22" t="s">
        <v>86</v>
      </c>
      <c r="Q22">
        <v>1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 t="s">
        <v>3</v>
      </c>
      <c r="AG22">
        <v>0</v>
      </c>
      <c r="AH22">
        <v>3</v>
      </c>
      <c r="AI22">
        <v>-1</v>
      </c>
      <c r="AJ22" t="s">
        <v>3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ROW(Source!A67)</f>
        <v>67</v>
      </c>
      <c r="B23">
        <v>42120193</v>
      </c>
      <c r="C23">
        <v>42120187</v>
      </c>
      <c r="D23">
        <v>32878726</v>
      </c>
      <c r="E23">
        <v>13</v>
      </c>
      <c r="F23">
        <v>1</v>
      </c>
      <c r="G23">
        <v>13</v>
      </c>
      <c r="H23">
        <v>3</v>
      </c>
      <c r="I23" t="s">
        <v>217</v>
      </c>
      <c r="J23" t="s">
        <v>3</v>
      </c>
      <c r="K23" t="s">
        <v>219</v>
      </c>
      <c r="L23">
        <v>1301</v>
      </c>
      <c r="N23">
        <v>1003</v>
      </c>
      <c r="O23" t="s">
        <v>86</v>
      </c>
      <c r="P23" t="s">
        <v>86</v>
      </c>
      <c r="Q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 t="s">
        <v>3</v>
      </c>
      <c r="AG23">
        <v>0</v>
      </c>
      <c r="AH23">
        <v>3</v>
      </c>
      <c r="AI23">
        <v>-1</v>
      </c>
      <c r="AJ23" t="s">
        <v>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ROW(Source!A67)</f>
        <v>67</v>
      </c>
      <c r="B24">
        <v>42120194</v>
      </c>
      <c r="C24">
        <v>42120187</v>
      </c>
      <c r="D24">
        <v>32878726</v>
      </c>
      <c r="E24">
        <v>13</v>
      </c>
      <c r="F24">
        <v>1</v>
      </c>
      <c r="G24">
        <v>13</v>
      </c>
      <c r="H24">
        <v>3</v>
      </c>
      <c r="I24" t="s">
        <v>217</v>
      </c>
      <c r="J24" t="s">
        <v>3</v>
      </c>
      <c r="K24" t="s">
        <v>220</v>
      </c>
      <c r="L24">
        <v>1354</v>
      </c>
      <c r="N24">
        <v>1010</v>
      </c>
      <c r="O24" t="s">
        <v>30</v>
      </c>
      <c r="P24" t="s">
        <v>30</v>
      </c>
      <c r="Q24">
        <v>1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 t="s">
        <v>3</v>
      </c>
      <c r="AG24">
        <v>0</v>
      </c>
      <c r="AH24">
        <v>3</v>
      </c>
      <c r="AI24">
        <v>-1</v>
      </c>
      <c r="AJ24" t="s">
        <v>3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ROW(Source!A67)</f>
        <v>67</v>
      </c>
      <c r="B25">
        <v>42120195</v>
      </c>
      <c r="C25">
        <v>42120187</v>
      </c>
      <c r="D25">
        <v>32878726</v>
      </c>
      <c r="E25">
        <v>13</v>
      </c>
      <c r="F25">
        <v>1</v>
      </c>
      <c r="G25">
        <v>13</v>
      </c>
      <c r="H25">
        <v>3</v>
      </c>
      <c r="I25" t="s">
        <v>217</v>
      </c>
      <c r="J25" t="s">
        <v>3</v>
      </c>
      <c r="K25" t="s">
        <v>221</v>
      </c>
      <c r="L25">
        <v>1354</v>
      </c>
      <c r="N25">
        <v>1010</v>
      </c>
      <c r="O25" t="s">
        <v>30</v>
      </c>
      <c r="P25" t="s">
        <v>30</v>
      </c>
      <c r="Q25">
        <v>1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 t="s">
        <v>3</v>
      </c>
      <c r="AG25">
        <v>0</v>
      </c>
      <c r="AH25">
        <v>3</v>
      </c>
      <c r="AI25">
        <v>-1</v>
      </c>
      <c r="AJ25" t="s">
        <v>3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ROW(Source!A67)</f>
        <v>67</v>
      </c>
      <c r="B26">
        <v>42120196</v>
      </c>
      <c r="C26">
        <v>42120187</v>
      </c>
      <c r="D26">
        <v>32878726</v>
      </c>
      <c r="E26">
        <v>13</v>
      </c>
      <c r="F26">
        <v>1</v>
      </c>
      <c r="G26">
        <v>13</v>
      </c>
      <c r="H26">
        <v>3</v>
      </c>
      <c r="I26" t="s">
        <v>217</v>
      </c>
      <c r="J26" t="s">
        <v>3</v>
      </c>
      <c r="K26" t="s">
        <v>222</v>
      </c>
      <c r="L26">
        <v>1354</v>
      </c>
      <c r="N26">
        <v>1010</v>
      </c>
      <c r="O26" t="s">
        <v>30</v>
      </c>
      <c r="P26" t="s">
        <v>30</v>
      </c>
      <c r="Q26">
        <v>1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 t="s">
        <v>3</v>
      </c>
      <c r="AG26">
        <v>0</v>
      </c>
      <c r="AH26">
        <v>3</v>
      </c>
      <c r="AI26">
        <v>-1</v>
      </c>
      <c r="AJ26" t="s">
        <v>3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ROW(Source!A67)</f>
        <v>67</v>
      </c>
      <c r="B27">
        <v>42120197</v>
      </c>
      <c r="C27">
        <v>42120187</v>
      </c>
      <c r="D27">
        <v>32878726</v>
      </c>
      <c r="E27">
        <v>13</v>
      </c>
      <c r="F27">
        <v>1</v>
      </c>
      <c r="G27">
        <v>13</v>
      </c>
      <c r="H27">
        <v>3</v>
      </c>
      <c r="I27" t="s">
        <v>217</v>
      </c>
      <c r="J27" t="s">
        <v>3</v>
      </c>
      <c r="K27" t="s">
        <v>223</v>
      </c>
      <c r="L27">
        <v>1354</v>
      </c>
      <c r="N27">
        <v>1010</v>
      </c>
      <c r="O27" t="s">
        <v>30</v>
      </c>
      <c r="P27" t="s">
        <v>30</v>
      </c>
      <c r="Q27">
        <v>1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 t="s">
        <v>3</v>
      </c>
      <c r="AG27">
        <v>0</v>
      </c>
      <c r="AH27">
        <v>3</v>
      </c>
      <c r="AI27">
        <v>-1</v>
      </c>
      <c r="AJ27" t="s">
        <v>3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ROW(Source!A67)</f>
        <v>67</v>
      </c>
      <c r="B28">
        <v>42120198</v>
      </c>
      <c r="C28">
        <v>42120187</v>
      </c>
      <c r="D28">
        <v>32878726</v>
      </c>
      <c r="E28">
        <v>13</v>
      </c>
      <c r="F28">
        <v>1</v>
      </c>
      <c r="G28">
        <v>13</v>
      </c>
      <c r="H28">
        <v>3</v>
      </c>
      <c r="I28" t="s">
        <v>217</v>
      </c>
      <c r="J28" t="s">
        <v>3</v>
      </c>
      <c r="K28" t="s">
        <v>224</v>
      </c>
      <c r="L28">
        <v>1354</v>
      </c>
      <c r="N28">
        <v>1010</v>
      </c>
      <c r="O28" t="s">
        <v>30</v>
      </c>
      <c r="P28" t="s">
        <v>30</v>
      </c>
      <c r="Q28">
        <v>1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 t="s">
        <v>3</v>
      </c>
      <c r="AG28">
        <v>0</v>
      </c>
      <c r="AH28">
        <v>3</v>
      </c>
      <c r="AI28">
        <v>-1</v>
      </c>
      <c r="AJ28" t="s">
        <v>3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ROW(Source!A68)</f>
        <v>68</v>
      </c>
      <c r="B29">
        <v>42120191</v>
      </c>
      <c r="C29">
        <v>42120187</v>
      </c>
      <c r="D29">
        <v>32886502</v>
      </c>
      <c r="E29">
        <v>13</v>
      </c>
      <c r="F29">
        <v>1</v>
      </c>
      <c r="G29">
        <v>13</v>
      </c>
      <c r="H29">
        <v>1</v>
      </c>
      <c r="I29" t="s">
        <v>210</v>
      </c>
      <c r="J29" t="s">
        <v>3</v>
      </c>
      <c r="K29" t="s">
        <v>211</v>
      </c>
      <c r="L29">
        <v>1191</v>
      </c>
      <c r="N29">
        <v>1013</v>
      </c>
      <c r="O29" t="s">
        <v>212</v>
      </c>
      <c r="P29" t="s">
        <v>212</v>
      </c>
      <c r="Q29">
        <v>1</v>
      </c>
      <c r="X29">
        <v>40.67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1</v>
      </c>
      <c r="AF29" t="s">
        <v>22</v>
      </c>
      <c r="AG29">
        <v>53.786074999999997</v>
      </c>
      <c r="AH29">
        <v>2</v>
      </c>
      <c r="AI29">
        <v>42120188</v>
      </c>
      <c r="AJ29">
        <v>41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ROW(Source!A68)</f>
        <v>68</v>
      </c>
      <c r="B30">
        <v>42120192</v>
      </c>
      <c r="C30">
        <v>42120187</v>
      </c>
      <c r="D30">
        <v>32878726</v>
      </c>
      <c r="E30">
        <v>13</v>
      </c>
      <c r="F30">
        <v>1</v>
      </c>
      <c r="G30">
        <v>13</v>
      </c>
      <c r="H30">
        <v>3</v>
      </c>
      <c r="I30" t="s">
        <v>217</v>
      </c>
      <c r="J30" t="s">
        <v>3</v>
      </c>
      <c r="K30" t="s">
        <v>218</v>
      </c>
      <c r="L30">
        <v>1301</v>
      </c>
      <c r="N30">
        <v>1003</v>
      </c>
      <c r="O30" t="s">
        <v>86</v>
      </c>
      <c r="P30" t="s">
        <v>86</v>
      </c>
      <c r="Q30">
        <v>1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 t="s">
        <v>3</v>
      </c>
      <c r="AG30">
        <v>0</v>
      </c>
      <c r="AH30">
        <v>3</v>
      </c>
      <c r="AI30">
        <v>-1</v>
      </c>
      <c r="AJ30" t="s">
        <v>3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ROW(Source!A68)</f>
        <v>68</v>
      </c>
      <c r="B31">
        <v>42120193</v>
      </c>
      <c r="C31">
        <v>42120187</v>
      </c>
      <c r="D31">
        <v>32878726</v>
      </c>
      <c r="E31">
        <v>13</v>
      </c>
      <c r="F31">
        <v>1</v>
      </c>
      <c r="G31">
        <v>13</v>
      </c>
      <c r="H31">
        <v>3</v>
      </c>
      <c r="I31" t="s">
        <v>217</v>
      </c>
      <c r="J31" t="s">
        <v>3</v>
      </c>
      <c r="K31" t="s">
        <v>219</v>
      </c>
      <c r="L31">
        <v>1301</v>
      </c>
      <c r="N31">
        <v>1003</v>
      </c>
      <c r="O31" t="s">
        <v>86</v>
      </c>
      <c r="P31" t="s">
        <v>86</v>
      </c>
      <c r="Q31">
        <v>1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 t="s">
        <v>3</v>
      </c>
      <c r="AG31">
        <v>0</v>
      </c>
      <c r="AH31">
        <v>3</v>
      </c>
      <c r="AI31">
        <v>-1</v>
      </c>
      <c r="AJ31" t="s">
        <v>3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ROW(Source!A68)</f>
        <v>68</v>
      </c>
      <c r="B32">
        <v>42120194</v>
      </c>
      <c r="C32">
        <v>42120187</v>
      </c>
      <c r="D32">
        <v>32878726</v>
      </c>
      <c r="E32">
        <v>13</v>
      </c>
      <c r="F32">
        <v>1</v>
      </c>
      <c r="G32">
        <v>13</v>
      </c>
      <c r="H32">
        <v>3</v>
      </c>
      <c r="I32" t="s">
        <v>217</v>
      </c>
      <c r="J32" t="s">
        <v>3</v>
      </c>
      <c r="K32" t="s">
        <v>220</v>
      </c>
      <c r="L32">
        <v>1354</v>
      </c>
      <c r="N32">
        <v>1010</v>
      </c>
      <c r="O32" t="s">
        <v>30</v>
      </c>
      <c r="P32" t="s">
        <v>30</v>
      </c>
      <c r="Q32">
        <v>1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 t="s">
        <v>3</v>
      </c>
      <c r="AG32">
        <v>0</v>
      </c>
      <c r="AH32">
        <v>3</v>
      </c>
      <c r="AI32">
        <v>-1</v>
      </c>
      <c r="AJ32" t="s">
        <v>3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ROW(Source!A68)</f>
        <v>68</v>
      </c>
      <c r="B33">
        <v>42120195</v>
      </c>
      <c r="C33">
        <v>42120187</v>
      </c>
      <c r="D33">
        <v>32878726</v>
      </c>
      <c r="E33">
        <v>13</v>
      </c>
      <c r="F33">
        <v>1</v>
      </c>
      <c r="G33">
        <v>13</v>
      </c>
      <c r="H33">
        <v>3</v>
      </c>
      <c r="I33" t="s">
        <v>217</v>
      </c>
      <c r="J33" t="s">
        <v>3</v>
      </c>
      <c r="K33" t="s">
        <v>221</v>
      </c>
      <c r="L33">
        <v>1354</v>
      </c>
      <c r="N33">
        <v>1010</v>
      </c>
      <c r="O33" t="s">
        <v>30</v>
      </c>
      <c r="P33" t="s">
        <v>30</v>
      </c>
      <c r="Q33">
        <v>1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 t="s">
        <v>3</v>
      </c>
      <c r="AG33">
        <v>0</v>
      </c>
      <c r="AH33">
        <v>3</v>
      </c>
      <c r="AI33">
        <v>-1</v>
      </c>
      <c r="AJ33" t="s">
        <v>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ROW(Source!A68)</f>
        <v>68</v>
      </c>
      <c r="B34">
        <v>42120196</v>
      </c>
      <c r="C34">
        <v>42120187</v>
      </c>
      <c r="D34">
        <v>32878726</v>
      </c>
      <c r="E34">
        <v>13</v>
      </c>
      <c r="F34">
        <v>1</v>
      </c>
      <c r="G34">
        <v>13</v>
      </c>
      <c r="H34">
        <v>3</v>
      </c>
      <c r="I34" t="s">
        <v>217</v>
      </c>
      <c r="J34" t="s">
        <v>3</v>
      </c>
      <c r="K34" t="s">
        <v>222</v>
      </c>
      <c r="L34">
        <v>1354</v>
      </c>
      <c r="N34">
        <v>1010</v>
      </c>
      <c r="O34" t="s">
        <v>30</v>
      </c>
      <c r="P34" t="s">
        <v>30</v>
      </c>
      <c r="Q34">
        <v>1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 t="s">
        <v>3</v>
      </c>
      <c r="AG34">
        <v>0</v>
      </c>
      <c r="AH34">
        <v>3</v>
      </c>
      <c r="AI34">
        <v>-1</v>
      </c>
      <c r="AJ34" t="s">
        <v>3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ROW(Source!A68)</f>
        <v>68</v>
      </c>
      <c r="B35">
        <v>42120197</v>
      </c>
      <c r="C35">
        <v>42120187</v>
      </c>
      <c r="D35">
        <v>32878726</v>
      </c>
      <c r="E35">
        <v>13</v>
      </c>
      <c r="F35">
        <v>1</v>
      </c>
      <c r="G35">
        <v>13</v>
      </c>
      <c r="H35">
        <v>3</v>
      </c>
      <c r="I35" t="s">
        <v>217</v>
      </c>
      <c r="J35" t="s">
        <v>3</v>
      </c>
      <c r="K35" t="s">
        <v>223</v>
      </c>
      <c r="L35">
        <v>1354</v>
      </c>
      <c r="N35">
        <v>1010</v>
      </c>
      <c r="O35" t="s">
        <v>30</v>
      </c>
      <c r="P35" t="s">
        <v>30</v>
      </c>
      <c r="Q35">
        <v>1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 t="s">
        <v>3</v>
      </c>
      <c r="AG35">
        <v>0</v>
      </c>
      <c r="AH35">
        <v>3</v>
      </c>
      <c r="AI35">
        <v>-1</v>
      </c>
      <c r="AJ35" t="s">
        <v>3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ROW(Source!A68)</f>
        <v>68</v>
      </c>
      <c r="B36">
        <v>42120198</v>
      </c>
      <c r="C36">
        <v>42120187</v>
      </c>
      <c r="D36">
        <v>32878726</v>
      </c>
      <c r="E36">
        <v>13</v>
      </c>
      <c r="F36">
        <v>1</v>
      </c>
      <c r="G36">
        <v>13</v>
      </c>
      <c r="H36">
        <v>3</v>
      </c>
      <c r="I36" t="s">
        <v>217</v>
      </c>
      <c r="J36" t="s">
        <v>3</v>
      </c>
      <c r="K36" t="s">
        <v>224</v>
      </c>
      <c r="L36">
        <v>1354</v>
      </c>
      <c r="N36">
        <v>1010</v>
      </c>
      <c r="O36" t="s">
        <v>30</v>
      </c>
      <c r="P36" t="s">
        <v>30</v>
      </c>
      <c r="Q36">
        <v>1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 t="s">
        <v>3</v>
      </c>
      <c r="AG36">
        <v>0</v>
      </c>
      <c r="AH36">
        <v>3</v>
      </c>
      <c r="AI36">
        <v>-1</v>
      </c>
      <c r="AJ36" t="s">
        <v>3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ROW(Source!A71)</f>
        <v>71</v>
      </c>
      <c r="B37">
        <v>42120205</v>
      </c>
      <c r="C37">
        <v>42120201</v>
      </c>
      <c r="D37">
        <v>32886502</v>
      </c>
      <c r="E37">
        <v>13</v>
      </c>
      <c r="F37">
        <v>1</v>
      </c>
      <c r="G37">
        <v>13</v>
      </c>
      <c r="H37">
        <v>1</v>
      </c>
      <c r="I37" t="s">
        <v>210</v>
      </c>
      <c r="J37" t="s">
        <v>3</v>
      </c>
      <c r="K37" t="s">
        <v>211</v>
      </c>
      <c r="L37">
        <v>1191</v>
      </c>
      <c r="N37">
        <v>1013</v>
      </c>
      <c r="O37" t="s">
        <v>212</v>
      </c>
      <c r="P37" t="s">
        <v>212</v>
      </c>
      <c r="Q37">
        <v>1</v>
      </c>
      <c r="X37">
        <v>3.09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1</v>
      </c>
      <c r="AF37" t="s">
        <v>22</v>
      </c>
      <c r="AG37">
        <v>4.0865249999999991</v>
      </c>
      <c r="AH37">
        <v>2</v>
      </c>
      <c r="AI37">
        <v>42120202</v>
      </c>
      <c r="AJ37">
        <v>43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ROW(Source!A72)</f>
        <v>72</v>
      </c>
      <c r="B38">
        <v>42120205</v>
      </c>
      <c r="C38">
        <v>42120201</v>
      </c>
      <c r="D38">
        <v>32886502</v>
      </c>
      <c r="E38">
        <v>13</v>
      </c>
      <c r="F38">
        <v>1</v>
      </c>
      <c r="G38">
        <v>13</v>
      </c>
      <c r="H38">
        <v>1</v>
      </c>
      <c r="I38" t="s">
        <v>210</v>
      </c>
      <c r="J38" t="s">
        <v>3</v>
      </c>
      <c r="K38" t="s">
        <v>211</v>
      </c>
      <c r="L38">
        <v>1191</v>
      </c>
      <c r="N38">
        <v>1013</v>
      </c>
      <c r="O38" t="s">
        <v>212</v>
      </c>
      <c r="P38" t="s">
        <v>212</v>
      </c>
      <c r="Q38">
        <v>1</v>
      </c>
      <c r="X38">
        <v>3.09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1</v>
      </c>
      <c r="AF38" t="s">
        <v>22</v>
      </c>
      <c r="AG38">
        <v>4.0865249999999991</v>
      </c>
      <c r="AH38">
        <v>2</v>
      </c>
      <c r="AI38">
        <v>42120202</v>
      </c>
      <c r="AJ38">
        <v>45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ROW(Source!A109)</f>
        <v>109</v>
      </c>
      <c r="B39">
        <v>42119901</v>
      </c>
      <c r="C39">
        <v>42119899</v>
      </c>
      <c r="D39">
        <v>32886502</v>
      </c>
      <c r="E39">
        <v>13</v>
      </c>
      <c r="F39">
        <v>1</v>
      </c>
      <c r="G39">
        <v>13</v>
      </c>
      <c r="H39">
        <v>1</v>
      </c>
      <c r="I39" t="s">
        <v>210</v>
      </c>
      <c r="J39" t="s">
        <v>3</v>
      </c>
      <c r="K39" t="s">
        <v>211</v>
      </c>
      <c r="L39">
        <v>1191</v>
      </c>
      <c r="N39">
        <v>1013</v>
      </c>
      <c r="O39" t="s">
        <v>212</v>
      </c>
      <c r="P39" t="s">
        <v>212</v>
      </c>
      <c r="Q39">
        <v>1</v>
      </c>
      <c r="X39">
        <v>56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1</v>
      </c>
      <c r="AF39" t="s">
        <v>185</v>
      </c>
      <c r="AG39">
        <v>44.800000000000004</v>
      </c>
      <c r="AH39">
        <v>2</v>
      </c>
      <c r="AI39">
        <v>42119900</v>
      </c>
      <c r="AJ39">
        <v>47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ROW(Source!A110)</f>
        <v>110</v>
      </c>
      <c r="B40">
        <v>42119901</v>
      </c>
      <c r="C40">
        <v>42119899</v>
      </c>
      <c r="D40">
        <v>32886502</v>
      </c>
      <c r="E40">
        <v>13</v>
      </c>
      <c r="F40">
        <v>1</v>
      </c>
      <c r="G40">
        <v>13</v>
      </c>
      <c r="H40">
        <v>1</v>
      </c>
      <c r="I40" t="s">
        <v>210</v>
      </c>
      <c r="J40" t="s">
        <v>3</v>
      </c>
      <c r="K40" t="s">
        <v>211</v>
      </c>
      <c r="L40">
        <v>1191</v>
      </c>
      <c r="N40">
        <v>1013</v>
      </c>
      <c r="O40" t="s">
        <v>212</v>
      </c>
      <c r="P40" t="s">
        <v>212</v>
      </c>
      <c r="Q40">
        <v>1</v>
      </c>
      <c r="X40">
        <v>56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1</v>
      </c>
      <c r="AF40" t="s">
        <v>185</v>
      </c>
      <c r="AG40">
        <v>44.800000000000004</v>
      </c>
      <c r="AH40">
        <v>2</v>
      </c>
      <c r="AI40">
        <v>42119900</v>
      </c>
      <c r="AJ40">
        <v>48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Смета по ТСН-2001</vt:lpstr>
      <vt:lpstr>Дефектная ведомость</vt:lpstr>
      <vt:lpstr>Ведомость объемов работ</vt:lpstr>
      <vt:lpstr>RV_DATA</vt:lpstr>
      <vt:lpstr>Расчет стоимости ресурсов</vt:lpstr>
      <vt:lpstr>Source</vt:lpstr>
      <vt:lpstr>SourceObSm</vt:lpstr>
      <vt:lpstr>SmtRes</vt:lpstr>
      <vt:lpstr>EtalonRes</vt:lpstr>
      <vt:lpstr>'Ведомость объемов работ'!Заголовки_для_печати</vt:lpstr>
      <vt:lpstr>'Дефектная ведомость'!Заголовки_для_печати</vt:lpstr>
      <vt:lpstr>'Расчет стоимости ресурсов'!Заголовки_для_печати</vt:lpstr>
      <vt:lpstr>'Смета по ТСН-2001'!Заголовки_для_печати</vt:lpstr>
      <vt:lpstr>'Ведомость объемов работ'!Область_печати</vt:lpstr>
      <vt:lpstr>'Дефектная ведомость'!Область_печати</vt:lpstr>
      <vt:lpstr>'Расчет стоимости ресурсов'!Область_печати</vt:lpstr>
      <vt:lpstr>'Смета по ТСН-2001'!Область_печати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PTO</dc:creator>
  <cp:lastModifiedBy>Microsoft Office</cp:lastModifiedBy>
  <dcterms:created xsi:type="dcterms:W3CDTF">2019-05-29T04:38:07Z</dcterms:created>
  <dcterms:modified xsi:type="dcterms:W3CDTF">2019-06-03T13:29:27Z</dcterms:modified>
</cp:coreProperties>
</file>